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ownloads\"/>
    </mc:Choice>
  </mc:AlternateContent>
  <xr:revisionPtr revIDLastSave="0" documentId="13_ncr:1_{659EE803-877D-40E7-88D0-5E7FF0C0DBF2}" xr6:coauthVersionLast="47" xr6:coauthVersionMax="47" xr10:uidLastSave="{00000000-0000-0000-0000-000000000000}"/>
  <bookViews>
    <workbookView xWindow="-108" yWindow="-108" windowWidth="23256" windowHeight="12456" xr2:uid="{00000000-000D-0000-FFFF-FFFF00000000}"/>
  </bookViews>
  <sheets>
    <sheet name="total data" sheetId="1" r:id="rId1"/>
    <sheet name="bonus" sheetId="2" r:id="rId2"/>
    <sheet name="label risk" sheetId="7" r:id="rId3"/>
    <sheet name="check" sheetId="8" r:id="rId4"/>
  </sheets>
  <definedNames>
    <definedName name="_xlnm._FilterDatabase" localSheetId="2" hidden="1">'label risk'!$A$1:$I$97</definedName>
    <definedName name="_xlnm._FilterDatabase" localSheetId="0" hidden="1">'total data'!$E$1:$E$2779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74" i="2" l="1"/>
  <c r="R267" i="2"/>
  <c r="Q267" i="2"/>
  <c r="P267" i="2"/>
  <c r="O267" i="2"/>
  <c r="K267" i="2"/>
  <c r="R266" i="2"/>
  <c r="Q266" i="2"/>
  <c r="P266" i="2"/>
  <c r="O266" i="2"/>
  <c r="K266" i="2"/>
  <c r="R265" i="2"/>
  <c r="Q265" i="2"/>
  <c r="P265" i="2"/>
  <c r="O265" i="2"/>
  <c r="M265" i="2"/>
  <c r="K265" i="2"/>
  <c r="R264" i="2"/>
  <c r="Q264" i="2"/>
  <c r="P264" i="2"/>
  <c r="O264" i="2"/>
  <c r="M264" i="2"/>
  <c r="K264" i="2"/>
  <c r="R263" i="2"/>
  <c r="Q263" i="2"/>
  <c r="P263" i="2"/>
  <c r="O263" i="2"/>
  <c r="M263" i="2"/>
  <c r="K263" i="2"/>
  <c r="R262" i="2"/>
  <c r="Q262" i="2"/>
  <c r="P262" i="2"/>
  <c r="O262" i="2"/>
  <c r="M262" i="2"/>
  <c r="K262" i="2"/>
  <c r="R261" i="2"/>
  <c r="Q261" i="2"/>
  <c r="P261" i="2"/>
  <c r="O261" i="2"/>
  <c r="M261" i="2"/>
  <c r="K261" i="2"/>
  <c r="R260" i="2"/>
  <c r="Q260" i="2"/>
  <c r="P260" i="2"/>
  <c r="O260" i="2"/>
  <c r="M260" i="2"/>
  <c r="K260" i="2"/>
  <c r="R259" i="2"/>
  <c r="Q259" i="2"/>
  <c r="P259" i="2"/>
  <c r="O259" i="2"/>
  <c r="K259" i="2"/>
  <c r="R258" i="2"/>
  <c r="Q258" i="2"/>
  <c r="P258" i="2"/>
  <c r="O258" i="2"/>
  <c r="K258" i="2"/>
  <c r="R257" i="2"/>
  <c r="Q257" i="2"/>
  <c r="P257" i="2"/>
  <c r="O257" i="2"/>
  <c r="K257" i="2"/>
  <c r="R256" i="2"/>
  <c r="Q256" i="2"/>
  <c r="P256" i="2"/>
  <c r="O256" i="2"/>
  <c r="K256" i="2"/>
  <c r="R255" i="2"/>
  <c r="Q255" i="2"/>
  <c r="P255" i="2"/>
  <c r="O255" i="2"/>
  <c r="M255" i="2"/>
  <c r="K255" i="2"/>
  <c r="R254" i="2"/>
  <c r="Q254" i="2"/>
  <c r="P254" i="2"/>
  <c r="O254" i="2"/>
  <c r="M254" i="2"/>
  <c r="K254" i="2"/>
  <c r="R253" i="2"/>
  <c r="Q253" i="2"/>
  <c r="P253" i="2"/>
  <c r="O253" i="2"/>
  <c r="M253" i="2"/>
  <c r="K253" i="2"/>
  <c r="R252" i="2"/>
  <c r="Q252" i="2"/>
  <c r="P252" i="2"/>
  <c r="O252" i="2"/>
  <c r="K252" i="2"/>
  <c r="R251" i="2"/>
  <c r="Q251" i="2"/>
  <c r="P251" i="2"/>
  <c r="O251" i="2"/>
  <c r="K251" i="2"/>
  <c r="R250" i="2"/>
  <c r="Q250" i="2"/>
  <c r="P250" i="2"/>
  <c r="O250" i="2"/>
  <c r="K250" i="2"/>
  <c r="R249" i="2"/>
  <c r="Q249" i="2"/>
  <c r="P249" i="2"/>
  <c r="O249" i="2"/>
  <c r="M249" i="2"/>
  <c r="K249" i="2"/>
  <c r="R248" i="2"/>
  <c r="Q248" i="2"/>
  <c r="P248" i="2"/>
  <c r="O248" i="2"/>
  <c r="M248" i="2"/>
  <c r="K248" i="2"/>
  <c r="R247" i="2"/>
  <c r="Q247" i="2"/>
  <c r="P247" i="2"/>
  <c r="O247" i="2"/>
  <c r="M247" i="2"/>
  <c r="K247" i="2"/>
  <c r="R246" i="2"/>
  <c r="Q246" i="2"/>
  <c r="P246" i="2"/>
  <c r="O246" i="2"/>
  <c r="M246" i="2"/>
  <c r="K246" i="2"/>
  <c r="R245" i="2"/>
  <c r="Q245" i="2"/>
  <c r="P245" i="2"/>
  <c r="O245" i="2"/>
  <c r="M245" i="2"/>
  <c r="K245" i="2"/>
  <c r="R244" i="2"/>
  <c r="Q244" i="2"/>
  <c r="P244" i="2"/>
  <c r="O244" i="2"/>
  <c r="M244" i="2"/>
  <c r="K244" i="2"/>
  <c r="R243" i="2"/>
  <c r="Q243" i="2"/>
  <c r="P243" i="2"/>
  <c r="O243" i="2"/>
  <c r="M243" i="2"/>
  <c r="K243" i="2"/>
  <c r="R242" i="2"/>
  <c r="Q242" i="2"/>
  <c r="P242" i="2"/>
  <c r="O242" i="2"/>
  <c r="M242" i="2"/>
  <c r="K242" i="2"/>
  <c r="R241" i="2"/>
  <c r="Q241" i="2"/>
  <c r="P241" i="2"/>
  <c r="O241" i="2"/>
  <c r="M241" i="2"/>
  <c r="K241" i="2"/>
  <c r="R240" i="2"/>
  <c r="Q240" i="2"/>
  <c r="P240" i="2"/>
  <c r="O240" i="2"/>
  <c r="M240" i="2"/>
  <c r="K240" i="2"/>
  <c r="R239" i="2"/>
  <c r="Q239" i="2"/>
  <c r="P239" i="2"/>
  <c r="O239" i="2"/>
  <c r="M239" i="2"/>
  <c r="K239" i="2"/>
  <c r="R238" i="2"/>
  <c r="Q238" i="2"/>
  <c r="P238" i="2"/>
  <c r="O238" i="2"/>
  <c r="M238" i="2"/>
  <c r="K238" i="2"/>
  <c r="R237" i="2"/>
  <c r="Q237" i="2"/>
  <c r="P237" i="2"/>
  <c r="O237" i="2"/>
  <c r="M237" i="2"/>
  <c r="K237" i="2"/>
  <c r="R236" i="2"/>
  <c r="Q236" i="2"/>
  <c r="P236" i="2"/>
  <c r="O236" i="2"/>
  <c r="M236" i="2"/>
  <c r="K236" i="2"/>
  <c r="R235" i="2"/>
  <c r="Q235" i="2"/>
  <c r="P235" i="2"/>
  <c r="O235" i="2"/>
  <c r="M235" i="2"/>
  <c r="K235" i="2"/>
  <c r="R234" i="2"/>
  <c r="Q234" i="2"/>
  <c r="P234" i="2"/>
  <c r="O234" i="2"/>
  <c r="M234" i="2"/>
  <c r="K234" i="2"/>
  <c r="R233" i="2"/>
  <c r="Q233" i="2"/>
  <c r="P233" i="2"/>
  <c r="O233" i="2"/>
  <c r="M233" i="2"/>
  <c r="K233" i="2"/>
  <c r="R232" i="2"/>
  <c r="Q232" i="2"/>
  <c r="P232" i="2"/>
  <c r="O232" i="2"/>
  <c r="M232" i="2"/>
  <c r="K232" i="2"/>
  <c r="R231" i="2"/>
  <c r="Q231" i="2"/>
  <c r="P231" i="2"/>
  <c r="O231" i="2"/>
  <c r="M231" i="2"/>
  <c r="K231" i="2"/>
  <c r="R230" i="2"/>
  <c r="Q230" i="2"/>
  <c r="P230" i="2"/>
  <c r="O230" i="2"/>
  <c r="M230" i="2"/>
  <c r="K230" i="2"/>
  <c r="R229" i="2"/>
  <c r="Q229" i="2"/>
  <c r="P229" i="2"/>
  <c r="O229" i="2"/>
  <c r="M229" i="2"/>
  <c r="K229" i="2"/>
  <c r="R228" i="2"/>
  <c r="Q228" i="2"/>
  <c r="P228" i="2"/>
  <c r="O228" i="2"/>
  <c r="M228" i="2"/>
  <c r="K228" i="2"/>
  <c r="R227" i="2"/>
  <c r="Q227" i="2"/>
  <c r="P227" i="2"/>
  <c r="O227" i="2"/>
  <c r="M227" i="2"/>
  <c r="K227" i="2"/>
  <c r="R226" i="2"/>
  <c r="Q226" i="2"/>
  <c r="P226" i="2"/>
  <c r="O226" i="2"/>
  <c r="M226" i="2"/>
  <c r="K226" i="2"/>
  <c r="R225" i="2"/>
  <c r="Q225" i="2"/>
  <c r="P225" i="2"/>
  <c r="O225" i="2"/>
  <c r="K225" i="2"/>
  <c r="R224" i="2"/>
  <c r="Q224" i="2"/>
  <c r="P224" i="2"/>
  <c r="O224" i="2"/>
  <c r="K224" i="2"/>
  <c r="R223" i="2"/>
  <c r="Q223" i="2"/>
  <c r="P223" i="2"/>
  <c r="O223" i="2"/>
  <c r="K223" i="2"/>
  <c r="R222" i="2"/>
  <c r="Q222" i="2"/>
  <c r="P222" i="2"/>
  <c r="O222" i="2"/>
  <c r="M222" i="2"/>
  <c r="K222" i="2"/>
  <c r="R221" i="2"/>
  <c r="Q221" i="2"/>
  <c r="P221" i="2"/>
  <c r="O221" i="2"/>
  <c r="M221" i="2"/>
  <c r="K221" i="2"/>
  <c r="R220" i="2"/>
  <c r="Q220" i="2"/>
  <c r="P220" i="2"/>
  <c r="O220" i="2"/>
  <c r="M220" i="2"/>
  <c r="K220" i="2"/>
  <c r="R219" i="2"/>
  <c r="Q219" i="2"/>
  <c r="P219" i="2"/>
  <c r="O219" i="2"/>
  <c r="K219" i="2"/>
  <c r="R218" i="2"/>
  <c r="Q218" i="2"/>
  <c r="P218" i="2"/>
  <c r="O218" i="2"/>
  <c r="K218" i="2"/>
  <c r="R217" i="2"/>
  <c r="Q217" i="2"/>
  <c r="P217" i="2"/>
  <c r="O217" i="2"/>
  <c r="K217" i="2"/>
  <c r="R216" i="2"/>
  <c r="Q216" i="2"/>
  <c r="P216" i="2"/>
  <c r="O216" i="2"/>
  <c r="R215" i="2"/>
  <c r="Q215" i="2"/>
  <c r="P215" i="2"/>
  <c r="O215" i="2"/>
  <c r="M215" i="2"/>
  <c r="K215" i="2"/>
  <c r="R214" i="2"/>
  <c r="Q214" i="2"/>
  <c r="P214" i="2"/>
  <c r="O214" i="2"/>
  <c r="M214" i="2"/>
  <c r="K214" i="2"/>
  <c r="R213" i="2"/>
  <c r="Q213" i="2"/>
  <c r="P213" i="2"/>
  <c r="O213" i="2"/>
  <c r="M213" i="2"/>
  <c r="K213" i="2"/>
  <c r="R212" i="2"/>
  <c r="Q212" i="2"/>
  <c r="P212" i="2"/>
  <c r="O212" i="2"/>
  <c r="M212" i="2"/>
  <c r="K212" i="2"/>
  <c r="R211" i="2"/>
  <c r="Q211" i="2"/>
  <c r="P211" i="2"/>
  <c r="O211" i="2"/>
  <c r="M211" i="2"/>
  <c r="K211" i="2"/>
  <c r="R210" i="2"/>
  <c r="Q210" i="2"/>
  <c r="P210" i="2"/>
  <c r="O210" i="2"/>
  <c r="M210" i="2"/>
  <c r="K210" i="2"/>
  <c r="R209" i="2"/>
  <c r="Q209" i="2"/>
  <c r="P209" i="2"/>
  <c r="O209" i="2"/>
  <c r="M209" i="2"/>
  <c r="K209" i="2"/>
  <c r="R208" i="2"/>
  <c r="Q208" i="2"/>
  <c r="P208" i="2"/>
  <c r="O208" i="2"/>
  <c r="M208" i="2"/>
  <c r="K208" i="2"/>
  <c r="R207" i="2"/>
  <c r="Q207" i="2"/>
  <c r="P207" i="2"/>
  <c r="O207" i="2"/>
  <c r="M207" i="2"/>
  <c r="K207" i="2"/>
  <c r="R206" i="2"/>
  <c r="Q206" i="2"/>
  <c r="P206" i="2"/>
  <c r="O206" i="2"/>
  <c r="M206" i="2"/>
  <c r="K206" i="2"/>
  <c r="R205" i="2"/>
  <c r="Q205" i="2"/>
  <c r="P205" i="2"/>
  <c r="O205" i="2"/>
  <c r="M205" i="2"/>
  <c r="K205" i="2"/>
  <c r="R204" i="2"/>
  <c r="Q204" i="2"/>
  <c r="P204" i="2"/>
  <c r="O204" i="2"/>
  <c r="M204" i="2"/>
  <c r="K204" i="2"/>
  <c r="R203" i="2"/>
  <c r="Q203" i="2"/>
  <c r="P203" i="2"/>
  <c r="O203" i="2"/>
  <c r="K203" i="2"/>
  <c r="R202" i="2"/>
  <c r="Q202" i="2"/>
  <c r="P202" i="2"/>
  <c r="O202" i="2"/>
  <c r="M202" i="2"/>
  <c r="K202" i="2"/>
  <c r="R201" i="2"/>
  <c r="Q201" i="2"/>
  <c r="P201" i="2"/>
  <c r="O201" i="2"/>
  <c r="M201" i="2"/>
  <c r="K201" i="2"/>
  <c r="R200" i="2"/>
  <c r="Q200" i="2"/>
  <c r="P200" i="2"/>
  <c r="O200" i="2"/>
  <c r="M200" i="2"/>
  <c r="K200" i="2"/>
  <c r="R199" i="2"/>
  <c r="Q199" i="2"/>
  <c r="P199" i="2"/>
  <c r="O199" i="2"/>
  <c r="M199" i="2"/>
  <c r="K199" i="2"/>
  <c r="R198" i="2"/>
  <c r="Q198" i="2"/>
  <c r="P198" i="2"/>
  <c r="O198" i="2"/>
  <c r="M198" i="2"/>
  <c r="K198" i="2"/>
  <c r="R197" i="2"/>
  <c r="Q197" i="2"/>
  <c r="P197" i="2"/>
  <c r="O197" i="2"/>
  <c r="M197" i="2"/>
  <c r="K197" i="2"/>
  <c r="R196" i="2"/>
  <c r="Q196" i="2"/>
  <c r="P196" i="2"/>
  <c r="O196" i="2"/>
  <c r="M196" i="2"/>
  <c r="K196" i="2"/>
  <c r="R195" i="2"/>
  <c r="Q195" i="2"/>
  <c r="P195" i="2"/>
  <c r="O195" i="2"/>
  <c r="K195" i="2"/>
  <c r="R194" i="2"/>
  <c r="Q194" i="2"/>
  <c r="P194" i="2"/>
  <c r="O194" i="2"/>
  <c r="M194" i="2"/>
  <c r="K194" i="2"/>
  <c r="R193" i="2"/>
  <c r="Q193" i="2"/>
  <c r="P193" i="2"/>
  <c r="O193" i="2"/>
  <c r="M193" i="2"/>
  <c r="K193" i="2"/>
  <c r="R192" i="2"/>
  <c r="Q192" i="2"/>
  <c r="P192" i="2"/>
  <c r="O192" i="2"/>
  <c r="M192" i="2"/>
  <c r="K192" i="2"/>
  <c r="R191" i="2"/>
  <c r="Q191" i="2"/>
  <c r="P191" i="2"/>
  <c r="O191" i="2"/>
  <c r="M191" i="2"/>
  <c r="K191" i="2"/>
  <c r="R190" i="2"/>
  <c r="Q190" i="2"/>
  <c r="P190" i="2"/>
  <c r="O190" i="2"/>
  <c r="M190" i="2"/>
  <c r="K190" i="2"/>
  <c r="R189" i="2"/>
  <c r="Q189" i="2"/>
  <c r="P189" i="2"/>
  <c r="O189" i="2"/>
  <c r="M189" i="2"/>
  <c r="K189" i="2"/>
  <c r="R188" i="2"/>
  <c r="Q188" i="2"/>
  <c r="P188" i="2"/>
  <c r="O188" i="2"/>
  <c r="M188" i="2"/>
  <c r="K188" i="2"/>
  <c r="R187" i="2"/>
  <c r="Q187" i="2"/>
  <c r="P187" i="2"/>
  <c r="O187" i="2"/>
  <c r="M187" i="2"/>
  <c r="K187" i="2"/>
  <c r="R186" i="2"/>
  <c r="Q186" i="2"/>
  <c r="P186" i="2"/>
  <c r="O186" i="2"/>
  <c r="M186" i="2"/>
  <c r="K186" i="2"/>
  <c r="R185" i="2"/>
  <c r="Q185" i="2"/>
  <c r="P185" i="2"/>
  <c r="O185" i="2"/>
  <c r="M185" i="2"/>
  <c r="K185" i="2"/>
  <c r="R184" i="2"/>
  <c r="Q184" i="2"/>
  <c r="P184" i="2"/>
  <c r="O184" i="2"/>
  <c r="M184" i="2"/>
  <c r="K184" i="2"/>
  <c r="R183" i="2"/>
  <c r="Q183" i="2"/>
  <c r="P183" i="2"/>
  <c r="O183" i="2"/>
  <c r="M183" i="2"/>
  <c r="K183" i="2"/>
  <c r="R182" i="2"/>
  <c r="Q182" i="2"/>
  <c r="P182" i="2"/>
  <c r="O182" i="2"/>
  <c r="M182" i="2"/>
  <c r="K182" i="2"/>
  <c r="R181" i="2"/>
  <c r="Q181" i="2"/>
  <c r="P181" i="2"/>
  <c r="O181" i="2"/>
  <c r="M181" i="2"/>
  <c r="K181" i="2"/>
  <c r="R180" i="2"/>
  <c r="Q180" i="2"/>
  <c r="P180" i="2"/>
  <c r="O180" i="2"/>
  <c r="M180" i="2"/>
  <c r="K180" i="2"/>
  <c r="R179" i="2"/>
  <c r="Q179" i="2"/>
  <c r="P179" i="2"/>
  <c r="O179" i="2"/>
  <c r="K179" i="2"/>
  <c r="R178" i="2"/>
  <c r="Q178" i="2"/>
  <c r="P178" i="2"/>
  <c r="O178" i="2"/>
  <c r="M178" i="2"/>
  <c r="K178" i="2"/>
  <c r="R177" i="2"/>
  <c r="Q177" i="2"/>
  <c r="P177" i="2"/>
  <c r="O177" i="2"/>
  <c r="M177" i="2"/>
  <c r="K177" i="2"/>
  <c r="R176" i="2"/>
  <c r="Q176" i="2"/>
  <c r="P176" i="2"/>
  <c r="O176" i="2"/>
  <c r="M176" i="2"/>
  <c r="K176" i="2"/>
  <c r="R175" i="2"/>
  <c r="Q175" i="2"/>
  <c r="P175" i="2"/>
  <c r="O175" i="2"/>
  <c r="M175" i="2"/>
  <c r="K175" i="2"/>
  <c r="R174" i="2"/>
  <c r="Q174" i="2"/>
  <c r="P174" i="2"/>
  <c r="O174" i="2"/>
  <c r="M174" i="2"/>
  <c r="K174" i="2"/>
  <c r="R173" i="2"/>
  <c r="Q173" i="2"/>
  <c r="P173" i="2"/>
  <c r="O173" i="2"/>
  <c r="M173" i="2"/>
  <c r="K173" i="2"/>
  <c r="R172" i="2"/>
  <c r="Q172" i="2"/>
  <c r="P172" i="2"/>
  <c r="O172" i="2"/>
  <c r="M172" i="2"/>
  <c r="K172" i="2"/>
  <c r="R171" i="2"/>
  <c r="Q171" i="2"/>
  <c r="P171" i="2"/>
  <c r="O171" i="2"/>
  <c r="M171" i="2"/>
  <c r="K171" i="2"/>
  <c r="R170" i="2"/>
  <c r="Q170" i="2"/>
  <c r="P170" i="2"/>
  <c r="O170" i="2"/>
  <c r="M170" i="2"/>
  <c r="K170" i="2"/>
  <c r="R169" i="2"/>
  <c r="Q169" i="2"/>
  <c r="P169" i="2"/>
  <c r="O169" i="2"/>
  <c r="M169" i="2"/>
  <c r="K169" i="2"/>
  <c r="R168" i="2"/>
  <c r="Q168" i="2"/>
  <c r="P168" i="2"/>
  <c r="O168" i="2"/>
  <c r="M168" i="2"/>
  <c r="K168" i="2"/>
  <c r="R167" i="2"/>
  <c r="Q167" i="2"/>
  <c r="P167" i="2"/>
  <c r="O167" i="2"/>
  <c r="M167" i="2"/>
  <c r="K167" i="2"/>
  <c r="R166" i="2"/>
  <c r="Q166" i="2"/>
  <c r="P166" i="2"/>
  <c r="O166" i="2"/>
  <c r="M166" i="2"/>
  <c r="K166" i="2"/>
  <c r="R165" i="2"/>
  <c r="Q165" i="2"/>
  <c r="P165" i="2"/>
  <c r="O165" i="2"/>
  <c r="M165" i="2"/>
  <c r="K165" i="2"/>
  <c r="R164" i="2"/>
  <c r="Q164" i="2"/>
  <c r="P164" i="2"/>
  <c r="O164" i="2"/>
  <c r="M164" i="2"/>
  <c r="K164" i="2"/>
  <c r="R163" i="2"/>
  <c r="Q163" i="2"/>
  <c r="P163" i="2"/>
  <c r="O163" i="2"/>
  <c r="M163" i="2"/>
  <c r="K163" i="2"/>
  <c r="R162" i="2"/>
  <c r="Q162" i="2"/>
  <c r="P162" i="2"/>
  <c r="O162" i="2"/>
  <c r="M162" i="2"/>
  <c r="K162" i="2"/>
  <c r="R161" i="2"/>
  <c r="Q161" i="2"/>
  <c r="P161" i="2"/>
  <c r="O161" i="2"/>
  <c r="M161" i="2"/>
  <c r="K161" i="2"/>
  <c r="R160" i="2"/>
  <c r="Q160" i="2"/>
  <c r="P160" i="2"/>
  <c r="O160" i="2"/>
  <c r="M160" i="2"/>
  <c r="K160" i="2"/>
  <c r="R159" i="2"/>
  <c r="Q159" i="2"/>
  <c r="P159" i="2"/>
  <c r="O159" i="2"/>
  <c r="M159" i="2"/>
  <c r="K159" i="2"/>
  <c r="R158" i="2"/>
  <c r="Q158" i="2"/>
  <c r="P158" i="2"/>
  <c r="O158" i="2"/>
  <c r="M158" i="2"/>
  <c r="K158" i="2"/>
  <c r="R157" i="2"/>
  <c r="Q157" i="2"/>
  <c r="P157" i="2"/>
  <c r="O157" i="2"/>
  <c r="M157" i="2"/>
  <c r="K157" i="2"/>
  <c r="R156" i="2"/>
  <c r="Q156" i="2"/>
  <c r="P156" i="2"/>
  <c r="O156" i="2"/>
  <c r="M156" i="2"/>
  <c r="K156" i="2"/>
  <c r="R155" i="2"/>
  <c r="Q155" i="2"/>
  <c r="P155" i="2"/>
  <c r="O155" i="2"/>
  <c r="M155" i="2"/>
  <c r="K155" i="2"/>
  <c r="R154" i="2"/>
  <c r="Q154" i="2"/>
  <c r="P154" i="2"/>
  <c r="O154" i="2"/>
  <c r="M154" i="2"/>
  <c r="K154" i="2"/>
  <c r="R153" i="2"/>
  <c r="Q153" i="2"/>
  <c r="P153" i="2"/>
  <c r="O153" i="2"/>
  <c r="M153" i="2"/>
  <c r="K153" i="2"/>
  <c r="R152" i="2"/>
  <c r="Q152" i="2"/>
  <c r="P152" i="2"/>
  <c r="O152" i="2"/>
  <c r="K152" i="2"/>
  <c r="R151" i="2"/>
  <c r="Q151" i="2"/>
  <c r="P151" i="2"/>
  <c r="O151" i="2"/>
  <c r="K151" i="2"/>
  <c r="R150" i="2"/>
  <c r="Q150" i="2"/>
  <c r="P150" i="2"/>
  <c r="O150" i="2"/>
  <c r="K150" i="2"/>
  <c r="R149" i="2"/>
  <c r="Q149" i="2"/>
  <c r="P149" i="2"/>
  <c r="O149" i="2"/>
  <c r="K149" i="2"/>
  <c r="R148" i="2"/>
  <c r="Q148" i="2"/>
  <c r="P148" i="2"/>
  <c r="O148" i="2"/>
  <c r="K148" i="2"/>
  <c r="R147" i="2"/>
  <c r="Q147" i="2"/>
  <c r="P147" i="2"/>
  <c r="O147" i="2"/>
  <c r="K147" i="2"/>
  <c r="R146" i="2"/>
  <c r="Q146" i="2"/>
  <c r="P146" i="2"/>
  <c r="O146" i="2"/>
  <c r="K146" i="2"/>
  <c r="R145" i="2"/>
  <c r="Q145" i="2"/>
  <c r="P145" i="2"/>
  <c r="O145" i="2"/>
  <c r="M145" i="2"/>
  <c r="K145" i="2"/>
  <c r="R144" i="2"/>
  <c r="Q144" i="2"/>
  <c r="P144" i="2"/>
  <c r="O144" i="2"/>
  <c r="M144" i="2"/>
  <c r="K144" i="2"/>
  <c r="R143" i="2"/>
  <c r="Q143" i="2"/>
  <c r="P143" i="2"/>
  <c r="O143" i="2"/>
  <c r="M143" i="2"/>
  <c r="K143" i="2"/>
  <c r="R142" i="2"/>
  <c r="Q142" i="2"/>
  <c r="P142" i="2"/>
  <c r="O142" i="2"/>
  <c r="M142" i="2"/>
  <c r="K142" i="2"/>
  <c r="R141" i="2"/>
  <c r="Q141" i="2"/>
  <c r="P141" i="2"/>
  <c r="O141" i="2"/>
  <c r="M141" i="2"/>
  <c r="K141" i="2"/>
  <c r="R140" i="2"/>
  <c r="Q140" i="2"/>
  <c r="P140" i="2"/>
  <c r="O140" i="2"/>
  <c r="M140" i="2"/>
  <c r="K140" i="2"/>
  <c r="R139" i="2"/>
  <c r="Q139" i="2"/>
  <c r="P139" i="2"/>
  <c r="O139" i="2"/>
  <c r="M139" i="2"/>
  <c r="K139" i="2"/>
  <c r="R138" i="2"/>
  <c r="Q138" i="2"/>
  <c r="P138" i="2"/>
  <c r="O138" i="2"/>
  <c r="M138" i="2"/>
  <c r="K138" i="2"/>
  <c r="R137" i="2"/>
  <c r="Q137" i="2"/>
  <c r="P137" i="2"/>
  <c r="O137" i="2"/>
  <c r="K137" i="2"/>
  <c r="R136" i="2"/>
  <c r="Q136" i="2"/>
  <c r="P136" i="2"/>
  <c r="O136" i="2"/>
  <c r="K136" i="2"/>
  <c r="R135" i="2"/>
  <c r="Q135" i="2"/>
  <c r="P135" i="2"/>
  <c r="O135" i="2"/>
  <c r="K135" i="2"/>
  <c r="R134" i="2"/>
  <c r="Q134" i="2"/>
  <c r="P134" i="2"/>
  <c r="O134" i="2"/>
  <c r="K134" i="2"/>
  <c r="R133" i="2"/>
  <c r="Q133" i="2"/>
  <c r="P133" i="2"/>
  <c r="O133" i="2"/>
  <c r="K133" i="2"/>
  <c r="R132" i="2"/>
  <c r="Q132" i="2"/>
  <c r="P132" i="2"/>
  <c r="O132" i="2"/>
  <c r="K132" i="2"/>
  <c r="R131" i="2"/>
  <c r="Q131" i="2"/>
  <c r="P131" i="2"/>
  <c r="O131" i="2"/>
  <c r="K131" i="2"/>
  <c r="R130" i="2"/>
  <c r="Q130" i="2"/>
  <c r="P130" i="2"/>
  <c r="O130" i="2"/>
  <c r="K130" i="2"/>
  <c r="R129" i="2"/>
  <c r="Q129" i="2"/>
  <c r="P129" i="2"/>
  <c r="O129" i="2"/>
  <c r="K129" i="2"/>
  <c r="R128" i="2"/>
  <c r="Q128" i="2"/>
  <c r="P128" i="2"/>
  <c r="O128" i="2"/>
  <c r="K128" i="2"/>
  <c r="R127" i="2"/>
  <c r="Q127" i="2"/>
  <c r="P127" i="2"/>
  <c r="O127" i="2"/>
  <c r="K127" i="2"/>
  <c r="R126" i="2"/>
  <c r="Q126" i="2"/>
  <c r="P126" i="2"/>
  <c r="O126" i="2"/>
  <c r="K126" i="2"/>
  <c r="R125" i="2"/>
  <c r="Q125" i="2"/>
  <c r="P125" i="2"/>
  <c r="O125" i="2"/>
  <c r="K125" i="2"/>
  <c r="R124" i="2"/>
  <c r="Q124" i="2"/>
  <c r="P124" i="2"/>
  <c r="O124" i="2"/>
  <c r="K124" i="2"/>
  <c r="R123" i="2"/>
  <c r="Q123" i="2"/>
  <c r="P123" i="2"/>
  <c r="O123" i="2"/>
  <c r="K123" i="2"/>
  <c r="R122" i="2"/>
  <c r="Q122" i="2"/>
  <c r="P122" i="2"/>
  <c r="O122" i="2"/>
  <c r="K122" i="2"/>
  <c r="R121" i="2"/>
  <c r="Q121" i="2"/>
  <c r="P121" i="2"/>
  <c r="O121" i="2"/>
  <c r="K121" i="2"/>
  <c r="R120" i="2"/>
  <c r="Q120" i="2"/>
  <c r="P120" i="2"/>
  <c r="O120" i="2"/>
  <c r="K120" i="2"/>
  <c r="R119" i="2"/>
  <c r="Q119" i="2"/>
  <c r="P119" i="2"/>
  <c r="O119" i="2"/>
  <c r="K119" i="2"/>
  <c r="R118" i="2"/>
  <c r="Q118" i="2"/>
  <c r="P118" i="2"/>
  <c r="O118" i="2"/>
  <c r="K118" i="2"/>
  <c r="R117" i="2"/>
  <c r="Q117" i="2"/>
  <c r="P117" i="2"/>
  <c r="O117" i="2"/>
  <c r="K117" i="2"/>
  <c r="R116" i="2"/>
  <c r="Q116" i="2"/>
  <c r="P116" i="2"/>
  <c r="O116" i="2"/>
  <c r="M116" i="2"/>
  <c r="K116" i="2"/>
  <c r="R115" i="2"/>
  <c r="Q115" i="2"/>
  <c r="P115" i="2"/>
  <c r="O115" i="2"/>
  <c r="M115" i="2"/>
  <c r="K115" i="2"/>
  <c r="R114" i="2"/>
  <c r="Q114" i="2"/>
  <c r="P114" i="2"/>
  <c r="O114" i="2"/>
  <c r="M114" i="2"/>
  <c r="K114" i="2"/>
  <c r="R113" i="2"/>
  <c r="Q113" i="2"/>
  <c r="P113" i="2"/>
  <c r="O113" i="2"/>
  <c r="K113" i="2"/>
  <c r="R112" i="2"/>
  <c r="Q112" i="2"/>
  <c r="P112" i="2"/>
  <c r="O112" i="2"/>
  <c r="K112" i="2"/>
  <c r="R111" i="2"/>
  <c r="Q111" i="2"/>
  <c r="P111" i="2"/>
  <c r="O111" i="2"/>
  <c r="K111" i="2"/>
  <c r="R110" i="2"/>
  <c r="Q110" i="2"/>
  <c r="P110" i="2"/>
  <c r="O110" i="2"/>
  <c r="M110" i="2"/>
  <c r="K110" i="2"/>
  <c r="R109" i="2"/>
  <c r="Q109" i="2"/>
  <c r="P109" i="2"/>
  <c r="O109" i="2"/>
  <c r="M109" i="2"/>
  <c r="K109" i="2"/>
  <c r="R108" i="2"/>
  <c r="Q108" i="2"/>
  <c r="P108" i="2"/>
  <c r="O108" i="2"/>
  <c r="M108" i="2"/>
  <c r="K108" i="2"/>
  <c r="R107" i="2"/>
  <c r="Q107" i="2"/>
  <c r="P107" i="2"/>
  <c r="O107" i="2"/>
  <c r="K107" i="2"/>
  <c r="R106" i="2"/>
  <c r="Q106" i="2"/>
  <c r="P106" i="2"/>
  <c r="O106" i="2"/>
  <c r="K106" i="2"/>
  <c r="R105" i="2"/>
  <c r="Q105" i="2"/>
  <c r="P105" i="2"/>
  <c r="O105" i="2"/>
  <c r="K105" i="2"/>
  <c r="R104" i="2"/>
  <c r="Q104" i="2"/>
  <c r="P104" i="2"/>
  <c r="O104" i="2"/>
  <c r="K104" i="2"/>
  <c r="R103" i="2"/>
  <c r="Q103" i="2"/>
  <c r="P103" i="2"/>
  <c r="O103" i="2"/>
  <c r="K103" i="2"/>
  <c r="R102" i="2"/>
  <c r="Q102" i="2"/>
  <c r="P102" i="2"/>
  <c r="O102" i="2"/>
  <c r="K102" i="2"/>
  <c r="R101" i="2"/>
  <c r="Q101" i="2"/>
  <c r="P101" i="2"/>
  <c r="O101" i="2"/>
  <c r="K101" i="2"/>
  <c r="R100" i="2"/>
  <c r="Q100" i="2"/>
  <c r="P100" i="2"/>
  <c r="O100" i="2"/>
  <c r="K100" i="2"/>
  <c r="R99" i="2"/>
  <c r="Q99" i="2"/>
  <c r="P99" i="2"/>
  <c r="O99" i="2"/>
  <c r="K99" i="2"/>
  <c r="R98" i="2"/>
  <c r="Q98" i="2"/>
  <c r="P98" i="2"/>
  <c r="O98" i="2"/>
  <c r="K98" i="2"/>
  <c r="R97" i="2"/>
  <c r="Q97" i="2"/>
  <c r="P97" i="2"/>
  <c r="O97" i="2"/>
  <c r="K97" i="2"/>
  <c r="R96" i="2"/>
  <c r="Q96" i="2"/>
  <c r="P96" i="2"/>
  <c r="O96" i="2"/>
  <c r="K96" i="2"/>
  <c r="R95" i="2"/>
  <c r="Q95" i="2"/>
  <c r="P95" i="2"/>
  <c r="O95" i="2"/>
  <c r="K95" i="2"/>
  <c r="R94" i="2"/>
  <c r="Q94" i="2"/>
  <c r="P94" i="2"/>
  <c r="O94" i="2"/>
  <c r="K94" i="2"/>
  <c r="R93" i="2"/>
  <c r="Q93" i="2"/>
  <c r="P93" i="2"/>
  <c r="O93" i="2"/>
  <c r="M93" i="2"/>
  <c r="K93" i="2"/>
  <c r="R92" i="2"/>
  <c r="Q92" i="2"/>
  <c r="P92" i="2"/>
  <c r="O92" i="2"/>
  <c r="M92" i="2"/>
  <c r="K92" i="2"/>
  <c r="R91" i="2"/>
  <c r="Q91" i="2"/>
  <c r="P91" i="2"/>
  <c r="O91" i="2"/>
  <c r="K91" i="2"/>
  <c r="R90" i="2"/>
  <c r="Q90" i="2"/>
  <c r="P90" i="2"/>
  <c r="O90" i="2"/>
  <c r="K90" i="2"/>
  <c r="R89" i="2"/>
  <c r="Q89" i="2"/>
  <c r="P89" i="2"/>
  <c r="O89" i="2"/>
  <c r="K89" i="2"/>
  <c r="R88" i="2"/>
  <c r="Q88" i="2"/>
  <c r="P88" i="2"/>
  <c r="O88" i="2"/>
  <c r="K88" i="2"/>
  <c r="R87" i="2"/>
  <c r="Q87" i="2"/>
  <c r="P87" i="2"/>
  <c r="O87" i="2"/>
  <c r="K87" i="2"/>
  <c r="R86" i="2"/>
  <c r="Q86" i="2"/>
  <c r="P86" i="2"/>
  <c r="O86" i="2"/>
  <c r="K86" i="2"/>
  <c r="R85" i="2"/>
  <c r="Q85" i="2"/>
  <c r="P85" i="2"/>
  <c r="O85" i="2"/>
  <c r="M85" i="2"/>
  <c r="K85" i="2"/>
  <c r="R84" i="2"/>
  <c r="Q84" i="2"/>
  <c r="P84" i="2"/>
  <c r="O84" i="2"/>
  <c r="M84" i="2"/>
  <c r="K84" i="2"/>
  <c r="R83" i="2"/>
  <c r="Q83" i="2"/>
  <c r="P83" i="2"/>
  <c r="O83" i="2"/>
  <c r="M83" i="2"/>
  <c r="K83" i="2"/>
  <c r="R82" i="2"/>
  <c r="Q82" i="2"/>
  <c r="P82" i="2"/>
  <c r="O82" i="2"/>
  <c r="K82" i="2"/>
  <c r="R81" i="2"/>
  <c r="Q81" i="2"/>
  <c r="P81" i="2"/>
  <c r="O81" i="2"/>
  <c r="K81" i="2"/>
  <c r="R80" i="2"/>
  <c r="Q80" i="2"/>
  <c r="P80" i="2"/>
  <c r="O80" i="2"/>
  <c r="K80" i="2"/>
  <c r="R79" i="2"/>
  <c r="Q79" i="2"/>
  <c r="P79" i="2"/>
  <c r="O79" i="2"/>
  <c r="K79" i="2"/>
  <c r="R78" i="2"/>
  <c r="Q78" i="2"/>
  <c r="P78" i="2"/>
  <c r="O78" i="2"/>
  <c r="K78" i="2"/>
  <c r="R77" i="2"/>
  <c r="Q77" i="2"/>
  <c r="P77" i="2"/>
  <c r="O77" i="2"/>
  <c r="K77" i="2"/>
  <c r="R76" i="2"/>
  <c r="Q76" i="2"/>
  <c r="P76" i="2"/>
  <c r="O76" i="2"/>
  <c r="M76" i="2"/>
  <c r="K76" i="2"/>
  <c r="R75" i="2"/>
  <c r="Q75" i="2"/>
  <c r="P75" i="2"/>
  <c r="O75" i="2"/>
  <c r="M75" i="2"/>
  <c r="K75" i="2"/>
  <c r="R74" i="2"/>
  <c r="Q74" i="2"/>
  <c r="P74" i="2"/>
  <c r="O74" i="2"/>
  <c r="M74" i="2"/>
  <c r="K74" i="2"/>
  <c r="R73" i="2"/>
  <c r="Q73" i="2"/>
  <c r="P73" i="2"/>
  <c r="O73" i="2"/>
  <c r="M73" i="2"/>
  <c r="K73" i="2"/>
  <c r="R72" i="2"/>
  <c r="Q72" i="2"/>
  <c r="P72" i="2"/>
  <c r="O72" i="2"/>
  <c r="M72" i="2"/>
  <c r="K72" i="2"/>
  <c r="R71" i="2"/>
  <c r="Q71" i="2"/>
  <c r="P71" i="2"/>
  <c r="O71" i="2"/>
  <c r="M71" i="2"/>
  <c r="K71" i="2"/>
  <c r="R70" i="2"/>
  <c r="Q70" i="2"/>
  <c r="P70" i="2"/>
  <c r="O70" i="2"/>
  <c r="M70" i="2"/>
  <c r="R69" i="2"/>
  <c r="Q69" i="2"/>
  <c r="P69" i="2"/>
  <c r="O69" i="2"/>
  <c r="M69" i="2"/>
  <c r="R68" i="2"/>
  <c r="Q68" i="2"/>
  <c r="P68" i="2"/>
  <c r="O68" i="2"/>
  <c r="M68" i="2"/>
  <c r="R67" i="2"/>
  <c r="Q67" i="2"/>
  <c r="P67" i="2"/>
  <c r="O67" i="2"/>
  <c r="R66" i="2"/>
  <c r="Q66" i="2"/>
  <c r="P66" i="2"/>
  <c r="O66" i="2"/>
  <c r="M66" i="2"/>
  <c r="R65" i="2"/>
  <c r="Q65" i="2"/>
  <c r="P65" i="2"/>
  <c r="O65" i="2"/>
  <c r="M65" i="2"/>
  <c r="R64" i="2"/>
  <c r="Q64" i="2"/>
  <c r="P64" i="2"/>
  <c r="O64" i="2"/>
  <c r="M64" i="2"/>
  <c r="R63" i="2"/>
  <c r="Q63" i="2"/>
  <c r="P63" i="2"/>
  <c r="O63" i="2"/>
  <c r="M63" i="2"/>
  <c r="R62" i="2"/>
  <c r="Q62" i="2"/>
  <c r="P62" i="2"/>
  <c r="O62" i="2"/>
  <c r="M62" i="2"/>
  <c r="R61" i="2"/>
  <c r="Q61" i="2"/>
  <c r="P61" i="2"/>
  <c r="O61" i="2"/>
  <c r="M61" i="2"/>
  <c r="R60" i="2"/>
  <c r="Q60" i="2"/>
  <c r="P60" i="2"/>
  <c r="O60" i="2"/>
  <c r="M60" i="2"/>
  <c r="R59" i="2"/>
  <c r="Q59" i="2"/>
  <c r="P59" i="2"/>
  <c r="O59" i="2"/>
  <c r="M59" i="2"/>
  <c r="R58" i="2"/>
  <c r="Q58" i="2"/>
  <c r="P58" i="2"/>
  <c r="O58" i="2"/>
  <c r="M58" i="2"/>
  <c r="R57" i="2"/>
  <c r="Q57" i="2"/>
  <c r="P57" i="2"/>
  <c r="O57" i="2"/>
  <c r="M57" i="2"/>
  <c r="R56" i="2"/>
  <c r="Q56" i="2"/>
  <c r="P56" i="2"/>
  <c r="O56" i="2"/>
  <c r="M56" i="2"/>
  <c r="R55" i="2"/>
  <c r="Q55" i="2"/>
  <c r="P55" i="2"/>
  <c r="O55" i="2"/>
  <c r="M55" i="2"/>
  <c r="R54" i="2"/>
  <c r="Q54" i="2"/>
  <c r="P54" i="2"/>
  <c r="O54" i="2"/>
  <c r="M54" i="2"/>
  <c r="R53" i="2"/>
  <c r="Q53" i="2"/>
  <c r="P53" i="2"/>
  <c r="O53" i="2"/>
  <c r="M53" i="2"/>
  <c r="R52" i="2"/>
  <c r="Q52" i="2"/>
  <c r="P52" i="2"/>
  <c r="O52" i="2"/>
  <c r="M52" i="2"/>
  <c r="R51" i="2"/>
  <c r="Q51" i="2"/>
  <c r="P51" i="2"/>
  <c r="O51" i="2"/>
  <c r="R50" i="2"/>
  <c r="Q50" i="2"/>
  <c r="P50" i="2"/>
  <c r="O50" i="2"/>
  <c r="M50" i="2"/>
  <c r="R49" i="2"/>
  <c r="Q49" i="2"/>
  <c r="P49" i="2"/>
  <c r="O49" i="2"/>
  <c r="M49" i="2"/>
  <c r="R48" i="2"/>
  <c r="Q48" i="2"/>
  <c r="P48" i="2"/>
  <c r="O48" i="2"/>
  <c r="M48" i="2"/>
  <c r="R47" i="2"/>
  <c r="Q47" i="2"/>
  <c r="P47" i="2"/>
  <c r="O47" i="2"/>
  <c r="M47" i="2"/>
  <c r="R46" i="2"/>
  <c r="Q46" i="2"/>
  <c r="P46" i="2"/>
  <c r="O46" i="2"/>
  <c r="M46" i="2"/>
  <c r="R45" i="2"/>
  <c r="Q45" i="2"/>
  <c r="P45" i="2"/>
  <c r="O45" i="2"/>
  <c r="M45" i="2"/>
  <c r="R44" i="2"/>
  <c r="Q44" i="2"/>
  <c r="P44" i="2"/>
  <c r="O44" i="2"/>
  <c r="M44" i="2"/>
  <c r="R43" i="2"/>
  <c r="Q43" i="2"/>
  <c r="P43" i="2"/>
  <c r="O43" i="2"/>
  <c r="M43" i="2"/>
  <c r="R42" i="2"/>
  <c r="Q42" i="2"/>
  <c r="P42" i="2"/>
  <c r="O42" i="2"/>
  <c r="M42" i="2"/>
  <c r="R41" i="2"/>
  <c r="Q41" i="2"/>
  <c r="P41" i="2"/>
  <c r="O41" i="2"/>
  <c r="R40" i="2"/>
  <c r="Q40" i="2"/>
  <c r="P40" i="2"/>
  <c r="O40" i="2"/>
  <c r="M40" i="2"/>
  <c r="R39" i="2"/>
  <c r="Q39" i="2"/>
  <c r="P39" i="2"/>
  <c r="O39" i="2"/>
  <c r="M39" i="2"/>
  <c r="R38" i="2"/>
  <c r="Q38" i="2"/>
  <c r="P38" i="2"/>
  <c r="O38" i="2"/>
  <c r="M38" i="2"/>
  <c r="R37" i="2"/>
  <c r="Q37" i="2"/>
  <c r="P37" i="2"/>
  <c r="O37" i="2"/>
  <c r="M37" i="2"/>
  <c r="R36" i="2"/>
  <c r="Q36" i="2"/>
  <c r="P36" i="2"/>
  <c r="O36" i="2"/>
  <c r="M36" i="2"/>
  <c r="R35" i="2"/>
  <c r="Q35" i="2"/>
  <c r="P35" i="2"/>
  <c r="O35" i="2"/>
  <c r="M35" i="2"/>
  <c r="R34" i="2"/>
  <c r="Q34" i="2"/>
  <c r="P34" i="2"/>
  <c r="O34" i="2"/>
  <c r="R33" i="2"/>
  <c r="Q33" i="2"/>
  <c r="P33" i="2"/>
  <c r="O33" i="2"/>
  <c r="R32" i="2"/>
  <c r="Q32" i="2"/>
  <c r="P32" i="2"/>
  <c r="O32" i="2"/>
  <c r="R31" i="2"/>
  <c r="Q31" i="2"/>
  <c r="P31" i="2"/>
  <c r="O31" i="2"/>
  <c r="M31" i="2"/>
  <c r="R30" i="2"/>
  <c r="Q30" i="2"/>
  <c r="P30" i="2"/>
  <c r="O30" i="2"/>
  <c r="M30" i="2"/>
  <c r="R29" i="2"/>
  <c r="Q29" i="2"/>
  <c r="P29" i="2"/>
  <c r="O29" i="2"/>
  <c r="M29" i="2"/>
  <c r="R28" i="2"/>
  <c r="Q28" i="2"/>
  <c r="P28" i="2"/>
  <c r="O28" i="2"/>
  <c r="M28" i="2"/>
  <c r="R27" i="2"/>
  <c r="Q27" i="2"/>
  <c r="P27" i="2"/>
  <c r="O27" i="2"/>
  <c r="M27" i="2"/>
  <c r="R26" i="2"/>
  <c r="Q26" i="2"/>
  <c r="P26" i="2"/>
  <c r="O26" i="2"/>
  <c r="M26" i="2"/>
  <c r="R25" i="2"/>
  <c r="Q25" i="2"/>
  <c r="P25" i="2"/>
  <c r="O25" i="2"/>
  <c r="M25" i="2"/>
  <c r="R24" i="2"/>
  <c r="Q24" i="2"/>
  <c r="P24" i="2"/>
  <c r="O24" i="2"/>
  <c r="M24" i="2"/>
  <c r="R23" i="2"/>
  <c r="Q23" i="2"/>
  <c r="P23" i="2"/>
  <c r="O23" i="2"/>
  <c r="M23" i="2"/>
  <c r="R22" i="2"/>
  <c r="Q22" i="2"/>
  <c r="P22" i="2"/>
  <c r="O22" i="2"/>
  <c r="M22" i="2"/>
  <c r="R21" i="2"/>
  <c r="Q21" i="2"/>
  <c r="P21" i="2"/>
  <c r="O21" i="2"/>
  <c r="M21" i="2"/>
  <c r="R20" i="2"/>
  <c r="Q20" i="2"/>
  <c r="P20" i="2"/>
  <c r="O20" i="2"/>
  <c r="M20" i="2"/>
  <c r="R19" i="2"/>
  <c r="Q19" i="2"/>
  <c r="P19" i="2"/>
  <c r="O19" i="2"/>
  <c r="M19" i="2"/>
  <c r="R18" i="2"/>
  <c r="Q18" i="2"/>
  <c r="P18" i="2"/>
  <c r="O18" i="2"/>
  <c r="M18" i="2"/>
  <c r="R17" i="2"/>
  <c r="Q17" i="2"/>
  <c r="P17" i="2"/>
  <c r="O17" i="2"/>
  <c r="M17" i="2"/>
  <c r="R16" i="2"/>
  <c r="Q16" i="2"/>
  <c r="P16" i="2"/>
  <c r="O16" i="2"/>
  <c r="M16" i="2"/>
  <c r="R15" i="2"/>
  <c r="Q15" i="2"/>
  <c r="P15" i="2"/>
  <c r="O15" i="2"/>
  <c r="M15" i="2"/>
  <c r="R14" i="2"/>
  <c r="Q14" i="2"/>
  <c r="P14" i="2"/>
  <c r="O14" i="2"/>
  <c r="M14" i="2"/>
  <c r="R13" i="2"/>
  <c r="Q13" i="2"/>
  <c r="P13" i="2"/>
  <c r="O13" i="2"/>
  <c r="M13" i="2"/>
  <c r="R12" i="2"/>
  <c r="Q12" i="2"/>
  <c r="P12" i="2"/>
  <c r="O12" i="2"/>
  <c r="M12" i="2"/>
  <c r="R11" i="2"/>
  <c r="Q11" i="2"/>
  <c r="P11" i="2"/>
  <c r="O11" i="2"/>
  <c r="M11" i="2"/>
  <c r="R10" i="2"/>
  <c r="Q10" i="2"/>
  <c r="P10" i="2"/>
  <c r="O10" i="2"/>
  <c r="M10" i="2"/>
  <c r="R9" i="2"/>
  <c r="Q9" i="2"/>
  <c r="P9" i="2"/>
  <c r="O9" i="2"/>
  <c r="M9" i="2"/>
  <c r="R8" i="2"/>
  <c r="Q8" i="2"/>
  <c r="P8" i="2"/>
  <c r="O8" i="2"/>
  <c r="M8" i="2"/>
  <c r="R7" i="2"/>
  <c r="Q7" i="2"/>
  <c r="P7" i="2"/>
  <c r="O7" i="2"/>
  <c r="M7" i="2"/>
  <c r="R6" i="2"/>
  <c r="Q6" i="2"/>
  <c r="P6" i="2"/>
  <c r="O6" i="2"/>
  <c r="M6" i="2"/>
  <c r="R5" i="2"/>
  <c r="Q5" i="2"/>
  <c r="P5" i="2"/>
  <c r="O5" i="2"/>
  <c r="M5" i="2"/>
  <c r="R4" i="2"/>
  <c r="Q4" i="2"/>
  <c r="P4" i="2"/>
  <c r="O4" i="2"/>
  <c r="M4" i="2"/>
  <c r="R3" i="2"/>
  <c r="Q3" i="2"/>
  <c r="P3" i="2"/>
  <c r="O3" i="2"/>
  <c r="M3" i="2"/>
  <c r="R2" i="2"/>
  <c r="Q2" i="2"/>
  <c r="P2" i="2"/>
  <c r="O2" i="2"/>
  <c r="M2" i="2"/>
  <c r="AH2779" i="1"/>
  <c r="AF2779" i="1"/>
  <c r="AE2779" i="1"/>
  <c r="AA2779" i="1"/>
  <c r="Z2779" i="1"/>
  <c r="AG2779" i="1" s="1"/>
  <c r="V2779" i="1"/>
  <c r="U2779" i="1"/>
  <c r="T2779" i="1"/>
  <c r="S2779" i="1"/>
  <c r="R2779" i="1"/>
  <c r="O2779" i="1"/>
  <c r="AD2779" i="1" s="1"/>
  <c r="M2779" i="1"/>
  <c r="AH2778" i="1"/>
  <c r="AG2778" i="1"/>
  <c r="AE2778" i="1"/>
  <c r="AA2778" i="1"/>
  <c r="Z2778" i="1"/>
  <c r="V2778" i="1"/>
  <c r="U2778" i="1"/>
  <c r="T2778" i="1"/>
  <c r="S2778" i="1"/>
  <c r="R2778" i="1"/>
  <c r="AF2778" i="1" s="1"/>
  <c r="O2778" i="1"/>
  <c r="AD2778" i="1" s="1"/>
  <c r="AI2778" i="1" s="1"/>
  <c r="M2778" i="1"/>
  <c r="AH2777" i="1"/>
  <c r="AG2777" i="1"/>
  <c r="AF2777" i="1"/>
  <c r="AE2777" i="1"/>
  <c r="AA2777" i="1"/>
  <c r="Z2777" i="1"/>
  <c r="V2777" i="1"/>
  <c r="U2777" i="1"/>
  <c r="T2777" i="1"/>
  <c r="S2777" i="1"/>
  <c r="R2777" i="1"/>
  <c r="O2777" i="1"/>
  <c r="AD2777" i="1" s="1"/>
  <c r="AI2777" i="1" s="1"/>
  <c r="M2777" i="1"/>
  <c r="AH2776" i="1"/>
  <c r="AG2776" i="1"/>
  <c r="AF2776" i="1"/>
  <c r="AE2776" i="1"/>
  <c r="AA2776" i="1"/>
  <c r="Z2776" i="1"/>
  <c r="V2776" i="1"/>
  <c r="U2776" i="1"/>
  <c r="T2776" i="1"/>
  <c r="S2776" i="1"/>
  <c r="R2776" i="1"/>
  <c r="O2776" i="1"/>
  <c r="AD2776" i="1" s="1"/>
  <c r="AI2776" i="1" s="1"/>
  <c r="M2776" i="1"/>
  <c r="AH2643" i="1"/>
  <c r="AF2643" i="1"/>
  <c r="AE2643" i="1"/>
  <c r="AA2643" i="1"/>
  <c r="Z2643" i="1"/>
  <c r="AG2643" i="1" s="1"/>
  <c r="V2643" i="1"/>
  <c r="U2643" i="1"/>
  <c r="T2643" i="1"/>
  <c r="S2643" i="1"/>
  <c r="R2643" i="1"/>
  <c r="O2643" i="1"/>
  <c r="AD2643" i="1" s="1"/>
  <c r="M2643" i="1"/>
  <c r="AH2642" i="1"/>
  <c r="AE2642" i="1"/>
  <c r="AA2642" i="1"/>
  <c r="Z2642" i="1"/>
  <c r="AG2642" i="1" s="1"/>
  <c r="V2642" i="1"/>
  <c r="U2642" i="1"/>
  <c r="T2642" i="1"/>
  <c r="S2642" i="1"/>
  <c r="R2642" i="1"/>
  <c r="AF2642" i="1" s="1"/>
  <c r="O2642" i="1"/>
  <c r="AD2642" i="1" s="1"/>
  <c r="AI2642" i="1" s="1"/>
  <c r="M2642" i="1"/>
  <c r="AH2641" i="1"/>
  <c r="AG2641" i="1"/>
  <c r="AE2641" i="1"/>
  <c r="AA2641" i="1"/>
  <c r="Z2641" i="1"/>
  <c r="V2641" i="1"/>
  <c r="U2641" i="1"/>
  <c r="T2641" i="1"/>
  <c r="S2641" i="1"/>
  <c r="R2641" i="1"/>
  <c r="AF2641" i="1" s="1"/>
  <c r="O2641" i="1"/>
  <c r="AD2641" i="1" s="1"/>
  <c r="AI2641" i="1" s="1"/>
  <c r="M2641" i="1"/>
  <c r="AH2640" i="1"/>
  <c r="AG2640" i="1"/>
  <c r="AF2640" i="1"/>
  <c r="AE2640" i="1"/>
  <c r="AA2640" i="1"/>
  <c r="Z2640" i="1"/>
  <c r="V2640" i="1"/>
  <c r="U2640" i="1"/>
  <c r="T2640" i="1"/>
  <c r="S2640" i="1"/>
  <c r="R2640" i="1"/>
  <c r="O2640" i="1"/>
  <c r="AD2640" i="1" s="1"/>
  <c r="AI2640" i="1" s="1"/>
  <c r="M2640" i="1"/>
  <c r="AH2639" i="1"/>
  <c r="AF2639" i="1"/>
  <c r="AE2639" i="1"/>
  <c r="AA2639" i="1"/>
  <c r="Z2639" i="1"/>
  <c r="AG2639" i="1" s="1"/>
  <c r="V2639" i="1"/>
  <c r="U2639" i="1"/>
  <c r="T2639" i="1"/>
  <c r="S2639" i="1"/>
  <c r="R2639" i="1"/>
  <c r="O2639" i="1"/>
  <c r="AD2639" i="1" s="1"/>
  <c r="M2639" i="1"/>
  <c r="AH2638" i="1"/>
  <c r="AE2638" i="1"/>
  <c r="AA2638" i="1"/>
  <c r="Z2638" i="1"/>
  <c r="AG2638" i="1" s="1"/>
  <c r="V2638" i="1"/>
  <c r="U2638" i="1"/>
  <c r="T2638" i="1"/>
  <c r="S2638" i="1"/>
  <c r="R2638" i="1"/>
  <c r="AF2638" i="1" s="1"/>
  <c r="O2638" i="1"/>
  <c r="AD2638" i="1" s="1"/>
  <c r="AI2638" i="1" s="1"/>
  <c r="M2638" i="1"/>
  <c r="AH2637" i="1"/>
  <c r="AG2637" i="1"/>
  <c r="AE2637" i="1"/>
  <c r="AA2637" i="1"/>
  <c r="Z2637" i="1"/>
  <c r="V2637" i="1"/>
  <c r="U2637" i="1"/>
  <c r="T2637" i="1"/>
  <c r="S2637" i="1"/>
  <c r="R2637" i="1"/>
  <c r="AF2637" i="1" s="1"/>
  <c r="O2637" i="1"/>
  <c r="AD2637" i="1" s="1"/>
  <c r="AI2637" i="1" s="1"/>
  <c r="M2637" i="1"/>
  <c r="AH2636" i="1"/>
  <c r="AG2636" i="1"/>
  <c r="AF2636" i="1"/>
  <c r="AE2636" i="1"/>
  <c r="AA2636" i="1"/>
  <c r="Z2636" i="1"/>
  <c r="V2636" i="1"/>
  <c r="U2636" i="1"/>
  <c r="T2636" i="1"/>
  <c r="S2636" i="1"/>
  <c r="R2636" i="1"/>
  <c r="O2636" i="1"/>
  <c r="AD2636" i="1" s="1"/>
  <c r="AI2636" i="1" s="1"/>
  <c r="M2636" i="1"/>
  <c r="AH2635" i="1"/>
  <c r="AF2635" i="1"/>
  <c r="AE2635" i="1"/>
  <c r="AA2635" i="1"/>
  <c r="Z2635" i="1"/>
  <c r="AG2635" i="1" s="1"/>
  <c r="V2635" i="1"/>
  <c r="U2635" i="1"/>
  <c r="T2635" i="1"/>
  <c r="S2635" i="1"/>
  <c r="R2635" i="1"/>
  <c r="O2635" i="1"/>
  <c r="AD2635" i="1" s="1"/>
  <c r="M2635" i="1"/>
  <c r="AH2634" i="1"/>
  <c r="AE2634" i="1"/>
  <c r="AA2634" i="1"/>
  <c r="Z2634" i="1"/>
  <c r="AG2634" i="1" s="1"/>
  <c r="V2634" i="1"/>
  <c r="U2634" i="1"/>
  <c r="T2634" i="1"/>
  <c r="S2634" i="1"/>
  <c r="R2634" i="1"/>
  <c r="AF2634" i="1" s="1"/>
  <c r="O2634" i="1"/>
  <c r="AD2634" i="1" s="1"/>
  <c r="AI2634" i="1" s="1"/>
  <c r="M2634" i="1"/>
  <c r="AH2633" i="1"/>
  <c r="AG2633" i="1"/>
  <c r="AE2633" i="1"/>
  <c r="AA2633" i="1"/>
  <c r="Z2633" i="1"/>
  <c r="V2633" i="1"/>
  <c r="U2633" i="1"/>
  <c r="T2633" i="1"/>
  <c r="S2633" i="1"/>
  <c r="R2633" i="1"/>
  <c r="AF2633" i="1" s="1"/>
  <c r="O2633" i="1"/>
  <c r="AD2633" i="1" s="1"/>
  <c r="AI2633" i="1" s="1"/>
  <c r="M2633" i="1"/>
  <c r="AH2632" i="1"/>
  <c r="AG2632" i="1"/>
  <c r="AF2632" i="1"/>
  <c r="AE2632" i="1"/>
  <c r="AA2632" i="1"/>
  <c r="Z2632" i="1"/>
  <c r="V2632" i="1"/>
  <c r="U2632" i="1"/>
  <c r="T2632" i="1"/>
  <c r="S2632" i="1"/>
  <c r="R2632" i="1"/>
  <c r="O2632" i="1"/>
  <c r="AD2632" i="1" s="1"/>
  <c r="AI2632" i="1" s="1"/>
  <c r="M2632" i="1"/>
  <c r="AH2631" i="1"/>
  <c r="AF2631" i="1"/>
  <c r="AE2631" i="1"/>
  <c r="AA2631" i="1"/>
  <c r="Z2631" i="1"/>
  <c r="AG2631" i="1" s="1"/>
  <c r="V2631" i="1"/>
  <c r="U2631" i="1"/>
  <c r="T2631" i="1"/>
  <c r="S2631" i="1"/>
  <c r="R2631" i="1"/>
  <c r="O2631" i="1"/>
  <c r="AD2631" i="1" s="1"/>
  <c r="M2631" i="1"/>
  <c r="AH2630" i="1"/>
  <c r="AE2630" i="1"/>
  <c r="AA2630" i="1"/>
  <c r="Z2630" i="1"/>
  <c r="AG2630" i="1" s="1"/>
  <c r="V2630" i="1"/>
  <c r="U2630" i="1"/>
  <c r="T2630" i="1"/>
  <c r="S2630" i="1"/>
  <c r="R2630" i="1"/>
  <c r="AF2630" i="1" s="1"/>
  <c r="O2630" i="1"/>
  <c r="AD2630" i="1" s="1"/>
  <c r="AI2630" i="1" s="1"/>
  <c r="M2630" i="1"/>
  <c r="AH2629" i="1"/>
  <c r="AG2629" i="1"/>
  <c r="AE2629" i="1"/>
  <c r="AA2629" i="1"/>
  <c r="Z2629" i="1"/>
  <c r="V2629" i="1"/>
  <c r="U2629" i="1"/>
  <c r="T2629" i="1"/>
  <c r="S2629" i="1"/>
  <c r="R2629" i="1"/>
  <c r="AF2629" i="1" s="1"/>
  <c r="O2629" i="1"/>
  <c r="AD2629" i="1" s="1"/>
  <c r="AI2629" i="1" s="1"/>
  <c r="M2629" i="1"/>
  <c r="AH2628" i="1"/>
  <c r="AG2628" i="1"/>
  <c r="AF2628" i="1"/>
  <c r="AE2628" i="1"/>
  <c r="AA2628" i="1"/>
  <c r="Z2628" i="1"/>
  <c r="V2628" i="1"/>
  <c r="U2628" i="1"/>
  <c r="T2628" i="1"/>
  <c r="S2628" i="1"/>
  <c r="R2628" i="1"/>
  <c r="O2628" i="1"/>
  <c r="AD2628" i="1" s="1"/>
  <c r="AI2628" i="1" s="1"/>
  <c r="M2628" i="1"/>
  <c r="AH2627" i="1"/>
  <c r="AF2627" i="1"/>
  <c r="AE2627" i="1"/>
  <c r="AA2627" i="1"/>
  <c r="Z2627" i="1"/>
  <c r="AG2627" i="1" s="1"/>
  <c r="V2627" i="1"/>
  <c r="U2627" i="1"/>
  <c r="T2627" i="1"/>
  <c r="S2627" i="1"/>
  <c r="R2627" i="1"/>
  <c r="O2627" i="1"/>
  <c r="AD2627" i="1" s="1"/>
  <c r="M2627" i="1"/>
  <c r="AH2626" i="1"/>
  <c r="AE2626" i="1"/>
  <c r="AA2626" i="1"/>
  <c r="Z2626" i="1"/>
  <c r="AG2626" i="1" s="1"/>
  <c r="V2626" i="1"/>
  <c r="U2626" i="1"/>
  <c r="T2626" i="1"/>
  <c r="S2626" i="1"/>
  <c r="R2626" i="1"/>
  <c r="AF2626" i="1" s="1"/>
  <c r="O2626" i="1"/>
  <c r="AD2626" i="1" s="1"/>
  <c r="M2626" i="1"/>
  <c r="AH2625" i="1"/>
  <c r="AG2625" i="1"/>
  <c r="AE2625" i="1"/>
  <c r="AA2625" i="1"/>
  <c r="Z2625" i="1"/>
  <c r="V2625" i="1"/>
  <c r="U2625" i="1"/>
  <c r="T2625" i="1"/>
  <c r="S2625" i="1"/>
  <c r="R2625" i="1"/>
  <c r="AF2625" i="1" s="1"/>
  <c r="O2625" i="1"/>
  <c r="AD2625" i="1" s="1"/>
  <c r="AI2625" i="1" s="1"/>
  <c r="M2625" i="1"/>
  <c r="AH2624" i="1"/>
  <c r="AG2624" i="1"/>
  <c r="AF2624" i="1"/>
  <c r="AE2624" i="1"/>
  <c r="AA2624" i="1"/>
  <c r="Z2624" i="1"/>
  <c r="V2624" i="1"/>
  <c r="U2624" i="1"/>
  <c r="T2624" i="1"/>
  <c r="S2624" i="1"/>
  <c r="R2624" i="1"/>
  <c r="O2624" i="1"/>
  <c r="AD2624" i="1" s="1"/>
  <c r="AI2624" i="1" s="1"/>
  <c r="M2624" i="1"/>
  <c r="AH2623" i="1"/>
  <c r="AF2623" i="1"/>
  <c r="AE2623" i="1"/>
  <c r="AA2623" i="1"/>
  <c r="Z2623" i="1"/>
  <c r="AG2623" i="1" s="1"/>
  <c r="V2623" i="1"/>
  <c r="U2623" i="1"/>
  <c r="T2623" i="1"/>
  <c r="S2623" i="1"/>
  <c r="R2623" i="1"/>
  <c r="O2623" i="1"/>
  <c r="AD2623" i="1" s="1"/>
  <c r="M2623" i="1"/>
  <c r="AH2622" i="1"/>
  <c r="AE2622" i="1"/>
  <c r="AA2622" i="1"/>
  <c r="Z2622" i="1"/>
  <c r="AG2622" i="1" s="1"/>
  <c r="V2622" i="1"/>
  <c r="U2622" i="1"/>
  <c r="T2622" i="1"/>
  <c r="S2622" i="1"/>
  <c r="R2622" i="1"/>
  <c r="AF2622" i="1" s="1"/>
  <c r="O2622" i="1"/>
  <c r="AD2622" i="1" s="1"/>
  <c r="M2622" i="1"/>
  <c r="AH2621" i="1"/>
  <c r="AG2621" i="1"/>
  <c r="AE2621" i="1"/>
  <c r="AA2621" i="1"/>
  <c r="Z2621" i="1"/>
  <c r="V2621" i="1"/>
  <c r="U2621" i="1"/>
  <c r="T2621" i="1"/>
  <c r="S2621" i="1"/>
  <c r="R2621" i="1"/>
  <c r="AF2621" i="1" s="1"/>
  <c r="O2621" i="1"/>
  <c r="AD2621" i="1" s="1"/>
  <c r="AI2621" i="1" s="1"/>
  <c r="M2621" i="1"/>
  <c r="AH2620" i="1"/>
  <c r="AG2620" i="1"/>
  <c r="AF2620" i="1"/>
  <c r="AE2620" i="1"/>
  <c r="AA2620" i="1"/>
  <c r="Z2620" i="1"/>
  <c r="V2620" i="1"/>
  <c r="U2620" i="1"/>
  <c r="T2620" i="1"/>
  <c r="S2620" i="1"/>
  <c r="R2620" i="1"/>
  <c r="O2620" i="1"/>
  <c r="AD2620" i="1" s="1"/>
  <c r="AI2620" i="1" s="1"/>
  <c r="M2620" i="1"/>
  <c r="AH2619" i="1"/>
  <c r="AF2619" i="1"/>
  <c r="AE2619" i="1"/>
  <c r="AA2619" i="1"/>
  <c r="Z2619" i="1"/>
  <c r="AG2619" i="1" s="1"/>
  <c r="V2619" i="1"/>
  <c r="U2619" i="1"/>
  <c r="T2619" i="1"/>
  <c r="S2619" i="1"/>
  <c r="R2619" i="1"/>
  <c r="O2619" i="1"/>
  <c r="AD2619" i="1" s="1"/>
  <c r="M2619" i="1"/>
  <c r="AH2618" i="1"/>
  <c r="AE2618" i="1"/>
  <c r="AA2618" i="1"/>
  <c r="Z2618" i="1"/>
  <c r="AG2618" i="1" s="1"/>
  <c r="V2618" i="1"/>
  <c r="U2618" i="1"/>
  <c r="T2618" i="1"/>
  <c r="S2618" i="1"/>
  <c r="R2618" i="1"/>
  <c r="AF2618" i="1" s="1"/>
  <c r="O2618" i="1"/>
  <c r="AD2618" i="1" s="1"/>
  <c r="AI2618" i="1" s="1"/>
  <c r="M2618" i="1"/>
  <c r="AH2617" i="1"/>
  <c r="AG2617" i="1"/>
  <c r="AE2617" i="1"/>
  <c r="AA2617" i="1"/>
  <c r="Z2617" i="1"/>
  <c r="V2617" i="1"/>
  <c r="U2617" i="1"/>
  <c r="T2617" i="1"/>
  <c r="S2617" i="1"/>
  <c r="R2617" i="1"/>
  <c r="AF2617" i="1" s="1"/>
  <c r="O2617" i="1"/>
  <c r="AD2617" i="1" s="1"/>
  <c r="AI2617" i="1" s="1"/>
  <c r="M2617" i="1"/>
  <c r="AH2616" i="1"/>
  <c r="AG2616" i="1"/>
  <c r="AF2616" i="1"/>
  <c r="AE2616" i="1"/>
  <c r="AA2616" i="1"/>
  <c r="Z2616" i="1"/>
  <c r="V2616" i="1"/>
  <c r="U2616" i="1"/>
  <c r="T2616" i="1"/>
  <c r="S2616" i="1"/>
  <c r="R2616" i="1"/>
  <c r="O2616" i="1"/>
  <c r="AD2616" i="1" s="1"/>
  <c r="AI2616" i="1" s="1"/>
  <c r="M2616" i="1"/>
  <c r="AH2615" i="1"/>
  <c r="AF2615" i="1"/>
  <c r="AE2615" i="1"/>
  <c r="AA2615" i="1"/>
  <c r="Z2615" i="1"/>
  <c r="AG2615" i="1" s="1"/>
  <c r="V2615" i="1"/>
  <c r="U2615" i="1"/>
  <c r="T2615" i="1"/>
  <c r="S2615" i="1"/>
  <c r="R2615" i="1"/>
  <c r="O2615" i="1"/>
  <c r="AD2615" i="1" s="1"/>
  <c r="M2615" i="1"/>
  <c r="AH2614" i="1"/>
  <c r="AE2614" i="1"/>
  <c r="AA2614" i="1"/>
  <c r="Z2614" i="1"/>
  <c r="AG2614" i="1" s="1"/>
  <c r="U2614" i="1"/>
  <c r="T2614" i="1"/>
  <c r="S2614" i="1"/>
  <c r="R2614" i="1"/>
  <c r="AF2614" i="1" s="1"/>
  <c r="O2614" i="1"/>
  <c r="AD2614" i="1" s="1"/>
  <c r="AI2614" i="1" s="1"/>
  <c r="M2614" i="1"/>
  <c r="K2614" i="1"/>
  <c r="V2614" i="1" s="1"/>
  <c r="AH2613" i="1"/>
  <c r="AE2613" i="1"/>
  <c r="AA2613" i="1"/>
  <c r="Z2613" i="1"/>
  <c r="AG2613" i="1" s="1"/>
  <c r="U2613" i="1"/>
  <c r="T2613" i="1"/>
  <c r="S2613" i="1"/>
  <c r="R2613" i="1"/>
  <c r="AF2613" i="1" s="1"/>
  <c r="O2613" i="1"/>
  <c r="AD2613" i="1" s="1"/>
  <c r="M2613" i="1"/>
  <c r="K2613" i="1"/>
  <c r="V2613" i="1" s="1"/>
  <c r="AH2612" i="1"/>
  <c r="AE2612" i="1"/>
  <c r="AA2612" i="1"/>
  <c r="Z2612" i="1"/>
  <c r="AG2612" i="1" s="1"/>
  <c r="U2612" i="1"/>
  <c r="T2612" i="1"/>
  <c r="S2612" i="1"/>
  <c r="R2612" i="1"/>
  <c r="AF2612" i="1" s="1"/>
  <c r="O2612" i="1"/>
  <c r="AD2612" i="1" s="1"/>
  <c r="AI2612" i="1" s="1"/>
  <c r="M2612" i="1"/>
  <c r="K2612" i="1"/>
  <c r="V2612" i="1" s="1"/>
  <c r="AH2611" i="1"/>
  <c r="AE2611" i="1"/>
  <c r="AA2611" i="1"/>
  <c r="Z2611" i="1"/>
  <c r="AG2611" i="1" s="1"/>
  <c r="V2611" i="1"/>
  <c r="U2611" i="1"/>
  <c r="T2611" i="1"/>
  <c r="S2611" i="1"/>
  <c r="R2611" i="1"/>
  <c r="AF2611" i="1" s="1"/>
  <c r="O2611" i="1"/>
  <c r="AD2611" i="1" s="1"/>
  <c r="AI2611" i="1" s="1"/>
  <c r="M2611" i="1"/>
  <c r="AH2610" i="1"/>
  <c r="AG2610" i="1"/>
  <c r="AE2610" i="1"/>
  <c r="AA2610" i="1"/>
  <c r="Z2610" i="1"/>
  <c r="V2610" i="1"/>
  <c r="U2610" i="1"/>
  <c r="T2610" i="1"/>
  <c r="S2610" i="1"/>
  <c r="R2610" i="1"/>
  <c r="AF2610" i="1" s="1"/>
  <c r="O2610" i="1"/>
  <c r="AD2610" i="1" s="1"/>
  <c r="AI2610" i="1" s="1"/>
  <c r="M2610" i="1"/>
  <c r="AH2609" i="1"/>
  <c r="AG2609" i="1"/>
  <c r="AF2609" i="1"/>
  <c r="AE2609" i="1"/>
  <c r="AA2609" i="1"/>
  <c r="Z2609" i="1"/>
  <c r="V2609" i="1"/>
  <c r="U2609" i="1"/>
  <c r="T2609" i="1"/>
  <c r="S2609" i="1"/>
  <c r="R2609" i="1"/>
  <c r="O2609" i="1"/>
  <c r="AD2609" i="1" s="1"/>
  <c r="AI2609" i="1" s="1"/>
  <c r="M2609" i="1"/>
  <c r="AH2608" i="1"/>
  <c r="AF2608" i="1"/>
  <c r="AE2608" i="1"/>
  <c r="AA2608" i="1"/>
  <c r="Z2608" i="1"/>
  <c r="AG2608" i="1" s="1"/>
  <c r="V2608" i="1"/>
  <c r="U2608" i="1"/>
  <c r="T2608" i="1"/>
  <c r="S2608" i="1"/>
  <c r="R2608" i="1"/>
  <c r="O2608" i="1"/>
  <c r="AD2608" i="1" s="1"/>
  <c r="M2608" i="1"/>
  <c r="AH2607" i="1"/>
  <c r="AE2607" i="1"/>
  <c r="AA2607" i="1"/>
  <c r="Z2607" i="1"/>
  <c r="AG2607" i="1" s="1"/>
  <c r="V2607" i="1"/>
  <c r="U2607" i="1"/>
  <c r="T2607" i="1"/>
  <c r="S2607" i="1"/>
  <c r="R2607" i="1"/>
  <c r="AF2607" i="1" s="1"/>
  <c r="O2607" i="1"/>
  <c r="AD2607" i="1" s="1"/>
  <c r="AI2607" i="1" s="1"/>
  <c r="M2607" i="1"/>
  <c r="AH2606" i="1"/>
  <c r="AG2606" i="1"/>
  <c r="AE2606" i="1"/>
  <c r="AA2606" i="1"/>
  <c r="Z2606" i="1"/>
  <c r="V2606" i="1"/>
  <c r="U2606" i="1"/>
  <c r="T2606" i="1"/>
  <c r="S2606" i="1"/>
  <c r="R2606" i="1"/>
  <c r="AF2606" i="1" s="1"/>
  <c r="O2606" i="1"/>
  <c r="AD2606" i="1" s="1"/>
  <c r="AI2606" i="1" s="1"/>
  <c r="M2606" i="1"/>
  <c r="AH2605" i="1"/>
  <c r="AG2605" i="1"/>
  <c r="AE2605" i="1"/>
  <c r="AA2605" i="1"/>
  <c r="Z2605" i="1"/>
  <c r="V2605" i="1"/>
  <c r="U2605" i="1"/>
  <c r="T2605" i="1"/>
  <c r="S2605" i="1"/>
  <c r="R2605" i="1"/>
  <c r="AF2605" i="1" s="1"/>
  <c r="O2605" i="1"/>
  <c r="AD2605" i="1" s="1"/>
  <c r="M2605" i="1"/>
  <c r="AH2604" i="1"/>
  <c r="AF2604" i="1"/>
  <c r="AE2604" i="1"/>
  <c r="AA2604" i="1"/>
  <c r="Z2604" i="1"/>
  <c r="AG2604" i="1" s="1"/>
  <c r="V2604" i="1"/>
  <c r="U2604" i="1"/>
  <c r="T2604" i="1"/>
  <c r="S2604" i="1"/>
  <c r="R2604" i="1"/>
  <c r="O2604" i="1"/>
  <c r="AD2604" i="1" s="1"/>
  <c r="M2604" i="1"/>
  <c r="AI2603" i="1"/>
  <c r="AH2603" i="1"/>
  <c r="AE2603" i="1"/>
  <c r="AA2603" i="1"/>
  <c r="Z2603" i="1"/>
  <c r="AG2603" i="1" s="1"/>
  <c r="V2603" i="1"/>
  <c r="U2603" i="1"/>
  <c r="T2603" i="1"/>
  <c r="S2603" i="1"/>
  <c r="R2603" i="1"/>
  <c r="AF2603" i="1" s="1"/>
  <c r="O2603" i="1"/>
  <c r="AD2603" i="1" s="1"/>
  <c r="M2603" i="1"/>
  <c r="AH2602" i="1"/>
  <c r="AE2602" i="1"/>
  <c r="AA2602" i="1"/>
  <c r="Z2602" i="1"/>
  <c r="AG2602" i="1" s="1"/>
  <c r="V2602" i="1"/>
  <c r="U2602" i="1"/>
  <c r="T2602" i="1"/>
  <c r="S2602" i="1"/>
  <c r="R2602" i="1"/>
  <c r="AF2602" i="1" s="1"/>
  <c r="O2602" i="1"/>
  <c r="AD2602" i="1" s="1"/>
  <c r="AI2602" i="1" s="1"/>
  <c r="M2602" i="1"/>
  <c r="AH2601" i="1"/>
  <c r="AG2601" i="1"/>
  <c r="AE2601" i="1"/>
  <c r="AA2601" i="1"/>
  <c r="Z2601" i="1"/>
  <c r="V2601" i="1"/>
  <c r="U2601" i="1"/>
  <c r="T2601" i="1"/>
  <c r="S2601" i="1"/>
  <c r="R2601" i="1"/>
  <c r="AF2601" i="1" s="1"/>
  <c r="O2601" i="1"/>
  <c r="AD2601" i="1" s="1"/>
  <c r="AI2601" i="1" s="1"/>
  <c r="M2601" i="1"/>
  <c r="AH2600" i="1"/>
  <c r="AF2600" i="1"/>
  <c r="AE2600" i="1"/>
  <c r="AA2600" i="1"/>
  <c r="Z2600" i="1"/>
  <c r="AG2600" i="1" s="1"/>
  <c r="V2600" i="1"/>
  <c r="U2600" i="1"/>
  <c r="T2600" i="1"/>
  <c r="S2600" i="1"/>
  <c r="R2600" i="1"/>
  <c r="O2600" i="1"/>
  <c r="AD2600" i="1" s="1"/>
  <c r="M2600" i="1"/>
  <c r="AH2599" i="1"/>
  <c r="AE2599" i="1"/>
  <c r="AA2599" i="1"/>
  <c r="Z2599" i="1"/>
  <c r="AG2599" i="1" s="1"/>
  <c r="V2599" i="1"/>
  <c r="U2599" i="1"/>
  <c r="T2599" i="1"/>
  <c r="S2599" i="1"/>
  <c r="R2599" i="1"/>
  <c r="AF2599" i="1" s="1"/>
  <c r="AI2599" i="1" s="1"/>
  <c r="O2599" i="1"/>
  <c r="AD2599" i="1" s="1"/>
  <c r="M2599" i="1"/>
  <c r="AH2598" i="1"/>
  <c r="AG2598" i="1"/>
  <c r="AE2598" i="1"/>
  <c r="AA2598" i="1"/>
  <c r="Z2598" i="1"/>
  <c r="V2598" i="1"/>
  <c r="U2598" i="1"/>
  <c r="T2598" i="1"/>
  <c r="S2598" i="1"/>
  <c r="R2598" i="1"/>
  <c r="AF2598" i="1" s="1"/>
  <c r="O2598" i="1"/>
  <c r="AD2598" i="1" s="1"/>
  <c r="M2598" i="1"/>
  <c r="AH2597" i="1"/>
  <c r="AG2597" i="1"/>
  <c r="AF2597" i="1"/>
  <c r="AE2597" i="1"/>
  <c r="AA2597" i="1"/>
  <c r="Z2597" i="1"/>
  <c r="V2597" i="1"/>
  <c r="U2597" i="1"/>
  <c r="T2597" i="1"/>
  <c r="S2597" i="1"/>
  <c r="R2597" i="1"/>
  <c r="O2597" i="1"/>
  <c r="AD2597" i="1" s="1"/>
  <c r="M2597" i="1"/>
  <c r="AH2596" i="1"/>
  <c r="AF2596" i="1"/>
  <c r="AE2596" i="1"/>
  <c r="AA2596" i="1"/>
  <c r="Z2596" i="1"/>
  <c r="AG2596" i="1" s="1"/>
  <c r="V2596" i="1"/>
  <c r="U2596" i="1"/>
  <c r="T2596" i="1"/>
  <c r="S2596" i="1"/>
  <c r="R2596" i="1"/>
  <c r="O2596" i="1"/>
  <c r="AD2596" i="1" s="1"/>
  <c r="M2596" i="1"/>
  <c r="AH2595" i="1"/>
  <c r="AE2595" i="1"/>
  <c r="AA2595" i="1"/>
  <c r="Z2595" i="1"/>
  <c r="AG2595" i="1" s="1"/>
  <c r="V2595" i="1"/>
  <c r="U2595" i="1"/>
  <c r="T2595" i="1"/>
  <c r="S2595" i="1"/>
  <c r="R2595" i="1"/>
  <c r="AF2595" i="1" s="1"/>
  <c r="O2595" i="1"/>
  <c r="AD2595" i="1" s="1"/>
  <c r="M2595" i="1"/>
  <c r="AH2594" i="1"/>
  <c r="AG2594" i="1"/>
  <c r="AE2594" i="1"/>
  <c r="AA2594" i="1"/>
  <c r="Z2594" i="1"/>
  <c r="V2594" i="1"/>
  <c r="U2594" i="1"/>
  <c r="T2594" i="1"/>
  <c r="S2594" i="1"/>
  <c r="R2594" i="1"/>
  <c r="AF2594" i="1" s="1"/>
  <c r="O2594" i="1"/>
  <c r="AD2594" i="1" s="1"/>
  <c r="M2594" i="1"/>
  <c r="AH2593" i="1"/>
  <c r="AG2593" i="1"/>
  <c r="AF2593" i="1"/>
  <c r="AE2593" i="1"/>
  <c r="AA2593" i="1"/>
  <c r="Z2593" i="1"/>
  <c r="V2593" i="1"/>
  <c r="U2593" i="1"/>
  <c r="T2593" i="1"/>
  <c r="S2593" i="1"/>
  <c r="R2593" i="1"/>
  <c r="O2593" i="1"/>
  <c r="AD2593" i="1" s="1"/>
  <c r="AI2593" i="1" s="1"/>
  <c r="M2593" i="1"/>
  <c r="AH2592" i="1"/>
  <c r="AF2592" i="1"/>
  <c r="AE2592" i="1"/>
  <c r="AA2592" i="1"/>
  <c r="Z2592" i="1"/>
  <c r="AG2592" i="1" s="1"/>
  <c r="V2592" i="1"/>
  <c r="U2592" i="1"/>
  <c r="T2592" i="1"/>
  <c r="S2592" i="1"/>
  <c r="R2592" i="1"/>
  <c r="O2592" i="1"/>
  <c r="AD2592" i="1" s="1"/>
  <c r="M2592" i="1"/>
  <c r="AH2591" i="1"/>
  <c r="AE2591" i="1"/>
  <c r="AA2591" i="1"/>
  <c r="Z2591" i="1"/>
  <c r="AG2591" i="1" s="1"/>
  <c r="V2591" i="1"/>
  <c r="U2591" i="1"/>
  <c r="T2591" i="1"/>
  <c r="S2591" i="1"/>
  <c r="R2591" i="1"/>
  <c r="AF2591" i="1" s="1"/>
  <c r="AI2591" i="1" s="1"/>
  <c r="O2591" i="1"/>
  <c r="AD2591" i="1" s="1"/>
  <c r="M2591" i="1"/>
  <c r="AH2590" i="1"/>
  <c r="AG2590" i="1"/>
  <c r="AE2590" i="1"/>
  <c r="AA2590" i="1"/>
  <c r="Z2590" i="1"/>
  <c r="V2590" i="1"/>
  <c r="U2590" i="1"/>
  <c r="T2590" i="1"/>
  <c r="S2590" i="1"/>
  <c r="R2590" i="1"/>
  <c r="AF2590" i="1" s="1"/>
  <c r="O2590" i="1"/>
  <c r="AD2590" i="1" s="1"/>
  <c r="AI2590" i="1" s="1"/>
  <c r="M2590" i="1"/>
  <c r="AH2589" i="1"/>
  <c r="AG2589" i="1"/>
  <c r="AF2589" i="1"/>
  <c r="AE2589" i="1"/>
  <c r="AA2589" i="1"/>
  <c r="Z2589" i="1"/>
  <c r="V2589" i="1"/>
  <c r="U2589" i="1"/>
  <c r="T2589" i="1"/>
  <c r="S2589" i="1"/>
  <c r="R2589" i="1"/>
  <c r="O2589" i="1"/>
  <c r="AD2589" i="1" s="1"/>
  <c r="AI2589" i="1" s="1"/>
  <c r="M2589" i="1"/>
  <c r="AH2588" i="1"/>
  <c r="AF2588" i="1"/>
  <c r="AE2588" i="1"/>
  <c r="AA2588" i="1"/>
  <c r="Z2588" i="1"/>
  <c r="AG2588" i="1" s="1"/>
  <c r="V2588" i="1"/>
  <c r="U2588" i="1"/>
  <c r="T2588" i="1"/>
  <c r="S2588" i="1"/>
  <c r="R2588" i="1"/>
  <c r="O2588" i="1"/>
  <c r="AD2588" i="1" s="1"/>
  <c r="AI2588" i="1" s="1"/>
  <c r="M2588" i="1"/>
  <c r="AH2587" i="1"/>
  <c r="AE2587" i="1"/>
  <c r="AA2587" i="1"/>
  <c r="Z2587" i="1"/>
  <c r="AG2587" i="1" s="1"/>
  <c r="V2587" i="1"/>
  <c r="U2587" i="1"/>
  <c r="T2587" i="1"/>
  <c r="S2587" i="1"/>
  <c r="R2587" i="1"/>
  <c r="AF2587" i="1" s="1"/>
  <c r="O2587" i="1"/>
  <c r="AD2587" i="1" s="1"/>
  <c r="AI2587" i="1" s="1"/>
  <c r="M2587" i="1"/>
  <c r="AH2586" i="1"/>
  <c r="AG2586" i="1"/>
  <c r="AE2586" i="1"/>
  <c r="AA2586" i="1"/>
  <c r="Z2586" i="1"/>
  <c r="V2586" i="1"/>
  <c r="U2586" i="1"/>
  <c r="T2586" i="1"/>
  <c r="S2586" i="1"/>
  <c r="R2586" i="1"/>
  <c r="AF2586" i="1" s="1"/>
  <c r="O2586" i="1"/>
  <c r="AD2586" i="1" s="1"/>
  <c r="AI2586" i="1" s="1"/>
  <c r="M2586" i="1"/>
  <c r="AH2585" i="1"/>
  <c r="AG2585" i="1"/>
  <c r="AF2585" i="1"/>
  <c r="AE2585" i="1"/>
  <c r="AA2585" i="1"/>
  <c r="Z2585" i="1"/>
  <c r="V2585" i="1"/>
  <c r="U2585" i="1"/>
  <c r="T2585" i="1"/>
  <c r="S2585" i="1"/>
  <c r="R2585" i="1"/>
  <c r="O2585" i="1"/>
  <c r="AD2585" i="1" s="1"/>
  <c r="AI2585" i="1" s="1"/>
  <c r="M2585" i="1"/>
  <c r="AH2584" i="1"/>
  <c r="AF2584" i="1"/>
  <c r="AE2584" i="1"/>
  <c r="AA2584" i="1"/>
  <c r="Z2584" i="1"/>
  <c r="AG2584" i="1" s="1"/>
  <c r="V2584" i="1"/>
  <c r="U2584" i="1"/>
  <c r="T2584" i="1"/>
  <c r="S2584" i="1"/>
  <c r="R2584" i="1"/>
  <c r="O2584" i="1"/>
  <c r="AD2584" i="1" s="1"/>
  <c r="M2584" i="1"/>
  <c r="AH2583" i="1"/>
  <c r="AE2583" i="1"/>
  <c r="AA2583" i="1"/>
  <c r="Z2583" i="1"/>
  <c r="AG2583" i="1" s="1"/>
  <c r="AI2583" i="1" s="1"/>
  <c r="V2583" i="1"/>
  <c r="U2583" i="1"/>
  <c r="T2583" i="1"/>
  <c r="S2583" i="1"/>
  <c r="R2583" i="1"/>
  <c r="AF2583" i="1" s="1"/>
  <c r="O2583" i="1"/>
  <c r="AD2583" i="1" s="1"/>
  <c r="M2583" i="1"/>
  <c r="AH2582" i="1"/>
  <c r="AG2582" i="1"/>
  <c r="AE2582" i="1"/>
  <c r="AA2582" i="1"/>
  <c r="Z2582" i="1"/>
  <c r="V2582" i="1"/>
  <c r="U2582" i="1"/>
  <c r="T2582" i="1"/>
  <c r="S2582" i="1"/>
  <c r="R2582" i="1"/>
  <c r="AF2582" i="1" s="1"/>
  <c r="O2582" i="1"/>
  <c r="AD2582" i="1" s="1"/>
  <c r="AI2582" i="1" s="1"/>
  <c r="M2582" i="1"/>
  <c r="AH2581" i="1"/>
  <c r="AG2581" i="1"/>
  <c r="AF2581" i="1"/>
  <c r="AE2581" i="1"/>
  <c r="AA2581" i="1"/>
  <c r="Z2581" i="1"/>
  <c r="V2581" i="1"/>
  <c r="U2581" i="1"/>
  <c r="T2581" i="1"/>
  <c r="S2581" i="1"/>
  <c r="R2581" i="1"/>
  <c r="O2581" i="1"/>
  <c r="AD2581" i="1" s="1"/>
  <c r="M2581" i="1"/>
  <c r="AH2580" i="1"/>
  <c r="AF2580" i="1"/>
  <c r="AE2580" i="1"/>
  <c r="AA2580" i="1"/>
  <c r="Z2580" i="1"/>
  <c r="AG2580" i="1" s="1"/>
  <c r="V2580" i="1"/>
  <c r="U2580" i="1"/>
  <c r="T2580" i="1"/>
  <c r="S2580" i="1"/>
  <c r="R2580" i="1"/>
  <c r="O2580" i="1"/>
  <c r="AD2580" i="1" s="1"/>
  <c r="M2580" i="1"/>
  <c r="AH2579" i="1"/>
  <c r="AE2579" i="1"/>
  <c r="AA2579" i="1"/>
  <c r="Z2579" i="1"/>
  <c r="AG2579" i="1" s="1"/>
  <c r="V2579" i="1"/>
  <c r="U2579" i="1"/>
  <c r="T2579" i="1"/>
  <c r="S2579" i="1"/>
  <c r="R2579" i="1"/>
  <c r="AF2579" i="1" s="1"/>
  <c r="O2579" i="1"/>
  <c r="AD2579" i="1" s="1"/>
  <c r="M2579" i="1"/>
  <c r="AH2578" i="1"/>
  <c r="AG2578" i="1"/>
  <c r="AE2578" i="1"/>
  <c r="AA2578" i="1"/>
  <c r="Z2578" i="1"/>
  <c r="V2578" i="1"/>
  <c r="U2578" i="1"/>
  <c r="T2578" i="1"/>
  <c r="S2578" i="1"/>
  <c r="R2578" i="1"/>
  <c r="AF2578" i="1" s="1"/>
  <c r="O2578" i="1"/>
  <c r="AD2578" i="1" s="1"/>
  <c r="M2578" i="1"/>
  <c r="AH2577" i="1"/>
  <c r="AG2577" i="1"/>
  <c r="AF2577" i="1"/>
  <c r="AE2577" i="1"/>
  <c r="AA2577" i="1"/>
  <c r="Z2577" i="1"/>
  <c r="V2577" i="1"/>
  <c r="U2577" i="1"/>
  <c r="T2577" i="1"/>
  <c r="S2577" i="1"/>
  <c r="R2577" i="1"/>
  <c r="O2577" i="1"/>
  <c r="AD2577" i="1" s="1"/>
  <c r="AI2577" i="1" s="1"/>
  <c r="M2577" i="1"/>
  <c r="AH2576" i="1"/>
  <c r="AF2576" i="1"/>
  <c r="AE2576" i="1"/>
  <c r="AA2576" i="1"/>
  <c r="Z2576" i="1"/>
  <c r="AG2576" i="1" s="1"/>
  <c r="V2576" i="1"/>
  <c r="U2576" i="1"/>
  <c r="T2576" i="1"/>
  <c r="S2576" i="1"/>
  <c r="R2576" i="1"/>
  <c r="O2576" i="1"/>
  <c r="AD2576" i="1" s="1"/>
  <c r="M2576" i="1"/>
  <c r="AH2575" i="1"/>
  <c r="AE2575" i="1"/>
  <c r="AA2575" i="1"/>
  <c r="Z2575" i="1"/>
  <c r="AG2575" i="1" s="1"/>
  <c r="V2575" i="1"/>
  <c r="U2575" i="1"/>
  <c r="T2575" i="1"/>
  <c r="S2575" i="1"/>
  <c r="R2575" i="1"/>
  <c r="AF2575" i="1" s="1"/>
  <c r="AI2575" i="1" s="1"/>
  <c r="O2575" i="1"/>
  <c r="AD2575" i="1" s="1"/>
  <c r="M2575" i="1"/>
  <c r="AH2574" i="1"/>
  <c r="AG2574" i="1"/>
  <c r="AE2574" i="1"/>
  <c r="AA2574" i="1"/>
  <c r="Z2574" i="1"/>
  <c r="V2574" i="1"/>
  <c r="U2574" i="1"/>
  <c r="T2574" i="1"/>
  <c r="S2574" i="1"/>
  <c r="R2574" i="1"/>
  <c r="AF2574" i="1" s="1"/>
  <c r="O2574" i="1"/>
  <c r="AD2574" i="1" s="1"/>
  <c r="AI2574" i="1" s="1"/>
  <c r="M2574" i="1"/>
  <c r="AH2573" i="1"/>
  <c r="AG2573" i="1"/>
  <c r="AF2573" i="1"/>
  <c r="AE2573" i="1"/>
  <c r="AA2573" i="1"/>
  <c r="Z2573" i="1"/>
  <c r="V2573" i="1"/>
  <c r="U2573" i="1"/>
  <c r="T2573" i="1"/>
  <c r="S2573" i="1"/>
  <c r="R2573" i="1"/>
  <c r="O2573" i="1"/>
  <c r="AD2573" i="1" s="1"/>
  <c r="AI2573" i="1" s="1"/>
  <c r="M2573" i="1"/>
  <c r="AH2572" i="1"/>
  <c r="AF2572" i="1"/>
  <c r="AE2572" i="1"/>
  <c r="AA2572" i="1"/>
  <c r="Z2572" i="1"/>
  <c r="AG2572" i="1" s="1"/>
  <c r="V2572" i="1"/>
  <c r="U2572" i="1"/>
  <c r="T2572" i="1"/>
  <c r="S2572" i="1"/>
  <c r="R2572" i="1"/>
  <c r="O2572" i="1"/>
  <c r="AD2572" i="1" s="1"/>
  <c r="AI2572" i="1" s="1"/>
  <c r="M2572" i="1"/>
  <c r="AH2571" i="1"/>
  <c r="AE2571" i="1"/>
  <c r="AA2571" i="1"/>
  <c r="Z2571" i="1"/>
  <c r="AG2571" i="1" s="1"/>
  <c r="V2571" i="1"/>
  <c r="U2571" i="1"/>
  <c r="T2571" i="1"/>
  <c r="S2571" i="1"/>
  <c r="R2571" i="1"/>
  <c r="AF2571" i="1" s="1"/>
  <c r="O2571" i="1"/>
  <c r="AD2571" i="1" s="1"/>
  <c r="M2571" i="1"/>
  <c r="AH2570" i="1"/>
  <c r="AG2570" i="1"/>
  <c r="AE2570" i="1"/>
  <c r="AA2570" i="1"/>
  <c r="Z2570" i="1"/>
  <c r="V2570" i="1"/>
  <c r="U2570" i="1"/>
  <c r="T2570" i="1"/>
  <c r="S2570" i="1"/>
  <c r="R2570" i="1"/>
  <c r="AF2570" i="1" s="1"/>
  <c r="O2570" i="1"/>
  <c r="AD2570" i="1" s="1"/>
  <c r="AI2570" i="1" s="1"/>
  <c r="M2570" i="1"/>
  <c r="AH2569" i="1"/>
  <c r="AG2569" i="1"/>
  <c r="AF2569" i="1"/>
  <c r="AE2569" i="1"/>
  <c r="AA2569" i="1"/>
  <c r="Z2569" i="1"/>
  <c r="V2569" i="1"/>
  <c r="U2569" i="1"/>
  <c r="T2569" i="1"/>
  <c r="S2569" i="1"/>
  <c r="R2569" i="1"/>
  <c r="O2569" i="1"/>
  <c r="AD2569" i="1" s="1"/>
  <c r="AI2569" i="1" s="1"/>
  <c r="M2569" i="1"/>
  <c r="AH2568" i="1"/>
  <c r="AE2568" i="1"/>
  <c r="AA2568" i="1"/>
  <c r="Z2568" i="1"/>
  <c r="AG2568" i="1" s="1"/>
  <c r="V2568" i="1"/>
  <c r="U2568" i="1"/>
  <c r="T2568" i="1"/>
  <c r="S2568" i="1"/>
  <c r="R2568" i="1"/>
  <c r="AF2568" i="1" s="1"/>
  <c r="O2568" i="1"/>
  <c r="AD2568" i="1" s="1"/>
  <c r="M2568" i="1"/>
  <c r="AH2567" i="1"/>
  <c r="AF2567" i="1"/>
  <c r="AE2567" i="1"/>
  <c r="AA2567" i="1"/>
  <c r="Z2567" i="1"/>
  <c r="AG2567" i="1" s="1"/>
  <c r="V2567" i="1"/>
  <c r="U2567" i="1"/>
  <c r="T2567" i="1"/>
  <c r="S2567" i="1"/>
  <c r="R2567" i="1"/>
  <c r="O2567" i="1"/>
  <c r="AD2567" i="1" s="1"/>
  <c r="AI2567" i="1" s="1"/>
  <c r="M2567" i="1"/>
  <c r="AH2566" i="1"/>
  <c r="AG2566" i="1"/>
  <c r="AE2566" i="1"/>
  <c r="AA2566" i="1"/>
  <c r="Z2566" i="1"/>
  <c r="V2566" i="1"/>
  <c r="U2566" i="1"/>
  <c r="T2566" i="1"/>
  <c r="S2566" i="1"/>
  <c r="R2566" i="1"/>
  <c r="AF2566" i="1" s="1"/>
  <c r="O2566" i="1"/>
  <c r="AD2566" i="1" s="1"/>
  <c r="M2566" i="1"/>
  <c r="AH2565" i="1"/>
  <c r="AG2565" i="1"/>
  <c r="AF2565" i="1"/>
  <c r="AE2565" i="1"/>
  <c r="AA2565" i="1"/>
  <c r="Z2565" i="1"/>
  <c r="V2565" i="1"/>
  <c r="U2565" i="1"/>
  <c r="T2565" i="1"/>
  <c r="S2565" i="1"/>
  <c r="R2565" i="1"/>
  <c r="O2565" i="1"/>
  <c r="AD2565" i="1" s="1"/>
  <c r="M2565" i="1"/>
  <c r="AH2564" i="1"/>
  <c r="AE2564" i="1"/>
  <c r="AA2564" i="1"/>
  <c r="Z2564" i="1"/>
  <c r="AG2564" i="1" s="1"/>
  <c r="V2564" i="1"/>
  <c r="U2564" i="1"/>
  <c r="T2564" i="1"/>
  <c r="S2564" i="1"/>
  <c r="R2564" i="1"/>
  <c r="AF2564" i="1" s="1"/>
  <c r="O2564" i="1"/>
  <c r="AD2564" i="1" s="1"/>
  <c r="M2564" i="1"/>
  <c r="AH2563" i="1"/>
  <c r="AF2563" i="1"/>
  <c r="AE2563" i="1"/>
  <c r="AA2563" i="1"/>
  <c r="Z2563" i="1"/>
  <c r="AG2563" i="1" s="1"/>
  <c r="V2563" i="1"/>
  <c r="U2563" i="1"/>
  <c r="T2563" i="1"/>
  <c r="S2563" i="1"/>
  <c r="R2563" i="1"/>
  <c r="O2563" i="1"/>
  <c r="AD2563" i="1" s="1"/>
  <c r="AI2563" i="1" s="1"/>
  <c r="M2563" i="1"/>
  <c r="AH2562" i="1"/>
  <c r="AG2562" i="1"/>
  <c r="AE2562" i="1"/>
  <c r="AA2562" i="1"/>
  <c r="Z2562" i="1"/>
  <c r="V2562" i="1"/>
  <c r="U2562" i="1"/>
  <c r="T2562" i="1"/>
  <c r="S2562" i="1"/>
  <c r="R2562" i="1"/>
  <c r="AF2562" i="1" s="1"/>
  <c r="O2562" i="1"/>
  <c r="AD2562" i="1" s="1"/>
  <c r="M2562" i="1"/>
  <c r="AH2561" i="1"/>
  <c r="AG2561" i="1"/>
  <c r="AE2561" i="1"/>
  <c r="AA2561" i="1"/>
  <c r="Z2561" i="1"/>
  <c r="V2561" i="1"/>
  <c r="U2561" i="1"/>
  <c r="T2561" i="1"/>
  <c r="S2561" i="1"/>
  <c r="R2561" i="1"/>
  <c r="AF2561" i="1" s="1"/>
  <c r="O2561" i="1"/>
  <c r="AD2561" i="1" s="1"/>
  <c r="M2561" i="1"/>
  <c r="K2561" i="1"/>
  <c r="AH2560" i="1"/>
  <c r="AG2560" i="1"/>
  <c r="AE2560" i="1"/>
  <c r="AA2560" i="1"/>
  <c r="Z2560" i="1"/>
  <c r="V2560" i="1"/>
  <c r="U2560" i="1"/>
  <c r="T2560" i="1"/>
  <c r="S2560" i="1"/>
  <c r="R2560" i="1"/>
  <c r="AF2560" i="1" s="1"/>
  <c r="O2560" i="1"/>
  <c r="AD2560" i="1" s="1"/>
  <c r="AI2560" i="1" s="1"/>
  <c r="M2560" i="1"/>
  <c r="K2560" i="1"/>
  <c r="AH2559" i="1"/>
  <c r="AG2559" i="1"/>
  <c r="AE2559" i="1"/>
  <c r="AA2559" i="1"/>
  <c r="Z2559" i="1"/>
  <c r="V2559" i="1"/>
  <c r="U2559" i="1"/>
  <c r="T2559" i="1"/>
  <c r="S2559" i="1"/>
  <c r="R2559" i="1"/>
  <c r="AF2559" i="1" s="1"/>
  <c r="O2559" i="1"/>
  <c r="AD2559" i="1" s="1"/>
  <c r="AI2559" i="1" s="1"/>
  <c r="M2559" i="1"/>
  <c r="K2559" i="1"/>
  <c r="AH2558" i="1"/>
  <c r="AG2558" i="1"/>
  <c r="AE2558" i="1"/>
  <c r="AA2558" i="1"/>
  <c r="Z2558" i="1"/>
  <c r="V2558" i="1"/>
  <c r="U2558" i="1"/>
  <c r="T2558" i="1"/>
  <c r="S2558" i="1"/>
  <c r="R2558" i="1"/>
  <c r="AF2558" i="1" s="1"/>
  <c r="O2558" i="1"/>
  <c r="AD2558" i="1" s="1"/>
  <c r="AI2558" i="1" s="1"/>
  <c r="M2558" i="1"/>
  <c r="AH2557" i="1"/>
  <c r="AG2557" i="1"/>
  <c r="AF2557" i="1"/>
  <c r="AE2557" i="1"/>
  <c r="AA2557" i="1"/>
  <c r="Z2557" i="1"/>
  <c r="V2557" i="1"/>
  <c r="U2557" i="1"/>
  <c r="T2557" i="1"/>
  <c r="S2557" i="1"/>
  <c r="R2557" i="1"/>
  <c r="O2557" i="1"/>
  <c r="AD2557" i="1" s="1"/>
  <c r="AI2557" i="1" s="1"/>
  <c r="M2557" i="1"/>
  <c r="AH2556" i="1"/>
  <c r="AF2556" i="1"/>
  <c r="AE2556" i="1"/>
  <c r="AA2556" i="1"/>
  <c r="Z2556" i="1"/>
  <c r="AG2556" i="1" s="1"/>
  <c r="V2556" i="1"/>
  <c r="U2556" i="1"/>
  <c r="T2556" i="1"/>
  <c r="S2556" i="1"/>
  <c r="R2556" i="1"/>
  <c r="O2556" i="1"/>
  <c r="AD2556" i="1" s="1"/>
  <c r="AI2556" i="1" s="1"/>
  <c r="M2556" i="1"/>
  <c r="AH2555" i="1"/>
  <c r="AE2555" i="1"/>
  <c r="AA2555" i="1"/>
  <c r="Z2555" i="1"/>
  <c r="AG2555" i="1" s="1"/>
  <c r="V2555" i="1"/>
  <c r="U2555" i="1"/>
  <c r="T2555" i="1"/>
  <c r="S2555" i="1"/>
  <c r="R2555" i="1"/>
  <c r="AF2555" i="1" s="1"/>
  <c r="O2555" i="1"/>
  <c r="AD2555" i="1" s="1"/>
  <c r="M2555" i="1"/>
  <c r="AH2554" i="1"/>
  <c r="AG2554" i="1"/>
  <c r="AE2554" i="1"/>
  <c r="AA2554" i="1"/>
  <c r="Z2554" i="1"/>
  <c r="V2554" i="1"/>
  <c r="U2554" i="1"/>
  <c r="T2554" i="1"/>
  <c r="S2554" i="1"/>
  <c r="R2554" i="1"/>
  <c r="AF2554" i="1" s="1"/>
  <c r="O2554" i="1"/>
  <c r="AD2554" i="1" s="1"/>
  <c r="AI2554" i="1" s="1"/>
  <c r="M2554" i="1"/>
  <c r="AH2553" i="1"/>
  <c r="AG2553" i="1"/>
  <c r="AF2553" i="1"/>
  <c r="AE2553" i="1"/>
  <c r="AA2553" i="1"/>
  <c r="Z2553" i="1"/>
  <c r="V2553" i="1"/>
  <c r="U2553" i="1"/>
  <c r="T2553" i="1"/>
  <c r="S2553" i="1"/>
  <c r="R2553" i="1"/>
  <c r="O2553" i="1"/>
  <c r="AD2553" i="1" s="1"/>
  <c r="AI2553" i="1" s="1"/>
  <c r="M2553" i="1"/>
  <c r="AH2552" i="1"/>
  <c r="AF2552" i="1"/>
  <c r="AE2552" i="1"/>
  <c r="AA2552" i="1"/>
  <c r="Z2552" i="1"/>
  <c r="AG2552" i="1" s="1"/>
  <c r="V2552" i="1"/>
  <c r="U2552" i="1"/>
  <c r="T2552" i="1"/>
  <c r="S2552" i="1"/>
  <c r="R2552" i="1"/>
  <c r="O2552" i="1"/>
  <c r="AD2552" i="1" s="1"/>
  <c r="M2552" i="1"/>
  <c r="AH2551" i="1"/>
  <c r="AE2551" i="1"/>
  <c r="AA2551" i="1"/>
  <c r="Z2551" i="1"/>
  <c r="AG2551" i="1" s="1"/>
  <c r="V2551" i="1"/>
  <c r="U2551" i="1"/>
  <c r="T2551" i="1"/>
  <c r="S2551" i="1"/>
  <c r="R2551" i="1"/>
  <c r="AF2551" i="1" s="1"/>
  <c r="AI2551" i="1" s="1"/>
  <c r="O2551" i="1"/>
  <c r="AD2551" i="1" s="1"/>
  <c r="M2551" i="1"/>
  <c r="AH2550" i="1"/>
  <c r="AG2550" i="1"/>
  <c r="AE2550" i="1"/>
  <c r="AA2550" i="1"/>
  <c r="Z2550" i="1"/>
  <c r="V2550" i="1"/>
  <c r="U2550" i="1"/>
  <c r="T2550" i="1"/>
  <c r="S2550" i="1"/>
  <c r="R2550" i="1"/>
  <c r="AF2550" i="1" s="1"/>
  <c r="O2550" i="1"/>
  <c r="AD2550" i="1" s="1"/>
  <c r="AI2550" i="1" s="1"/>
  <c r="M2550" i="1"/>
  <c r="AH2549" i="1"/>
  <c r="AG2549" i="1"/>
  <c r="AF2549" i="1"/>
  <c r="AE2549" i="1"/>
  <c r="AA2549" i="1"/>
  <c r="Z2549" i="1"/>
  <c r="V2549" i="1"/>
  <c r="U2549" i="1"/>
  <c r="T2549" i="1"/>
  <c r="S2549" i="1"/>
  <c r="R2549" i="1"/>
  <c r="O2549" i="1"/>
  <c r="AD2549" i="1" s="1"/>
  <c r="M2549" i="1"/>
  <c r="AH2548" i="1"/>
  <c r="AF2548" i="1"/>
  <c r="AE2548" i="1"/>
  <c r="AA2548" i="1"/>
  <c r="Z2548" i="1"/>
  <c r="AG2548" i="1" s="1"/>
  <c r="V2548" i="1"/>
  <c r="U2548" i="1"/>
  <c r="T2548" i="1"/>
  <c r="S2548" i="1"/>
  <c r="R2548" i="1"/>
  <c r="O2548" i="1"/>
  <c r="AD2548" i="1" s="1"/>
  <c r="M2548" i="1"/>
  <c r="AH2547" i="1"/>
  <c r="AE2547" i="1"/>
  <c r="AA2547" i="1"/>
  <c r="Z2547" i="1"/>
  <c r="AG2547" i="1" s="1"/>
  <c r="V2547" i="1"/>
  <c r="U2547" i="1"/>
  <c r="T2547" i="1"/>
  <c r="S2547" i="1"/>
  <c r="R2547" i="1"/>
  <c r="AF2547" i="1" s="1"/>
  <c r="O2547" i="1"/>
  <c r="AD2547" i="1" s="1"/>
  <c r="M2547" i="1"/>
  <c r="AH2546" i="1"/>
  <c r="AG2546" i="1"/>
  <c r="AE2546" i="1"/>
  <c r="AA2546" i="1"/>
  <c r="Z2546" i="1"/>
  <c r="V2546" i="1"/>
  <c r="U2546" i="1"/>
  <c r="T2546" i="1"/>
  <c r="S2546" i="1"/>
  <c r="R2546" i="1"/>
  <c r="AF2546" i="1" s="1"/>
  <c r="O2546" i="1"/>
  <c r="AD2546" i="1" s="1"/>
  <c r="M2546" i="1"/>
  <c r="AH2545" i="1"/>
  <c r="AG2545" i="1"/>
  <c r="AF2545" i="1"/>
  <c r="AE2545" i="1"/>
  <c r="AA2545" i="1"/>
  <c r="Z2545" i="1"/>
  <c r="V2545" i="1"/>
  <c r="U2545" i="1"/>
  <c r="T2545" i="1"/>
  <c r="S2545" i="1"/>
  <c r="R2545" i="1"/>
  <c r="O2545" i="1"/>
  <c r="AD2545" i="1" s="1"/>
  <c r="AI2545" i="1" s="1"/>
  <c r="M2545" i="1"/>
  <c r="AH2544" i="1"/>
  <c r="AG2544" i="1"/>
  <c r="AE2544" i="1"/>
  <c r="AA2544" i="1"/>
  <c r="Z2544" i="1"/>
  <c r="V2544" i="1"/>
  <c r="U2544" i="1"/>
  <c r="T2544" i="1"/>
  <c r="S2544" i="1"/>
  <c r="R2544" i="1"/>
  <c r="AF2544" i="1" s="1"/>
  <c r="O2544" i="1"/>
  <c r="AD2544" i="1" s="1"/>
  <c r="M2544" i="1"/>
  <c r="AH2543" i="1"/>
  <c r="AE2543" i="1"/>
  <c r="AA2543" i="1"/>
  <c r="Z2543" i="1"/>
  <c r="AG2543" i="1" s="1"/>
  <c r="V2543" i="1"/>
  <c r="U2543" i="1"/>
  <c r="T2543" i="1"/>
  <c r="S2543" i="1"/>
  <c r="R2543" i="1"/>
  <c r="AF2543" i="1" s="1"/>
  <c r="O2543" i="1"/>
  <c r="AD2543" i="1" s="1"/>
  <c r="AI2543" i="1" s="1"/>
  <c r="M2543" i="1"/>
  <c r="AH2542" i="1"/>
  <c r="AG2542" i="1"/>
  <c r="AE2542" i="1"/>
  <c r="AA2542" i="1"/>
  <c r="Z2542" i="1"/>
  <c r="V2542" i="1"/>
  <c r="U2542" i="1"/>
  <c r="T2542" i="1"/>
  <c r="S2542" i="1"/>
  <c r="R2542" i="1"/>
  <c r="AF2542" i="1" s="1"/>
  <c r="O2542" i="1"/>
  <c r="AD2542" i="1" s="1"/>
  <c r="M2542" i="1"/>
  <c r="AH2541" i="1"/>
  <c r="AG2541" i="1"/>
  <c r="AF2541" i="1"/>
  <c r="AE2541" i="1"/>
  <c r="AA2541" i="1"/>
  <c r="Z2541" i="1"/>
  <c r="V2541" i="1"/>
  <c r="U2541" i="1"/>
  <c r="T2541" i="1"/>
  <c r="S2541" i="1"/>
  <c r="R2541" i="1"/>
  <c r="O2541" i="1"/>
  <c r="AD2541" i="1" s="1"/>
  <c r="AI2541" i="1" s="1"/>
  <c r="M2541" i="1"/>
  <c r="AH2540" i="1"/>
  <c r="AG2540" i="1"/>
  <c r="AE2540" i="1"/>
  <c r="AA2540" i="1"/>
  <c r="Z2540" i="1"/>
  <c r="V2540" i="1"/>
  <c r="U2540" i="1"/>
  <c r="T2540" i="1"/>
  <c r="S2540" i="1"/>
  <c r="R2540" i="1"/>
  <c r="AF2540" i="1" s="1"/>
  <c r="O2540" i="1"/>
  <c r="AD2540" i="1" s="1"/>
  <c r="AI2540" i="1" s="1"/>
  <c r="M2540" i="1"/>
  <c r="AH2539" i="1"/>
  <c r="AE2539" i="1"/>
  <c r="AA2539" i="1"/>
  <c r="Z2539" i="1"/>
  <c r="AG2539" i="1" s="1"/>
  <c r="V2539" i="1"/>
  <c r="U2539" i="1"/>
  <c r="T2539" i="1"/>
  <c r="S2539" i="1"/>
  <c r="R2539" i="1"/>
  <c r="AF2539" i="1" s="1"/>
  <c r="O2539" i="1"/>
  <c r="AD2539" i="1" s="1"/>
  <c r="AI2539" i="1" s="1"/>
  <c r="M2539" i="1"/>
  <c r="AH2538" i="1"/>
  <c r="AG2538" i="1"/>
  <c r="AE2538" i="1"/>
  <c r="AA2538" i="1"/>
  <c r="Z2538" i="1"/>
  <c r="V2538" i="1"/>
  <c r="U2538" i="1"/>
  <c r="T2538" i="1"/>
  <c r="S2538" i="1"/>
  <c r="R2538" i="1"/>
  <c r="AF2538" i="1" s="1"/>
  <c r="O2538" i="1"/>
  <c r="AD2538" i="1" s="1"/>
  <c r="AI2538" i="1" s="1"/>
  <c r="M2538" i="1"/>
  <c r="AH2537" i="1"/>
  <c r="AG2537" i="1"/>
  <c r="AF2537" i="1"/>
  <c r="AE2537" i="1"/>
  <c r="AA2537" i="1"/>
  <c r="Z2537" i="1"/>
  <c r="V2537" i="1"/>
  <c r="U2537" i="1"/>
  <c r="T2537" i="1"/>
  <c r="S2537" i="1"/>
  <c r="R2537" i="1"/>
  <c r="O2537" i="1"/>
  <c r="AD2537" i="1" s="1"/>
  <c r="AI2537" i="1" s="1"/>
  <c r="M2537" i="1"/>
  <c r="AH2536" i="1"/>
  <c r="AE2536" i="1"/>
  <c r="AA2536" i="1"/>
  <c r="Z2536" i="1"/>
  <c r="AG2536" i="1" s="1"/>
  <c r="V2536" i="1"/>
  <c r="U2536" i="1"/>
  <c r="T2536" i="1"/>
  <c r="S2536" i="1"/>
  <c r="R2536" i="1"/>
  <c r="AF2536" i="1" s="1"/>
  <c r="O2536" i="1"/>
  <c r="AD2536" i="1" s="1"/>
  <c r="M2536" i="1"/>
  <c r="AH2535" i="1"/>
  <c r="AE2535" i="1"/>
  <c r="AA2535" i="1"/>
  <c r="Z2535" i="1"/>
  <c r="AG2535" i="1" s="1"/>
  <c r="V2535" i="1"/>
  <c r="U2535" i="1"/>
  <c r="T2535" i="1"/>
  <c r="S2535" i="1"/>
  <c r="R2535" i="1"/>
  <c r="AF2535" i="1" s="1"/>
  <c r="O2535" i="1"/>
  <c r="AD2535" i="1" s="1"/>
  <c r="AI2535" i="1" s="1"/>
  <c r="M2535" i="1"/>
  <c r="AH2534" i="1"/>
  <c r="AG2534" i="1"/>
  <c r="AE2534" i="1"/>
  <c r="AA2534" i="1"/>
  <c r="Z2534" i="1"/>
  <c r="V2534" i="1"/>
  <c r="U2534" i="1"/>
  <c r="T2534" i="1"/>
  <c r="S2534" i="1"/>
  <c r="R2534" i="1"/>
  <c r="AF2534" i="1" s="1"/>
  <c r="O2534" i="1"/>
  <c r="AD2534" i="1" s="1"/>
  <c r="AI2534" i="1" s="1"/>
  <c r="M2534" i="1"/>
  <c r="AH2533" i="1"/>
  <c r="AG2533" i="1"/>
  <c r="AF2533" i="1"/>
  <c r="AE2533" i="1"/>
  <c r="AA2533" i="1"/>
  <c r="Z2533" i="1"/>
  <c r="V2533" i="1"/>
  <c r="U2533" i="1"/>
  <c r="T2533" i="1"/>
  <c r="S2533" i="1"/>
  <c r="R2533" i="1"/>
  <c r="O2533" i="1"/>
  <c r="AD2533" i="1" s="1"/>
  <c r="AI2533" i="1" s="1"/>
  <c r="M2533" i="1"/>
  <c r="AH2532" i="1"/>
  <c r="AG2532" i="1"/>
  <c r="AE2532" i="1"/>
  <c r="AA2532" i="1"/>
  <c r="Z2532" i="1"/>
  <c r="V2532" i="1"/>
  <c r="U2532" i="1"/>
  <c r="T2532" i="1"/>
  <c r="S2532" i="1"/>
  <c r="R2532" i="1"/>
  <c r="AF2532" i="1" s="1"/>
  <c r="O2532" i="1"/>
  <c r="AD2532" i="1" s="1"/>
  <c r="M2532" i="1"/>
  <c r="AH2531" i="1"/>
  <c r="AE2531" i="1"/>
  <c r="AA2531" i="1"/>
  <c r="Z2531" i="1"/>
  <c r="AG2531" i="1" s="1"/>
  <c r="V2531" i="1"/>
  <c r="U2531" i="1"/>
  <c r="T2531" i="1"/>
  <c r="S2531" i="1"/>
  <c r="R2531" i="1"/>
  <c r="AF2531" i="1" s="1"/>
  <c r="O2531" i="1"/>
  <c r="AD2531" i="1" s="1"/>
  <c r="AI2531" i="1" s="1"/>
  <c r="M2531" i="1"/>
  <c r="AH2530" i="1"/>
  <c r="AG2530" i="1"/>
  <c r="AE2530" i="1"/>
  <c r="AA2530" i="1"/>
  <c r="Z2530" i="1"/>
  <c r="V2530" i="1"/>
  <c r="U2530" i="1"/>
  <c r="T2530" i="1"/>
  <c r="S2530" i="1"/>
  <c r="R2530" i="1"/>
  <c r="AF2530" i="1" s="1"/>
  <c r="O2530" i="1"/>
  <c r="AD2530" i="1" s="1"/>
  <c r="M2530" i="1"/>
  <c r="AH2529" i="1"/>
  <c r="AG2529" i="1"/>
  <c r="AF2529" i="1"/>
  <c r="AE2529" i="1"/>
  <c r="AA2529" i="1"/>
  <c r="Z2529" i="1"/>
  <c r="V2529" i="1"/>
  <c r="U2529" i="1"/>
  <c r="T2529" i="1"/>
  <c r="S2529" i="1"/>
  <c r="R2529" i="1"/>
  <c r="O2529" i="1"/>
  <c r="AD2529" i="1" s="1"/>
  <c r="AI2529" i="1" s="1"/>
  <c r="M2529" i="1"/>
  <c r="AH2528" i="1"/>
  <c r="AG2528" i="1"/>
  <c r="AE2528" i="1"/>
  <c r="AA2528" i="1"/>
  <c r="Z2528" i="1"/>
  <c r="V2528" i="1"/>
  <c r="U2528" i="1"/>
  <c r="T2528" i="1"/>
  <c r="S2528" i="1"/>
  <c r="R2528" i="1"/>
  <c r="AF2528" i="1" s="1"/>
  <c r="O2528" i="1"/>
  <c r="AD2528" i="1" s="1"/>
  <c r="AI2528" i="1" s="1"/>
  <c r="M2528" i="1"/>
  <c r="AH2527" i="1"/>
  <c r="AE2527" i="1"/>
  <c r="AA2527" i="1"/>
  <c r="Z2527" i="1"/>
  <c r="AG2527" i="1" s="1"/>
  <c r="V2527" i="1"/>
  <c r="U2527" i="1"/>
  <c r="T2527" i="1"/>
  <c r="S2527" i="1"/>
  <c r="R2527" i="1"/>
  <c r="AF2527" i="1" s="1"/>
  <c r="O2527" i="1"/>
  <c r="AD2527" i="1" s="1"/>
  <c r="M2527" i="1"/>
  <c r="AH2526" i="1"/>
  <c r="AG2526" i="1"/>
  <c r="AE2526" i="1"/>
  <c r="AA2526" i="1"/>
  <c r="Z2526" i="1"/>
  <c r="V2526" i="1"/>
  <c r="U2526" i="1"/>
  <c r="T2526" i="1"/>
  <c r="S2526" i="1"/>
  <c r="R2526" i="1"/>
  <c r="AF2526" i="1" s="1"/>
  <c r="O2526" i="1"/>
  <c r="AD2526" i="1" s="1"/>
  <c r="M2526" i="1"/>
  <c r="AH2525" i="1"/>
  <c r="AG2525" i="1"/>
  <c r="AF2525" i="1"/>
  <c r="AE2525" i="1"/>
  <c r="AA2525" i="1"/>
  <c r="Z2525" i="1"/>
  <c r="V2525" i="1"/>
  <c r="U2525" i="1"/>
  <c r="T2525" i="1"/>
  <c r="S2525" i="1"/>
  <c r="R2525" i="1"/>
  <c r="O2525" i="1"/>
  <c r="AD2525" i="1" s="1"/>
  <c r="AI2525" i="1" s="1"/>
  <c r="M2525" i="1"/>
  <c r="AH2524" i="1"/>
  <c r="AG2524" i="1"/>
  <c r="AE2524" i="1"/>
  <c r="AA2524" i="1"/>
  <c r="Z2524" i="1"/>
  <c r="V2524" i="1"/>
  <c r="U2524" i="1"/>
  <c r="T2524" i="1"/>
  <c r="S2524" i="1"/>
  <c r="R2524" i="1"/>
  <c r="AF2524" i="1" s="1"/>
  <c r="O2524" i="1"/>
  <c r="AD2524" i="1" s="1"/>
  <c r="AI2524" i="1" s="1"/>
  <c r="M2524" i="1"/>
  <c r="AH2523" i="1"/>
  <c r="AE2523" i="1"/>
  <c r="AA2523" i="1"/>
  <c r="Z2523" i="1"/>
  <c r="AG2523" i="1" s="1"/>
  <c r="V2523" i="1"/>
  <c r="U2523" i="1"/>
  <c r="T2523" i="1"/>
  <c r="S2523" i="1"/>
  <c r="R2523" i="1"/>
  <c r="AF2523" i="1" s="1"/>
  <c r="O2523" i="1"/>
  <c r="AD2523" i="1" s="1"/>
  <c r="AI2523" i="1" s="1"/>
  <c r="M2523" i="1"/>
  <c r="AH2522" i="1"/>
  <c r="AG2522" i="1"/>
  <c r="AE2522" i="1"/>
  <c r="AA2522" i="1"/>
  <c r="Z2522" i="1"/>
  <c r="V2522" i="1"/>
  <c r="U2522" i="1"/>
  <c r="T2522" i="1"/>
  <c r="S2522" i="1"/>
  <c r="R2522" i="1"/>
  <c r="AF2522" i="1" s="1"/>
  <c r="O2522" i="1"/>
  <c r="AD2522" i="1" s="1"/>
  <c r="AI2522" i="1" s="1"/>
  <c r="M2522" i="1"/>
  <c r="AH2521" i="1"/>
  <c r="AG2521" i="1"/>
  <c r="AF2521" i="1"/>
  <c r="AE2521" i="1"/>
  <c r="AA2521" i="1"/>
  <c r="Z2521" i="1"/>
  <c r="V2521" i="1"/>
  <c r="U2521" i="1"/>
  <c r="T2521" i="1"/>
  <c r="S2521" i="1"/>
  <c r="R2521" i="1"/>
  <c r="O2521" i="1"/>
  <c r="AD2521" i="1" s="1"/>
  <c r="AI2521" i="1" s="1"/>
  <c r="M2521" i="1"/>
  <c r="AH2520" i="1"/>
  <c r="AE2520" i="1"/>
  <c r="AA2520" i="1"/>
  <c r="Z2520" i="1"/>
  <c r="AG2520" i="1" s="1"/>
  <c r="V2520" i="1"/>
  <c r="U2520" i="1"/>
  <c r="T2520" i="1"/>
  <c r="S2520" i="1"/>
  <c r="R2520" i="1"/>
  <c r="AF2520" i="1" s="1"/>
  <c r="O2520" i="1"/>
  <c r="AD2520" i="1" s="1"/>
  <c r="M2520" i="1"/>
  <c r="AH2519" i="1"/>
  <c r="AE2519" i="1"/>
  <c r="AA2519" i="1"/>
  <c r="Z2519" i="1"/>
  <c r="AG2519" i="1" s="1"/>
  <c r="V2519" i="1"/>
  <c r="U2519" i="1"/>
  <c r="T2519" i="1"/>
  <c r="S2519" i="1"/>
  <c r="R2519" i="1"/>
  <c r="AF2519" i="1" s="1"/>
  <c r="O2519" i="1"/>
  <c r="AD2519" i="1" s="1"/>
  <c r="AI2519" i="1" s="1"/>
  <c r="M2519" i="1"/>
  <c r="AH2518" i="1"/>
  <c r="AG2518" i="1"/>
  <c r="AE2518" i="1"/>
  <c r="AA2518" i="1"/>
  <c r="Z2518" i="1"/>
  <c r="V2518" i="1"/>
  <c r="U2518" i="1"/>
  <c r="T2518" i="1"/>
  <c r="S2518" i="1"/>
  <c r="R2518" i="1"/>
  <c r="AF2518" i="1" s="1"/>
  <c r="O2518" i="1"/>
  <c r="AD2518" i="1" s="1"/>
  <c r="AI2518" i="1" s="1"/>
  <c r="M2518" i="1"/>
  <c r="AH2517" i="1"/>
  <c r="AG2517" i="1"/>
  <c r="AF2517" i="1"/>
  <c r="AE2517" i="1"/>
  <c r="AA2517" i="1"/>
  <c r="Z2517" i="1"/>
  <c r="V2517" i="1"/>
  <c r="U2517" i="1"/>
  <c r="T2517" i="1"/>
  <c r="S2517" i="1"/>
  <c r="R2517" i="1"/>
  <c r="O2517" i="1"/>
  <c r="AD2517" i="1" s="1"/>
  <c r="AI2517" i="1" s="1"/>
  <c r="M2517" i="1"/>
  <c r="AH2516" i="1"/>
  <c r="AG2516" i="1"/>
  <c r="AE2516" i="1"/>
  <c r="AA2516" i="1"/>
  <c r="Z2516" i="1"/>
  <c r="V2516" i="1"/>
  <c r="U2516" i="1"/>
  <c r="T2516" i="1"/>
  <c r="S2516" i="1"/>
  <c r="R2516" i="1"/>
  <c r="AF2516" i="1" s="1"/>
  <c r="O2516" i="1"/>
  <c r="AD2516" i="1" s="1"/>
  <c r="M2516" i="1"/>
  <c r="AI2515" i="1"/>
  <c r="AH2515" i="1"/>
  <c r="AE2515" i="1"/>
  <c r="AA2515" i="1"/>
  <c r="Z2515" i="1"/>
  <c r="AG2515" i="1" s="1"/>
  <c r="V2515" i="1"/>
  <c r="U2515" i="1"/>
  <c r="T2515" i="1"/>
  <c r="S2515" i="1"/>
  <c r="R2515" i="1"/>
  <c r="AF2515" i="1" s="1"/>
  <c r="O2515" i="1"/>
  <c r="AD2515" i="1" s="1"/>
  <c r="M2515" i="1"/>
  <c r="AH2514" i="1"/>
  <c r="AG2514" i="1"/>
  <c r="AE2514" i="1"/>
  <c r="AA2514" i="1"/>
  <c r="Z2514" i="1"/>
  <c r="V2514" i="1"/>
  <c r="U2514" i="1"/>
  <c r="T2514" i="1"/>
  <c r="S2514" i="1"/>
  <c r="R2514" i="1"/>
  <c r="AF2514" i="1" s="1"/>
  <c r="O2514" i="1"/>
  <c r="AD2514" i="1" s="1"/>
  <c r="M2514" i="1"/>
  <c r="AH2513" i="1"/>
  <c r="AG2513" i="1"/>
  <c r="AF2513" i="1"/>
  <c r="AE2513" i="1"/>
  <c r="AA2513" i="1"/>
  <c r="Z2513" i="1"/>
  <c r="V2513" i="1"/>
  <c r="U2513" i="1"/>
  <c r="T2513" i="1"/>
  <c r="S2513" i="1"/>
  <c r="R2513" i="1"/>
  <c r="O2513" i="1"/>
  <c r="AD2513" i="1" s="1"/>
  <c r="AI2513" i="1" s="1"/>
  <c r="M2513" i="1"/>
  <c r="AH2512" i="1"/>
  <c r="AG2512" i="1"/>
  <c r="AE2512" i="1"/>
  <c r="AA2512" i="1"/>
  <c r="Z2512" i="1"/>
  <c r="U2512" i="1"/>
  <c r="T2512" i="1"/>
  <c r="S2512" i="1"/>
  <c r="R2512" i="1"/>
  <c r="AF2512" i="1" s="1"/>
  <c r="Q2512" i="1"/>
  <c r="O2512" i="1"/>
  <c r="AD2512" i="1" s="1"/>
  <c r="AI2512" i="1" s="1"/>
  <c r="M2512" i="1"/>
  <c r="K2512" i="1"/>
  <c r="V2512" i="1" s="1"/>
  <c r="AH2511" i="1"/>
  <c r="AG2511" i="1"/>
  <c r="AE2511" i="1"/>
  <c r="AD2511" i="1"/>
  <c r="AA2511" i="1"/>
  <c r="Z2511" i="1"/>
  <c r="U2511" i="1"/>
  <c r="T2511" i="1"/>
  <c r="S2511" i="1"/>
  <c r="Q2511" i="1"/>
  <c r="R2511" i="1" s="1"/>
  <c r="AF2511" i="1" s="1"/>
  <c r="O2511" i="1"/>
  <c r="M2511" i="1"/>
  <c r="K2511" i="1"/>
  <c r="V2511" i="1" s="1"/>
  <c r="AH2510" i="1"/>
  <c r="AG2510" i="1"/>
  <c r="AE2510" i="1"/>
  <c r="AD2510" i="1"/>
  <c r="AI2510" i="1" s="1"/>
  <c r="AA2510" i="1"/>
  <c r="Z2510" i="1"/>
  <c r="U2510" i="1"/>
  <c r="T2510" i="1"/>
  <c r="S2510" i="1"/>
  <c r="Q2510" i="1"/>
  <c r="R2510" i="1" s="1"/>
  <c r="AF2510" i="1" s="1"/>
  <c r="O2510" i="1"/>
  <c r="M2510" i="1"/>
  <c r="K2510" i="1"/>
  <c r="V2510" i="1" s="1"/>
  <c r="AH2509" i="1"/>
  <c r="AE2509" i="1"/>
  <c r="AA2509" i="1"/>
  <c r="Z2509" i="1"/>
  <c r="AG2509" i="1" s="1"/>
  <c r="V2509" i="1"/>
  <c r="U2509" i="1"/>
  <c r="T2509" i="1"/>
  <c r="S2509" i="1"/>
  <c r="R2509" i="1"/>
  <c r="AF2509" i="1" s="1"/>
  <c r="AI2509" i="1" s="1"/>
  <c r="O2509" i="1"/>
  <c r="AD2509" i="1" s="1"/>
  <c r="M2509" i="1"/>
  <c r="AH2508" i="1"/>
  <c r="AG2508" i="1"/>
  <c r="AE2508" i="1"/>
  <c r="AA2508" i="1"/>
  <c r="Z2508" i="1"/>
  <c r="V2508" i="1"/>
  <c r="U2508" i="1"/>
  <c r="T2508" i="1"/>
  <c r="S2508" i="1"/>
  <c r="R2508" i="1"/>
  <c r="AF2508" i="1" s="1"/>
  <c r="O2508" i="1"/>
  <c r="AD2508" i="1" s="1"/>
  <c r="M2508" i="1"/>
  <c r="AH2507" i="1"/>
  <c r="AG2507" i="1"/>
  <c r="AF2507" i="1"/>
  <c r="AE2507" i="1"/>
  <c r="AA2507" i="1"/>
  <c r="Z2507" i="1"/>
  <c r="V2507" i="1"/>
  <c r="U2507" i="1"/>
  <c r="T2507" i="1"/>
  <c r="S2507" i="1"/>
  <c r="R2507" i="1"/>
  <c r="O2507" i="1"/>
  <c r="AD2507" i="1" s="1"/>
  <c r="AI2507" i="1" s="1"/>
  <c r="M2507" i="1"/>
  <c r="AH2506" i="1"/>
  <c r="AF2506" i="1"/>
  <c r="AE2506" i="1"/>
  <c r="AA2506" i="1"/>
  <c r="Z2506" i="1"/>
  <c r="AG2506" i="1" s="1"/>
  <c r="V2506" i="1"/>
  <c r="U2506" i="1"/>
  <c r="T2506" i="1"/>
  <c r="S2506" i="1"/>
  <c r="R2506" i="1"/>
  <c r="O2506" i="1"/>
  <c r="AD2506" i="1" s="1"/>
  <c r="AI2506" i="1" s="1"/>
  <c r="M2506" i="1"/>
  <c r="AH2505" i="1"/>
  <c r="AF2505" i="1"/>
  <c r="AE2505" i="1"/>
  <c r="AD2505" i="1"/>
  <c r="AA2505" i="1"/>
  <c r="Z2505" i="1"/>
  <c r="AG2505" i="1" s="1"/>
  <c r="U2505" i="1"/>
  <c r="T2505" i="1"/>
  <c r="S2505" i="1"/>
  <c r="R2505" i="1"/>
  <c r="Q2505" i="1"/>
  <c r="O2505" i="1"/>
  <c r="M2505" i="1"/>
  <c r="K2505" i="1"/>
  <c r="V2505" i="1" s="1"/>
  <c r="AH2504" i="1"/>
  <c r="AF2504" i="1"/>
  <c r="AE2504" i="1"/>
  <c r="AA2504" i="1"/>
  <c r="Z2504" i="1"/>
  <c r="AG2504" i="1" s="1"/>
  <c r="U2504" i="1"/>
  <c r="T2504" i="1"/>
  <c r="S2504" i="1"/>
  <c r="R2504" i="1"/>
  <c r="Q2504" i="1"/>
  <c r="O2504" i="1"/>
  <c r="AD2504" i="1" s="1"/>
  <c r="M2504" i="1"/>
  <c r="K2504" i="1"/>
  <c r="V2504" i="1" s="1"/>
  <c r="AH2503" i="1"/>
  <c r="AG2503" i="1"/>
  <c r="AE2503" i="1"/>
  <c r="AD2503" i="1"/>
  <c r="AI2503" i="1" s="1"/>
  <c r="AA2503" i="1"/>
  <c r="Z2503" i="1"/>
  <c r="U2503" i="1"/>
  <c r="T2503" i="1"/>
  <c r="S2503" i="1"/>
  <c r="Q2503" i="1"/>
  <c r="R2503" i="1" s="1"/>
  <c r="AF2503" i="1" s="1"/>
  <c r="O2503" i="1"/>
  <c r="M2503" i="1"/>
  <c r="K2503" i="1"/>
  <c r="V2503" i="1" s="1"/>
  <c r="AH2502" i="1"/>
  <c r="AG2502" i="1"/>
  <c r="AE2502" i="1"/>
  <c r="AA2502" i="1"/>
  <c r="Z2502" i="1"/>
  <c r="V2502" i="1"/>
  <c r="U2502" i="1"/>
  <c r="T2502" i="1"/>
  <c r="S2502" i="1"/>
  <c r="R2502" i="1"/>
  <c r="AF2502" i="1" s="1"/>
  <c r="O2502" i="1"/>
  <c r="AD2502" i="1" s="1"/>
  <c r="AI2502" i="1" s="1"/>
  <c r="M2502" i="1"/>
  <c r="AH2501" i="1"/>
  <c r="AG2501" i="1"/>
  <c r="AF2501" i="1"/>
  <c r="AE2501" i="1"/>
  <c r="AA2501" i="1"/>
  <c r="Z2501" i="1"/>
  <c r="V2501" i="1"/>
  <c r="U2501" i="1"/>
  <c r="T2501" i="1"/>
  <c r="S2501" i="1"/>
  <c r="R2501" i="1"/>
  <c r="O2501" i="1"/>
  <c r="AD2501" i="1" s="1"/>
  <c r="AI2501" i="1" s="1"/>
  <c r="M2501" i="1"/>
  <c r="AH2500" i="1"/>
  <c r="AF2500" i="1"/>
  <c r="AE2500" i="1"/>
  <c r="AA2500" i="1"/>
  <c r="Z2500" i="1"/>
  <c r="AG2500" i="1" s="1"/>
  <c r="V2500" i="1"/>
  <c r="U2500" i="1"/>
  <c r="T2500" i="1"/>
  <c r="S2500" i="1"/>
  <c r="R2500" i="1"/>
  <c r="O2500" i="1"/>
  <c r="AD2500" i="1" s="1"/>
  <c r="M2500" i="1"/>
  <c r="AH2499" i="1"/>
  <c r="AE2499" i="1"/>
  <c r="AA2499" i="1"/>
  <c r="Z2499" i="1"/>
  <c r="AG2499" i="1" s="1"/>
  <c r="V2499" i="1"/>
  <c r="U2499" i="1"/>
  <c r="T2499" i="1"/>
  <c r="S2499" i="1"/>
  <c r="R2499" i="1"/>
  <c r="AF2499" i="1" s="1"/>
  <c r="O2499" i="1"/>
  <c r="AD2499" i="1" s="1"/>
  <c r="M2499" i="1"/>
  <c r="AH2498" i="1"/>
  <c r="AG2498" i="1"/>
  <c r="AE2498" i="1"/>
  <c r="AA2498" i="1"/>
  <c r="Z2498" i="1"/>
  <c r="V2498" i="1"/>
  <c r="U2498" i="1"/>
  <c r="T2498" i="1"/>
  <c r="S2498" i="1"/>
  <c r="R2498" i="1"/>
  <c r="AF2498" i="1" s="1"/>
  <c r="O2498" i="1"/>
  <c r="AD2498" i="1" s="1"/>
  <c r="AI2498" i="1" s="1"/>
  <c r="M2498" i="1"/>
  <c r="AH2497" i="1"/>
  <c r="AG2497" i="1"/>
  <c r="AF2497" i="1"/>
  <c r="AE2497" i="1"/>
  <c r="AA2497" i="1"/>
  <c r="Z2497" i="1"/>
  <c r="V2497" i="1"/>
  <c r="U2497" i="1"/>
  <c r="T2497" i="1"/>
  <c r="S2497" i="1"/>
  <c r="R2497" i="1"/>
  <c r="O2497" i="1"/>
  <c r="AD2497" i="1" s="1"/>
  <c r="AI2497" i="1" s="1"/>
  <c r="M2497" i="1"/>
  <c r="AH2496" i="1"/>
  <c r="AF2496" i="1"/>
  <c r="AE2496" i="1"/>
  <c r="AA2496" i="1"/>
  <c r="Z2496" i="1"/>
  <c r="AG2496" i="1" s="1"/>
  <c r="V2496" i="1"/>
  <c r="U2496" i="1"/>
  <c r="T2496" i="1"/>
  <c r="S2496" i="1"/>
  <c r="R2496" i="1"/>
  <c r="O2496" i="1"/>
  <c r="AD2496" i="1" s="1"/>
  <c r="M2496" i="1"/>
  <c r="AI2495" i="1"/>
  <c r="AH2495" i="1"/>
  <c r="AE2495" i="1"/>
  <c r="AD2495" i="1"/>
  <c r="AA2495" i="1"/>
  <c r="Z2495" i="1"/>
  <c r="AG2495" i="1" s="1"/>
  <c r="U2495" i="1"/>
  <c r="T2495" i="1"/>
  <c r="S2495" i="1"/>
  <c r="R2495" i="1"/>
  <c r="AF2495" i="1" s="1"/>
  <c r="Q2495" i="1"/>
  <c r="O2495" i="1"/>
  <c r="M2495" i="1"/>
  <c r="K2495" i="1"/>
  <c r="V2495" i="1" s="1"/>
  <c r="AH2494" i="1"/>
  <c r="AF2494" i="1"/>
  <c r="AE2494" i="1"/>
  <c r="AA2494" i="1"/>
  <c r="Z2494" i="1"/>
  <c r="AG2494" i="1" s="1"/>
  <c r="U2494" i="1"/>
  <c r="T2494" i="1"/>
  <c r="S2494" i="1"/>
  <c r="R2494" i="1"/>
  <c r="Q2494" i="1"/>
  <c r="O2494" i="1"/>
  <c r="AD2494" i="1" s="1"/>
  <c r="M2494" i="1"/>
  <c r="K2494" i="1"/>
  <c r="V2494" i="1" s="1"/>
  <c r="AH2493" i="1"/>
  <c r="AG2493" i="1"/>
  <c r="AF2493" i="1"/>
  <c r="AE2493" i="1"/>
  <c r="AD2493" i="1"/>
  <c r="AA2493" i="1"/>
  <c r="Z2493" i="1"/>
  <c r="U2493" i="1"/>
  <c r="T2493" i="1"/>
  <c r="S2493" i="1"/>
  <c r="R2493" i="1"/>
  <c r="O2493" i="1"/>
  <c r="M2493" i="1"/>
  <c r="K2493" i="1"/>
  <c r="V2493" i="1" s="1"/>
  <c r="AH2492" i="1"/>
  <c r="AG2492" i="1"/>
  <c r="AF2492" i="1"/>
  <c r="AE2492" i="1"/>
  <c r="AA2492" i="1"/>
  <c r="Z2492" i="1"/>
  <c r="V2492" i="1"/>
  <c r="U2492" i="1"/>
  <c r="T2492" i="1"/>
  <c r="S2492" i="1"/>
  <c r="R2492" i="1"/>
  <c r="O2492" i="1"/>
  <c r="AD2492" i="1" s="1"/>
  <c r="AI2492" i="1" s="1"/>
  <c r="M2492" i="1"/>
  <c r="AH2491" i="1"/>
  <c r="AF2491" i="1"/>
  <c r="AE2491" i="1"/>
  <c r="AA2491" i="1"/>
  <c r="Z2491" i="1"/>
  <c r="AG2491" i="1" s="1"/>
  <c r="U2491" i="1"/>
  <c r="T2491" i="1"/>
  <c r="S2491" i="1"/>
  <c r="R2491" i="1"/>
  <c r="O2491" i="1"/>
  <c r="AD2491" i="1" s="1"/>
  <c r="M2491" i="1"/>
  <c r="K2491" i="1"/>
  <c r="V2491" i="1" s="1"/>
  <c r="AH2490" i="1"/>
  <c r="AF2490" i="1"/>
  <c r="AE2490" i="1"/>
  <c r="AA2490" i="1"/>
  <c r="Z2490" i="1"/>
  <c r="AG2490" i="1" s="1"/>
  <c r="U2490" i="1"/>
  <c r="T2490" i="1"/>
  <c r="S2490" i="1"/>
  <c r="R2490" i="1"/>
  <c r="O2490" i="1"/>
  <c r="AD2490" i="1" s="1"/>
  <c r="M2490" i="1"/>
  <c r="K2490" i="1"/>
  <c r="V2490" i="1" s="1"/>
  <c r="AH2489" i="1"/>
  <c r="AF2489" i="1"/>
  <c r="AE2489" i="1"/>
  <c r="AA2489" i="1"/>
  <c r="Z2489" i="1"/>
  <c r="AG2489" i="1" s="1"/>
  <c r="U2489" i="1"/>
  <c r="T2489" i="1"/>
  <c r="S2489" i="1"/>
  <c r="R2489" i="1"/>
  <c r="O2489" i="1"/>
  <c r="AD2489" i="1" s="1"/>
  <c r="M2489" i="1"/>
  <c r="K2489" i="1"/>
  <c r="V2489" i="1" s="1"/>
  <c r="AH2488" i="1"/>
  <c r="AF2488" i="1"/>
  <c r="AE2488" i="1"/>
  <c r="AA2488" i="1"/>
  <c r="Z2488" i="1"/>
  <c r="AG2488" i="1" s="1"/>
  <c r="V2488" i="1"/>
  <c r="U2488" i="1"/>
  <c r="T2488" i="1"/>
  <c r="S2488" i="1"/>
  <c r="R2488" i="1"/>
  <c r="O2488" i="1"/>
  <c r="AD2488" i="1" s="1"/>
  <c r="AI2488" i="1" s="1"/>
  <c r="M2488" i="1"/>
  <c r="AH2487" i="1"/>
  <c r="AE2487" i="1"/>
  <c r="AA2487" i="1"/>
  <c r="Z2487" i="1"/>
  <c r="AG2487" i="1" s="1"/>
  <c r="V2487" i="1"/>
  <c r="U2487" i="1"/>
  <c r="T2487" i="1"/>
  <c r="S2487" i="1"/>
  <c r="R2487" i="1"/>
  <c r="AF2487" i="1" s="1"/>
  <c r="AI2487" i="1" s="1"/>
  <c r="O2487" i="1"/>
  <c r="AD2487" i="1" s="1"/>
  <c r="M2487" i="1"/>
  <c r="AH2486" i="1"/>
  <c r="AG2486" i="1"/>
  <c r="AE2486" i="1"/>
  <c r="AA2486" i="1"/>
  <c r="Z2486" i="1"/>
  <c r="V2486" i="1"/>
  <c r="U2486" i="1"/>
  <c r="T2486" i="1"/>
  <c r="S2486" i="1"/>
  <c r="R2486" i="1"/>
  <c r="AF2486" i="1" s="1"/>
  <c r="O2486" i="1"/>
  <c r="AD2486" i="1" s="1"/>
  <c r="AI2486" i="1" s="1"/>
  <c r="M2486" i="1"/>
  <c r="AH2485" i="1"/>
  <c r="AG2485" i="1"/>
  <c r="AF2485" i="1"/>
  <c r="AE2485" i="1"/>
  <c r="AA2485" i="1"/>
  <c r="Z2485" i="1"/>
  <c r="V2485" i="1"/>
  <c r="U2485" i="1"/>
  <c r="T2485" i="1"/>
  <c r="S2485" i="1"/>
  <c r="R2485" i="1"/>
  <c r="O2485" i="1"/>
  <c r="AD2485" i="1" s="1"/>
  <c r="AI2485" i="1" s="1"/>
  <c r="M2485" i="1"/>
  <c r="AH2484" i="1"/>
  <c r="AF2484" i="1"/>
  <c r="AE2484" i="1"/>
  <c r="AA2484" i="1"/>
  <c r="Z2484" i="1"/>
  <c r="AG2484" i="1" s="1"/>
  <c r="V2484" i="1"/>
  <c r="U2484" i="1"/>
  <c r="T2484" i="1"/>
  <c r="S2484" i="1"/>
  <c r="R2484" i="1"/>
  <c r="O2484" i="1"/>
  <c r="AD2484" i="1" s="1"/>
  <c r="M2484" i="1"/>
  <c r="AH2483" i="1"/>
  <c r="AE2483" i="1"/>
  <c r="AA2483" i="1"/>
  <c r="Z2483" i="1"/>
  <c r="AG2483" i="1" s="1"/>
  <c r="V2483" i="1"/>
  <c r="U2483" i="1"/>
  <c r="T2483" i="1"/>
  <c r="S2483" i="1"/>
  <c r="R2483" i="1"/>
  <c r="AF2483" i="1" s="1"/>
  <c r="O2483" i="1"/>
  <c r="AD2483" i="1" s="1"/>
  <c r="AI2483" i="1" s="1"/>
  <c r="M2483" i="1"/>
  <c r="AH2482" i="1"/>
  <c r="AG2482" i="1"/>
  <c r="AE2482" i="1"/>
  <c r="AA2482" i="1"/>
  <c r="Z2482" i="1"/>
  <c r="V2482" i="1"/>
  <c r="U2482" i="1"/>
  <c r="T2482" i="1"/>
  <c r="S2482" i="1"/>
  <c r="R2482" i="1"/>
  <c r="AF2482" i="1" s="1"/>
  <c r="O2482" i="1"/>
  <c r="AD2482" i="1" s="1"/>
  <c r="AI2482" i="1" s="1"/>
  <c r="M2482" i="1"/>
  <c r="AH2481" i="1"/>
  <c r="AG2481" i="1"/>
  <c r="AF2481" i="1"/>
  <c r="AE2481" i="1"/>
  <c r="AA2481" i="1"/>
  <c r="Z2481" i="1"/>
  <c r="V2481" i="1"/>
  <c r="U2481" i="1"/>
  <c r="T2481" i="1"/>
  <c r="S2481" i="1"/>
  <c r="R2481" i="1"/>
  <c r="O2481" i="1"/>
  <c r="AD2481" i="1" s="1"/>
  <c r="AI2481" i="1" s="1"/>
  <c r="M2481" i="1"/>
  <c r="AH2480" i="1"/>
  <c r="AF2480" i="1"/>
  <c r="AE2480" i="1"/>
  <c r="AA2480" i="1"/>
  <c r="Z2480" i="1"/>
  <c r="AG2480" i="1" s="1"/>
  <c r="V2480" i="1"/>
  <c r="U2480" i="1"/>
  <c r="T2480" i="1"/>
  <c r="S2480" i="1"/>
  <c r="R2480" i="1"/>
  <c r="O2480" i="1"/>
  <c r="AD2480" i="1" s="1"/>
  <c r="M2480" i="1"/>
  <c r="AH2479" i="1"/>
  <c r="AE2479" i="1"/>
  <c r="AA2479" i="1"/>
  <c r="Z2479" i="1"/>
  <c r="AG2479" i="1" s="1"/>
  <c r="V2479" i="1"/>
  <c r="U2479" i="1"/>
  <c r="T2479" i="1"/>
  <c r="S2479" i="1"/>
  <c r="R2479" i="1"/>
  <c r="AF2479" i="1" s="1"/>
  <c r="O2479" i="1"/>
  <c r="AD2479" i="1" s="1"/>
  <c r="M2479" i="1"/>
  <c r="AH2478" i="1"/>
  <c r="AG2478" i="1"/>
  <c r="AE2478" i="1"/>
  <c r="AA2478" i="1"/>
  <c r="Z2478" i="1"/>
  <c r="V2478" i="1"/>
  <c r="U2478" i="1"/>
  <c r="T2478" i="1"/>
  <c r="S2478" i="1"/>
  <c r="R2478" i="1"/>
  <c r="AF2478" i="1" s="1"/>
  <c r="O2478" i="1"/>
  <c r="AD2478" i="1" s="1"/>
  <c r="AI2478" i="1" s="1"/>
  <c r="M2478" i="1"/>
  <c r="AH2477" i="1"/>
  <c r="AG2477" i="1"/>
  <c r="AF2477" i="1"/>
  <c r="AE2477" i="1"/>
  <c r="AA2477" i="1"/>
  <c r="Z2477" i="1"/>
  <c r="V2477" i="1"/>
  <c r="U2477" i="1"/>
  <c r="T2477" i="1"/>
  <c r="S2477" i="1"/>
  <c r="R2477" i="1"/>
  <c r="O2477" i="1"/>
  <c r="AD2477" i="1" s="1"/>
  <c r="AI2477" i="1" s="1"/>
  <c r="M2477" i="1"/>
  <c r="AH2476" i="1"/>
  <c r="AF2476" i="1"/>
  <c r="AE2476" i="1"/>
  <c r="AA2476" i="1"/>
  <c r="Z2476" i="1"/>
  <c r="AG2476" i="1" s="1"/>
  <c r="V2476" i="1"/>
  <c r="U2476" i="1"/>
  <c r="T2476" i="1"/>
  <c r="S2476" i="1"/>
  <c r="R2476" i="1"/>
  <c r="O2476" i="1"/>
  <c r="AD2476" i="1" s="1"/>
  <c r="M2476" i="1"/>
  <c r="AI2475" i="1"/>
  <c r="AH2475" i="1"/>
  <c r="AE2475" i="1"/>
  <c r="AA2475" i="1"/>
  <c r="Z2475" i="1"/>
  <c r="AG2475" i="1" s="1"/>
  <c r="V2475" i="1"/>
  <c r="U2475" i="1"/>
  <c r="T2475" i="1"/>
  <c r="S2475" i="1"/>
  <c r="R2475" i="1"/>
  <c r="AF2475" i="1" s="1"/>
  <c r="O2475" i="1"/>
  <c r="AD2475" i="1" s="1"/>
  <c r="M2475" i="1"/>
  <c r="AH2474" i="1"/>
  <c r="AG2474" i="1"/>
  <c r="AE2474" i="1"/>
  <c r="AA2474" i="1"/>
  <c r="Z2474" i="1"/>
  <c r="V2474" i="1"/>
  <c r="U2474" i="1"/>
  <c r="T2474" i="1"/>
  <c r="S2474" i="1"/>
  <c r="R2474" i="1"/>
  <c r="AF2474" i="1" s="1"/>
  <c r="O2474" i="1"/>
  <c r="AD2474" i="1" s="1"/>
  <c r="M2474" i="1"/>
  <c r="AH2473" i="1"/>
  <c r="AG2473" i="1"/>
  <c r="AF2473" i="1"/>
  <c r="AE2473" i="1"/>
  <c r="AA2473" i="1"/>
  <c r="Z2473" i="1"/>
  <c r="V2473" i="1"/>
  <c r="U2473" i="1"/>
  <c r="T2473" i="1"/>
  <c r="S2473" i="1"/>
  <c r="R2473" i="1"/>
  <c r="O2473" i="1"/>
  <c r="AD2473" i="1" s="1"/>
  <c r="AI2473" i="1" s="1"/>
  <c r="M2473" i="1"/>
  <c r="AH2472" i="1"/>
  <c r="AF2472" i="1"/>
  <c r="AE2472" i="1"/>
  <c r="AA2472" i="1"/>
  <c r="Z2472" i="1"/>
  <c r="AG2472" i="1" s="1"/>
  <c r="V2472" i="1"/>
  <c r="U2472" i="1"/>
  <c r="T2472" i="1"/>
  <c r="S2472" i="1"/>
  <c r="R2472" i="1"/>
  <c r="O2472" i="1"/>
  <c r="AD2472" i="1" s="1"/>
  <c r="AI2472" i="1" s="1"/>
  <c r="M2472" i="1"/>
  <c r="AH2471" i="1"/>
  <c r="AE2471" i="1"/>
  <c r="AA2471" i="1"/>
  <c r="Z2471" i="1"/>
  <c r="AG2471" i="1" s="1"/>
  <c r="V2471" i="1"/>
  <c r="U2471" i="1"/>
  <c r="T2471" i="1"/>
  <c r="S2471" i="1"/>
  <c r="R2471" i="1"/>
  <c r="AF2471" i="1" s="1"/>
  <c r="AI2471" i="1" s="1"/>
  <c r="O2471" i="1"/>
  <c r="AD2471" i="1" s="1"/>
  <c r="M2471" i="1"/>
  <c r="AH2470" i="1"/>
  <c r="AG2470" i="1"/>
  <c r="AE2470" i="1"/>
  <c r="AA2470" i="1"/>
  <c r="Z2470" i="1"/>
  <c r="V2470" i="1"/>
  <c r="U2470" i="1"/>
  <c r="T2470" i="1"/>
  <c r="S2470" i="1"/>
  <c r="R2470" i="1"/>
  <c r="AF2470" i="1" s="1"/>
  <c r="O2470" i="1"/>
  <c r="AD2470" i="1" s="1"/>
  <c r="AI2470" i="1" s="1"/>
  <c r="M2470" i="1"/>
  <c r="AH2469" i="1"/>
  <c r="AG2469" i="1"/>
  <c r="AF2469" i="1"/>
  <c r="AE2469" i="1"/>
  <c r="AA2469" i="1"/>
  <c r="Z2469" i="1"/>
  <c r="V2469" i="1"/>
  <c r="U2469" i="1"/>
  <c r="T2469" i="1"/>
  <c r="S2469" i="1"/>
  <c r="R2469" i="1"/>
  <c r="O2469" i="1"/>
  <c r="AD2469" i="1" s="1"/>
  <c r="AI2469" i="1" s="1"/>
  <c r="M2469" i="1"/>
  <c r="AH2468" i="1"/>
  <c r="AF2468" i="1"/>
  <c r="AE2468" i="1"/>
  <c r="AA2468" i="1"/>
  <c r="Z2468" i="1"/>
  <c r="AG2468" i="1" s="1"/>
  <c r="V2468" i="1"/>
  <c r="U2468" i="1"/>
  <c r="T2468" i="1"/>
  <c r="S2468" i="1"/>
  <c r="R2468" i="1"/>
  <c r="O2468" i="1"/>
  <c r="AD2468" i="1" s="1"/>
  <c r="M2468" i="1"/>
  <c r="AH2467" i="1"/>
  <c r="AE2467" i="1"/>
  <c r="AA2467" i="1"/>
  <c r="Z2467" i="1"/>
  <c r="AG2467" i="1" s="1"/>
  <c r="V2467" i="1"/>
  <c r="U2467" i="1"/>
  <c r="T2467" i="1"/>
  <c r="S2467" i="1"/>
  <c r="R2467" i="1"/>
  <c r="AF2467" i="1" s="1"/>
  <c r="O2467" i="1"/>
  <c r="AD2467" i="1" s="1"/>
  <c r="AI2467" i="1" s="1"/>
  <c r="M2467" i="1"/>
  <c r="AH2466" i="1"/>
  <c r="AG2466" i="1"/>
  <c r="AE2466" i="1"/>
  <c r="AA2466" i="1"/>
  <c r="Z2466" i="1"/>
  <c r="V2466" i="1"/>
  <c r="U2466" i="1"/>
  <c r="T2466" i="1"/>
  <c r="S2466" i="1"/>
  <c r="R2466" i="1"/>
  <c r="AF2466" i="1" s="1"/>
  <c r="O2466" i="1"/>
  <c r="AD2466" i="1" s="1"/>
  <c r="AI2466" i="1" s="1"/>
  <c r="M2466" i="1"/>
  <c r="AH2465" i="1"/>
  <c r="AG2465" i="1"/>
  <c r="AF2465" i="1"/>
  <c r="AE2465" i="1"/>
  <c r="AA2465" i="1"/>
  <c r="Z2465" i="1"/>
  <c r="V2465" i="1"/>
  <c r="U2465" i="1"/>
  <c r="T2465" i="1"/>
  <c r="S2465" i="1"/>
  <c r="R2465" i="1"/>
  <c r="O2465" i="1"/>
  <c r="AD2465" i="1" s="1"/>
  <c r="AI2465" i="1" s="1"/>
  <c r="M2465" i="1"/>
  <c r="AH2464" i="1"/>
  <c r="AF2464" i="1"/>
  <c r="AE2464" i="1"/>
  <c r="AA2464" i="1"/>
  <c r="Z2464" i="1"/>
  <c r="AG2464" i="1" s="1"/>
  <c r="V2464" i="1"/>
  <c r="U2464" i="1"/>
  <c r="T2464" i="1"/>
  <c r="S2464" i="1"/>
  <c r="R2464" i="1"/>
  <c r="O2464" i="1"/>
  <c r="AD2464" i="1" s="1"/>
  <c r="M2464" i="1"/>
  <c r="AH2463" i="1"/>
  <c r="AE2463" i="1"/>
  <c r="AA2463" i="1"/>
  <c r="Z2463" i="1"/>
  <c r="AG2463" i="1" s="1"/>
  <c r="V2463" i="1"/>
  <c r="U2463" i="1"/>
  <c r="T2463" i="1"/>
  <c r="S2463" i="1"/>
  <c r="R2463" i="1"/>
  <c r="AF2463" i="1" s="1"/>
  <c r="AI2463" i="1" s="1"/>
  <c r="O2463" i="1"/>
  <c r="AD2463" i="1" s="1"/>
  <c r="M2463" i="1"/>
  <c r="AH2462" i="1"/>
  <c r="AG2462" i="1"/>
  <c r="AE2462" i="1"/>
  <c r="AA2462" i="1"/>
  <c r="Z2462" i="1"/>
  <c r="V2462" i="1"/>
  <c r="U2462" i="1"/>
  <c r="T2462" i="1"/>
  <c r="S2462" i="1"/>
  <c r="R2462" i="1"/>
  <c r="AF2462" i="1" s="1"/>
  <c r="O2462" i="1"/>
  <c r="AD2462" i="1" s="1"/>
  <c r="AI2462" i="1" s="1"/>
  <c r="M2462" i="1"/>
  <c r="AH2461" i="1"/>
  <c r="AG2461" i="1"/>
  <c r="AF2461" i="1"/>
  <c r="AE2461" i="1"/>
  <c r="AA2461" i="1"/>
  <c r="Z2461" i="1"/>
  <c r="V2461" i="1"/>
  <c r="U2461" i="1"/>
  <c r="T2461" i="1"/>
  <c r="S2461" i="1"/>
  <c r="R2461" i="1"/>
  <c r="O2461" i="1"/>
  <c r="AD2461" i="1" s="1"/>
  <c r="AI2461" i="1" s="1"/>
  <c r="M2461" i="1"/>
  <c r="AH2460" i="1"/>
  <c r="AF2460" i="1"/>
  <c r="AE2460" i="1"/>
  <c r="AA2460" i="1"/>
  <c r="Z2460" i="1"/>
  <c r="AG2460" i="1" s="1"/>
  <c r="V2460" i="1"/>
  <c r="U2460" i="1"/>
  <c r="T2460" i="1"/>
  <c r="S2460" i="1"/>
  <c r="R2460" i="1"/>
  <c r="O2460" i="1"/>
  <c r="AD2460" i="1" s="1"/>
  <c r="M2460" i="1"/>
  <c r="AI2459" i="1"/>
  <c r="AH2459" i="1"/>
  <c r="AE2459" i="1"/>
  <c r="AA2459" i="1"/>
  <c r="Z2459" i="1"/>
  <c r="AG2459" i="1" s="1"/>
  <c r="V2459" i="1"/>
  <c r="U2459" i="1"/>
  <c r="T2459" i="1"/>
  <c r="S2459" i="1"/>
  <c r="R2459" i="1"/>
  <c r="AF2459" i="1" s="1"/>
  <c r="O2459" i="1"/>
  <c r="AD2459" i="1" s="1"/>
  <c r="M2459" i="1"/>
  <c r="AH2458" i="1"/>
  <c r="AG2458" i="1"/>
  <c r="AE2458" i="1"/>
  <c r="AA2458" i="1"/>
  <c r="Z2458" i="1"/>
  <c r="V2458" i="1"/>
  <c r="U2458" i="1"/>
  <c r="T2458" i="1"/>
  <c r="S2458" i="1"/>
  <c r="R2458" i="1"/>
  <c r="AF2458" i="1" s="1"/>
  <c r="O2458" i="1"/>
  <c r="AD2458" i="1" s="1"/>
  <c r="M2458" i="1"/>
  <c r="AH2457" i="1"/>
  <c r="AG2457" i="1"/>
  <c r="AF2457" i="1"/>
  <c r="AE2457" i="1"/>
  <c r="AA2457" i="1"/>
  <c r="Z2457" i="1"/>
  <c r="V2457" i="1"/>
  <c r="U2457" i="1"/>
  <c r="T2457" i="1"/>
  <c r="S2457" i="1"/>
  <c r="R2457" i="1"/>
  <c r="O2457" i="1"/>
  <c r="AD2457" i="1" s="1"/>
  <c r="AI2457" i="1" s="1"/>
  <c r="M2457" i="1"/>
  <c r="AH2456" i="1"/>
  <c r="AF2456" i="1"/>
  <c r="AE2456" i="1"/>
  <c r="AA2456" i="1"/>
  <c r="Z2456" i="1"/>
  <c r="AG2456" i="1" s="1"/>
  <c r="V2456" i="1"/>
  <c r="U2456" i="1"/>
  <c r="T2456" i="1"/>
  <c r="S2456" i="1"/>
  <c r="R2456" i="1"/>
  <c r="O2456" i="1"/>
  <c r="AD2456" i="1" s="1"/>
  <c r="AI2456" i="1" s="1"/>
  <c r="M2456" i="1"/>
  <c r="AH2455" i="1"/>
  <c r="AE2455" i="1"/>
  <c r="AA2455" i="1"/>
  <c r="Z2455" i="1"/>
  <c r="AG2455" i="1" s="1"/>
  <c r="V2455" i="1"/>
  <c r="U2455" i="1"/>
  <c r="T2455" i="1"/>
  <c r="S2455" i="1"/>
  <c r="R2455" i="1"/>
  <c r="AF2455" i="1" s="1"/>
  <c r="AI2455" i="1" s="1"/>
  <c r="O2455" i="1"/>
  <c r="AD2455" i="1" s="1"/>
  <c r="M2455" i="1"/>
  <c r="AH2454" i="1"/>
  <c r="AG2454" i="1"/>
  <c r="AE2454" i="1"/>
  <c r="AA2454" i="1"/>
  <c r="Z2454" i="1"/>
  <c r="V2454" i="1"/>
  <c r="U2454" i="1"/>
  <c r="T2454" i="1"/>
  <c r="S2454" i="1"/>
  <c r="R2454" i="1"/>
  <c r="AF2454" i="1" s="1"/>
  <c r="O2454" i="1"/>
  <c r="AD2454" i="1" s="1"/>
  <c r="AI2454" i="1" s="1"/>
  <c r="M2454" i="1"/>
  <c r="AH2453" i="1"/>
  <c r="AG2453" i="1"/>
  <c r="AF2453" i="1"/>
  <c r="AE2453" i="1"/>
  <c r="AA2453" i="1"/>
  <c r="Z2453" i="1"/>
  <c r="V2453" i="1"/>
  <c r="U2453" i="1"/>
  <c r="T2453" i="1"/>
  <c r="S2453" i="1"/>
  <c r="R2453" i="1"/>
  <c r="O2453" i="1"/>
  <c r="AD2453" i="1" s="1"/>
  <c r="AI2453" i="1" s="1"/>
  <c r="M2453" i="1"/>
  <c r="AH2452" i="1"/>
  <c r="AF2452" i="1"/>
  <c r="AE2452" i="1"/>
  <c r="AA2452" i="1"/>
  <c r="Z2452" i="1"/>
  <c r="AG2452" i="1" s="1"/>
  <c r="V2452" i="1"/>
  <c r="U2452" i="1"/>
  <c r="T2452" i="1"/>
  <c r="S2452" i="1"/>
  <c r="R2452" i="1"/>
  <c r="O2452" i="1"/>
  <c r="AD2452" i="1" s="1"/>
  <c r="M2452" i="1"/>
  <c r="AH2451" i="1"/>
  <c r="AE2451" i="1"/>
  <c r="AA2451" i="1"/>
  <c r="Z2451" i="1"/>
  <c r="AG2451" i="1" s="1"/>
  <c r="V2451" i="1"/>
  <c r="U2451" i="1"/>
  <c r="T2451" i="1"/>
  <c r="S2451" i="1"/>
  <c r="R2451" i="1"/>
  <c r="AF2451" i="1" s="1"/>
  <c r="O2451" i="1"/>
  <c r="AD2451" i="1" s="1"/>
  <c r="AI2451" i="1" s="1"/>
  <c r="M2451" i="1"/>
  <c r="AH2450" i="1"/>
  <c r="AG2450" i="1"/>
  <c r="AE2450" i="1"/>
  <c r="AA2450" i="1"/>
  <c r="Z2450" i="1"/>
  <c r="V2450" i="1"/>
  <c r="U2450" i="1"/>
  <c r="T2450" i="1"/>
  <c r="S2450" i="1"/>
  <c r="R2450" i="1"/>
  <c r="AF2450" i="1" s="1"/>
  <c r="O2450" i="1"/>
  <c r="AD2450" i="1" s="1"/>
  <c r="AI2450" i="1" s="1"/>
  <c r="M2450" i="1"/>
  <c r="AH2449" i="1"/>
  <c r="AG2449" i="1"/>
  <c r="AF2449" i="1"/>
  <c r="AE2449" i="1"/>
  <c r="AA2449" i="1"/>
  <c r="Z2449" i="1"/>
  <c r="V2449" i="1"/>
  <c r="U2449" i="1"/>
  <c r="T2449" i="1"/>
  <c r="S2449" i="1"/>
  <c r="R2449" i="1"/>
  <c r="O2449" i="1"/>
  <c r="AD2449" i="1" s="1"/>
  <c r="AI2449" i="1" s="1"/>
  <c r="M2449" i="1"/>
  <c r="AH2448" i="1"/>
  <c r="AF2448" i="1"/>
  <c r="AE2448" i="1"/>
  <c r="AA2448" i="1"/>
  <c r="Z2448" i="1"/>
  <c r="AG2448" i="1" s="1"/>
  <c r="V2448" i="1"/>
  <c r="U2448" i="1"/>
  <c r="T2448" i="1"/>
  <c r="S2448" i="1"/>
  <c r="R2448" i="1"/>
  <c r="O2448" i="1"/>
  <c r="AD2448" i="1" s="1"/>
  <c r="M2448" i="1"/>
  <c r="AH2447" i="1"/>
  <c r="AE2447" i="1"/>
  <c r="AA2447" i="1"/>
  <c r="Z2447" i="1"/>
  <c r="AG2447" i="1" s="1"/>
  <c r="V2447" i="1"/>
  <c r="U2447" i="1"/>
  <c r="T2447" i="1"/>
  <c r="S2447" i="1"/>
  <c r="R2447" i="1"/>
  <c r="AF2447" i="1" s="1"/>
  <c r="AI2447" i="1" s="1"/>
  <c r="O2447" i="1"/>
  <c r="AD2447" i="1" s="1"/>
  <c r="M2447" i="1"/>
  <c r="AH2446" i="1"/>
  <c r="AG2446" i="1"/>
  <c r="AE2446" i="1"/>
  <c r="AA2446" i="1"/>
  <c r="Z2446" i="1"/>
  <c r="V2446" i="1"/>
  <c r="U2446" i="1"/>
  <c r="T2446" i="1"/>
  <c r="S2446" i="1"/>
  <c r="R2446" i="1"/>
  <c r="AF2446" i="1" s="1"/>
  <c r="O2446" i="1"/>
  <c r="AD2446" i="1" s="1"/>
  <c r="AI2446" i="1" s="1"/>
  <c r="M2446" i="1"/>
  <c r="AH2445" i="1"/>
  <c r="AF2445" i="1"/>
  <c r="AE2445" i="1"/>
  <c r="AA2445" i="1"/>
  <c r="Z2445" i="1"/>
  <c r="AG2445" i="1" s="1"/>
  <c r="V2445" i="1"/>
  <c r="U2445" i="1"/>
  <c r="T2445" i="1"/>
  <c r="S2445" i="1"/>
  <c r="R2445" i="1"/>
  <c r="O2445" i="1"/>
  <c r="AD2445" i="1" s="1"/>
  <c r="AI2445" i="1" s="1"/>
  <c r="M2445" i="1"/>
  <c r="AH2444" i="1"/>
  <c r="AE2444" i="1"/>
  <c r="AA2444" i="1"/>
  <c r="Z2444" i="1"/>
  <c r="AG2444" i="1" s="1"/>
  <c r="V2444" i="1"/>
  <c r="U2444" i="1"/>
  <c r="T2444" i="1"/>
  <c r="S2444" i="1"/>
  <c r="R2444" i="1"/>
  <c r="AF2444" i="1" s="1"/>
  <c r="O2444" i="1"/>
  <c r="AD2444" i="1" s="1"/>
  <c r="AI2444" i="1" s="1"/>
  <c r="M2444" i="1"/>
  <c r="AH2443" i="1"/>
  <c r="AE2443" i="1"/>
  <c r="AA2443" i="1"/>
  <c r="Z2443" i="1"/>
  <c r="AG2443" i="1" s="1"/>
  <c r="V2443" i="1"/>
  <c r="U2443" i="1"/>
  <c r="T2443" i="1"/>
  <c r="S2443" i="1"/>
  <c r="R2443" i="1"/>
  <c r="AF2443" i="1" s="1"/>
  <c r="O2443" i="1"/>
  <c r="AD2443" i="1" s="1"/>
  <c r="M2443" i="1"/>
  <c r="AH2442" i="1"/>
  <c r="AG2442" i="1"/>
  <c r="AE2442" i="1"/>
  <c r="AA2442" i="1"/>
  <c r="Z2442" i="1"/>
  <c r="V2442" i="1"/>
  <c r="U2442" i="1"/>
  <c r="T2442" i="1"/>
  <c r="S2442" i="1"/>
  <c r="R2442" i="1"/>
  <c r="AF2442" i="1" s="1"/>
  <c r="O2442" i="1"/>
  <c r="AD2442" i="1" s="1"/>
  <c r="AI2442" i="1" s="1"/>
  <c r="M2442" i="1"/>
  <c r="AH2441" i="1"/>
  <c r="AF2441" i="1"/>
  <c r="AE2441" i="1"/>
  <c r="AA2441" i="1"/>
  <c r="Z2441" i="1"/>
  <c r="AG2441" i="1" s="1"/>
  <c r="U2441" i="1"/>
  <c r="T2441" i="1"/>
  <c r="S2441" i="1"/>
  <c r="R2441" i="1"/>
  <c r="O2441" i="1"/>
  <c r="AD2441" i="1" s="1"/>
  <c r="M2441" i="1"/>
  <c r="K2441" i="1"/>
  <c r="V2441" i="1" s="1"/>
  <c r="AH2440" i="1"/>
  <c r="AG2440" i="1"/>
  <c r="AF2440" i="1"/>
  <c r="AE2440" i="1"/>
  <c r="AD2440" i="1"/>
  <c r="AI2440" i="1" s="1"/>
  <c r="AA2440" i="1"/>
  <c r="Z2440" i="1"/>
  <c r="U2440" i="1"/>
  <c r="T2440" i="1"/>
  <c r="S2440" i="1"/>
  <c r="R2440" i="1"/>
  <c r="O2440" i="1"/>
  <c r="M2440" i="1"/>
  <c r="K2440" i="1"/>
  <c r="V2440" i="1" s="1"/>
  <c r="AH2439" i="1"/>
  <c r="AF2439" i="1"/>
  <c r="AE2439" i="1"/>
  <c r="AA2439" i="1"/>
  <c r="Z2439" i="1"/>
  <c r="AG2439" i="1" s="1"/>
  <c r="U2439" i="1"/>
  <c r="T2439" i="1"/>
  <c r="S2439" i="1"/>
  <c r="R2439" i="1"/>
  <c r="O2439" i="1"/>
  <c r="AD2439" i="1" s="1"/>
  <c r="M2439" i="1"/>
  <c r="K2439" i="1"/>
  <c r="V2439" i="1" s="1"/>
  <c r="AH2438" i="1"/>
  <c r="AG2438" i="1"/>
  <c r="AF2438" i="1"/>
  <c r="AE2438" i="1"/>
  <c r="AA2438" i="1"/>
  <c r="Z2438" i="1"/>
  <c r="V2438" i="1"/>
  <c r="U2438" i="1"/>
  <c r="T2438" i="1"/>
  <c r="S2438" i="1"/>
  <c r="R2438" i="1"/>
  <c r="O2438" i="1"/>
  <c r="AD2438" i="1" s="1"/>
  <c r="AI2438" i="1" s="1"/>
  <c r="M2438" i="1"/>
  <c r="AH2437" i="1"/>
  <c r="AE2437" i="1"/>
  <c r="AA2437" i="1"/>
  <c r="Z2437" i="1"/>
  <c r="AG2437" i="1" s="1"/>
  <c r="V2437" i="1"/>
  <c r="U2437" i="1"/>
  <c r="T2437" i="1"/>
  <c r="S2437" i="1"/>
  <c r="R2437" i="1"/>
  <c r="AF2437" i="1" s="1"/>
  <c r="O2437" i="1"/>
  <c r="AD2437" i="1" s="1"/>
  <c r="M2437" i="1"/>
  <c r="AH2436" i="1"/>
  <c r="AE2436" i="1"/>
  <c r="AA2436" i="1"/>
  <c r="Z2436" i="1"/>
  <c r="AG2436" i="1" s="1"/>
  <c r="V2436" i="1"/>
  <c r="U2436" i="1"/>
  <c r="T2436" i="1"/>
  <c r="S2436" i="1"/>
  <c r="R2436" i="1"/>
  <c r="AF2436" i="1" s="1"/>
  <c r="O2436" i="1"/>
  <c r="AD2436" i="1" s="1"/>
  <c r="M2436" i="1"/>
  <c r="AH2435" i="1"/>
  <c r="AG2435" i="1"/>
  <c r="AE2435" i="1"/>
  <c r="AA2435" i="1"/>
  <c r="Z2435" i="1"/>
  <c r="V2435" i="1"/>
  <c r="U2435" i="1"/>
  <c r="T2435" i="1"/>
  <c r="S2435" i="1"/>
  <c r="R2435" i="1"/>
  <c r="AF2435" i="1" s="1"/>
  <c r="O2435" i="1"/>
  <c r="AD2435" i="1" s="1"/>
  <c r="M2435" i="1"/>
  <c r="AH2434" i="1"/>
  <c r="AG2434" i="1"/>
  <c r="AF2434" i="1"/>
  <c r="AE2434" i="1"/>
  <c r="AA2434" i="1"/>
  <c r="Z2434" i="1"/>
  <c r="V2434" i="1"/>
  <c r="U2434" i="1"/>
  <c r="T2434" i="1"/>
  <c r="S2434" i="1"/>
  <c r="R2434" i="1"/>
  <c r="O2434" i="1"/>
  <c r="AD2434" i="1" s="1"/>
  <c r="M2434" i="1"/>
  <c r="AH2433" i="1"/>
  <c r="AE2433" i="1"/>
  <c r="AA2433" i="1"/>
  <c r="Z2433" i="1"/>
  <c r="AG2433" i="1" s="1"/>
  <c r="V2433" i="1"/>
  <c r="U2433" i="1"/>
  <c r="T2433" i="1"/>
  <c r="S2433" i="1"/>
  <c r="R2433" i="1"/>
  <c r="AF2433" i="1" s="1"/>
  <c r="O2433" i="1"/>
  <c r="AD2433" i="1" s="1"/>
  <c r="M2433" i="1"/>
  <c r="AH2432" i="1"/>
  <c r="AE2432" i="1"/>
  <c r="AA2432" i="1"/>
  <c r="Z2432" i="1"/>
  <c r="AG2432" i="1" s="1"/>
  <c r="V2432" i="1"/>
  <c r="U2432" i="1"/>
  <c r="T2432" i="1"/>
  <c r="S2432" i="1"/>
  <c r="R2432" i="1"/>
  <c r="AF2432" i="1" s="1"/>
  <c r="O2432" i="1"/>
  <c r="AD2432" i="1" s="1"/>
  <c r="M2432" i="1"/>
  <c r="AH2431" i="1"/>
  <c r="AG2431" i="1"/>
  <c r="AE2431" i="1"/>
  <c r="AA2431" i="1"/>
  <c r="Z2431" i="1"/>
  <c r="V2431" i="1"/>
  <c r="U2431" i="1"/>
  <c r="T2431" i="1"/>
  <c r="S2431" i="1"/>
  <c r="R2431" i="1"/>
  <c r="AF2431" i="1" s="1"/>
  <c r="O2431" i="1"/>
  <c r="AD2431" i="1" s="1"/>
  <c r="M2431" i="1"/>
  <c r="AH2430" i="1"/>
  <c r="AG2430" i="1"/>
  <c r="AF2430" i="1"/>
  <c r="AE2430" i="1"/>
  <c r="AA2430" i="1"/>
  <c r="Z2430" i="1"/>
  <c r="V2430" i="1"/>
  <c r="U2430" i="1"/>
  <c r="T2430" i="1"/>
  <c r="S2430" i="1"/>
  <c r="R2430" i="1"/>
  <c r="O2430" i="1"/>
  <c r="AD2430" i="1" s="1"/>
  <c r="M2430" i="1"/>
  <c r="AH2429" i="1"/>
  <c r="AE2429" i="1"/>
  <c r="AA2429" i="1"/>
  <c r="Z2429" i="1"/>
  <c r="AG2429" i="1" s="1"/>
  <c r="V2429" i="1"/>
  <c r="U2429" i="1"/>
  <c r="T2429" i="1"/>
  <c r="S2429" i="1"/>
  <c r="R2429" i="1"/>
  <c r="AF2429" i="1" s="1"/>
  <c r="O2429" i="1"/>
  <c r="AD2429" i="1" s="1"/>
  <c r="M2429" i="1"/>
  <c r="AH2428" i="1"/>
  <c r="AE2428" i="1"/>
  <c r="AA2428" i="1"/>
  <c r="Z2428" i="1"/>
  <c r="AG2428" i="1" s="1"/>
  <c r="V2428" i="1"/>
  <c r="U2428" i="1"/>
  <c r="T2428" i="1"/>
  <c r="S2428" i="1"/>
  <c r="R2428" i="1"/>
  <c r="AF2428" i="1" s="1"/>
  <c r="O2428" i="1"/>
  <c r="AD2428" i="1" s="1"/>
  <c r="AI2428" i="1" s="1"/>
  <c r="M2428" i="1"/>
  <c r="AH2427" i="1"/>
  <c r="AG2427" i="1"/>
  <c r="AE2427" i="1"/>
  <c r="AA2427" i="1"/>
  <c r="Z2427" i="1"/>
  <c r="V2427" i="1"/>
  <c r="U2427" i="1"/>
  <c r="T2427" i="1"/>
  <c r="S2427" i="1"/>
  <c r="R2427" i="1"/>
  <c r="AF2427" i="1" s="1"/>
  <c r="O2427" i="1"/>
  <c r="AD2427" i="1" s="1"/>
  <c r="M2427" i="1"/>
  <c r="AH2426" i="1"/>
  <c r="AG2426" i="1"/>
  <c r="AF2426" i="1"/>
  <c r="AE2426" i="1"/>
  <c r="AA2426" i="1"/>
  <c r="Z2426" i="1"/>
  <c r="V2426" i="1"/>
  <c r="U2426" i="1"/>
  <c r="T2426" i="1"/>
  <c r="S2426" i="1"/>
  <c r="R2426" i="1"/>
  <c r="O2426" i="1"/>
  <c r="AD2426" i="1" s="1"/>
  <c r="AI2426" i="1" s="1"/>
  <c r="M2426" i="1"/>
  <c r="AH2425" i="1"/>
  <c r="AE2425" i="1"/>
  <c r="AA2425" i="1"/>
  <c r="Z2425" i="1"/>
  <c r="AG2425" i="1" s="1"/>
  <c r="V2425" i="1"/>
  <c r="U2425" i="1"/>
  <c r="T2425" i="1"/>
  <c r="S2425" i="1"/>
  <c r="R2425" i="1"/>
  <c r="AF2425" i="1" s="1"/>
  <c r="O2425" i="1"/>
  <c r="AD2425" i="1" s="1"/>
  <c r="AI2425" i="1" s="1"/>
  <c r="M2425" i="1"/>
  <c r="AH2424" i="1"/>
  <c r="AE2424" i="1"/>
  <c r="AA2424" i="1"/>
  <c r="Z2424" i="1"/>
  <c r="AG2424" i="1" s="1"/>
  <c r="V2424" i="1"/>
  <c r="U2424" i="1"/>
  <c r="T2424" i="1"/>
  <c r="S2424" i="1"/>
  <c r="R2424" i="1"/>
  <c r="AF2424" i="1" s="1"/>
  <c r="O2424" i="1"/>
  <c r="AD2424" i="1" s="1"/>
  <c r="AI2424" i="1" s="1"/>
  <c r="M2424" i="1"/>
  <c r="AH2423" i="1"/>
  <c r="AG2423" i="1"/>
  <c r="AE2423" i="1"/>
  <c r="AA2423" i="1"/>
  <c r="Z2423" i="1"/>
  <c r="V2423" i="1"/>
  <c r="U2423" i="1"/>
  <c r="T2423" i="1"/>
  <c r="S2423" i="1"/>
  <c r="R2423" i="1"/>
  <c r="AF2423" i="1" s="1"/>
  <c r="O2423" i="1"/>
  <c r="AD2423" i="1" s="1"/>
  <c r="M2423" i="1"/>
  <c r="AH2422" i="1"/>
  <c r="AG2422" i="1"/>
  <c r="AF2422" i="1"/>
  <c r="AE2422" i="1"/>
  <c r="AA2422" i="1"/>
  <c r="Z2422" i="1"/>
  <c r="V2422" i="1"/>
  <c r="U2422" i="1"/>
  <c r="T2422" i="1"/>
  <c r="S2422" i="1"/>
  <c r="R2422" i="1"/>
  <c r="O2422" i="1"/>
  <c r="AD2422" i="1" s="1"/>
  <c r="AI2422" i="1" s="1"/>
  <c r="M2422" i="1"/>
  <c r="AH2421" i="1"/>
  <c r="AE2421" i="1"/>
  <c r="AA2421" i="1"/>
  <c r="Z2421" i="1"/>
  <c r="AG2421" i="1" s="1"/>
  <c r="V2421" i="1"/>
  <c r="U2421" i="1"/>
  <c r="T2421" i="1"/>
  <c r="S2421" i="1"/>
  <c r="R2421" i="1"/>
  <c r="AF2421" i="1" s="1"/>
  <c r="O2421" i="1"/>
  <c r="AD2421" i="1" s="1"/>
  <c r="M2421" i="1"/>
  <c r="AH2420" i="1"/>
  <c r="AE2420" i="1"/>
  <c r="AA2420" i="1"/>
  <c r="Z2420" i="1"/>
  <c r="AG2420" i="1" s="1"/>
  <c r="V2420" i="1"/>
  <c r="U2420" i="1"/>
  <c r="T2420" i="1"/>
  <c r="S2420" i="1"/>
  <c r="R2420" i="1"/>
  <c r="AF2420" i="1" s="1"/>
  <c r="O2420" i="1"/>
  <c r="AD2420" i="1" s="1"/>
  <c r="M2420" i="1"/>
  <c r="AH2419" i="1"/>
  <c r="AG2419" i="1"/>
  <c r="AE2419" i="1"/>
  <c r="AA2419" i="1"/>
  <c r="Z2419" i="1"/>
  <c r="V2419" i="1"/>
  <c r="U2419" i="1"/>
  <c r="T2419" i="1"/>
  <c r="S2419" i="1"/>
  <c r="R2419" i="1"/>
  <c r="AF2419" i="1" s="1"/>
  <c r="O2419" i="1"/>
  <c r="AD2419" i="1" s="1"/>
  <c r="M2419" i="1"/>
  <c r="AH2418" i="1"/>
  <c r="AG2418" i="1"/>
  <c r="AF2418" i="1"/>
  <c r="AE2418" i="1"/>
  <c r="AA2418" i="1"/>
  <c r="Z2418" i="1"/>
  <c r="V2418" i="1"/>
  <c r="U2418" i="1"/>
  <c r="T2418" i="1"/>
  <c r="S2418" i="1"/>
  <c r="R2418" i="1"/>
  <c r="O2418" i="1"/>
  <c r="AD2418" i="1" s="1"/>
  <c r="M2418" i="1"/>
  <c r="AH2417" i="1"/>
  <c r="AE2417" i="1"/>
  <c r="AA2417" i="1"/>
  <c r="Z2417" i="1"/>
  <c r="AG2417" i="1" s="1"/>
  <c r="V2417" i="1"/>
  <c r="U2417" i="1"/>
  <c r="T2417" i="1"/>
  <c r="S2417" i="1"/>
  <c r="R2417" i="1"/>
  <c r="AF2417" i="1" s="1"/>
  <c r="O2417" i="1"/>
  <c r="AD2417" i="1" s="1"/>
  <c r="M2417" i="1"/>
  <c r="AH2416" i="1"/>
  <c r="AE2416" i="1"/>
  <c r="AA2416" i="1"/>
  <c r="Z2416" i="1"/>
  <c r="AG2416" i="1" s="1"/>
  <c r="V2416" i="1"/>
  <c r="U2416" i="1"/>
  <c r="T2416" i="1"/>
  <c r="S2416" i="1"/>
  <c r="R2416" i="1"/>
  <c r="AF2416" i="1" s="1"/>
  <c r="O2416" i="1"/>
  <c r="AD2416" i="1" s="1"/>
  <c r="M2416" i="1"/>
  <c r="AH2415" i="1"/>
  <c r="AG2415" i="1"/>
  <c r="AE2415" i="1"/>
  <c r="AA2415" i="1"/>
  <c r="Z2415" i="1"/>
  <c r="V2415" i="1"/>
  <c r="U2415" i="1"/>
  <c r="T2415" i="1"/>
  <c r="S2415" i="1"/>
  <c r="R2415" i="1"/>
  <c r="AF2415" i="1" s="1"/>
  <c r="O2415" i="1"/>
  <c r="AD2415" i="1" s="1"/>
  <c r="M2415" i="1"/>
  <c r="AH2414" i="1"/>
  <c r="AG2414" i="1"/>
  <c r="AF2414" i="1"/>
  <c r="AE2414" i="1"/>
  <c r="AA2414" i="1"/>
  <c r="Z2414" i="1"/>
  <c r="V2414" i="1"/>
  <c r="U2414" i="1"/>
  <c r="T2414" i="1"/>
  <c r="S2414" i="1"/>
  <c r="R2414" i="1"/>
  <c r="O2414" i="1"/>
  <c r="AD2414" i="1" s="1"/>
  <c r="M2414" i="1"/>
  <c r="AH2413" i="1"/>
  <c r="AE2413" i="1"/>
  <c r="AA2413" i="1"/>
  <c r="Z2413" i="1"/>
  <c r="AG2413" i="1" s="1"/>
  <c r="V2413" i="1"/>
  <c r="U2413" i="1"/>
  <c r="T2413" i="1"/>
  <c r="S2413" i="1"/>
  <c r="R2413" i="1"/>
  <c r="AF2413" i="1" s="1"/>
  <c r="O2413" i="1"/>
  <c r="AD2413" i="1" s="1"/>
  <c r="M2413" i="1"/>
  <c r="AH2412" i="1"/>
  <c r="AE2412" i="1"/>
  <c r="AA2412" i="1"/>
  <c r="Z2412" i="1"/>
  <c r="AG2412" i="1" s="1"/>
  <c r="V2412" i="1"/>
  <c r="U2412" i="1"/>
  <c r="T2412" i="1"/>
  <c r="S2412" i="1"/>
  <c r="R2412" i="1"/>
  <c r="AF2412" i="1" s="1"/>
  <c r="O2412" i="1"/>
  <c r="AD2412" i="1" s="1"/>
  <c r="AI2412" i="1" s="1"/>
  <c r="M2412" i="1"/>
  <c r="AH2411" i="1"/>
  <c r="AG2411" i="1"/>
  <c r="AE2411" i="1"/>
  <c r="AA2411" i="1"/>
  <c r="Z2411" i="1"/>
  <c r="V2411" i="1"/>
  <c r="U2411" i="1"/>
  <c r="T2411" i="1"/>
  <c r="S2411" i="1"/>
  <c r="R2411" i="1"/>
  <c r="AF2411" i="1" s="1"/>
  <c r="O2411" i="1"/>
  <c r="AD2411" i="1" s="1"/>
  <c r="M2411" i="1"/>
  <c r="AH2410" i="1"/>
  <c r="AG2410" i="1"/>
  <c r="AF2410" i="1"/>
  <c r="AE2410" i="1"/>
  <c r="AA2410" i="1"/>
  <c r="Z2410" i="1"/>
  <c r="V2410" i="1"/>
  <c r="U2410" i="1"/>
  <c r="T2410" i="1"/>
  <c r="S2410" i="1"/>
  <c r="R2410" i="1"/>
  <c r="O2410" i="1"/>
  <c r="AD2410" i="1" s="1"/>
  <c r="AI2410" i="1" s="1"/>
  <c r="M2410" i="1"/>
  <c r="AH2409" i="1"/>
  <c r="AE2409" i="1"/>
  <c r="AA2409" i="1"/>
  <c r="Z2409" i="1"/>
  <c r="AG2409" i="1" s="1"/>
  <c r="V2409" i="1"/>
  <c r="U2409" i="1"/>
  <c r="T2409" i="1"/>
  <c r="S2409" i="1"/>
  <c r="R2409" i="1"/>
  <c r="AF2409" i="1" s="1"/>
  <c r="O2409" i="1"/>
  <c r="AD2409" i="1" s="1"/>
  <c r="AI2409" i="1" s="1"/>
  <c r="M2409" i="1"/>
  <c r="AH2408" i="1"/>
  <c r="AE2408" i="1"/>
  <c r="AA2408" i="1"/>
  <c r="Z2408" i="1"/>
  <c r="AG2408" i="1" s="1"/>
  <c r="V2408" i="1"/>
  <c r="U2408" i="1"/>
  <c r="T2408" i="1"/>
  <c r="S2408" i="1"/>
  <c r="R2408" i="1"/>
  <c r="AF2408" i="1" s="1"/>
  <c r="O2408" i="1"/>
  <c r="AD2408" i="1" s="1"/>
  <c r="AI2408" i="1" s="1"/>
  <c r="M2408" i="1"/>
  <c r="AH2407" i="1"/>
  <c r="AG2407" i="1"/>
  <c r="AE2407" i="1"/>
  <c r="AA2407" i="1"/>
  <c r="Z2407" i="1"/>
  <c r="V2407" i="1"/>
  <c r="U2407" i="1"/>
  <c r="T2407" i="1"/>
  <c r="S2407" i="1"/>
  <c r="R2407" i="1"/>
  <c r="AF2407" i="1" s="1"/>
  <c r="O2407" i="1"/>
  <c r="AD2407" i="1" s="1"/>
  <c r="AI2407" i="1" s="1"/>
  <c r="M2407" i="1"/>
  <c r="AH2406" i="1"/>
  <c r="AG2406" i="1"/>
  <c r="AF2406" i="1"/>
  <c r="AE2406" i="1"/>
  <c r="AA2406" i="1"/>
  <c r="Z2406" i="1"/>
  <c r="V2406" i="1"/>
  <c r="U2406" i="1"/>
  <c r="T2406" i="1"/>
  <c r="S2406" i="1"/>
  <c r="R2406" i="1"/>
  <c r="O2406" i="1"/>
  <c r="AD2406" i="1" s="1"/>
  <c r="AI2406" i="1" s="1"/>
  <c r="M2406" i="1"/>
  <c r="AH2405" i="1"/>
  <c r="AF2405" i="1"/>
  <c r="AE2405" i="1"/>
  <c r="AA2405" i="1"/>
  <c r="Z2405" i="1"/>
  <c r="AG2405" i="1" s="1"/>
  <c r="V2405" i="1"/>
  <c r="U2405" i="1"/>
  <c r="T2405" i="1"/>
  <c r="S2405" i="1"/>
  <c r="R2405" i="1"/>
  <c r="O2405" i="1"/>
  <c r="AD2405" i="1" s="1"/>
  <c r="M2405" i="1"/>
  <c r="AH2404" i="1"/>
  <c r="AE2404" i="1"/>
  <c r="AA2404" i="1"/>
  <c r="Z2404" i="1"/>
  <c r="AG2404" i="1" s="1"/>
  <c r="V2404" i="1"/>
  <c r="U2404" i="1"/>
  <c r="T2404" i="1"/>
  <c r="S2404" i="1"/>
  <c r="R2404" i="1"/>
  <c r="AF2404" i="1" s="1"/>
  <c r="O2404" i="1"/>
  <c r="AD2404" i="1" s="1"/>
  <c r="M2404" i="1"/>
  <c r="AH2403" i="1"/>
  <c r="AE2403" i="1"/>
  <c r="AA2403" i="1"/>
  <c r="Z2403" i="1"/>
  <c r="AG2403" i="1" s="1"/>
  <c r="V2403" i="1"/>
  <c r="U2403" i="1"/>
  <c r="T2403" i="1"/>
  <c r="S2403" i="1"/>
  <c r="R2403" i="1"/>
  <c r="AF2403" i="1" s="1"/>
  <c r="O2403" i="1"/>
  <c r="AD2403" i="1" s="1"/>
  <c r="AI2403" i="1" s="1"/>
  <c r="M2403" i="1"/>
  <c r="AH2402" i="1"/>
  <c r="AG2402" i="1"/>
  <c r="AE2402" i="1"/>
  <c r="AA2402" i="1"/>
  <c r="Z2402" i="1"/>
  <c r="V2402" i="1"/>
  <c r="U2402" i="1"/>
  <c r="T2402" i="1"/>
  <c r="S2402" i="1"/>
  <c r="R2402" i="1"/>
  <c r="AF2402" i="1" s="1"/>
  <c r="O2402" i="1"/>
  <c r="AD2402" i="1" s="1"/>
  <c r="M2402" i="1"/>
  <c r="AH2401" i="1"/>
  <c r="AF2401" i="1"/>
  <c r="AE2401" i="1"/>
  <c r="AA2401" i="1"/>
  <c r="Z2401" i="1"/>
  <c r="AG2401" i="1" s="1"/>
  <c r="V2401" i="1"/>
  <c r="U2401" i="1"/>
  <c r="T2401" i="1"/>
  <c r="S2401" i="1"/>
  <c r="R2401" i="1"/>
  <c r="O2401" i="1"/>
  <c r="AD2401" i="1" s="1"/>
  <c r="M2401" i="1"/>
  <c r="AH2400" i="1"/>
  <c r="AE2400" i="1"/>
  <c r="AA2400" i="1"/>
  <c r="Z2400" i="1"/>
  <c r="AG2400" i="1" s="1"/>
  <c r="V2400" i="1"/>
  <c r="U2400" i="1"/>
  <c r="T2400" i="1"/>
  <c r="S2400" i="1"/>
  <c r="R2400" i="1"/>
  <c r="AF2400" i="1" s="1"/>
  <c r="O2400" i="1"/>
  <c r="AD2400" i="1" s="1"/>
  <c r="AI2400" i="1" s="1"/>
  <c r="M2400" i="1"/>
  <c r="AH2399" i="1"/>
  <c r="AE2399" i="1"/>
  <c r="AA2399" i="1"/>
  <c r="Z2399" i="1"/>
  <c r="AG2399" i="1" s="1"/>
  <c r="V2399" i="1"/>
  <c r="U2399" i="1"/>
  <c r="T2399" i="1"/>
  <c r="S2399" i="1"/>
  <c r="R2399" i="1"/>
  <c r="AF2399" i="1" s="1"/>
  <c r="O2399" i="1"/>
  <c r="AD2399" i="1" s="1"/>
  <c r="M2399" i="1"/>
  <c r="AH2398" i="1"/>
  <c r="AG2398" i="1"/>
  <c r="AE2398" i="1"/>
  <c r="AA2398" i="1"/>
  <c r="Z2398" i="1"/>
  <c r="V2398" i="1"/>
  <c r="U2398" i="1"/>
  <c r="T2398" i="1"/>
  <c r="S2398" i="1"/>
  <c r="R2398" i="1"/>
  <c r="AF2398" i="1" s="1"/>
  <c r="O2398" i="1"/>
  <c r="AD2398" i="1" s="1"/>
  <c r="M2398" i="1"/>
  <c r="AH2397" i="1"/>
  <c r="AF2397" i="1"/>
  <c r="AE2397" i="1"/>
  <c r="AA2397" i="1"/>
  <c r="Z2397" i="1"/>
  <c r="AG2397" i="1" s="1"/>
  <c r="V2397" i="1"/>
  <c r="U2397" i="1"/>
  <c r="T2397" i="1"/>
  <c r="S2397" i="1"/>
  <c r="R2397" i="1"/>
  <c r="O2397" i="1"/>
  <c r="AD2397" i="1" s="1"/>
  <c r="M2397" i="1"/>
  <c r="AH2396" i="1"/>
  <c r="AE2396" i="1"/>
  <c r="AA2396" i="1"/>
  <c r="Z2396" i="1"/>
  <c r="AG2396" i="1" s="1"/>
  <c r="V2396" i="1"/>
  <c r="U2396" i="1"/>
  <c r="T2396" i="1"/>
  <c r="S2396" i="1"/>
  <c r="R2396" i="1"/>
  <c r="AF2396" i="1" s="1"/>
  <c r="O2396" i="1"/>
  <c r="AD2396" i="1" s="1"/>
  <c r="M2396" i="1"/>
  <c r="AH2395" i="1"/>
  <c r="AE2395" i="1"/>
  <c r="AA2395" i="1"/>
  <c r="Z2395" i="1"/>
  <c r="AG2395" i="1" s="1"/>
  <c r="V2395" i="1"/>
  <c r="U2395" i="1"/>
  <c r="T2395" i="1"/>
  <c r="S2395" i="1"/>
  <c r="R2395" i="1"/>
  <c r="AF2395" i="1" s="1"/>
  <c r="O2395" i="1"/>
  <c r="AD2395" i="1" s="1"/>
  <c r="AI2395" i="1" s="1"/>
  <c r="M2395" i="1"/>
  <c r="AH2394" i="1"/>
  <c r="AG2394" i="1"/>
  <c r="AE2394" i="1"/>
  <c r="AA2394" i="1"/>
  <c r="Z2394" i="1"/>
  <c r="V2394" i="1"/>
  <c r="U2394" i="1"/>
  <c r="T2394" i="1"/>
  <c r="S2394" i="1"/>
  <c r="R2394" i="1"/>
  <c r="AF2394" i="1" s="1"/>
  <c r="O2394" i="1"/>
  <c r="AD2394" i="1" s="1"/>
  <c r="M2394" i="1"/>
  <c r="AH2393" i="1"/>
  <c r="AF2393" i="1"/>
  <c r="AE2393" i="1"/>
  <c r="AA2393" i="1"/>
  <c r="Z2393" i="1"/>
  <c r="AG2393" i="1" s="1"/>
  <c r="V2393" i="1"/>
  <c r="U2393" i="1"/>
  <c r="T2393" i="1"/>
  <c r="S2393" i="1"/>
  <c r="R2393" i="1"/>
  <c r="O2393" i="1"/>
  <c r="AD2393" i="1" s="1"/>
  <c r="M2393" i="1"/>
  <c r="AH2392" i="1"/>
  <c r="AE2392" i="1"/>
  <c r="AA2392" i="1"/>
  <c r="Z2392" i="1"/>
  <c r="AG2392" i="1" s="1"/>
  <c r="V2392" i="1"/>
  <c r="U2392" i="1"/>
  <c r="T2392" i="1"/>
  <c r="S2392" i="1"/>
  <c r="R2392" i="1"/>
  <c r="AF2392" i="1" s="1"/>
  <c r="O2392" i="1"/>
  <c r="AD2392" i="1" s="1"/>
  <c r="AI2392" i="1" s="1"/>
  <c r="M2392" i="1"/>
  <c r="AH2391" i="1"/>
  <c r="AE2391" i="1"/>
  <c r="AA2391" i="1"/>
  <c r="Z2391" i="1"/>
  <c r="AG2391" i="1" s="1"/>
  <c r="V2391" i="1"/>
  <c r="U2391" i="1"/>
  <c r="T2391" i="1"/>
  <c r="S2391" i="1"/>
  <c r="R2391" i="1"/>
  <c r="AF2391" i="1" s="1"/>
  <c r="O2391" i="1"/>
  <c r="AD2391" i="1" s="1"/>
  <c r="M2391" i="1"/>
  <c r="AH2390" i="1"/>
  <c r="AG2390" i="1"/>
  <c r="AE2390" i="1"/>
  <c r="AA2390" i="1"/>
  <c r="Z2390" i="1"/>
  <c r="V2390" i="1"/>
  <c r="U2390" i="1"/>
  <c r="T2390" i="1"/>
  <c r="S2390" i="1"/>
  <c r="R2390" i="1"/>
  <c r="AF2390" i="1" s="1"/>
  <c r="O2390" i="1"/>
  <c r="AD2390" i="1" s="1"/>
  <c r="M2390" i="1"/>
  <c r="AH2389" i="1"/>
  <c r="AF2389" i="1"/>
  <c r="AE2389" i="1"/>
  <c r="AA2389" i="1"/>
  <c r="Z2389" i="1"/>
  <c r="AG2389" i="1" s="1"/>
  <c r="V2389" i="1"/>
  <c r="U2389" i="1"/>
  <c r="T2389" i="1"/>
  <c r="S2389" i="1"/>
  <c r="R2389" i="1"/>
  <c r="O2389" i="1"/>
  <c r="AD2389" i="1" s="1"/>
  <c r="M2389" i="1"/>
  <c r="AH2388" i="1"/>
  <c r="AE2388" i="1"/>
  <c r="AA2388" i="1"/>
  <c r="Z2388" i="1"/>
  <c r="AG2388" i="1" s="1"/>
  <c r="V2388" i="1"/>
  <c r="U2388" i="1"/>
  <c r="T2388" i="1"/>
  <c r="S2388" i="1"/>
  <c r="R2388" i="1"/>
  <c r="AF2388" i="1" s="1"/>
  <c r="O2388" i="1"/>
  <c r="AD2388" i="1" s="1"/>
  <c r="M2388" i="1"/>
  <c r="AH2387" i="1"/>
  <c r="AE2387" i="1"/>
  <c r="AA2387" i="1"/>
  <c r="Z2387" i="1"/>
  <c r="AG2387" i="1" s="1"/>
  <c r="V2387" i="1"/>
  <c r="U2387" i="1"/>
  <c r="T2387" i="1"/>
  <c r="S2387" i="1"/>
  <c r="R2387" i="1"/>
  <c r="AF2387" i="1" s="1"/>
  <c r="O2387" i="1"/>
  <c r="AD2387" i="1" s="1"/>
  <c r="AI2387" i="1" s="1"/>
  <c r="M2387" i="1"/>
  <c r="AH2386" i="1"/>
  <c r="AG2386" i="1"/>
  <c r="AE2386" i="1"/>
  <c r="AA2386" i="1"/>
  <c r="Z2386" i="1"/>
  <c r="V2386" i="1"/>
  <c r="U2386" i="1"/>
  <c r="T2386" i="1"/>
  <c r="S2386" i="1"/>
  <c r="R2386" i="1"/>
  <c r="AF2386" i="1" s="1"/>
  <c r="O2386" i="1"/>
  <c r="AD2386" i="1" s="1"/>
  <c r="M2386" i="1"/>
  <c r="AH2385" i="1"/>
  <c r="AF2385" i="1"/>
  <c r="AE2385" i="1"/>
  <c r="AA2385" i="1"/>
  <c r="Z2385" i="1"/>
  <c r="AG2385" i="1" s="1"/>
  <c r="V2385" i="1"/>
  <c r="U2385" i="1"/>
  <c r="T2385" i="1"/>
  <c r="S2385" i="1"/>
  <c r="R2385" i="1"/>
  <c r="O2385" i="1"/>
  <c r="AD2385" i="1" s="1"/>
  <c r="M2385" i="1"/>
  <c r="AH2384" i="1"/>
  <c r="AE2384" i="1"/>
  <c r="AA2384" i="1"/>
  <c r="Z2384" i="1"/>
  <c r="AG2384" i="1" s="1"/>
  <c r="V2384" i="1"/>
  <c r="U2384" i="1"/>
  <c r="T2384" i="1"/>
  <c r="S2384" i="1"/>
  <c r="R2384" i="1"/>
  <c r="AF2384" i="1" s="1"/>
  <c r="O2384" i="1"/>
  <c r="AD2384" i="1" s="1"/>
  <c r="AI2384" i="1" s="1"/>
  <c r="M2384" i="1"/>
  <c r="AH2383" i="1"/>
  <c r="AE2383" i="1"/>
  <c r="AA2383" i="1"/>
  <c r="Z2383" i="1"/>
  <c r="AG2383" i="1" s="1"/>
  <c r="V2383" i="1"/>
  <c r="U2383" i="1"/>
  <c r="T2383" i="1"/>
  <c r="S2383" i="1"/>
  <c r="R2383" i="1"/>
  <c r="AF2383" i="1" s="1"/>
  <c r="O2383" i="1"/>
  <c r="AD2383" i="1" s="1"/>
  <c r="M2383" i="1"/>
  <c r="AH2382" i="1"/>
  <c r="AG2382" i="1"/>
  <c r="AE2382" i="1"/>
  <c r="AA2382" i="1"/>
  <c r="Z2382" i="1"/>
  <c r="V2382" i="1"/>
  <c r="U2382" i="1"/>
  <c r="T2382" i="1"/>
  <c r="S2382" i="1"/>
  <c r="R2382" i="1"/>
  <c r="AF2382" i="1" s="1"/>
  <c r="O2382" i="1"/>
  <c r="AD2382" i="1" s="1"/>
  <c r="M2382" i="1"/>
  <c r="AH2381" i="1"/>
  <c r="AF2381" i="1"/>
  <c r="AE2381" i="1"/>
  <c r="AA2381" i="1"/>
  <c r="Z2381" i="1"/>
  <c r="AG2381" i="1" s="1"/>
  <c r="V2381" i="1"/>
  <c r="U2381" i="1"/>
  <c r="T2381" i="1"/>
  <c r="S2381" i="1"/>
  <c r="R2381" i="1"/>
  <c r="O2381" i="1"/>
  <c r="AD2381" i="1" s="1"/>
  <c r="M2381" i="1"/>
  <c r="AH2380" i="1"/>
  <c r="AE2380" i="1"/>
  <c r="AA2380" i="1"/>
  <c r="Z2380" i="1"/>
  <c r="AG2380" i="1" s="1"/>
  <c r="V2380" i="1"/>
  <c r="U2380" i="1"/>
  <c r="T2380" i="1"/>
  <c r="S2380" i="1"/>
  <c r="R2380" i="1"/>
  <c r="AF2380" i="1" s="1"/>
  <c r="O2380" i="1"/>
  <c r="AD2380" i="1" s="1"/>
  <c r="M2380" i="1"/>
  <c r="AH2379" i="1"/>
  <c r="AE2379" i="1"/>
  <c r="AA2379" i="1"/>
  <c r="Z2379" i="1"/>
  <c r="AG2379" i="1" s="1"/>
  <c r="V2379" i="1"/>
  <c r="U2379" i="1"/>
  <c r="T2379" i="1"/>
  <c r="S2379" i="1"/>
  <c r="R2379" i="1"/>
  <c r="AF2379" i="1" s="1"/>
  <c r="O2379" i="1"/>
  <c r="AD2379" i="1" s="1"/>
  <c r="AI2379" i="1" s="1"/>
  <c r="M2379" i="1"/>
  <c r="AH2378" i="1"/>
  <c r="AG2378" i="1"/>
  <c r="AE2378" i="1"/>
  <c r="AA2378" i="1"/>
  <c r="Z2378" i="1"/>
  <c r="V2378" i="1"/>
  <c r="U2378" i="1"/>
  <c r="T2378" i="1"/>
  <c r="S2378" i="1"/>
  <c r="R2378" i="1"/>
  <c r="AF2378" i="1" s="1"/>
  <c r="O2378" i="1"/>
  <c r="AD2378" i="1" s="1"/>
  <c r="M2378" i="1"/>
  <c r="AH2377" i="1"/>
  <c r="AF2377" i="1"/>
  <c r="AE2377" i="1"/>
  <c r="AA2377" i="1"/>
  <c r="Z2377" i="1"/>
  <c r="AG2377" i="1" s="1"/>
  <c r="V2377" i="1"/>
  <c r="U2377" i="1"/>
  <c r="T2377" i="1"/>
  <c r="S2377" i="1"/>
  <c r="R2377" i="1"/>
  <c r="O2377" i="1"/>
  <c r="AD2377" i="1" s="1"/>
  <c r="M2377" i="1"/>
  <c r="AH2376" i="1"/>
  <c r="AE2376" i="1"/>
  <c r="AA2376" i="1"/>
  <c r="Z2376" i="1"/>
  <c r="AG2376" i="1" s="1"/>
  <c r="V2376" i="1"/>
  <c r="U2376" i="1"/>
  <c r="T2376" i="1"/>
  <c r="S2376" i="1"/>
  <c r="R2376" i="1"/>
  <c r="AF2376" i="1" s="1"/>
  <c r="O2376" i="1"/>
  <c r="AD2376" i="1" s="1"/>
  <c r="AI2376" i="1" s="1"/>
  <c r="M2376" i="1"/>
  <c r="AH2375" i="1"/>
  <c r="AE2375" i="1"/>
  <c r="AA2375" i="1"/>
  <c r="Z2375" i="1"/>
  <c r="AG2375" i="1" s="1"/>
  <c r="V2375" i="1"/>
  <c r="U2375" i="1"/>
  <c r="T2375" i="1"/>
  <c r="S2375" i="1"/>
  <c r="R2375" i="1"/>
  <c r="AF2375" i="1" s="1"/>
  <c r="O2375" i="1"/>
  <c r="AD2375" i="1" s="1"/>
  <c r="M2375" i="1"/>
  <c r="AH2374" i="1"/>
  <c r="AG2374" i="1"/>
  <c r="AE2374" i="1"/>
  <c r="AA2374" i="1"/>
  <c r="Z2374" i="1"/>
  <c r="V2374" i="1"/>
  <c r="U2374" i="1"/>
  <c r="T2374" i="1"/>
  <c r="S2374" i="1"/>
  <c r="R2374" i="1"/>
  <c r="AF2374" i="1" s="1"/>
  <c r="O2374" i="1"/>
  <c r="AD2374" i="1" s="1"/>
  <c r="M2374" i="1"/>
  <c r="AH2373" i="1"/>
  <c r="AF2373" i="1"/>
  <c r="AE2373" i="1"/>
  <c r="AA2373" i="1"/>
  <c r="Z2373" i="1"/>
  <c r="AG2373" i="1" s="1"/>
  <c r="V2373" i="1"/>
  <c r="U2373" i="1"/>
  <c r="T2373" i="1"/>
  <c r="S2373" i="1"/>
  <c r="R2373" i="1"/>
  <c r="O2373" i="1"/>
  <c r="AD2373" i="1" s="1"/>
  <c r="M2373" i="1"/>
  <c r="AH2372" i="1"/>
  <c r="AE2372" i="1"/>
  <c r="AA2372" i="1"/>
  <c r="Z2372" i="1"/>
  <c r="AG2372" i="1" s="1"/>
  <c r="V2372" i="1"/>
  <c r="U2372" i="1"/>
  <c r="T2372" i="1"/>
  <c r="S2372" i="1"/>
  <c r="R2372" i="1"/>
  <c r="AF2372" i="1" s="1"/>
  <c r="O2372" i="1"/>
  <c r="AD2372" i="1" s="1"/>
  <c r="M2372" i="1"/>
  <c r="AH2371" i="1"/>
  <c r="AE2371" i="1"/>
  <c r="AA2371" i="1"/>
  <c r="Z2371" i="1"/>
  <c r="AG2371" i="1" s="1"/>
  <c r="V2371" i="1"/>
  <c r="U2371" i="1"/>
  <c r="T2371" i="1"/>
  <c r="S2371" i="1"/>
  <c r="R2371" i="1"/>
  <c r="AF2371" i="1" s="1"/>
  <c r="O2371" i="1"/>
  <c r="AD2371" i="1" s="1"/>
  <c r="AI2371" i="1" s="1"/>
  <c r="M2371" i="1"/>
  <c r="AH2370" i="1"/>
  <c r="AG2370" i="1"/>
  <c r="AE2370" i="1"/>
  <c r="AA2370" i="1"/>
  <c r="Z2370" i="1"/>
  <c r="V2370" i="1"/>
  <c r="U2370" i="1"/>
  <c r="T2370" i="1"/>
  <c r="S2370" i="1"/>
  <c r="R2370" i="1"/>
  <c r="AF2370" i="1" s="1"/>
  <c r="O2370" i="1"/>
  <c r="AD2370" i="1" s="1"/>
  <c r="M2370" i="1"/>
  <c r="AH2369" i="1"/>
  <c r="AF2369" i="1"/>
  <c r="AE2369" i="1"/>
  <c r="AA2369" i="1"/>
  <c r="Z2369" i="1"/>
  <c r="AG2369" i="1" s="1"/>
  <c r="V2369" i="1"/>
  <c r="U2369" i="1"/>
  <c r="T2369" i="1"/>
  <c r="S2369" i="1"/>
  <c r="R2369" i="1"/>
  <c r="O2369" i="1"/>
  <c r="AD2369" i="1" s="1"/>
  <c r="M2369" i="1"/>
  <c r="AH2368" i="1"/>
  <c r="AE2368" i="1"/>
  <c r="AA2368" i="1"/>
  <c r="Z2368" i="1"/>
  <c r="AG2368" i="1" s="1"/>
  <c r="V2368" i="1"/>
  <c r="U2368" i="1"/>
  <c r="T2368" i="1"/>
  <c r="S2368" i="1"/>
  <c r="R2368" i="1"/>
  <c r="AF2368" i="1" s="1"/>
  <c r="O2368" i="1"/>
  <c r="AD2368" i="1" s="1"/>
  <c r="AI2368" i="1" s="1"/>
  <c r="M2368" i="1"/>
  <c r="AH2367" i="1"/>
  <c r="AE2367" i="1"/>
  <c r="AA2367" i="1"/>
  <c r="Z2367" i="1"/>
  <c r="AG2367" i="1" s="1"/>
  <c r="V2367" i="1"/>
  <c r="U2367" i="1"/>
  <c r="T2367" i="1"/>
  <c r="S2367" i="1"/>
  <c r="R2367" i="1"/>
  <c r="AF2367" i="1" s="1"/>
  <c r="O2367" i="1"/>
  <c r="AD2367" i="1" s="1"/>
  <c r="M2367" i="1"/>
  <c r="AH2366" i="1"/>
  <c r="AG2366" i="1"/>
  <c r="AE2366" i="1"/>
  <c r="AA2366" i="1"/>
  <c r="Z2366" i="1"/>
  <c r="V2366" i="1"/>
  <c r="U2366" i="1"/>
  <c r="T2366" i="1"/>
  <c r="S2366" i="1"/>
  <c r="R2366" i="1"/>
  <c r="AF2366" i="1" s="1"/>
  <c r="O2366" i="1"/>
  <c r="AD2366" i="1" s="1"/>
  <c r="M2366" i="1"/>
  <c r="AH2365" i="1"/>
  <c r="AF2365" i="1"/>
  <c r="AE2365" i="1"/>
  <c r="AA2365" i="1"/>
  <c r="Z2365" i="1"/>
  <c r="AG2365" i="1" s="1"/>
  <c r="V2365" i="1"/>
  <c r="U2365" i="1"/>
  <c r="T2365" i="1"/>
  <c r="S2365" i="1"/>
  <c r="R2365" i="1"/>
  <c r="O2365" i="1"/>
  <c r="AD2365" i="1" s="1"/>
  <c r="M2365" i="1"/>
  <c r="AH2364" i="1"/>
  <c r="AE2364" i="1"/>
  <c r="AA2364" i="1"/>
  <c r="Z2364" i="1"/>
  <c r="AG2364" i="1" s="1"/>
  <c r="V2364" i="1"/>
  <c r="U2364" i="1"/>
  <c r="T2364" i="1"/>
  <c r="S2364" i="1"/>
  <c r="R2364" i="1"/>
  <c r="AF2364" i="1" s="1"/>
  <c r="O2364" i="1"/>
  <c r="AD2364" i="1" s="1"/>
  <c r="M2364" i="1"/>
  <c r="AH2363" i="1"/>
  <c r="AE2363" i="1"/>
  <c r="AA2363" i="1"/>
  <c r="Z2363" i="1"/>
  <c r="AG2363" i="1" s="1"/>
  <c r="V2363" i="1"/>
  <c r="U2363" i="1"/>
  <c r="T2363" i="1"/>
  <c r="S2363" i="1"/>
  <c r="R2363" i="1"/>
  <c r="AF2363" i="1" s="1"/>
  <c r="O2363" i="1"/>
  <c r="AD2363" i="1" s="1"/>
  <c r="AI2363" i="1" s="1"/>
  <c r="M2363" i="1"/>
  <c r="AH2362" i="1"/>
  <c r="AG2362" i="1"/>
  <c r="AE2362" i="1"/>
  <c r="AA2362" i="1"/>
  <c r="Z2362" i="1"/>
  <c r="V2362" i="1"/>
  <c r="U2362" i="1"/>
  <c r="T2362" i="1"/>
  <c r="S2362" i="1"/>
  <c r="R2362" i="1"/>
  <c r="AF2362" i="1" s="1"/>
  <c r="O2362" i="1"/>
  <c r="AD2362" i="1" s="1"/>
  <c r="M2362" i="1"/>
  <c r="AH2361" i="1"/>
  <c r="AF2361" i="1"/>
  <c r="AE2361" i="1"/>
  <c r="AA2361" i="1"/>
  <c r="Z2361" i="1"/>
  <c r="AG2361" i="1" s="1"/>
  <c r="V2361" i="1"/>
  <c r="U2361" i="1"/>
  <c r="T2361" i="1"/>
  <c r="S2361" i="1"/>
  <c r="R2361" i="1"/>
  <c r="O2361" i="1"/>
  <c r="AD2361" i="1" s="1"/>
  <c r="M2361" i="1"/>
  <c r="AH2360" i="1"/>
  <c r="AE2360" i="1"/>
  <c r="AA2360" i="1"/>
  <c r="Z2360" i="1"/>
  <c r="AG2360" i="1" s="1"/>
  <c r="V2360" i="1"/>
  <c r="U2360" i="1"/>
  <c r="T2360" i="1"/>
  <c r="S2360" i="1"/>
  <c r="R2360" i="1"/>
  <c r="AF2360" i="1" s="1"/>
  <c r="O2360" i="1"/>
  <c r="AD2360" i="1" s="1"/>
  <c r="AI2360" i="1" s="1"/>
  <c r="M2360" i="1"/>
  <c r="AH2359" i="1"/>
  <c r="AE2359" i="1"/>
  <c r="AA2359" i="1"/>
  <c r="Z2359" i="1"/>
  <c r="AG2359" i="1" s="1"/>
  <c r="V2359" i="1"/>
  <c r="U2359" i="1"/>
  <c r="T2359" i="1"/>
  <c r="S2359" i="1"/>
  <c r="R2359" i="1"/>
  <c r="AF2359" i="1" s="1"/>
  <c r="O2359" i="1"/>
  <c r="AD2359" i="1" s="1"/>
  <c r="M2359" i="1"/>
  <c r="AH2358" i="1"/>
  <c r="AG2358" i="1"/>
  <c r="AE2358" i="1"/>
  <c r="AA2358" i="1"/>
  <c r="Z2358" i="1"/>
  <c r="V2358" i="1"/>
  <c r="U2358" i="1"/>
  <c r="T2358" i="1"/>
  <c r="S2358" i="1"/>
  <c r="R2358" i="1"/>
  <c r="AF2358" i="1" s="1"/>
  <c r="O2358" i="1"/>
  <c r="AD2358" i="1" s="1"/>
  <c r="M2358" i="1"/>
  <c r="AH2357" i="1"/>
  <c r="AF2357" i="1"/>
  <c r="AE2357" i="1"/>
  <c r="AA2357" i="1"/>
  <c r="Z2357" i="1"/>
  <c r="AG2357" i="1" s="1"/>
  <c r="V2357" i="1"/>
  <c r="U2357" i="1"/>
  <c r="T2357" i="1"/>
  <c r="S2357" i="1"/>
  <c r="R2357" i="1"/>
  <c r="O2357" i="1"/>
  <c r="AD2357" i="1" s="1"/>
  <c r="M2357" i="1"/>
  <c r="AH2356" i="1"/>
  <c r="AE2356" i="1"/>
  <c r="AA2356" i="1"/>
  <c r="Z2356" i="1"/>
  <c r="AG2356" i="1" s="1"/>
  <c r="V2356" i="1"/>
  <c r="U2356" i="1"/>
  <c r="T2356" i="1"/>
  <c r="S2356" i="1"/>
  <c r="R2356" i="1"/>
  <c r="AF2356" i="1" s="1"/>
  <c r="O2356" i="1"/>
  <c r="AD2356" i="1" s="1"/>
  <c r="M2356" i="1"/>
  <c r="AH2355" i="1"/>
  <c r="AE2355" i="1"/>
  <c r="AA2355" i="1"/>
  <c r="Z2355" i="1"/>
  <c r="AG2355" i="1" s="1"/>
  <c r="V2355" i="1"/>
  <c r="U2355" i="1"/>
  <c r="T2355" i="1"/>
  <c r="S2355" i="1"/>
  <c r="R2355" i="1"/>
  <c r="AF2355" i="1" s="1"/>
  <c r="O2355" i="1"/>
  <c r="AD2355" i="1" s="1"/>
  <c r="AI2355" i="1" s="1"/>
  <c r="M2355" i="1"/>
  <c r="AH2354" i="1"/>
  <c r="AG2354" i="1"/>
  <c r="AE2354" i="1"/>
  <c r="AA2354" i="1"/>
  <c r="Z2354" i="1"/>
  <c r="V2354" i="1"/>
  <c r="U2354" i="1"/>
  <c r="T2354" i="1"/>
  <c r="S2354" i="1"/>
  <c r="R2354" i="1"/>
  <c r="AF2354" i="1" s="1"/>
  <c r="O2354" i="1"/>
  <c r="AD2354" i="1" s="1"/>
  <c r="M2354" i="1"/>
  <c r="AH2353" i="1"/>
  <c r="AF2353" i="1"/>
  <c r="AE2353" i="1"/>
  <c r="AA2353" i="1"/>
  <c r="Z2353" i="1"/>
  <c r="AG2353" i="1" s="1"/>
  <c r="V2353" i="1"/>
  <c r="U2353" i="1"/>
  <c r="T2353" i="1"/>
  <c r="S2353" i="1"/>
  <c r="R2353" i="1"/>
  <c r="O2353" i="1"/>
  <c r="AD2353" i="1" s="1"/>
  <c r="M2353" i="1"/>
  <c r="AH2352" i="1"/>
  <c r="AE2352" i="1"/>
  <c r="AA2352" i="1"/>
  <c r="Z2352" i="1"/>
  <c r="AG2352" i="1" s="1"/>
  <c r="V2352" i="1"/>
  <c r="U2352" i="1"/>
  <c r="T2352" i="1"/>
  <c r="S2352" i="1"/>
  <c r="R2352" i="1"/>
  <c r="AF2352" i="1" s="1"/>
  <c r="O2352" i="1"/>
  <c r="AD2352" i="1" s="1"/>
  <c r="AI2352" i="1" s="1"/>
  <c r="M2352" i="1"/>
  <c r="AH2351" i="1"/>
  <c r="AE2351" i="1"/>
  <c r="AA2351" i="1"/>
  <c r="Z2351" i="1"/>
  <c r="AG2351" i="1" s="1"/>
  <c r="V2351" i="1"/>
  <c r="U2351" i="1"/>
  <c r="T2351" i="1"/>
  <c r="S2351" i="1"/>
  <c r="R2351" i="1"/>
  <c r="AF2351" i="1" s="1"/>
  <c r="O2351" i="1"/>
  <c r="AD2351" i="1" s="1"/>
  <c r="M2351" i="1"/>
  <c r="AH2350" i="1"/>
  <c r="AG2350" i="1"/>
  <c r="AE2350" i="1"/>
  <c r="AA2350" i="1"/>
  <c r="Z2350" i="1"/>
  <c r="V2350" i="1"/>
  <c r="U2350" i="1"/>
  <c r="T2350" i="1"/>
  <c r="S2350" i="1"/>
  <c r="R2350" i="1"/>
  <c r="AF2350" i="1" s="1"/>
  <c r="O2350" i="1"/>
  <c r="AD2350" i="1" s="1"/>
  <c r="M2350" i="1"/>
  <c r="AH2349" i="1"/>
  <c r="AF2349" i="1"/>
  <c r="AE2349" i="1"/>
  <c r="AA2349" i="1"/>
  <c r="Z2349" i="1"/>
  <c r="AG2349" i="1" s="1"/>
  <c r="V2349" i="1"/>
  <c r="U2349" i="1"/>
  <c r="T2349" i="1"/>
  <c r="S2349" i="1"/>
  <c r="R2349" i="1"/>
  <c r="O2349" i="1"/>
  <c r="AD2349" i="1" s="1"/>
  <c r="M2349" i="1"/>
  <c r="AH2348" i="1"/>
  <c r="AE2348" i="1"/>
  <c r="AA2348" i="1"/>
  <c r="Z2348" i="1"/>
  <c r="AG2348" i="1" s="1"/>
  <c r="V2348" i="1"/>
  <c r="U2348" i="1"/>
  <c r="T2348" i="1"/>
  <c r="S2348" i="1"/>
  <c r="R2348" i="1"/>
  <c r="AF2348" i="1" s="1"/>
  <c r="O2348" i="1"/>
  <c r="AD2348" i="1" s="1"/>
  <c r="M2348" i="1"/>
  <c r="AH2347" i="1"/>
  <c r="AE2347" i="1"/>
  <c r="AA2347" i="1"/>
  <c r="Z2347" i="1"/>
  <c r="AG2347" i="1" s="1"/>
  <c r="V2347" i="1"/>
  <c r="U2347" i="1"/>
  <c r="T2347" i="1"/>
  <c r="S2347" i="1"/>
  <c r="R2347" i="1"/>
  <c r="AF2347" i="1" s="1"/>
  <c r="O2347" i="1"/>
  <c r="AD2347" i="1" s="1"/>
  <c r="AI2347" i="1" s="1"/>
  <c r="M2347" i="1"/>
  <c r="AH2346" i="1"/>
  <c r="AG2346" i="1"/>
  <c r="AE2346" i="1"/>
  <c r="AA2346" i="1"/>
  <c r="Z2346" i="1"/>
  <c r="V2346" i="1"/>
  <c r="U2346" i="1"/>
  <c r="T2346" i="1"/>
  <c r="S2346" i="1"/>
  <c r="R2346" i="1"/>
  <c r="AF2346" i="1" s="1"/>
  <c r="O2346" i="1"/>
  <c r="AD2346" i="1" s="1"/>
  <c r="M2346" i="1"/>
  <c r="AH2345" i="1"/>
  <c r="AF2345" i="1"/>
  <c r="AE2345" i="1"/>
  <c r="AA2345" i="1"/>
  <c r="Z2345" i="1"/>
  <c r="AG2345" i="1" s="1"/>
  <c r="V2345" i="1"/>
  <c r="U2345" i="1"/>
  <c r="T2345" i="1"/>
  <c r="S2345" i="1"/>
  <c r="R2345" i="1"/>
  <c r="O2345" i="1"/>
  <c r="AD2345" i="1" s="1"/>
  <c r="M2345" i="1"/>
  <c r="AH2344" i="1"/>
  <c r="AE2344" i="1"/>
  <c r="AA2344" i="1"/>
  <c r="Z2344" i="1"/>
  <c r="AG2344" i="1" s="1"/>
  <c r="V2344" i="1"/>
  <c r="U2344" i="1"/>
  <c r="T2344" i="1"/>
  <c r="S2344" i="1"/>
  <c r="R2344" i="1"/>
  <c r="AF2344" i="1" s="1"/>
  <c r="O2344" i="1"/>
  <c r="AD2344" i="1" s="1"/>
  <c r="AI2344" i="1" s="1"/>
  <c r="M2344" i="1"/>
  <c r="AH2343" i="1"/>
  <c r="AE2343" i="1"/>
  <c r="AA2343" i="1"/>
  <c r="Z2343" i="1"/>
  <c r="AG2343" i="1" s="1"/>
  <c r="V2343" i="1"/>
  <c r="U2343" i="1"/>
  <c r="T2343" i="1"/>
  <c r="S2343" i="1"/>
  <c r="R2343" i="1"/>
  <c r="AF2343" i="1" s="1"/>
  <c r="O2343" i="1"/>
  <c r="AD2343" i="1" s="1"/>
  <c r="M2343" i="1"/>
  <c r="AH2342" i="1"/>
  <c r="AG2342" i="1"/>
  <c r="AE2342" i="1"/>
  <c r="AA2342" i="1"/>
  <c r="Z2342" i="1"/>
  <c r="V2342" i="1"/>
  <c r="U2342" i="1"/>
  <c r="T2342" i="1"/>
  <c r="S2342" i="1"/>
  <c r="R2342" i="1"/>
  <c r="AF2342" i="1" s="1"/>
  <c r="O2342" i="1"/>
  <c r="AD2342" i="1" s="1"/>
  <c r="M2342" i="1"/>
  <c r="AH2341" i="1"/>
  <c r="AF2341" i="1"/>
  <c r="AE2341" i="1"/>
  <c r="AA2341" i="1"/>
  <c r="Z2341" i="1"/>
  <c r="AG2341" i="1" s="1"/>
  <c r="V2341" i="1"/>
  <c r="U2341" i="1"/>
  <c r="T2341" i="1"/>
  <c r="S2341" i="1"/>
  <c r="R2341" i="1"/>
  <c r="O2341" i="1"/>
  <c r="AD2341" i="1" s="1"/>
  <c r="M2341" i="1"/>
  <c r="AH2340" i="1"/>
  <c r="AE2340" i="1"/>
  <c r="AA2340" i="1"/>
  <c r="Z2340" i="1"/>
  <c r="AG2340" i="1" s="1"/>
  <c r="V2340" i="1"/>
  <c r="U2340" i="1"/>
  <c r="T2340" i="1"/>
  <c r="S2340" i="1"/>
  <c r="R2340" i="1"/>
  <c r="AF2340" i="1" s="1"/>
  <c r="O2340" i="1"/>
  <c r="AD2340" i="1" s="1"/>
  <c r="M2340" i="1"/>
  <c r="AH2339" i="1"/>
  <c r="AE2339" i="1"/>
  <c r="AA2339" i="1"/>
  <c r="Z2339" i="1"/>
  <c r="AG2339" i="1" s="1"/>
  <c r="V2339" i="1"/>
  <c r="U2339" i="1"/>
  <c r="T2339" i="1"/>
  <c r="S2339" i="1"/>
  <c r="R2339" i="1"/>
  <c r="AF2339" i="1" s="1"/>
  <c r="O2339" i="1"/>
  <c r="AD2339" i="1" s="1"/>
  <c r="AI2339" i="1" s="1"/>
  <c r="M2339" i="1"/>
  <c r="AH2338" i="1"/>
  <c r="AG2338" i="1"/>
  <c r="AE2338" i="1"/>
  <c r="AA2338" i="1"/>
  <c r="Z2338" i="1"/>
  <c r="V2338" i="1"/>
  <c r="U2338" i="1"/>
  <c r="T2338" i="1"/>
  <c r="S2338" i="1"/>
  <c r="R2338" i="1"/>
  <c r="AF2338" i="1" s="1"/>
  <c r="O2338" i="1"/>
  <c r="AD2338" i="1" s="1"/>
  <c r="M2338" i="1"/>
  <c r="AH2337" i="1"/>
  <c r="AF2337" i="1"/>
  <c r="AE2337" i="1"/>
  <c r="AA2337" i="1"/>
  <c r="Z2337" i="1"/>
  <c r="AG2337" i="1" s="1"/>
  <c r="V2337" i="1"/>
  <c r="U2337" i="1"/>
  <c r="T2337" i="1"/>
  <c r="S2337" i="1"/>
  <c r="R2337" i="1"/>
  <c r="O2337" i="1"/>
  <c r="AD2337" i="1" s="1"/>
  <c r="M2337" i="1"/>
  <c r="AH2336" i="1"/>
  <c r="AE2336" i="1"/>
  <c r="AA2336" i="1"/>
  <c r="Z2336" i="1"/>
  <c r="AG2336" i="1" s="1"/>
  <c r="V2336" i="1"/>
  <c r="U2336" i="1"/>
  <c r="T2336" i="1"/>
  <c r="S2336" i="1"/>
  <c r="R2336" i="1"/>
  <c r="AF2336" i="1" s="1"/>
  <c r="O2336" i="1"/>
  <c r="AD2336" i="1" s="1"/>
  <c r="AI2336" i="1" s="1"/>
  <c r="M2336" i="1"/>
  <c r="AH2335" i="1"/>
  <c r="AE2335" i="1"/>
  <c r="AA2335" i="1"/>
  <c r="Z2335" i="1"/>
  <c r="AG2335" i="1" s="1"/>
  <c r="V2335" i="1"/>
  <c r="U2335" i="1"/>
  <c r="T2335" i="1"/>
  <c r="S2335" i="1"/>
  <c r="R2335" i="1"/>
  <c r="AF2335" i="1" s="1"/>
  <c r="O2335" i="1"/>
  <c r="AD2335" i="1" s="1"/>
  <c r="M2335" i="1"/>
  <c r="AH2334" i="1"/>
  <c r="AG2334" i="1"/>
  <c r="AE2334" i="1"/>
  <c r="AA2334" i="1"/>
  <c r="Z2334" i="1"/>
  <c r="V2334" i="1"/>
  <c r="U2334" i="1"/>
  <c r="T2334" i="1"/>
  <c r="S2334" i="1"/>
  <c r="R2334" i="1"/>
  <c r="AF2334" i="1" s="1"/>
  <c r="O2334" i="1"/>
  <c r="AD2334" i="1" s="1"/>
  <c r="M2334" i="1"/>
  <c r="AH2333" i="1"/>
  <c r="AF2333" i="1"/>
  <c r="AE2333" i="1"/>
  <c r="AA2333" i="1"/>
  <c r="Z2333" i="1"/>
  <c r="AG2333" i="1" s="1"/>
  <c r="V2333" i="1"/>
  <c r="U2333" i="1"/>
  <c r="T2333" i="1"/>
  <c r="S2333" i="1"/>
  <c r="R2333" i="1"/>
  <c r="O2333" i="1"/>
  <c r="AD2333" i="1" s="1"/>
  <c r="M2333" i="1"/>
  <c r="AH2332" i="1"/>
  <c r="AE2332" i="1"/>
  <c r="AA2332" i="1"/>
  <c r="Z2332" i="1"/>
  <c r="AG2332" i="1" s="1"/>
  <c r="V2332" i="1"/>
  <c r="U2332" i="1"/>
  <c r="T2332" i="1"/>
  <c r="S2332" i="1"/>
  <c r="R2332" i="1"/>
  <c r="AF2332" i="1" s="1"/>
  <c r="O2332" i="1"/>
  <c r="AD2332" i="1" s="1"/>
  <c r="M2332" i="1"/>
  <c r="AH2331" i="1"/>
  <c r="AE2331" i="1"/>
  <c r="AA2331" i="1"/>
  <c r="Z2331" i="1"/>
  <c r="AG2331" i="1" s="1"/>
  <c r="V2331" i="1"/>
  <c r="U2331" i="1"/>
  <c r="T2331" i="1"/>
  <c r="S2331" i="1"/>
  <c r="R2331" i="1"/>
  <c r="AF2331" i="1" s="1"/>
  <c r="O2331" i="1"/>
  <c r="AD2331" i="1" s="1"/>
  <c r="AI2331" i="1" s="1"/>
  <c r="M2331" i="1"/>
  <c r="AH2330" i="1"/>
  <c r="AG2330" i="1"/>
  <c r="AE2330" i="1"/>
  <c r="AA2330" i="1"/>
  <c r="Z2330" i="1"/>
  <c r="V2330" i="1"/>
  <c r="U2330" i="1"/>
  <c r="T2330" i="1"/>
  <c r="S2330" i="1"/>
  <c r="R2330" i="1"/>
  <c r="AF2330" i="1" s="1"/>
  <c r="O2330" i="1"/>
  <c r="AD2330" i="1" s="1"/>
  <c r="M2330" i="1"/>
  <c r="AH2329" i="1"/>
  <c r="AF2329" i="1"/>
  <c r="AE2329" i="1"/>
  <c r="AA2329" i="1"/>
  <c r="Z2329" i="1"/>
  <c r="AG2329" i="1" s="1"/>
  <c r="V2329" i="1"/>
  <c r="U2329" i="1"/>
  <c r="T2329" i="1"/>
  <c r="S2329" i="1"/>
  <c r="R2329" i="1"/>
  <c r="O2329" i="1"/>
  <c r="AD2329" i="1" s="1"/>
  <c r="M2329" i="1"/>
  <c r="AH2328" i="1"/>
  <c r="AE2328" i="1"/>
  <c r="AA2328" i="1"/>
  <c r="Z2328" i="1"/>
  <c r="AG2328" i="1" s="1"/>
  <c r="V2328" i="1"/>
  <c r="U2328" i="1"/>
  <c r="T2328" i="1"/>
  <c r="S2328" i="1"/>
  <c r="R2328" i="1"/>
  <c r="AF2328" i="1" s="1"/>
  <c r="O2328" i="1"/>
  <c r="AD2328" i="1" s="1"/>
  <c r="AI2328" i="1" s="1"/>
  <c r="M2328" i="1"/>
  <c r="AH2327" i="1"/>
  <c r="AE2327" i="1"/>
  <c r="AA2327" i="1"/>
  <c r="Z2327" i="1"/>
  <c r="AG2327" i="1" s="1"/>
  <c r="V2327" i="1"/>
  <c r="U2327" i="1"/>
  <c r="T2327" i="1"/>
  <c r="S2327" i="1"/>
  <c r="R2327" i="1"/>
  <c r="AF2327" i="1" s="1"/>
  <c r="O2327" i="1"/>
  <c r="AD2327" i="1" s="1"/>
  <c r="M2327" i="1"/>
  <c r="AH2326" i="1"/>
  <c r="AG2326" i="1"/>
  <c r="AE2326" i="1"/>
  <c r="AA2326" i="1"/>
  <c r="Z2326" i="1"/>
  <c r="V2326" i="1"/>
  <c r="U2326" i="1"/>
  <c r="T2326" i="1"/>
  <c r="S2326" i="1"/>
  <c r="R2326" i="1"/>
  <c r="AF2326" i="1" s="1"/>
  <c r="O2326" i="1"/>
  <c r="AD2326" i="1" s="1"/>
  <c r="M2326" i="1"/>
  <c r="AH2325" i="1"/>
  <c r="AF2325" i="1"/>
  <c r="AE2325" i="1"/>
  <c r="AA2325" i="1"/>
  <c r="Z2325" i="1"/>
  <c r="AG2325" i="1" s="1"/>
  <c r="V2325" i="1"/>
  <c r="U2325" i="1"/>
  <c r="T2325" i="1"/>
  <c r="S2325" i="1"/>
  <c r="R2325" i="1"/>
  <c r="O2325" i="1"/>
  <c r="AD2325" i="1" s="1"/>
  <c r="M2325" i="1"/>
  <c r="AI2324" i="1"/>
  <c r="AH2324" i="1"/>
  <c r="AE2324" i="1"/>
  <c r="AA2324" i="1"/>
  <c r="Z2324" i="1"/>
  <c r="AG2324" i="1" s="1"/>
  <c r="V2324" i="1"/>
  <c r="U2324" i="1"/>
  <c r="T2324" i="1"/>
  <c r="S2324" i="1"/>
  <c r="R2324" i="1"/>
  <c r="AF2324" i="1" s="1"/>
  <c r="O2324" i="1"/>
  <c r="AD2324" i="1" s="1"/>
  <c r="M2324" i="1"/>
  <c r="AH2323" i="1"/>
  <c r="AE2323" i="1"/>
  <c r="AA2323" i="1"/>
  <c r="Z2323" i="1"/>
  <c r="AG2323" i="1" s="1"/>
  <c r="V2323" i="1"/>
  <c r="U2323" i="1"/>
  <c r="T2323" i="1"/>
  <c r="S2323" i="1"/>
  <c r="R2323" i="1"/>
  <c r="AF2323" i="1" s="1"/>
  <c r="O2323" i="1"/>
  <c r="AD2323" i="1" s="1"/>
  <c r="AI2323" i="1" s="1"/>
  <c r="M2323" i="1"/>
  <c r="AH2322" i="1"/>
  <c r="AG2322" i="1"/>
  <c r="AE2322" i="1"/>
  <c r="AA2322" i="1"/>
  <c r="Z2322" i="1"/>
  <c r="V2322" i="1"/>
  <c r="U2322" i="1"/>
  <c r="T2322" i="1"/>
  <c r="S2322" i="1"/>
  <c r="R2322" i="1"/>
  <c r="AF2322" i="1" s="1"/>
  <c r="O2322" i="1"/>
  <c r="AD2322" i="1" s="1"/>
  <c r="AI2322" i="1" s="1"/>
  <c r="M2322" i="1"/>
  <c r="AH2321" i="1"/>
  <c r="AF2321" i="1"/>
  <c r="AE2321" i="1"/>
  <c r="AA2321" i="1"/>
  <c r="Z2321" i="1"/>
  <c r="AG2321" i="1" s="1"/>
  <c r="V2321" i="1"/>
  <c r="U2321" i="1"/>
  <c r="T2321" i="1"/>
  <c r="S2321" i="1"/>
  <c r="R2321" i="1"/>
  <c r="O2321" i="1"/>
  <c r="AD2321" i="1" s="1"/>
  <c r="M2321" i="1"/>
  <c r="AH2320" i="1"/>
  <c r="AE2320" i="1"/>
  <c r="AA2320" i="1"/>
  <c r="Z2320" i="1"/>
  <c r="AG2320" i="1" s="1"/>
  <c r="V2320" i="1"/>
  <c r="U2320" i="1"/>
  <c r="T2320" i="1"/>
  <c r="S2320" i="1"/>
  <c r="R2320" i="1"/>
  <c r="AF2320" i="1" s="1"/>
  <c r="AI2320" i="1" s="1"/>
  <c r="O2320" i="1"/>
  <c r="AD2320" i="1" s="1"/>
  <c r="M2320" i="1"/>
  <c r="AH2319" i="1"/>
  <c r="AE2319" i="1"/>
  <c r="AA2319" i="1"/>
  <c r="Z2319" i="1"/>
  <c r="AG2319" i="1" s="1"/>
  <c r="V2319" i="1"/>
  <c r="U2319" i="1"/>
  <c r="T2319" i="1"/>
  <c r="S2319" i="1"/>
  <c r="R2319" i="1"/>
  <c r="AF2319" i="1" s="1"/>
  <c r="O2319" i="1"/>
  <c r="AD2319" i="1" s="1"/>
  <c r="AI2319" i="1" s="1"/>
  <c r="M2319" i="1"/>
  <c r="AH2318" i="1"/>
  <c r="AG2318" i="1"/>
  <c r="AE2318" i="1"/>
  <c r="AA2318" i="1"/>
  <c r="Z2318" i="1"/>
  <c r="V2318" i="1"/>
  <c r="U2318" i="1"/>
  <c r="T2318" i="1"/>
  <c r="S2318" i="1"/>
  <c r="R2318" i="1"/>
  <c r="AF2318" i="1" s="1"/>
  <c r="O2318" i="1"/>
  <c r="AD2318" i="1" s="1"/>
  <c r="AI2318" i="1" s="1"/>
  <c r="M2318" i="1"/>
  <c r="AH2317" i="1"/>
  <c r="AF2317" i="1"/>
  <c r="AE2317" i="1"/>
  <c r="AA2317" i="1"/>
  <c r="Z2317" i="1"/>
  <c r="AG2317" i="1" s="1"/>
  <c r="V2317" i="1"/>
  <c r="U2317" i="1"/>
  <c r="T2317" i="1"/>
  <c r="S2317" i="1"/>
  <c r="R2317" i="1"/>
  <c r="O2317" i="1"/>
  <c r="AD2317" i="1" s="1"/>
  <c r="M2317" i="1"/>
  <c r="AH2316" i="1"/>
  <c r="AE2316" i="1"/>
  <c r="AA2316" i="1"/>
  <c r="Z2316" i="1"/>
  <c r="AG2316" i="1" s="1"/>
  <c r="V2316" i="1"/>
  <c r="U2316" i="1"/>
  <c r="T2316" i="1"/>
  <c r="S2316" i="1"/>
  <c r="R2316" i="1"/>
  <c r="AF2316" i="1" s="1"/>
  <c r="AI2316" i="1" s="1"/>
  <c r="O2316" i="1"/>
  <c r="AD2316" i="1" s="1"/>
  <c r="M2316" i="1"/>
  <c r="AH2315" i="1"/>
  <c r="AE2315" i="1"/>
  <c r="AA2315" i="1"/>
  <c r="Z2315" i="1"/>
  <c r="AG2315" i="1" s="1"/>
  <c r="V2315" i="1"/>
  <c r="U2315" i="1"/>
  <c r="T2315" i="1"/>
  <c r="S2315" i="1"/>
  <c r="R2315" i="1"/>
  <c r="AF2315" i="1" s="1"/>
  <c r="O2315" i="1"/>
  <c r="AD2315" i="1" s="1"/>
  <c r="AI2315" i="1" s="1"/>
  <c r="M2315" i="1"/>
  <c r="AH2314" i="1"/>
  <c r="AG2314" i="1"/>
  <c r="AE2314" i="1"/>
  <c r="AA2314" i="1"/>
  <c r="Z2314" i="1"/>
  <c r="V2314" i="1"/>
  <c r="U2314" i="1"/>
  <c r="T2314" i="1"/>
  <c r="S2314" i="1"/>
  <c r="R2314" i="1"/>
  <c r="AF2314" i="1" s="1"/>
  <c r="O2314" i="1"/>
  <c r="AD2314" i="1" s="1"/>
  <c r="M2314" i="1"/>
  <c r="AH2313" i="1"/>
  <c r="AF2313" i="1"/>
  <c r="AE2313" i="1"/>
  <c r="AA2313" i="1"/>
  <c r="Z2313" i="1"/>
  <c r="AG2313" i="1" s="1"/>
  <c r="V2313" i="1"/>
  <c r="U2313" i="1"/>
  <c r="T2313" i="1"/>
  <c r="S2313" i="1"/>
  <c r="R2313" i="1"/>
  <c r="O2313" i="1"/>
  <c r="AD2313" i="1" s="1"/>
  <c r="M2313" i="1"/>
  <c r="AI2312" i="1"/>
  <c r="AH2312" i="1"/>
  <c r="AE2312" i="1"/>
  <c r="AA2312" i="1"/>
  <c r="Z2312" i="1"/>
  <c r="AG2312" i="1" s="1"/>
  <c r="V2312" i="1"/>
  <c r="U2312" i="1"/>
  <c r="T2312" i="1"/>
  <c r="S2312" i="1"/>
  <c r="R2312" i="1"/>
  <c r="AF2312" i="1" s="1"/>
  <c r="O2312" i="1"/>
  <c r="AD2312" i="1" s="1"/>
  <c r="M2312" i="1"/>
  <c r="AH2311" i="1"/>
  <c r="AE2311" i="1"/>
  <c r="AA2311" i="1"/>
  <c r="Z2311" i="1"/>
  <c r="AG2311" i="1" s="1"/>
  <c r="V2311" i="1"/>
  <c r="U2311" i="1"/>
  <c r="T2311" i="1"/>
  <c r="S2311" i="1"/>
  <c r="R2311" i="1"/>
  <c r="AF2311" i="1" s="1"/>
  <c r="O2311" i="1"/>
  <c r="AD2311" i="1" s="1"/>
  <c r="AI2311" i="1" s="1"/>
  <c r="M2311" i="1"/>
  <c r="AH2310" i="1"/>
  <c r="AG2310" i="1"/>
  <c r="AE2310" i="1"/>
  <c r="AA2310" i="1"/>
  <c r="Z2310" i="1"/>
  <c r="U2310" i="1"/>
  <c r="T2310" i="1"/>
  <c r="S2310" i="1"/>
  <c r="Q2310" i="1"/>
  <c r="R2310" i="1" s="1"/>
  <c r="AF2310" i="1" s="1"/>
  <c r="O2310" i="1"/>
  <c r="AD2310" i="1" s="1"/>
  <c r="AI2310" i="1" s="1"/>
  <c r="M2310" i="1"/>
  <c r="K2310" i="1"/>
  <c r="V2310" i="1" s="1"/>
  <c r="AH2309" i="1"/>
  <c r="AE2309" i="1"/>
  <c r="AD2309" i="1"/>
  <c r="AA2309" i="1"/>
  <c r="Z2309" i="1"/>
  <c r="AG2309" i="1" s="1"/>
  <c r="U2309" i="1"/>
  <c r="T2309" i="1"/>
  <c r="S2309" i="1"/>
  <c r="R2309" i="1"/>
  <c r="AF2309" i="1" s="1"/>
  <c r="Q2309" i="1"/>
  <c r="O2309" i="1"/>
  <c r="M2309" i="1"/>
  <c r="K2309" i="1"/>
  <c r="V2309" i="1" s="1"/>
  <c r="AH2308" i="1"/>
  <c r="AE2308" i="1"/>
  <c r="AA2308" i="1"/>
  <c r="Z2308" i="1"/>
  <c r="AG2308" i="1" s="1"/>
  <c r="U2308" i="1"/>
  <c r="T2308" i="1"/>
  <c r="S2308" i="1"/>
  <c r="R2308" i="1"/>
  <c r="AF2308" i="1" s="1"/>
  <c r="Q2308" i="1"/>
  <c r="O2308" i="1"/>
  <c r="AD2308" i="1" s="1"/>
  <c r="M2308" i="1"/>
  <c r="K2308" i="1"/>
  <c r="V2308" i="1" s="1"/>
  <c r="AH2307" i="1"/>
  <c r="AF2307" i="1"/>
  <c r="AE2307" i="1"/>
  <c r="AA2307" i="1"/>
  <c r="Z2307" i="1"/>
  <c r="AG2307" i="1" s="1"/>
  <c r="V2307" i="1"/>
  <c r="U2307" i="1"/>
  <c r="T2307" i="1"/>
  <c r="S2307" i="1"/>
  <c r="R2307" i="1"/>
  <c r="O2307" i="1"/>
  <c r="AD2307" i="1" s="1"/>
  <c r="M2307" i="1"/>
  <c r="AH2306" i="1"/>
  <c r="AE2306" i="1"/>
  <c r="AA2306" i="1"/>
  <c r="Z2306" i="1"/>
  <c r="AG2306" i="1" s="1"/>
  <c r="V2306" i="1"/>
  <c r="U2306" i="1"/>
  <c r="T2306" i="1"/>
  <c r="S2306" i="1"/>
  <c r="R2306" i="1"/>
  <c r="AF2306" i="1" s="1"/>
  <c r="O2306" i="1"/>
  <c r="AD2306" i="1" s="1"/>
  <c r="M2306" i="1"/>
  <c r="AH2305" i="1"/>
  <c r="AE2305" i="1"/>
  <c r="AA2305" i="1"/>
  <c r="Z2305" i="1"/>
  <c r="AG2305" i="1" s="1"/>
  <c r="V2305" i="1"/>
  <c r="U2305" i="1"/>
  <c r="T2305" i="1"/>
  <c r="S2305" i="1"/>
  <c r="R2305" i="1"/>
  <c r="AF2305" i="1" s="1"/>
  <c r="O2305" i="1"/>
  <c r="AD2305" i="1" s="1"/>
  <c r="AI2305" i="1" s="1"/>
  <c r="M2305" i="1"/>
  <c r="AH2304" i="1"/>
  <c r="AG2304" i="1"/>
  <c r="AE2304" i="1"/>
  <c r="AA2304" i="1"/>
  <c r="Z2304" i="1"/>
  <c r="V2304" i="1"/>
  <c r="U2304" i="1"/>
  <c r="T2304" i="1"/>
  <c r="S2304" i="1"/>
  <c r="R2304" i="1"/>
  <c r="AF2304" i="1" s="1"/>
  <c r="O2304" i="1"/>
  <c r="AD2304" i="1" s="1"/>
  <c r="AI2304" i="1" s="1"/>
  <c r="M2304" i="1"/>
  <c r="AH2303" i="1"/>
  <c r="AF2303" i="1"/>
  <c r="AE2303" i="1"/>
  <c r="AA2303" i="1"/>
  <c r="Z2303" i="1"/>
  <c r="AG2303" i="1" s="1"/>
  <c r="V2303" i="1"/>
  <c r="U2303" i="1"/>
  <c r="T2303" i="1"/>
  <c r="S2303" i="1"/>
  <c r="R2303" i="1"/>
  <c r="O2303" i="1"/>
  <c r="AD2303" i="1" s="1"/>
  <c r="AI2303" i="1" s="1"/>
  <c r="M2303" i="1"/>
  <c r="AH2302" i="1"/>
  <c r="AE2302" i="1"/>
  <c r="AA2302" i="1"/>
  <c r="Z2302" i="1"/>
  <c r="AG2302" i="1" s="1"/>
  <c r="V2302" i="1"/>
  <c r="U2302" i="1"/>
  <c r="T2302" i="1"/>
  <c r="S2302" i="1"/>
  <c r="R2302" i="1"/>
  <c r="AF2302" i="1" s="1"/>
  <c r="O2302" i="1"/>
  <c r="AD2302" i="1" s="1"/>
  <c r="AI2302" i="1" s="1"/>
  <c r="M2302" i="1"/>
  <c r="AH2301" i="1"/>
  <c r="AE2301" i="1"/>
  <c r="AA2301" i="1"/>
  <c r="Z2301" i="1"/>
  <c r="AG2301" i="1" s="1"/>
  <c r="V2301" i="1"/>
  <c r="U2301" i="1"/>
  <c r="T2301" i="1"/>
  <c r="S2301" i="1"/>
  <c r="R2301" i="1"/>
  <c r="AF2301" i="1" s="1"/>
  <c r="O2301" i="1"/>
  <c r="AD2301" i="1" s="1"/>
  <c r="AI2301" i="1" s="1"/>
  <c r="M2301" i="1"/>
  <c r="AH2300" i="1"/>
  <c r="AG2300" i="1"/>
  <c r="AE2300" i="1"/>
  <c r="AA2300" i="1"/>
  <c r="Z2300" i="1"/>
  <c r="V2300" i="1"/>
  <c r="U2300" i="1"/>
  <c r="T2300" i="1"/>
  <c r="S2300" i="1"/>
  <c r="R2300" i="1"/>
  <c r="AF2300" i="1" s="1"/>
  <c r="O2300" i="1"/>
  <c r="AD2300" i="1" s="1"/>
  <c r="AI2300" i="1" s="1"/>
  <c r="M2300" i="1"/>
  <c r="AH2299" i="1"/>
  <c r="AF2299" i="1"/>
  <c r="AE2299" i="1"/>
  <c r="AA2299" i="1"/>
  <c r="Z2299" i="1"/>
  <c r="AG2299" i="1" s="1"/>
  <c r="V2299" i="1"/>
  <c r="U2299" i="1"/>
  <c r="T2299" i="1"/>
  <c r="S2299" i="1"/>
  <c r="R2299" i="1"/>
  <c r="O2299" i="1"/>
  <c r="AD2299" i="1" s="1"/>
  <c r="AI2299" i="1" s="1"/>
  <c r="M2299" i="1"/>
  <c r="AH2298" i="1"/>
  <c r="AE2298" i="1"/>
  <c r="AA2298" i="1"/>
  <c r="Z2298" i="1"/>
  <c r="AG2298" i="1" s="1"/>
  <c r="V2298" i="1"/>
  <c r="U2298" i="1"/>
  <c r="T2298" i="1"/>
  <c r="S2298" i="1"/>
  <c r="R2298" i="1"/>
  <c r="AF2298" i="1" s="1"/>
  <c r="O2298" i="1"/>
  <c r="AD2298" i="1" s="1"/>
  <c r="M2298" i="1"/>
  <c r="AH2297" i="1"/>
  <c r="AE2297" i="1"/>
  <c r="AA2297" i="1"/>
  <c r="Z2297" i="1"/>
  <c r="AG2297" i="1" s="1"/>
  <c r="V2297" i="1"/>
  <c r="U2297" i="1"/>
  <c r="T2297" i="1"/>
  <c r="S2297" i="1"/>
  <c r="R2297" i="1"/>
  <c r="AF2297" i="1" s="1"/>
  <c r="O2297" i="1"/>
  <c r="AD2297" i="1" s="1"/>
  <c r="M2297" i="1"/>
  <c r="AH2296" i="1"/>
  <c r="AG2296" i="1"/>
  <c r="AF2296" i="1"/>
  <c r="AE2296" i="1"/>
  <c r="AA2296" i="1"/>
  <c r="Z2296" i="1"/>
  <c r="V2296" i="1"/>
  <c r="U2296" i="1"/>
  <c r="T2296" i="1"/>
  <c r="S2296" i="1"/>
  <c r="R2296" i="1"/>
  <c r="O2296" i="1"/>
  <c r="AD2296" i="1" s="1"/>
  <c r="AI2296" i="1" s="1"/>
  <c r="M2296" i="1"/>
  <c r="AH2295" i="1"/>
  <c r="AF2295" i="1"/>
  <c r="AE2295" i="1"/>
  <c r="AA2295" i="1"/>
  <c r="Z2295" i="1"/>
  <c r="AG2295" i="1" s="1"/>
  <c r="V2295" i="1"/>
  <c r="U2295" i="1"/>
  <c r="T2295" i="1"/>
  <c r="S2295" i="1"/>
  <c r="R2295" i="1"/>
  <c r="O2295" i="1"/>
  <c r="AD2295" i="1" s="1"/>
  <c r="M2295" i="1"/>
  <c r="AH2294" i="1"/>
  <c r="AE2294" i="1"/>
  <c r="AA2294" i="1"/>
  <c r="Z2294" i="1"/>
  <c r="AG2294" i="1" s="1"/>
  <c r="V2294" i="1"/>
  <c r="U2294" i="1"/>
  <c r="T2294" i="1"/>
  <c r="S2294" i="1"/>
  <c r="R2294" i="1"/>
  <c r="AF2294" i="1" s="1"/>
  <c r="O2294" i="1"/>
  <c r="AD2294" i="1" s="1"/>
  <c r="M2294" i="1"/>
  <c r="AH2293" i="1"/>
  <c r="AG2293" i="1"/>
  <c r="AE2293" i="1"/>
  <c r="AA2293" i="1"/>
  <c r="Z2293" i="1"/>
  <c r="V2293" i="1"/>
  <c r="U2293" i="1"/>
  <c r="T2293" i="1"/>
  <c r="S2293" i="1"/>
  <c r="R2293" i="1"/>
  <c r="AF2293" i="1" s="1"/>
  <c r="O2293" i="1"/>
  <c r="AD2293" i="1" s="1"/>
  <c r="AI2293" i="1" s="1"/>
  <c r="M2293" i="1"/>
  <c r="AH2292" i="1"/>
  <c r="AG2292" i="1"/>
  <c r="AF2292" i="1"/>
  <c r="AE2292" i="1"/>
  <c r="AA2292" i="1"/>
  <c r="Z2292" i="1"/>
  <c r="V2292" i="1"/>
  <c r="U2292" i="1"/>
  <c r="T2292" i="1"/>
  <c r="S2292" i="1"/>
  <c r="R2292" i="1"/>
  <c r="O2292" i="1"/>
  <c r="AD2292" i="1" s="1"/>
  <c r="AI2292" i="1" s="1"/>
  <c r="M2292" i="1"/>
  <c r="AH2291" i="1"/>
  <c r="AF2291" i="1"/>
  <c r="AE2291" i="1"/>
  <c r="AA2291" i="1"/>
  <c r="Z2291" i="1"/>
  <c r="AG2291" i="1" s="1"/>
  <c r="V2291" i="1"/>
  <c r="U2291" i="1"/>
  <c r="T2291" i="1"/>
  <c r="S2291" i="1"/>
  <c r="R2291" i="1"/>
  <c r="O2291" i="1"/>
  <c r="AD2291" i="1" s="1"/>
  <c r="M2291" i="1"/>
  <c r="AH2290" i="1"/>
  <c r="AE2290" i="1"/>
  <c r="AA2290" i="1"/>
  <c r="Z2290" i="1"/>
  <c r="AG2290" i="1" s="1"/>
  <c r="V2290" i="1"/>
  <c r="U2290" i="1"/>
  <c r="T2290" i="1"/>
  <c r="S2290" i="1"/>
  <c r="R2290" i="1"/>
  <c r="AF2290" i="1" s="1"/>
  <c r="O2290" i="1"/>
  <c r="AD2290" i="1" s="1"/>
  <c r="M2290" i="1"/>
  <c r="AH2289" i="1"/>
  <c r="AG2289" i="1"/>
  <c r="AE2289" i="1"/>
  <c r="AA2289" i="1"/>
  <c r="Z2289" i="1"/>
  <c r="V2289" i="1"/>
  <c r="U2289" i="1"/>
  <c r="T2289" i="1"/>
  <c r="S2289" i="1"/>
  <c r="R2289" i="1"/>
  <c r="AF2289" i="1" s="1"/>
  <c r="O2289" i="1"/>
  <c r="AD2289" i="1" s="1"/>
  <c r="AI2289" i="1" s="1"/>
  <c r="M2289" i="1"/>
  <c r="AH2288" i="1"/>
  <c r="AG2288" i="1"/>
  <c r="AF2288" i="1"/>
  <c r="AE2288" i="1"/>
  <c r="AA2288" i="1"/>
  <c r="Z2288" i="1"/>
  <c r="V2288" i="1"/>
  <c r="U2288" i="1"/>
  <c r="T2288" i="1"/>
  <c r="S2288" i="1"/>
  <c r="R2288" i="1"/>
  <c r="O2288" i="1"/>
  <c r="AD2288" i="1" s="1"/>
  <c r="AI2288" i="1" s="1"/>
  <c r="M2288" i="1"/>
  <c r="AH2287" i="1"/>
  <c r="AF2287" i="1"/>
  <c r="AE2287" i="1"/>
  <c r="AA2287" i="1"/>
  <c r="Z2287" i="1"/>
  <c r="AG2287" i="1" s="1"/>
  <c r="V2287" i="1"/>
  <c r="U2287" i="1"/>
  <c r="T2287" i="1"/>
  <c r="S2287" i="1"/>
  <c r="R2287" i="1"/>
  <c r="O2287" i="1"/>
  <c r="AD2287" i="1" s="1"/>
  <c r="M2287" i="1"/>
  <c r="AH2286" i="1"/>
  <c r="AE2286" i="1"/>
  <c r="AA2286" i="1"/>
  <c r="Z2286" i="1"/>
  <c r="AG2286" i="1" s="1"/>
  <c r="V2286" i="1"/>
  <c r="U2286" i="1"/>
  <c r="T2286" i="1"/>
  <c r="S2286" i="1"/>
  <c r="R2286" i="1"/>
  <c r="AF2286" i="1" s="1"/>
  <c r="O2286" i="1"/>
  <c r="AD2286" i="1" s="1"/>
  <c r="M2286" i="1"/>
  <c r="AH2285" i="1"/>
  <c r="AG2285" i="1"/>
  <c r="AE2285" i="1"/>
  <c r="AA2285" i="1"/>
  <c r="Z2285" i="1"/>
  <c r="V2285" i="1"/>
  <c r="U2285" i="1"/>
  <c r="T2285" i="1"/>
  <c r="S2285" i="1"/>
  <c r="R2285" i="1"/>
  <c r="AF2285" i="1" s="1"/>
  <c r="O2285" i="1"/>
  <c r="AD2285" i="1" s="1"/>
  <c r="AI2285" i="1" s="1"/>
  <c r="M2285" i="1"/>
  <c r="AH2284" i="1"/>
  <c r="AG2284" i="1"/>
  <c r="AF2284" i="1"/>
  <c r="AE2284" i="1"/>
  <c r="AA2284" i="1"/>
  <c r="Z2284" i="1"/>
  <c r="V2284" i="1"/>
  <c r="U2284" i="1"/>
  <c r="T2284" i="1"/>
  <c r="S2284" i="1"/>
  <c r="R2284" i="1"/>
  <c r="O2284" i="1"/>
  <c r="AD2284" i="1" s="1"/>
  <c r="AI2284" i="1" s="1"/>
  <c r="M2284" i="1"/>
  <c r="AH2283" i="1"/>
  <c r="AF2283" i="1"/>
  <c r="AE2283" i="1"/>
  <c r="AA2283" i="1"/>
  <c r="Z2283" i="1"/>
  <c r="AG2283" i="1" s="1"/>
  <c r="V2283" i="1"/>
  <c r="U2283" i="1"/>
  <c r="T2283" i="1"/>
  <c r="S2283" i="1"/>
  <c r="R2283" i="1"/>
  <c r="O2283" i="1"/>
  <c r="AD2283" i="1" s="1"/>
  <c r="M2283" i="1"/>
  <c r="AH2282" i="1"/>
  <c r="AE2282" i="1"/>
  <c r="AA2282" i="1"/>
  <c r="Z2282" i="1"/>
  <c r="AG2282" i="1" s="1"/>
  <c r="V2282" i="1"/>
  <c r="U2282" i="1"/>
  <c r="T2282" i="1"/>
  <c r="S2282" i="1"/>
  <c r="R2282" i="1"/>
  <c r="AF2282" i="1" s="1"/>
  <c r="O2282" i="1"/>
  <c r="AD2282" i="1" s="1"/>
  <c r="AI2282" i="1" s="1"/>
  <c r="M2282" i="1"/>
  <c r="AH2281" i="1"/>
  <c r="AG2281" i="1"/>
  <c r="AE2281" i="1"/>
  <c r="AA2281" i="1"/>
  <c r="Z2281" i="1"/>
  <c r="V2281" i="1"/>
  <c r="U2281" i="1"/>
  <c r="T2281" i="1"/>
  <c r="S2281" i="1"/>
  <c r="R2281" i="1"/>
  <c r="AF2281" i="1" s="1"/>
  <c r="O2281" i="1"/>
  <c r="AD2281" i="1" s="1"/>
  <c r="AI2281" i="1" s="1"/>
  <c r="M2281" i="1"/>
  <c r="AH2280" i="1"/>
  <c r="AG2280" i="1"/>
  <c r="AF2280" i="1"/>
  <c r="AE2280" i="1"/>
  <c r="AA2280" i="1"/>
  <c r="Z2280" i="1"/>
  <c r="V2280" i="1"/>
  <c r="U2280" i="1"/>
  <c r="T2280" i="1"/>
  <c r="S2280" i="1"/>
  <c r="R2280" i="1"/>
  <c r="O2280" i="1"/>
  <c r="AD2280" i="1" s="1"/>
  <c r="AI2280" i="1" s="1"/>
  <c r="M2280" i="1"/>
  <c r="AH2279" i="1"/>
  <c r="AF2279" i="1"/>
  <c r="AE2279" i="1"/>
  <c r="AA2279" i="1"/>
  <c r="Z2279" i="1"/>
  <c r="AG2279" i="1" s="1"/>
  <c r="U2279" i="1"/>
  <c r="T2279" i="1"/>
  <c r="S2279" i="1"/>
  <c r="R2279" i="1"/>
  <c r="O2279" i="1"/>
  <c r="AD2279" i="1" s="1"/>
  <c r="M2279" i="1"/>
  <c r="K2279" i="1"/>
  <c r="V2279" i="1" s="1"/>
  <c r="AH2278" i="1"/>
  <c r="AF2278" i="1"/>
  <c r="AE2278" i="1"/>
  <c r="AA2278" i="1"/>
  <c r="Z2278" i="1"/>
  <c r="AG2278" i="1" s="1"/>
  <c r="U2278" i="1"/>
  <c r="T2278" i="1"/>
  <c r="S2278" i="1"/>
  <c r="R2278" i="1"/>
  <c r="O2278" i="1"/>
  <c r="AD2278" i="1" s="1"/>
  <c r="M2278" i="1"/>
  <c r="K2278" i="1"/>
  <c r="V2278" i="1" s="1"/>
  <c r="AH2277" i="1"/>
  <c r="AF2277" i="1"/>
  <c r="AE2277" i="1"/>
  <c r="AA2277" i="1"/>
  <c r="Z2277" i="1"/>
  <c r="AG2277" i="1" s="1"/>
  <c r="U2277" i="1"/>
  <c r="T2277" i="1"/>
  <c r="S2277" i="1"/>
  <c r="R2277" i="1"/>
  <c r="O2277" i="1"/>
  <c r="AD2277" i="1" s="1"/>
  <c r="M2277" i="1"/>
  <c r="K2277" i="1"/>
  <c r="V2277" i="1" s="1"/>
  <c r="AH2276" i="1"/>
  <c r="AF2276" i="1"/>
  <c r="AE2276" i="1"/>
  <c r="AA2276" i="1"/>
  <c r="Z2276" i="1"/>
  <c r="AG2276" i="1" s="1"/>
  <c r="V2276" i="1"/>
  <c r="U2276" i="1"/>
  <c r="T2276" i="1"/>
  <c r="S2276" i="1"/>
  <c r="R2276" i="1"/>
  <c r="O2276" i="1"/>
  <c r="AD2276" i="1" s="1"/>
  <c r="AI2276" i="1" s="1"/>
  <c r="M2276" i="1"/>
  <c r="AH2275" i="1"/>
  <c r="AE2275" i="1"/>
  <c r="AA2275" i="1"/>
  <c r="Z2275" i="1"/>
  <c r="AG2275" i="1" s="1"/>
  <c r="V2275" i="1"/>
  <c r="U2275" i="1"/>
  <c r="T2275" i="1"/>
  <c r="S2275" i="1"/>
  <c r="R2275" i="1"/>
  <c r="AF2275" i="1" s="1"/>
  <c r="O2275" i="1"/>
  <c r="AD2275" i="1" s="1"/>
  <c r="M2275" i="1"/>
  <c r="AH2274" i="1"/>
  <c r="AG2274" i="1"/>
  <c r="AE2274" i="1"/>
  <c r="AA2274" i="1"/>
  <c r="Z2274" i="1"/>
  <c r="V2274" i="1"/>
  <c r="U2274" i="1"/>
  <c r="T2274" i="1"/>
  <c r="S2274" i="1"/>
  <c r="R2274" i="1"/>
  <c r="AF2274" i="1" s="1"/>
  <c r="O2274" i="1"/>
  <c r="AD2274" i="1" s="1"/>
  <c r="AI2274" i="1" s="1"/>
  <c r="M2274" i="1"/>
  <c r="AH2273" i="1"/>
  <c r="AG2273" i="1"/>
  <c r="AF2273" i="1"/>
  <c r="AE2273" i="1"/>
  <c r="AA2273" i="1"/>
  <c r="Z2273" i="1"/>
  <c r="V2273" i="1"/>
  <c r="U2273" i="1"/>
  <c r="T2273" i="1"/>
  <c r="S2273" i="1"/>
  <c r="R2273" i="1"/>
  <c r="O2273" i="1"/>
  <c r="AD2273" i="1" s="1"/>
  <c r="AI2273" i="1" s="1"/>
  <c r="M2273" i="1"/>
  <c r="AH2272" i="1"/>
  <c r="AF2272" i="1"/>
  <c r="AE2272" i="1"/>
  <c r="AA2272" i="1"/>
  <c r="Z2272" i="1"/>
  <c r="AG2272" i="1" s="1"/>
  <c r="V2272" i="1"/>
  <c r="U2272" i="1"/>
  <c r="T2272" i="1"/>
  <c r="S2272" i="1"/>
  <c r="R2272" i="1"/>
  <c r="O2272" i="1"/>
  <c r="AD2272" i="1" s="1"/>
  <c r="M2272" i="1"/>
  <c r="AH2271" i="1"/>
  <c r="AE2271" i="1"/>
  <c r="AA2271" i="1"/>
  <c r="Z2271" i="1"/>
  <c r="AG2271" i="1" s="1"/>
  <c r="V2271" i="1"/>
  <c r="U2271" i="1"/>
  <c r="T2271" i="1"/>
  <c r="S2271" i="1"/>
  <c r="R2271" i="1"/>
  <c r="AF2271" i="1" s="1"/>
  <c r="AI2271" i="1" s="1"/>
  <c r="O2271" i="1"/>
  <c r="AD2271" i="1" s="1"/>
  <c r="M2271" i="1"/>
  <c r="AH2270" i="1"/>
  <c r="AG2270" i="1"/>
  <c r="AE2270" i="1"/>
  <c r="AA2270" i="1"/>
  <c r="Z2270" i="1"/>
  <c r="V2270" i="1"/>
  <c r="U2270" i="1"/>
  <c r="T2270" i="1"/>
  <c r="S2270" i="1"/>
  <c r="R2270" i="1"/>
  <c r="AF2270" i="1" s="1"/>
  <c r="O2270" i="1"/>
  <c r="AD2270" i="1" s="1"/>
  <c r="M2270" i="1"/>
  <c r="AH2269" i="1"/>
  <c r="AG2269" i="1"/>
  <c r="AF2269" i="1"/>
  <c r="AE2269" i="1"/>
  <c r="AA2269" i="1"/>
  <c r="Z2269" i="1"/>
  <c r="V2269" i="1"/>
  <c r="U2269" i="1"/>
  <c r="T2269" i="1"/>
  <c r="S2269" i="1"/>
  <c r="R2269" i="1"/>
  <c r="O2269" i="1"/>
  <c r="AD2269" i="1" s="1"/>
  <c r="M2269" i="1"/>
  <c r="AH2268" i="1"/>
  <c r="AF2268" i="1"/>
  <c r="AE2268" i="1"/>
  <c r="AA2268" i="1"/>
  <c r="Z2268" i="1"/>
  <c r="AG2268" i="1" s="1"/>
  <c r="V2268" i="1"/>
  <c r="U2268" i="1"/>
  <c r="T2268" i="1"/>
  <c r="S2268" i="1"/>
  <c r="R2268" i="1"/>
  <c r="O2268" i="1"/>
  <c r="AD2268" i="1" s="1"/>
  <c r="M2268" i="1"/>
  <c r="AH2267" i="1"/>
  <c r="AE2267" i="1"/>
  <c r="AA2267" i="1"/>
  <c r="Z2267" i="1"/>
  <c r="AG2267" i="1" s="1"/>
  <c r="V2267" i="1"/>
  <c r="U2267" i="1"/>
  <c r="T2267" i="1"/>
  <c r="S2267" i="1"/>
  <c r="R2267" i="1"/>
  <c r="AF2267" i="1" s="1"/>
  <c r="O2267" i="1"/>
  <c r="AD2267" i="1" s="1"/>
  <c r="M2267" i="1"/>
  <c r="AH2266" i="1"/>
  <c r="AG2266" i="1"/>
  <c r="AE2266" i="1"/>
  <c r="AA2266" i="1"/>
  <c r="Z2266" i="1"/>
  <c r="V2266" i="1"/>
  <c r="U2266" i="1"/>
  <c r="T2266" i="1"/>
  <c r="S2266" i="1"/>
  <c r="R2266" i="1"/>
  <c r="AF2266" i="1" s="1"/>
  <c r="O2266" i="1"/>
  <c r="AD2266" i="1" s="1"/>
  <c r="M2266" i="1"/>
  <c r="AH2265" i="1"/>
  <c r="AG2265" i="1"/>
  <c r="AF2265" i="1"/>
  <c r="AE2265" i="1"/>
  <c r="AA2265" i="1"/>
  <c r="Z2265" i="1"/>
  <c r="V2265" i="1"/>
  <c r="U2265" i="1"/>
  <c r="T2265" i="1"/>
  <c r="S2265" i="1"/>
  <c r="R2265" i="1"/>
  <c r="O2265" i="1"/>
  <c r="AD2265" i="1" s="1"/>
  <c r="AI2265" i="1" s="1"/>
  <c r="M2265" i="1"/>
  <c r="AH2264" i="1"/>
  <c r="AF2264" i="1"/>
  <c r="AE2264" i="1"/>
  <c r="AA2264" i="1"/>
  <c r="Z2264" i="1"/>
  <c r="AG2264" i="1" s="1"/>
  <c r="V2264" i="1"/>
  <c r="U2264" i="1"/>
  <c r="T2264" i="1"/>
  <c r="S2264" i="1"/>
  <c r="R2264" i="1"/>
  <c r="O2264" i="1"/>
  <c r="AD2264" i="1" s="1"/>
  <c r="M2264" i="1"/>
  <c r="AH2263" i="1"/>
  <c r="AE2263" i="1"/>
  <c r="AA2263" i="1"/>
  <c r="Z2263" i="1"/>
  <c r="AG2263" i="1" s="1"/>
  <c r="V2263" i="1"/>
  <c r="U2263" i="1"/>
  <c r="T2263" i="1"/>
  <c r="S2263" i="1"/>
  <c r="R2263" i="1"/>
  <c r="AF2263" i="1" s="1"/>
  <c r="AI2263" i="1" s="1"/>
  <c r="O2263" i="1"/>
  <c r="AD2263" i="1" s="1"/>
  <c r="M2263" i="1"/>
  <c r="AH2262" i="1"/>
  <c r="AG2262" i="1"/>
  <c r="AE2262" i="1"/>
  <c r="AA2262" i="1"/>
  <c r="Z2262" i="1"/>
  <c r="V2262" i="1"/>
  <c r="U2262" i="1"/>
  <c r="T2262" i="1"/>
  <c r="S2262" i="1"/>
  <c r="R2262" i="1"/>
  <c r="AF2262" i="1" s="1"/>
  <c r="O2262" i="1"/>
  <c r="AD2262" i="1" s="1"/>
  <c r="AI2262" i="1" s="1"/>
  <c r="M2262" i="1"/>
  <c r="AH2261" i="1"/>
  <c r="AG2261" i="1"/>
  <c r="AF2261" i="1"/>
  <c r="AE2261" i="1"/>
  <c r="AA2261" i="1"/>
  <c r="Z2261" i="1"/>
  <c r="V2261" i="1"/>
  <c r="U2261" i="1"/>
  <c r="T2261" i="1"/>
  <c r="S2261" i="1"/>
  <c r="R2261" i="1"/>
  <c r="O2261" i="1"/>
  <c r="AD2261" i="1" s="1"/>
  <c r="M2261" i="1"/>
  <c r="AH2260" i="1"/>
  <c r="AF2260" i="1"/>
  <c r="AE2260" i="1"/>
  <c r="AA2260" i="1"/>
  <c r="Z2260" i="1"/>
  <c r="AG2260" i="1" s="1"/>
  <c r="V2260" i="1"/>
  <c r="U2260" i="1"/>
  <c r="T2260" i="1"/>
  <c r="S2260" i="1"/>
  <c r="R2260" i="1"/>
  <c r="O2260" i="1"/>
  <c r="AD2260" i="1" s="1"/>
  <c r="M2260" i="1"/>
  <c r="AH2259" i="1"/>
  <c r="AE2259" i="1"/>
  <c r="AA2259" i="1"/>
  <c r="Z2259" i="1"/>
  <c r="AG2259" i="1" s="1"/>
  <c r="V2259" i="1"/>
  <c r="U2259" i="1"/>
  <c r="T2259" i="1"/>
  <c r="S2259" i="1"/>
  <c r="R2259" i="1"/>
  <c r="AF2259" i="1" s="1"/>
  <c r="O2259" i="1"/>
  <c r="AD2259" i="1" s="1"/>
  <c r="M2259" i="1"/>
  <c r="AH2258" i="1"/>
  <c r="AG2258" i="1"/>
  <c r="AE2258" i="1"/>
  <c r="AA2258" i="1"/>
  <c r="Z2258" i="1"/>
  <c r="V2258" i="1"/>
  <c r="U2258" i="1"/>
  <c r="T2258" i="1"/>
  <c r="S2258" i="1"/>
  <c r="R2258" i="1"/>
  <c r="AF2258" i="1" s="1"/>
  <c r="O2258" i="1"/>
  <c r="AD2258" i="1" s="1"/>
  <c r="M2258" i="1"/>
  <c r="AH2257" i="1"/>
  <c r="AG2257" i="1"/>
  <c r="AF2257" i="1"/>
  <c r="AE2257" i="1"/>
  <c r="AA2257" i="1"/>
  <c r="Z2257" i="1"/>
  <c r="V2257" i="1"/>
  <c r="U2257" i="1"/>
  <c r="T2257" i="1"/>
  <c r="S2257" i="1"/>
  <c r="R2257" i="1"/>
  <c r="O2257" i="1"/>
  <c r="AD2257" i="1" s="1"/>
  <c r="AI2257" i="1" s="1"/>
  <c r="M2257" i="1"/>
  <c r="AH2256" i="1"/>
  <c r="AE2256" i="1"/>
  <c r="AA2256" i="1"/>
  <c r="Z2256" i="1"/>
  <c r="AG2256" i="1" s="1"/>
  <c r="V2256" i="1"/>
  <c r="U2256" i="1"/>
  <c r="T2256" i="1"/>
  <c r="S2256" i="1"/>
  <c r="R2256" i="1"/>
  <c r="AF2256" i="1" s="1"/>
  <c r="O2256" i="1"/>
  <c r="AD2256" i="1" s="1"/>
  <c r="M2256" i="1"/>
  <c r="AI2255" i="1"/>
  <c r="AH2255" i="1"/>
  <c r="AE2255" i="1"/>
  <c r="AA2255" i="1"/>
  <c r="Z2255" i="1"/>
  <c r="AG2255" i="1" s="1"/>
  <c r="V2255" i="1"/>
  <c r="U2255" i="1"/>
  <c r="T2255" i="1"/>
  <c r="S2255" i="1"/>
  <c r="R2255" i="1"/>
  <c r="AF2255" i="1" s="1"/>
  <c r="O2255" i="1"/>
  <c r="AD2255" i="1" s="1"/>
  <c r="M2255" i="1"/>
  <c r="AH2254" i="1"/>
  <c r="AG2254" i="1"/>
  <c r="AE2254" i="1"/>
  <c r="AA2254" i="1"/>
  <c r="Z2254" i="1"/>
  <c r="V2254" i="1"/>
  <c r="U2254" i="1"/>
  <c r="T2254" i="1"/>
  <c r="S2254" i="1"/>
  <c r="R2254" i="1"/>
  <c r="AF2254" i="1" s="1"/>
  <c r="O2254" i="1"/>
  <c r="AD2254" i="1" s="1"/>
  <c r="AI2254" i="1" s="1"/>
  <c r="M2254" i="1"/>
  <c r="AH2253" i="1"/>
  <c r="AG2253" i="1"/>
  <c r="AF2253" i="1"/>
  <c r="AE2253" i="1"/>
  <c r="AA2253" i="1"/>
  <c r="Z2253" i="1"/>
  <c r="V2253" i="1"/>
  <c r="U2253" i="1"/>
  <c r="T2253" i="1"/>
  <c r="S2253" i="1"/>
  <c r="R2253" i="1"/>
  <c r="O2253" i="1"/>
  <c r="AD2253" i="1" s="1"/>
  <c r="AI2253" i="1" s="1"/>
  <c r="M2253" i="1"/>
  <c r="AH2252" i="1"/>
  <c r="AG2252" i="1"/>
  <c r="AE2252" i="1"/>
  <c r="AA2252" i="1"/>
  <c r="Z2252" i="1"/>
  <c r="V2252" i="1"/>
  <c r="U2252" i="1"/>
  <c r="T2252" i="1"/>
  <c r="S2252" i="1"/>
  <c r="R2252" i="1"/>
  <c r="AF2252" i="1" s="1"/>
  <c r="O2252" i="1"/>
  <c r="AD2252" i="1" s="1"/>
  <c r="M2252" i="1"/>
  <c r="AH2251" i="1"/>
  <c r="AE2251" i="1"/>
  <c r="AA2251" i="1"/>
  <c r="Z2251" i="1"/>
  <c r="AG2251" i="1" s="1"/>
  <c r="V2251" i="1"/>
  <c r="U2251" i="1"/>
  <c r="T2251" i="1"/>
  <c r="S2251" i="1"/>
  <c r="R2251" i="1"/>
  <c r="AF2251" i="1" s="1"/>
  <c r="O2251" i="1"/>
  <c r="AD2251" i="1" s="1"/>
  <c r="AI2251" i="1" s="1"/>
  <c r="M2251" i="1"/>
  <c r="AH2250" i="1"/>
  <c r="AG2250" i="1"/>
  <c r="AE2250" i="1"/>
  <c r="AA2250" i="1"/>
  <c r="Z2250" i="1"/>
  <c r="V2250" i="1"/>
  <c r="U2250" i="1"/>
  <c r="T2250" i="1"/>
  <c r="S2250" i="1"/>
  <c r="R2250" i="1"/>
  <c r="AF2250" i="1" s="1"/>
  <c r="O2250" i="1"/>
  <c r="AD2250" i="1" s="1"/>
  <c r="M2250" i="1"/>
  <c r="AH2249" i="1"/>
  <c r="AG2249" i="1"/>
  <c r="AF2249" i="1"/>
  <c r="AE2249" i="1"/>
  <c r="AA2249" i="1"/>
  <c r="Z2249" i="1"/>
  <c r="V2249" i="1"/>
  <c r="U2249" i="1"/>
  <c r="T2249" i="1"/>
  <c r="S2249" i="1"/>
  <c r="R2249" i="1"/>
  <c r="O2249" i="1"/>
  <c r="AD2249" i="1" s="1"/>
  <c r="AI2249" i="1" s="1"/>
  <c r="M2249" i="1"/>
  <c r="AH2248" i="1"/>
  <c r="AG2248" i="1"/>
  <c r="AE2248" i="1"/>
  <c r="AA2248" i="1"/>
  <c r="Z2248" i="1"/>
  <c r="V2248" i="1"/>
  <c r="U2248" i="1"/>
  <c r="T2248" i="1"/>
  <c r="S2248" i="1"/>
  <c r="R2248" i="1"/>
  <c r="AF2248" i="1" s="1"/>
  <c r="O2248" i="1"/>
  <c r="AD2248" i="1" s="1"/>
  <c r="AI2248" i="1" s="1"/>
  <c r="M2248" i="1"/>
  <c r="AH2247" i="1"/>
  <c r="AE2247" i="1"/>
  <c r="AD2247" i="1"/>
  <c r="AA2247" i="1"/>
  <c r="Z2247" i="1"/>
  <c r="AG2247" i="1" s="1"/>
  <c r="U2247" i="1"/>
  <c r="T2247" i="1"/>
  <c r="S2247" i="1"/>
  <c r="R2247" i="1"/>
  <c r="AF2247" i="1" s="1"/>
  <c r="Q2247" i="1"/>
  <c r="O2247" i="1"/>
  <c r="M2247" i="1"/>
  <c r="K2247" i="1"/>
  <c r="V2247" i="1" s="1"/>
  <c r="AH2246" i="1"/>
  <c r="AF2246" i="1"/>
  <c r="AE2246" i="1"/>
  <c r="AA2246" i="1"/>
  <c r="Z2246" i="1"/>
  <c r="AG2246" i="1" s="1"/>
  <c r="U2246" i="1"/>
  <c r="T2246" i="1"/>
  <c r="S2246" i="1"/>
  <c r="R2246" i="1"/>
  <c r="Q2246" i="1"/>
  <c r="O2246" i="1"/>
  <c r="AD2246" i="1" s="1"/>
  <c r="AI2246" i="1" s="1"/>
  <c r="M2246" i="1"/>
  <c r="K2246" i="1"/>
  <c r="V2246" i="1" s="1"/>
  <c r="AH2245" i="1"/>
  <c r="AG2245" i="1"/>
  <c r="AE2245" i="1"/>
  <c r="AA2245" i="1"/>
  <c r="Z2245" i="1"/>
  <c r="U2245" i="1"/>
  <c r="T2245" i="1"/>
  <c r="S2245" i="1"/>
  <c r="Q2245" i="1"/>
  <c r="R2245" i="1" s="1"/>
  <c r="AF2245" i="1" s="1"/>
  <c r="O2245" i="1"/>
  <c r="AD2245" i="1" s="1"/>
  <c r="AI2245" i="1" s="1"/>
  <c r="M2245" i="1"/>
  <c r="K2245" i="1"/>
  <c r="V2245" i="1" s="1"/>
  <c r="AH2244" i="1"/>
  <c r="AG2244" i="1"/>
  <c r="AE2244" i="1"/>
  <c r="AA2244" i="1"/>
  <c r="Z2244" i="1"/>
  <c r="V2244" i="1"/>
  <c r="U2244" i="1"/>
  <c r="T2244" i="1"/>
  <c r="S2244" i="1"/>
  <c r="R2244" i="1"/>
  <c r="AF2244" i="1" s="1"/>
  <c r="O2244" i="1"/>
  <c r="AD2244" i="1" s="1"/>
  <c r="M2244" i="1"/>
  <c r="AH2243" i="1"/>
  <c r="AG2243" i="1"/>
  <c r="AE2243" i="1"/>
  <c r="AD2243" i="1"/>
  <c r="AA2243" i="1"/>
  <c r="V2243" i="1"/>
  <c r="U2243" i="1"/>
  <c r="T2243" i="1"/>
  <c r="S2243" i="1"/>
  <c r="R2243" i="1"/>
  <c r="AF2243" i="1" s="1"/>
  <c r="O2243" i="1"/>
  <c r="AH2242" i="1"/>
  <c r="AG2242" i="1"/>
  <c r="AE2242" i="1"/>
  <c r="AD2242" i="1"/>
  <c r="AA2242" i="1"/>
  <c r="V2242" i="1"/>
  <c r="U2242" i="1"/>
  <c r="T2242" i="1"/>
  <c r="S2242" i="1"/>
  <c r="R2242" i="1"/>
  <c r="AF2242" i="1" s="1"/>
  <c r="O2242" i="1"/>
  <c r="AH2241" i="1"/>
  <c r="AE2241" i="1"/>
  <c r="AA2241" i="1"/>
  <c r="Z2241" i="1"/>
  <c r="AG2241" i="1" s="1"/>
  <c r="V2241" i="1"/>
  <c r="U2241" i="1"/>
  <c r="T2241" i="1"/>
  <c r="S2241" i="1"/>
  <c r="R2241" i="1"/>
  <c r="AF2241" i="1" s="1"/>
  <c r="O2241" i="1"/>
  <c r="AD2241" i="1" s="1"/>
  <c r="AI2241" i="1" s="1"/>
  <c r="M2241" i="1"/>
  <c r="AH2240" i="1"/>
  <c r="AG2240" i="1"/>
  <c r="AE2240" i="1"/>
  <c r="AA2240" i="1"/>
  <c r="Z2240" i="1"/>
  <c r="V2240" i="1"/>
  <c r="U2240" i="1"/>
  <c r="T2240" i="1"/>
  <c r="S2240" i="1"/>
  <c r="R2240" i="1"/>
  <c r="AF2240" i="1" s="1"/>
  <c r="O2240" i="1"/>
  <c r="AD2240" i="1" s="1"/>
  <c r="AI2240" i="1" s="1"/>
  <c r="M2240" i="1"/>
  <c r="AH2239" i="1"/>
  <c r="AG2239" i="1"/>
  <c r="AF2239" i="1"/>
  <c r="AE2239" i="1"/>
  <c r="AA2239" i="1"/>
  <c r="Z2239" i="1"/>
  <c r="V2239" i="1"/>
  <c r="U2239" i="1"/>
  <c r="T2239" i="1"/>
  <c r="S2239" i="1"/>
  <c r="R2239" i="1"/>
  <c r="O2239" i="1"/>
  <c r="AD2239" i="1" s="1"/>
  <c r="M2239" i="1"/>
  <c r="AH2238" i="1"/>
  <c r="AF2238" i="1"/>
  <c r="AE2238" i="1"/>
  <c r="AA2238" i="1"/>
  <c r="Z2238" i="1"/>
  <c r="AG2238" i="1" s="1"/>
  <c r="V2238" i="1"/>
  <c r="U2238" i="1"/>
  <c r="T2238" i="1"/>
  <c r="S2238" i="1"/>
  <c r="R2238" i="1"/>
  <c r="O2238" i="1"/>
  <c r="AD2238" i="1" s="1"/>
  <c r="M2238" i="1"/>
  <c r="AH2237" i="1"/>
  <c r="AE2237" i="1"/>
  <c r="AA2237" i="1"/>
  <c r="Z2237" i="1"/>
  <c r="AG2237" i="1" s="1"/>
  <c r="V2237" i="1"/>
  <c r="U2237" i="1"/>
  <c r="T2237" i="1"/>
  <c r="S2237" i="1"/>
  <c r="R2237" i="1"/>
  <c r="AF2237" i="1" s="1"/>
  <c r="AI2237" i="1" s="1"/>
  <c r="O2237" i="1"/>
  <c r="AD2237" i="1" s="1"/>
  <c r="M2237" i="1"/>
  <c r="AH2236" i="1"/>
  <c r="AG2236" i="1"/>
  <c r="AE2236" i="1"/>
  <c r="AA2236" i="1"/>
  <c r="Z2236" i="1"/>
  <c r="V2236" i="1"/>
  <c r="U2236" i="1"/>
  <c r="T2236" i="1"/>
  <c r="S2236" i="1"/>
  <c r="R2236" i="1"/>
  <c r="AF2236" i="1" s="1"/>
  <c r="O2236" i="1"/>
  <c r="AD2236" i="1" s="1"/>
  <c r="AI2236" i="1" s="1"/>
  <c r="M2236" i="1"/>
  <c r="AH2235" i="1"/>
  <c r="AG2235" i="1"/>
  <c r="AF2235" i="1"/>
  <c r="AE2235" i="1"/>
  <c r="AA2235" i="1"/>
  <c r="Z2235" i="1"/>
  <c r="V2235" i="1"/>
  <c r="U2235" i="1"/>
  <c r="T2235" i="1"/>
  <c r="S2235" i="1"/>
  <c r="R2235" i="1"/>
  <c r="O2235" i="1"/>
  <c r="AD2235" i="1" s="1"/>
  <c r="AI2235" i="1" s="1"/>
  <c r="M2235" i="1"/>
  <c r="AH2234" i="1"/>
  <c r="AF2234" i="1"/>
  <c r="AE2234" i="1"/>
  <c r="AA2234" i="1"/>
  <c r="Z2234" i="1"/>
  <c r="AG2234" i="1" s="1"/>
  <c r="V2234" i="1"/>
  <c r="U2234" i="1"/>
  <c r="T2234" i="1"/>
  <c r="S2234" i="1"/>
  <c r="R2234" i="1"/>
  <c r="O2234" i="1"/>
  <c r="AD2234" i="1" s="1"/>
  <c r="AI2234" i="1" s="1"/>
  <c r="M2234" i="1"/>
  <c r="AH2233" i="1"/>
  <c r="AE2233" i="1"/>
  <c r="AA2233" i="1"/>
  <c r="Z2233" i="1"/>
  <c r="AG2233" i="1" s="1"/>
  <c r="V2233" i="1"/>
  <c r="U2233" i="1"/>
  <c r="T2233" i="1"/>
  <c r="S2233" i="1"/>
  <c r="R2233" i="1"/>
  <c r="AF2233" i="1" s="1"/>
  <c r="O2233" i="1"/>
  <c r="AD2233" i="1" s="1"/>
  <c r="AI2233" i="1" s="1"/>
  <c r="M2233" i="1"/>
  <c r="AH2232" i="1"/>
  <c r="AG2232" i="1"/>
  <c r="AE2232" i="1"/>
  <c r="AA2232" i="1"/>
  <c r="Z2232" i="1"/>
  <c r="V2232" i="1"/>
  <c r="U2232" i="1"/>
  <c r="T2232" i="1"/>
  <c r="S2232" i="1"/>
  <c r="R2232" i="1"/>
  <c r="AF2232" i="1" s="1"/>
  <c r="O2232" i="1"/>
  <c r="AD2232" i="1" s="1"/>
  <c r="AI2232" i="1" s="1"/>
  <c r="M2232" i="1"/>
  <c r="AH2231" i="1"/>
  <c r="AG2231" i="1"/>
  <c r="AF2231" i="1"/>
  <c r="AE2231" i="1"/>
  <c r="AA2231" i="1"/>
  <c r="Z2231" i="1"/>
  <c r="V2231" i="1"/>
  <c r="U2231" i="1"/>
  <c r="T2231" i="1"/>
  <c r="S2231" i="1"/>
  <c r="R2231" i="1"/>
  <c r="O2231" i="1"/>
  <c r="AD2231" i="1" s="1"/>
  <c r="M2231" i="1"/>
  <c r="AH2230" i="1"/>
  <c r="AF2230" i="1"/>
  <c r="AE2230" i="1"/>
  <c r="AA2230" i="1"/>
  <c r="Z2230" i="1"/>
  <c r="AG2230" i="1" s="1"/>
  <c r="V2230" i="1"/>
  <c r="U2230" i="1"/>
  <c r="T2230" i="1"/>
  <c r="S2230" i="1"/>
  <c r="R2230" i="1"/>
  <c r="O2230" i="1"/>
  <c r="AD2230" i="1" s="1"/>
  <c r="M2230" i="1"/>
  <c r="AH2229" i="1"/>
  <c r="AE2229" i="1"/>
  <c r="AA2229" i="1"/>
  <c r="Z2229" i="1"/>
  <c r="AG2229" i="1" s="1"/>
  <c r="AI2229" i="1" s="1"/>
  <c r="V2229" i="1"/>
  <c r="U2229" i="1"/>
  <c r="T2229" i="1"/>
  <c r="S2229" i="1"/>
  <c r="R2229" i="1"/>
  <c r="AF2229" i="1" s="1"/>
  <c r="O2229" i="1"/>
  <c r="AD2229" i="1" s="1"/>
  <c r="M2229" i="1"/>
  <c r="AH2228" i="1"/>
  <c r="AG2228" i="1"/>
  <c r="AE2228" i="1"/>
  <c r="AA2228" i="1"/>
  <c r="Z2228" i="1"/>
  <c r="V2228" i="1"/>
  <c r="U2228" i="1"/>
  <c r="T2228" i="1"/>
  <c r="S2228" i="1"/>
  <c r="R2228" i="1"/>
  <c r="AF2228" i="1" s="1"/>
  <c r="O2228" i="1"/>
  <c r="AD2228" i="1" s="1"/>
  <c r="M2228" i="1"/>
  <c r="AH2227" i="1"/>
  <c r="AG2227" i="1"/>
  <c r="AF2227" i="1"/>
  <c r="AE2227" i="1"/>
  <c r="AA2227" i="1"/>
  <c r="Z2227" i="1"/>
  <c r="V2227" i="1"/>
  <c r="U2227" i="1"/>
  <c r="T2227" i="1"/>
  <c r="S2227" i="1"/>
  <c r="R2227" i="1"/>
  <c r="O2227" i="1"/>
  <c r="AD2227" i="1" s="1"/>
  <c r="AI2227" i="1" s="1"/>
  <c r="M2227" i="1"/>
  <c r="AH2226" i="1"/>
  <c r="AF2226" i="1"/>
  <c r="AE2226" i="1"/>
  <c r="AA2226" i="1"/>
  <c r="Z2226" i="1"/>
  <c r="AG2226" i="1" s="1"/>
  <c r="V2226" i="1"/>
  <c r="U2226" i="1"/>
  <c r="T2226" i="1"/>
  <c r="S2226" i="1"/>
  <c r="R2226" i="1"/>
  <c r="O2226" i="1"/>
  <c r="AD2226" i="1" s="1"/>
  <c r="AI2226" i="1" s="1"/>
  <c r="M2226" i="1"/>
  <c r="AH2225" i="1"/>
  <c r="AE2225" i="1"/>
  <c r="AA2225" i="1"/>
  <c r="Z2225" i="1"/>
  <c r="AG2225" i="1" s="1"/>
  <c r="V2225" i="1"/>
  <c r="U2225" i="1"/>
  <c r="T2225" i="1"/>
  <c r="S2225" i="1"/>
  <c r="R2225" i="1"/>
  <c r="AF2225" i="1" s="1"/>
  <c r="O2225" i="1"/>
  <c r="AD2225" i="1" s="1"/>
  <c r="AI2225" i="1" s="1"/>
  <c r="M2225" i="1"/>
  <c r="AH2224" i="1"/>
  <c r="AG2224" i="1"/>
  <c r="AE2224" i="1"/>
  <c r="AD2224" i="1"/>
  <c r="AI2224" i="1" s="1"/>
  <c r="AA2224" i="1"/>
  <c r="V2224" i="1"/>
  <c r="U2224" i="1"/>
  <c r="T2224" i="1"/>
  <c r="S2224" i="1"/>
  <c r="R2224" i="1"/>
  <c r="AF2224" i="1" s="1"/>
  <c r="O2224" i="1"/>
  <c r="AI2223" i="1"/>
  <c r="AH2223" i="1"/>
  <c r="AG2223" i="1"/>
  <c r="AE2223" i="1"/>
  <c r="AA2223" i="1"/>
  <c r="V2223" i="1"/>
  <c r="U2223" i="1"/>
  <c r="T2223" i="1"/>
  <c r="S2223" i="1"/>
  <c r="R2223" i="1"/>
  <c r="AF2223" i="1" s="1"/>
  <c r="O2223" i="1"/>
  <c r="AD2223" i="1" s="1"/>
  <c r="AH2222" i="1"/>
  <c r="AF2222" i="1"/>
  <c r="AE2222" i="1"/>
  <c r="AA2222" i="1"/>
  <c r="Z2222" i="1"/>
  <c r="AG2222" i="1" s="1"/>
  <c r="V2222" i="1"/>
  <c r="U2222" i="1"/>
  <c r="T2222" i="1"/>
  <c r="S2222" i="1"/>
  <c r="R2222" i="1"/>
  <c r="O2222" i="1"/>
  <c r="AD2222" i="1" s="1"/>
  <c r="M2222" i="1"/>
  <c r="AH2221" i="1"/>
  <c r="AG2221" i="1"/>
  <c r="AE2221" i="1"/>
  <c r="AA2221" i="1"/>
  <c r="V2221" i="1"/>
  <c r="U2221" i="1"/>
  <c r="T2221" i="1"/>
  <c r="S2221" i="1"/>
  <c r="R2221" i="1"/>
  <c r="AF2221" i="1" s="1"/>
  <c r="AI2221" i="1" s="1"/>
  <c r="O2221" i="1"/>
  <c r="AD2221" i="1" s="1"/>
  <c r="AH2220" i="1"/>
  <c r="AG2220" i="1"/>
  <c r="AF2220" i="1"/>
  <c r="AE2220" i="1"/>
  <c r="AA2220" i="1"/>
  <c r="V2220" i="1"/>
  <c r="U2220" i="1"/>
  <c r="T2220" i="1"/>
  <c r="S2220" i="1"/>
  <c r="R2220" i="1"/>
  <c r="O2220" i="1"/>
  <c r="AD2220" i="1" s="1"/>
  <c r="AI2220" i="1" s="1"/>
  <c r="AH2219" i="1"/>
  <c r="AG2219" i="1"/>
  <c r="AF2219" i="1"/>
  <c r="AE2219" i="1"/>
  <c r="AA2219" i="1"/>
  <c r="Z2219" i="1"/>
  <c r="V2219" i="1"/>
  <c r="U2219" i="1"/>
  <c r="T2219" i="1"/>
  <c r="S2219" i="1"/>
  <c r="R2219" i="1"/>
  <c r="O2219" i="1"/>
  <c r="AD2219" i="1" s="1"/>
  <c r="AI2219" i="1" s="1"/>
  <c r="M2219" i="1"/>
  <c r="AH2218" i="1"/>
  <c r="AG2218" i="1"/>
  <c r="AF2218" i="1"/>
  <c r="AE2218" i="1"/>
  <c r="AA2218" i="1"/>
  <c r="V2218" i="1"/>
  <c r="U2218" i="1"/>
  <c r="T2218" i="1"/>
  <c r="S2218" i="1"/>
  <c r="R2218" i="1"/>
  <c r="O2218" i="1"/>
  <c r="AD2218" i="1" s="1"/>
  <c r="AI2218" i="1" s="1"/>
  <c r="AH2217" i="1"/>
  <c r="AG2217" i="1"/>
  <c r="AE2217" i="1"/>
  <c r="AD2217" i="1"/>
  <c r="AI2217" i="1" s="1"/>
  <c r="AA2217" i="1"/>
  <c r="V2217" i="1"/>
  <c r="U2217" i="1"/>
  <c r="T2217" i="1"/>
  <c r="S2217" i="1"/>
  <c r="R2217" i="1"/>
  <c r="AF2217" i="1" s="1"/>
  <c r="O2217" i="1"/>
  <c r="AH2216" i="1"/>
  <c r="AG2216" i="1"/>
  <c r="AE2216" i="1"/>
  <c r="AA2216" i="1"/>
  <c r="Z2216" i="1"/>
  <c r="V2216" i="1"/>
  <c r="U2216" i="1"/>
  <c r="T2216" i="1"/>
  <c r="S2216" i="1"/>
  <c r="R2216" i="1"/>
  <c r="AF2216" i="1" s="1"/>
  <c r="O2216" i="1"/>
  <c r="AD2216" i="1" s="1"/>
  <c r="AI2216" i="1" s="1"/>
  <c r="M2216" i="1"/>
  <c r="AH2215" i="1"/>
  <c r="AG2215" i="1"/>
  <c r="AF2215" i="1"/>
  <c r="AE2215" i="1"/>
  <c r="AA2215" i="1"/>
  <c r="Z2215" i="1"/>
  <c r="V2215" i="1"/>
  <c r="U2215" i="1"/>
  <c r="T2215" i="1"/>
  <c r="S2215" i="1"/>
  <c r="R2215" i="1"/>
  <c r="O2215" i="1"/>
  <c r="AD2215" i="1" s="1"/>
  <c r="AI2215" i="1" s="1"/>
  <c r="M2215" i="1"/>
  <c r="AH2214" i="1"/>
  <c r="AF2214" i="1"/>
  <c r="AE2214" i="1"/>
  <c r="AA2214" i="1"/>
  <c r="Z2214" i="1"/>
  <c r="AG2214" i="1" s="1"/>
  <c r="V2214" i="1"/>
  <c r="U2214" i="1"/>
  <c r="T2214" i="1"/>
  <c r="S2214" i="1"/>
  <c r="R2214" i="1"/>
  <c r="O2214" i="1"/>
  <c r="AD2214" i="1" s="1"/>
  <c r="AI2214" i="1" s="1"/>
  <c r="M2214" i="1"/>
  <c r="AH2213" i="1"/>
  <c r="AE2213" i="1"/>
  <c r="AA2213" i="1"/>
  <c r="Z2213" i="1"/>
  <c r="AG2213" i="1" s="1"/>
  <c r="V2213" i="1"/>
  <c r="U2213" i="1"/>
  <c r="T2213" i="1"/>
  <c r="S2213" i="1"/>
  <c r="R2213" i="1"/>
  <c r="AF2213" i="1" s="1"/>
  <c r="O2213" i="1"/>
  <c r="AD2213" i="1" s="1"/>
  <c r="M2213" i="1"/>
  <c r="AH2212" i="1"/>
  <c r="AG2212" i="1"/>
  <c r="AE2212" i="1"/>
  <c r="AA2212" i="1"/>
  <c r="Z2212" i="1"/>
  <c r="V2212" i="1"/>
  <c r="U2212" i="1"/>
  <c r="T2212" i="1"/>
  <c r="S2212" i="1"/>
  <c r="R2212" i="1"/>
  <c r="AF2212" i="1" s="1"/>
  <c r="O2212" i="1"/>
  <c r="AD2212" i="1" s="1"/>
  <c r="M2212" i="1"/>
  <c r="AH2211" i="1"/>
  <c r="AG2211" i="1"/>
  <c r="AE2211" i="1"/>
  <c r="AA2211" i="1"/>
  <c r="Z2211" i="1"/>
  <c r="U2211" i="1"/>
  <c r="T2211" i="1"/>
  <c r="S2211" i="1"/>
  <c r="Q2211" i="1"/>
  <c r="R2211" i="1" s="1"/>
  <c r="AF2211" i="1" s="1"/>
  <c r="O2211" i="1"/>
  <c r="AD2211" i="1" s="1"/>
  <c r="M2211" i="1"/>
  <c r="K2211" i="1"/>
  <c r="V2211" i="1" s="1"/>
  <c r="AH2210" i="1"/>
  <c r="AG2210" i="1"/>
  <c r="AE2210" i="1"/>
  <c r="AD2210" i="1"/>
  <c r="AA2210" i="1"/>
  <c r="Z2210" i="1"/>
  <c r="U2210" i="1"/>
  <c r="T2210" i="1"/>
  <c r="S2210" i="1"/>
  <c r="Q2210" i="1"/>
  <c r="R2210" i="1" s="1"/>
  <c r="AF2210" i="1" s="1"/>
  <c r="O2210" i="1"/>
  <c r="M2210" i="1"/>
  <c r="K2210" i="1"/>
  <c r="V2210" i="1" s="1"/>
  <c r="AI2209" i="1"/>
  <c r="AH2209" i="1"/>
  <c r="AE2209" i="1"/>
  <c r="AD2209" i="1"/>
  <c r="AA2209" i="1"/>
  <c r="Z2209" i="1"/>
  <c r="AG2209" i="1" s="1"/>
  <c r="U2209" i="1"/>
  <c r="T2209" i="1"/>
  <c r="S2209" i="1"/>
  <c r="R2209" i="1"/>
  <c r="AF2209" i="1" s="1"/>
  <c r="Q2209" i="1"/>
  <c r="O2209" i="1"/>
  <c r="M2209" i="1"/>
  <c r="K2209" i="1"/>
  <c r="V2209" i="1" s="1"/>
  <c r="AH2208" i="1"/>
  <c r="AF2208" i="1"/>
  <c r="AE2208" i="1"/>
  <c r="AA2208" i="1"/>
  <c r="Z2208" i="1"/>
  <c r="AG2208" i="1" s="1"/>
  <c r="V2208" i="1"/>
  <c r="U2208" i="1"/>
  <c r="T2208" i="1"/>
  <c r="S2208" i="1"/>
  <c r="R2208" i="1"/>
  <c r="O2208" i="1"/>
  <c r="AD2208" i="1" s="1"/>
  <c r="M2208" i="1"/>
  <c r="AH2207" i="1"/>
  <c r="AE2207" i="1"/>
  <c r="AA2207" i="1"/>
  <c r="Z2207" i="1"/>
  <c r="AG2207" i="1" s="1"/>
  <c r="V2207" i="1"/>
  <c r="U2207" i="1"/>
  <c r="T2207" i="1"/>
  <c r="S2207" i="1"/>
  <c r="R2207" i="1"/>
  <c r="AF2207" i="1" s="1"/>
  <c r="AI2207" i="1" s="1"/>
  <c r="O2207" i="1"/>
  <c r="AD2207" i="1" s="1"/>
  <c r="M2207" i="1"/>
  <c r="AH2206" i="1"/>
  <c r="AG2206" i="1"/>
  <c r="AE2206" i="1"/>
  <c r="AA2206" i="1"/>
  <c r="Z2206" i="1"/>
  <c r="V2206" i="1"/>
  <c r="U2206" i="1"/>
  <c r="T2206" i="1"/>
  <c r="S2206" i="1"/>
  <c r="R2206" i="1"/>
  <c r="AF2206" i="1" s="1"/>
  <c r="O2206" i="1"/>
  <c r="AD2206" i="1" s="1"/>
  <c r="M2206" i="1"/>
  <c r="AH2205" i="1"/>
  <c r="AG2205" i="1"/>
  <c r="AF2205" i="1"/>
  <c r="AE2205" i="1"/>
  <c r="AA2205" i="1"/>
  <c r="Z2205" i="1"/>
  <c r="V2205" i="1"/>
  <c r="U2205" i="1"/>
  <c r="T2205" i="1"/>
  <c r="S2205" i="1"/>
  <c r="R2205" i="1"/>
  <c r="O2205" i="1"/>
  <c r="AD2205" i="1" s="1"/>
  <c r="AI2205" i="1" s="1"/>
  <c r="M2205" i="1"/>
  <c r="AH2204" i="1"/>
  <c r="AF2204" i="1"/>
  <c r="AE2204" i="1"/>
  <c r="AA2204" i="1"/>
  <c r="Z2204" i="1"/>
  <c r="AG2204" i="1" s="1"/>
  <c r="V2204" i="1"/>
  <c r="U2204" i="1"/>
  <c r="T2204" i="1"/>
  <c r="S2204" i="1"/>
  <c r="R2204" i="1"/>
  <c r="O2204" i="1"/>
  <c r="AD2204" i="1" s="1"/>
  <c r="AI2204" i="1" s="1"/>
  <c r="M2204" i="1"/>
  <c r="AH2203" i="1"/>
  <c r="AE2203" i="1"/>
  <c r="AA2203" i="1"/>
  <c r="Z2203" i="1"/>
  <c r="AG2203" i="1" s="1"/>
  <c r="V2203" i="1"/>
  <c r="U2203" i="1"/>
  <c r="T2203" i="1"/>
  <c r="S2203" i="1"/>
  <c r="R2203" i="1"/>
  <c r="AF2203" i="1" s="1"/>
  <c r="O2203" i="1"/>
  <c r="AD2203" i="1" s="1"/>
  <c r="AI2203" i="1" s="1"/>
  <c r="M2203" i="1"/>
  <c r="AH2202" i="1"/>
  <c r="AG2202" i="1"/>
  <c r="AE2202" i="1"/>
  <c r="AA2202" i="1"/>
  <c r="Z2202" i="1"/>
  <c r="V2202" i="1"/>
  <c r="U2202" i="1"/>
  <c r="T2202" i="1"/>
  <c r="S2202" i="1"/>
  <c r="R2202" i="1"/>
  <c r="AF2202" i="1" s="1"/>
  <c r="O2202" i="1"/>
  <c r="AD2202" i="1" s="1"/>
  <c r="AI2202" i="1" s="1"/>
  <c r="M2202" i="1"/>
  <c r="AH2201" i="1"/>
  <c r="AG2201" i="1"/>
  <c r="AF2201" i="1"/>
  <c r="AE2201" i="1"/>
  <c r="AA2201" i="1"/>
  <c r="Z2201" i="1"/>
  <c r="V2201" i="1"/>
  <c r="U2201" i="1"/>
  <c r="T2201" i="1"/>
  <c r="S2201" i="1"/>
  <c r="R2201" i="1"/>
  <c r="O2201" i="1"/>
  <c r="AD2201" i="1" s="1"/>
  <c r="M2201" i="1"/>
  <c r="AH2200" i="1"/>
  <c r="AF2200" i="1"/>
  <c r="AE2200" i="1"/>
  <c r="AA2200" i="1"/>
  <c r="Z2200" i="1"/>
  <c r="AG2200" i="1" s="1"/>
  <c r="V2200" i="1"/>
  <c r="U2200" i="1"/>
  <c r="T2200" i="1"/>
  <c r="S2200" i="1"/>
  <c r="R2200" i="1"/>
  <c r="O2200" i="1"/>
  <c r="AD2200" i="1" s="1"/>
  <c r="M2200" i="1"/>
  <c r="AH2199" i="1"/>
  <c r="AE2199" i="1"/>
  <c r="AA2199" i="1"/>
  <c r="Z2199" i="1"/>
  <c r="AG2199" i="1" s="1"/>
  <c r="AI2199" i="1" s="1"/>
  <c r="V2199" i="1"/>
  <c r="U2199" i="1"/>
  <c r="T2199" i="1"/>
  <c r="S2199" i="1"/>
  <c r="R2199" i="1"/>
  <c r="AF2199" i="1" s="1"/>
  <c r="O2199" i="1"/>
  <c r="AD2199" i="1" s="1"/>
  <c r="M2199" i="1"/>
  <c r="AH2198" i="1"/>
  <c r="AG2198" i="1"/>
  <c r="AE2198" i="1"/>
  <c r="AA2198" i="1"/>
  <c r="Z2198" i="1"/>
  <c r="V2198" i="1"/>
  <c r="U2198" i="1"/>
  <c r="T2198" i="1"/>
  <c r="S2198" i="1"/>
  <c r="R2198" i="1"/>
  <c r="AF2198" i="1" s="1"/>
  <c r="O2198" i="1"/>
  <c r="AD2198" i="1" s="1"/>
  <c r="AI2198" i="1" s="1"/>
  <c r="M2198" i="1"/>
  <c r="AH2197" i="1"/>
  <c r="AG2197" i="1"/>
  <c r="AF2197" i="1"/>
  <c r="AE2197" i="1"/>
  <c r="AA2197" i="1"/>
  <c r="Z2197" i="1"/>
  <c r="V2197" i="1"/>
  <c r="U2197" i="1"/>
  <c r="T2197" i="1"/>
  <c r="S2197" i="1"/>
  <c r="R2197" i="1"/>
  <c r="O2197" i="1"/>
  <c r="AD2197" i="1" s="1"/>
  <c r="AI2197" i="1" s="1"/>
  <c r="M2197" i="1"/>
  <c r="AH2196" i="1"/>
  <c r="AF2196" i="1"/>
  <c r="AE2196" i="1"/>
  <c r="AA2196" i="1"/>
  <c r="Z2196" i="1"/>
  <c r="AG2196" i="1" s="1"/>
  <c r="V2196" i="1"/>
  <c r="U2196" i="1"/>
  <c r="T2196" i="1"/>
  <c r="S2196" i="1"/>
  <c r="R2196" i="1"/>
  <c r="O2196" i="1"/>
  <c r="AD2196" i="1" s="1"/>
  <c r="AI2196" i="1" s="1"/>
  <c r="M2196" i="1"/>
  <c r="AH2195" i="1"/>
  <c r="AE2195" i="1"/>
  <c r="AA2195" i="1"/>
  <c r="Z2195" i="1"/>
  <c r="AG2195" i="1" s="1"/>
  <c r="V2195" i="1"/>
  <c r="U2195" i="1"/>
  <c r="T2195" i="1"/>
  <c r="S2195" i="1"/>
  <c r="R2195" i="1"/>
  <c r="AF2195" i="1" s="1"/>
  <c r="O2195" i="1"/>
  <c r="AD2195" i="1" s="1"/>
  <c r="AI2195" i="1" s="1"/>
  <c r="M2195" i="1"/>
  <c r="AH2194" i="1"/>
  <c r="AG2194" i="1"/>
  <c r="AE2194" i="1"/>
  <c r="AA2194" i="1"/>
  <c r="Z2194" i="1"/>
  <c r="V2194" i="1"/>
  <c r="U2194" i="1"/>
  <c r="T2194" i="1"/>
  <c r="S2194" i="1"/>
  <c r="R2194" i="1"/>
  <c r="AF2194" i="1" s="1"/>
  <c r="O2194" i="1"/>
  <c r="AD2194" i="1" s="1"/>
  <c r="AI2194" i="1" s="1"/>
  <c r="M2194" i="1"/>
  <c r="AH2193" i="1"/>
  <c r="AG2193" i="1"/>
  <c r="AF2193" i="1"/>
  <c r="AE2193" i="1"/>
  <c r="AA2193" i="1"/>
  <c r="Z2193" i="1"/>
  <c r="V2193" i="1"/>
  <c r="U2193" i="1"/>
  <c r="T2193" i="1"/>
  <c r="S2193" i="1"/>
  <c r="R2193" i="1"/>
  <c r="O2193" i="1"/>
  <c r="AD2193" i="1" s="1"/>
  <c r="M2193" i="1"/>
  <c r="AH2192" i="1"/>
  <c r="AF2192" i="1"/>
  <c r="AE2192" i="1"/>
  <c r="AA2192" i="1"/>
  <c r="Z2192" i="1"/>
  <c r="AG2192" i="1" s="1"/>
  <c r="V2192" i="1"/>
  <c r="U2192" i="1"/>
  <c r="T2192" i="1"/>
  <c r="S2192" i="1"/>
  <c r="R2192" i="1"/>
  <c r="O2192" i="1"/>
  <c r="AD2192" i="1" s="1"/>
  <c r="M2192" i="1"/>
  <c r="AH2191" i="1"/>
  <c r="AE2191" i="1"/>
  <c r="AA2191" i="1"/>
  <c r="Z2191" i="1"/>
  <c r="AG2191" i="1" s="1"/>
  <c r="V2191" i="1"/>
  <c r="U2191" i="1"/>
  <c r="T2191" i="1"/>
  <c r="S2191" i="1"/>
  <c r="R2191" i="1"/>
  <c r="AF2191" i="1" s="1"/>
  <c r="AI2191" i="1" s="1"/>
  <c r="O2191" i="1"/>
  <c r="AD2191" i="1" s="1"/>
  <c r="M2191" i="1"/>
  <c r="AH2190" i="1"/>
  <c r="AG2190" i="1"/>
  <c r="AE2190" i="1"/>
  <c r="AA2190" i="1"/>
  <c r="Z2190" i="1"/>
  <c r="V2190" i="1"/>
  <c r="U2190" i="1"/>
  <c r="T2190" i="1"/>
  <c r="S2190" i="1"/>
  <c r="R2190" i="1"/>
  <c r="AF2190" i="1" s="1"/>
  <c r="O2190" i="1"/>
  <c r="AD2190" i="1" s="1"/>
  <c r="M2190" i="1"/>
  <c r="AH2189" i="1"/>
  <c r="AG2189" i="1"/>
  <c r="AF2189" i="1"/>
  <c r="AE2189" i="1"/>
  <c r="AA2189" i="1"/>
  <c r="Z2189" i="1"/>
  <c r="V2189" i="1"/>
  <c r="U2189" i="1"/>
  <c r="T2189" i="1"/>
  <c r="S2189" i="1"/>
  <c r="R2189" i="1"/>
  <c r="O2189" i="1"/>
  <c r="AD2189" i="1" s="1"/>
  <c r="AI2189" i="1" s="1"/>
  <c r="M2189" i="1"/>
  <c r="AH2188" i="1"/>
  <c r="AF2188" i="1"/>
  <c r="AE2188" i="1"/>
  <c r="AA2188" i="1"/>
  <c r="Z2188" i="1"/>
  <c r="AG2188" i="1" s="1"/>
  <c r="V2188" i="1"/>
  <c r="U2188" i="1"/>
  <c r="T2188" i="1"/>
  <c r="S2188" i="1"/>
  <c r="R2188" i="1"/>
  <c r="O2188" i="1"/>
  <c r="AD2188" i="1" s="1"/>
  <c r="AI2188" i="1" s="1"/>
  <c r="M2188" i="1"/>
  <c r="AH2187" i="1"/>
  <c r="AE2187" i="1"/>
  <c r="AA2187" i="1"/>
  <c r="Z2187" i="1"/>
  <c r="AG2187" i="1" s="1"/>
  <c r="V2187" i="1"/>
  <c r="U2187" i="1"/>
  <c r="T2187" i="1"/>
  <c r="S2187" i="1"/>
  <c r="R2187" i="1"/>
  <c r="AF2187" i="1" s="1"/>
  <c r="O2187" i="1"/>
  <c r="AD2187" i="1" s="1"/>
  <c r="AI2187" i="1" s="1"/>
  <c r="M2187" i="1"/>
  <c r="AH2186" i="1"/>
  <c r="AG2186" i="1"/>
  <c r="AE2186" i="1"/>
  <c r="AA2186" i="1"/>
  <c r="Z2186" i="1"/>
  <c r="V2186" i="1"/>
  <c r="U2186" i="1"/>
  <c r="T2186" i="1"/>
  <c r="S2186" i="1"/>
  <c r="R2186" i="1"/>
  <c r="AF2186" i="1" s="1"/>
  <c r="O2186" i="1"/>
  <c r="AD2186" i="1" s="1"/>
  <c r="AI2186" i="1" s="1"/>
  <c r="M2186" i="1"/>
  <c r="AH2185" i="1"/>
  <c r="AG2185" i="1"/>
  <c r="AF2185" i="1"/>
  <c r="AE2185" i="1"/>
  <c r="AA2185" i="1"/>
  <c r="Z2185" i="1"/>
  <c r="V2185" i="1"/>
  <c r="U2185" i="1"/>
  <c r="T2185" i="1"/>
  <c r="S2185" i="1"/>
  <c r="R2185" i="1"/>
  <c r="O2185" i="1"/>
  <c r="AD2185" i="1" s="1"/>
  <c r="M2185" i="1"/>
  <c r="AH2184" i="1"/>
  <c r="AF2184" i="1"/>
  <c r="AE2184" i="1"/>
  <c r="AA2184" i="1"/>
  <c r="Z2184" i="1"/>
  <c r="AG2184" i="1" s="1"/>
  <c r="V2184" i="1"/>
  <c r="U2184" i="1"/>
  <c r="T2184" i="1"/>
  <c r="S2184" i="1"/>
  <c r="R2184" i="1"/>
  <c r="O2184" i="1"/>
  <c r="AD2184" i="1" s="1"/>
  <c r="M2184" i="1"/>
  <c r="AH2183" i="1"/>
  <c r="AE2183" i="1"/>
  <c r="AA2183" i="1"/>
  <c r="Z2183" i="1"/>
  <c r="AG2183" i="1" s="1"/>
  <c r="AI2183" i="1" s="1"/>
  <c r="V2183" i="1"/>
  <c r="U2183" i="1"/>
  <c r="T2183" i="1"/>
  <c r="S2183" i="1"/>
  <c r="R2183" i="1"/>
  <c r="AF2183" i="1" s="1"/>
  <c r="O2183" i="1"/>
  <c r="AD2183" i="1" s="1"/>
  <c r="M2183" i="1"/>
  <c r="AH2182" i="1"/>
  <c r="AG2182" i="1"/>
  <c r="AE2182" i="1"/>
  <c r="AA2182" i="1"/>
  <c r="Z2182" i="1"/>
  <c r="V2182" i="1"/>
  <c r="U2182" i="1"/>
  <c r="T2182" i="1"/>
  <c r="S2182" i="1"/>
  <c r="R2182" i="1"/>
  <c r="AF2182" i="1" s="1"/>
  <c r="O2182" i="1"/>
  <c r="AD2182" i="1" s="1"/>
  <c r="AI2182" i="1" s="1"/>
  <c r="M2182" i="1"/>
  <c r="AH2181" i="1"/>
  <c r="AG2181" i="1"/>
  <c r="AE2181" i="1"/>
  <c r="AA2181" i="1"/>
  <c r="Z2181" i="1"/>
  <c r="U2181" i="1"/>
  <c r="T2181" i="1"/>
  <c r="S2181" i="1"/>
  <c r="Q2181" i="1"/>
  <c r="R2181" i="1" s="1"/>
  <c r="AF2181" i="1" s="1"/>
  <c r="O2181" i="1"/>
  <c r="AD2181" i="1" s="1"/>
  <c r="M2181" i="1"/>
  <c r="K2181" i="1"/>
  <c r="V2181" i="1" s="1"/>
  <c r="AH2180" i="1"/>
  <c r="AG2180" i="1"/>
  <c r="AE2180" i="1"/>
  <c r="AD2180" i="1"/>
  <c r="AI2180" i="1" s="1"/>
  <c r="AA2180" i="1"/>
  <c r="Z2180" i="1"/>
  <c r="U2180" i="1"/>
  <c r="T2180" i="1"/>
  <c r="S2180" i="1"/>
  <c r="Q2180" i="1"/>
  <c r="R2180" i="1" s="1"/>
  <c r="AF2180" i="1" s="1"/>
  <c r="O2180" i="1"/>
  <c r="M2180" i="1"/>
  <c r="K2180" i="1"/>
  <c r="V2180" i="1" s="1"/>
  <c r="AH2179" i="1"/>
  <c r="AE2179" i="1"/>
  <c r="AD2179" i="1"/>
  <c r="AA2179" i="1"/>
  <c r="Z2179" i="1"/>
  <c r="AG2179" i="1" s="1"/>
  <c r="U2179" i="1"/>
  <c r="T2179" i="1"/>
  <c r="S2179" i="1"/>
  <c r="R2179" i="1"/>
  <c r="AF2179" i="1" s="1"/>
  <c r="Q2179" i="1"/>
  <c r="O2179" i="1"/>
  <c r="M2179" i="1"/>
  <c r="K2179" i="1"/>
  <c r="V2179" i="1" s="1"/>
  <c r="AH2178" i="1"/>
  <c r="AF2178" i="1"/>
  <c r="AE2178" i="1"/>
  <c r="AA2178" i="1"/>
  <c r="Z2178" i="1"/>
  <c r="AG2178" i="1" s="1"/>
  <c r="V2178" i="1"/>
  <c r="U2178" i="1"/>
  <c r="T2178" i="1"/>
  <c r="S2178" i="1"/>
  <c r="R2178" i="1"/>
  <c r="O2178" i="1"/>
  <c r="AD2178" i="1" s="1"/>
  <c r="M2178" i="1"/>
  <c r="AH2177" i="1"/>
  <c r="AE2177" i="1"/>
  <c r="AA2177" i="1"/>
  <c r="Z2177" i="1"/>
  <c r="AG2177" i="1" s="1"/>
  <c r="AI2177" i="1" s="1"/>
  <c r="V2177" i="1"/>
  <c r="U2177" i="1"/>
  <c r="T2177" i="1"/>
  <c r="S2177" i="1"/>
  <c r="R2177" i="1"/>
  <c r="AF2177" i="1" s="1"/>
  <c r="O2177" i="1"/>
  <c r="AD2177" i="1" s="1"/>
  <c r="M2177" i="1"/>
  <c r="AH2176" i="1"/>
  <c r="AG2176" i="1"/>
  <c r="AE2176" i="1"/>
  <c r="AA2176" i="1"/>
  <c r="Z2176" i="1"/>
  <c r="V2176" i="1"/>
  <c r="U2176" i="1"/>
  <c r="T2176" i="1"/>
  <c r="S2176" i="1"/>
  <c r="R2176" i="1"/>
  <c r="AF2176" i="1" s="1"/>
  <c r="O2176" i="1"/>
  <c r="AD2176" i="1" s="1"/>
  <c r="M2176" i="1"/>
  <c r="AH2175" i="1"/>
  <c r="AG2175" i="1"/>
  <c r="AF2175" i="1"/>
  <c r="AE2175" i="1"/>
  <c r="AA2175" i="1"/>
  <c r="Z2175" i="1"/>
  <c r="V2175" i="1"/>
  <c r="U2175" i="1"/>
  <c r="T2175" i="1"/>
  <c r="S2175" i="1"/>
  <c r="R2175" i="1"/>
  <c r="O2175" i="1"/>
  <c r="AD2175" i="1" s="1"/>
  <c r="AI2175" i="1" s="1"/>
  <c r="M2175" i="1"/>
  <c r="AH2174" i="1"/>
  <c r="AF2174" i="1"/>
  <c r="AE2174" i="1"/>
  <c r="AA2174" i="1"/>
  <c r="Z2174" i="1"/>
  <c r="AG2174" i="1" s="1"/>
  <c r="V2174" i="1"/>
  <c r="U2174" i="1"/>
  <c r="T2174" i="1"/>
  <c r="S2174" i="1"/>
  <c r="R2174" i="1"/>
  <c r="O2174" i="1"/>
  <c r="AD2174" i="1" s="1"/>
  <c r="AI2174" i="1" s="1"/>
  <c r="M2174" i="1"/>
  <c r="AH2173" i="1"/>
  <c r="AE2173" i="1"/>
  <c r="AA2173" i="1"/>
  <c r="Z2173" i="1"/>
  <c r="AG2173" i="1" s="1"/>
  <c r="V2173" i="1"/>
  <c r="U2173" i="1"/>
  <c r="T2173" i="1"/>
  <c r="S2173" i="1"/>
  <c r="R2173" i="1"/>
  <c r="AF2173" i="1" s="1"/>
  <c r="O2173" i="1"/>
  <c r="AD2173" i="1" s="1"/>
  <c r="AI2173" i="1" s="1"/>
  <c r="M2173" i="1"/>
  <c r="AH2172" i="1"/>
  <c r="AG2172" i="1"/>
  <c r="AE2172" i="1"/>
  <c r="AA2172" i="1"/>
  <c r="Z2172" i="1"/>
  <c r="V2172" i="1"/>
  <c r="U2172" i="1"/>
  <c r="T2172" i="1"/>
  <c r="S2172" i="1"/>
  <c r="R2172" i="1"/>
  <c r="AF2172" i="1" s="1"/>
  <c r="O2172" i="1"/>
  <c r="AD2172" i="1" s="1"/>
  <c r="AI2172" i="1" s="1"/>
  <c r="M2172" i="1"/>
  <c r="AH2171" i="1"/>
  <c r="AG2171" i="1"/>
  <c r="AF2171" i="1"/>
  <c r="AE2171" i="1"/>
  <c r="AA2171" i="1"/>
  <c r="Z2171" i="1"/>
  <c r="V2171" i="1"/>
  <c r="U2171" i="1"/>
  <c r="T2171" i="1"/>
  <c r="S2171" i="1"/>
  <c r="R2171" i="1"/>
  <c r="O2171" i="1"/>
  <c r="AD2171" i="1" s="1"/>
  <c r="M2171" i="1"/>
  <c r="AH2170" i="1"/>
  <c r="AF2170" i="1"/>
  <c r="AE2170" i="1"/>
  <c r="AA2170" i="1"/>
  <c r="Z2170" i="1"/>
  <c r="AG2170" i="1" s="1"/>
  <c r="V2170" i="1"/>
  <c r="U2170" i="1"/>
  <c r="T2170" i="1"/>
  <c r="S2170" i="1"/>
  <c r="R2170" i="1"/>
  <c r="O2170" i="1"/>
  <c r="AD2170" i="1" s="1"/>
  <c r="M2170" i="1"/>
  <c r="AH2169" i="1"/>
  <c r="AE2169" i="1"/>
  <c r="AA2169" i="1"/>
  <c r="Z2169" i="1"/>
  <c r="AG2169" i="1" s="1"/>
  <c r="AI2169" i="1" s="1"/>
  <c r="V2169" i="1"/>
  <c r="U2169" i="1"/>
  <c r="T2169" i="1"/>
  <c r="S2169" i="1"/>
  <c r="R2169" i="1"/>
  <c r="AF2169" i="1" s="1"/>
  <c r="O2169" i="1"/>
  <c r="AD2169" i="1" s="1"/>
  <c r="M2169" i="1"/>
  <c r="AH2168" i="1"/>
  <c r="AG2168" i="1"/>
  <c r="AE2168" i="1"/>
  <c r="AA2168" i="1"/>
  <c r="Z2168" i="1"/>
  <c r="V2168" i="1"/>
  <c r="U2168" i="1"/>
  <c r="T2168" i="1"/>
  <c r="S2168" i="1"/>
  <c r="R2168" i="1"/>
  <c r="AF2168" i="1" s="1"/>
  <c r="O2168" i="1"/>
  <c r="AD2168" i="1" s="1"/>
  <c r="AI2168" i="1" s="1"/>
  <c r="M2168" i="1"/>
  <c r="AH2167" i="1"/>
  <c r="AG2167" i="1"/>
  <c r="AF2167" i="1"/>
  <c r="AE2167" i="1"/>
  <c r="AA2167" i="1"/>
  <c r="Z2167" i="1"/>
  <c r="V2167" i="1"/>
  <c r="U2167" i="1"/>
  <c r="T2167" i="1"/>
  <c r="S2167" i="1"/>
  <c r="R2167" i="1"/>
  <c r="O2167" i="1"/>
  <c r="AD2167" i="1" s="1"/>
  <c r="AI2167" i="1" s="1"/>
  <c r="M2167" i="1"/>
  <c r="AH2166" i="1"/>
  <c r="AE2166" i="1"/>
  <c r="AA2166" i="1"/>
  <c r="Z2166" i="1"/>
  <c r="AG2166" i="1" s="1"/>
  <c r="V2166" i="1"/>
  <c r="U2166" i="1"/>
  <c r="T2166" i="1"/>
  <c r="S2166" i="1"/>
  <c r="R2166" i="1"/>
  <c r="AF2166" i="1" s="1"/>
  <c r="O2166" i="1"/>
  <c r="AD2166" i="1" s="1"/>
  <c r="M2166" i="1"/>
  <c r="AH2165" i="1"/>
  <c r="AE2165" i="1"/>
  <c r="AA2165" i="1"/>
  <c r="Z2165" i="1"/>
  <c r="AG2165" i="1" s="1"/>
  <c r="AI2165" i="1" s="1"/>
  <c r="V2165" i="1"/>
  <c r="U2165" i="1"/>
  <c r="T2165" i="1"/>
  <c r="S2165" i="1"/>
  <c r="R2165" i="1"/>
  <c r="AF2165" i="1" s="1"/>
  <c r="O2165" i="1"/>
  <c r="AD2165" i="1" s="1"/>
  <c r="M2165" i="1"/>
  <c r="AH2164" i="1"/>
  <c r="AG2164" i="1"/>
  <c r="AE2164" i="1"/>
  <c r="AA2164" i="1"/>
  <c r="Z2164" i="1"/>
  <c r="V2164" i="1"/>
  <c r="U2164" i="1"/>
  <c r="T2164" i="1"/>
  <c r="S2164" i="1"/>
  <c r="R2164" i="1"/>
  <c r="AF2164" i="1" s="1"/>
  <c r="O2164" i="1"/>
  <c r="AD2164" i="1" s="1"/>
  <c r="M2164" i="1"/>
  <c r="AH2163" i="1"/>
  <c r="AF2163" i="1"/>
  <c r="AE2163" i="1"/>
  <c r="AA2163" i="1"/>
  <c r="Z2163" i="1"/>
  <c r="AG2163" i="1" s="1"/>
  <c r="V2163" i="1"/>
  <c r="U2163" i="1"/>
  <c r="T2163" i="1"/>
  <c r="S2163" i="1"/>
  <c r="R2163" i="1"/>
  <c r="O2163" i="1"/>
  <c r="AD2163" i="1" s="1"/>
  <c r="AI2163" i="1" s="1"/>
  <c r="M2163" i="1"/>
  <c r="AH2162" i="1"/>
  <c r="AE2162" i="1"/>
  <c r="AA2162" i="1"/>
  <c r="Z2162" i="1"/>
  <c r="AG2162" i="1" s="1"/>
  <c r="V2162" i="1"/>
  <c r="U2162" i="1"/>
  <c r="T2162" i="1"/>
  <c r="S2162" i="1"/>
  <c r="R2162" i="1"/>
  <c r="AF2162" i="1" s="1"/>
  <c r="O2162" i="1"/>
  <c r="AD2162" i="1" s="1"/>
  <c r="M2162" i="1"/>
  <c r="AH2161" i="1"/>
  <c r="AE2161" i="1"/>
  <c r="AA2161" i="1"/>
  <c r="Z2161" i="1"/>
  <c r="AG2161" i="1" s="1"/>
  <c r="V2161" i="1"/>
  <c r="U2161" i="1"/>
  <c r="T2161" i="1"/>
  <c r="S2161" i="1"/>
  <c r="R2161" i="1"/>
  <c r="AF2161" i="1" s="1"/>
  <c r="O2161" i="1"/>
  <c r="AD2161" i="1" s="1"/>
  <c r="AI2161" i="1" s="1"/>
  <c r="M2161" i="1"/>
  <c r="AH2160" i="1"/>
  <c r="AG2160" i="1"/>
  <c r="AF2160" i="1"/>
  <c r="AE2160" i="1"/>
  <c r="AA2160" i="1"/>
  <c r="Z2160" i="1"/>
  <c r="V2160" i="1"/>
  <c r="U2160" i="1"/>
  <c r="T2160" i="1"/>
  <c r="S2160" i="1"/>
  <c r="R2160" i="1"/>
  <c r="O2160" i="1"/>
  <c r="AD2160" i="1" s="1"/>
  <c r="AI2160" i="1" s="1"/>
  <c r="M2160" i="1"/>
  <c r="AH2159" i="1"/>
  <c r="AF2159" i="1"/>
  <c r="AE2159" i="1"/>
  <c r="AA2159" i="1"/>
  <c r="Z2159" i="1"/>
  <c r="AG2159" i="1" s="1"/>
  <c r="V2159" i="1"/>
  <c r="U2159" i="1"/>
  <c r="T2159" i="1"/>
  <c r="S2159" i="1"/>
  <c r="R2159" i="1"/>
  <c r="O2159" i="1"/>
  <c r="AD2159" i="1" s="1"/>
  <c r="M2159" i="1"/>
  <c r="AH2158" i="1"/>
  <c r="AE2158" i="1"/>
  <c r="AA2158" i="1"/>
  <c r="Z2158" i="1"/>
  <c r="AG2158" i="1" s="1"/>
  <c r="AI2158" i="1" s="1"/>
  <c r="V2158" i="1"/>
  <c r="U2158" i="1"/>
  <c r="T2158" i="1"/>
  <c r="S2158" i="1"/>
  <c r="R2158" i="1"/>
  <c r="AF2158" i="1" s="1"/>
  <c r="O2158" i="1"/>
  <c r="AD2158" i="1" s="1"/>
  <c r="M2158" i="1"/>
  <c r="AH2157" i="1"/>
  <c r="AG2157" i="1"/>
  <c r="AE2157" i="1"/>
  <c r="AA2157" i="1"/>
  <c r="Z2157" i="1"/>
  <c r="V2157" i="1"/>
  <c r="U2157" i="1"/>
  <c r="T2157" i="1"/>
  <c r="S2157" i="1"/>
  <c r="R2157" i="1"/>
  <c r="AF2157" i="1" s="1"/>
  <c r="O2157" i="1"/>
  <c r="AD2157" i="1" s="1"/>
  <c r="AI2157" i="1" s="1"/>
  <c r="M2157" i="1"/>
  <c r="AH2156" i="1"/>
  <c r="AG2156" i="1"/>
  <c r="AF2156" i="1"/>
  <c r="AE2156" i="1"/>
  <c r="AA2156" i="1"/>
  <c r="Z2156" i="1"/>
  <c r="V2156" i="1"/>
  <c r="U2156" i="1"/>
  <c r="T2156" i="1"/>
  <c r="S2156" i="1"/>
  <c r="R2156" i="1"/>
  <c r="O2156" i="1"/>
  <c r="AD2156" i="1" s="1"/>
  <c r="M2156" i="1"/>
  <c r="AH2155" i="1"/>
  <c r="AF2155" i="1"/>
  <c r="AE2155" i="1"/>
  <c r="AA2155" i="1"/>
  <c r="Z2155" i="1"/>
  <c r="AG2155" i="1" s="1"/>
  <c r="V2155" i="1"/>
  <c r="U2155" i="1"/>
  <c r="T2155" i="1"/>
  <c r="S2155" i="1"/>
  <c r="R2155" i="1"/>
  <c r="O2155" i="1"/>
  <c r="AD2155" i="1" s="1"/>
  <c r="M2155" i="1"/>
  <c r="AH2154" i="1"/>
  <c r="AE2154" i="1"/>
  <c r="AA2154" i="1"/>
  <c r="Z2154" i="1"/>
  <c r="AG2154" i="1" s="1"/>
  <c r="V2154" i="1"/>
  <c r="U2154" i="1"/>
  <c r="T2154" i="1"/>
  <c r="S2154" i="1"/>
  <c r="R2154" i="1"/>
  <c r="AF2154" i="1" s="1"/>
  <c r="O2154" i="1"/>
  <c r="AD2154" i="1" s="1"/>
  <c r="M2154" i="1"/>
  <c r="AH2153" i="1"/>
  <c r="AG2153" i="1"/>
  <c r="AE2153" i="1"/>
  <c r="AA2153" i="1"/>
  <c r="Z2153" i="1"/>
  <c r="V2153" i="1"/>
  <c r="U2153" i="1"/>
  <c r="T2153" i="1"/>
  <c r="S2153" i="1"/>
  <c r="R2153" i="1"/>
  <c r="AF2153" i="1" s="1"/>
  <c r="O2153" i="1"/>
  <c r="AD2153" i="1" s="1"/>
  <c r="M2153" i="1"/>
  <c r="AH2152" i="1"/>
  <c r="AG2152" i="1"/>
  <c r="AF2152" i="1"/>
  <c r="AE2152" i="1"/>
  <c r="AA2152" i="1"/>
  <c r="Z2152" i="1"/>
  <c r="V2152" i="1"/>
  <c r="U2152" i="1"/>
  <c r="T2152" i="1"/>
  <c r="S2152" i="1"/>
  <c r="R2152" i="1"/>
  <c r="O2152" i="1"/>
  <c r="AD2152" i="1" s="1"/>
  <c r="AI2152" i="1" s="1"/>
  <c r="M2152" i="1"/>
  <c r="AH2151" i="1"/>
  <c r="AF2151" i="1"/>
  <c r="AE2151" i="1"/>
  <c r="AA2151" i="1"/>
  <c r="Z2151" i="1"/>
  <c r="AG2151" i="1" s="1"/>
  <c r="V2151" i="1"/>
  <c r="U2151" i="1"/>
  <c r="T2151" i="1"/>
  <c r="S2151" i="1"/>
  <c r="R2151" i="1"/>
  <c r="O2151" i="1"/>
  <c r="AD2151" i="1" s="1"/>
  <c r="M2151" i="1"/>
  <c r="AH2150" i="1"/>
  <c r="AE2150" i="1"/>
  <c r="AA2150" i="1"/>
  <c r="Z2150" i="1"/>
  <c r="AG2150" i="1" s="1"/>
  <c r="V2150" i="1"/>
  <c r="U2150" i="1"/>
  <c r="T2150" i="1"/>
  <c r="S2150" i="1"/>
  <c r="R2150" i="1"/>
  <c r="AF2150" i="1" s="1"/>
  <c r="AI2150" i="1" s="1"/>
  <c r="O2150" i="1"/>
  <c r="AD2150" i="1" s="1"/>
  <c r="M2150" i="1"/>
  <c r="AH2149" i="1"/>
  <c r="AG2149" i="1"/>
  <c r="AE2149" i="1"/>
  <c r="AA2149" i="1"/>
  <c r="Z2149" i="1"/>
  <c r="V2149" i="1"/>
  <c r="U2149" i="1"/>
  <c r="T2149" i="1"/>
  <c r="S2149" i="1"/>
  <c r="R2149" i="1"/>
  <c r="AF2149" i="1" s="1"/>
  <c r="O2149" i="1"/>
  <c r="AD2149" i="1" s="1"/>
  <c r="AI2149" i="1" s="1"/>
  <c r="M2149" i="1"/>
  <c r="AH2148" i="1"/>
  <c r="AG2148" i="1"/>
  <c r="AF2148" i="1"/>
  <c r="AE2148" i="1"/>
  <c r="AA2148" i="1"/>
  <c r="Z2148" i="1"/>
  <c r="V2148" i="1"/>
  <c r="U2148" i="1"/>
  <c r="T2148" i="1"/>
  <c r="S2148" i="1"/>
  <c r="R2148" i="1"/>
  <c r="O2148" i="1"/>
  <c r="AD2148" i="1" s="1"/>
  <c r="AI2148" i="1" s="1"/>
  <c r="M2148" i="1"/>
  <c r="AH2147" i="1"/>
  <c r="AF2147" i="1"/>
  <c r="AE2147" i="1"/>
  <c r="AA2147" i="1"/>
  <c r="Z2147" i="1"/>
  <c r="AG2147" i="1" s="1"/>
  <c r="V2147" i="1"/>
  <c r="U2147" i="1"/>
  <c r="T2147" i="1"/>
  <c r="S2147" i="1"/>
  <c r="R2147" i="1"/>
  <c r="O2147" i="1"/>
  <c r="AD2147" i="1" s="1"/>
  <c r="AI2147" i="1" s="1"/>
  <c r="M2147" i="1"/>
  <c r="AH2146" i="1"/>
  <c r="AE2146" i="1"/>
  <c r="AA2146" i="1"/>
  <c r="Z2146" i="1"/>
  <c r="AG2146" i="1" s="1"/>
  <c r="V2146" i="1"/>
  <c r="U2146" i="1"/>
  <c r="T2146" i="1"/>
  <c r="S2146" i="1"/>
  <c r="R2146" i="1"/>
  <c r="AF2146" i="1" s="1"/>
  <c r="O2146" i="1"/>
  <c r="AD2146" i="1" s="1"/>
  <c r="M2146" i="1"/>
  <c r="AH2145" i="1"/>
  <c r="AG2145" i="1"/>
  <c r="AE2145" i="1"/>
  <c r="AA2145" i="1"/>
  <c r="Z2145" i="1"/>
  <c r="V2145" i="1"/>
  <c r="U2145" i="1"/>
  <c r="T2145" i="1"/>
  <c r="S2145" i="1"/>
  <c r="R2145" i="1"/>
  <c r="AF2145" i="1" s="1"/>
  <c r="O2145" i="1"/>
  <c r="AD2145" i="1" s="1"/>
  <c r="AI2145" i="1" s="1"/>
  <c r="M2145" i="1"/>
  <c r="AH2144" i="1"/>
  <c r="AG2144" i="1"/>
  <c r="AE2144" i="1"/>
  <c r="AD2144" i="1"/>
  <c r="AI2144" i="1" s="1"/>
  <c r="AA2144" i="1"/>
  <c r="V2144" i="1"/>
  <c r="U2144" i="1"/>
  <c r="T2144" i="1"/>
  <c r="S2144" i="1"/>
  <c r="R2144" i="1"/>
  <c r="AF2144" i="1" s="1"/>
  <c r="O2144" i="1"/>
  <c r="AH2143" i="1"/>
  <c r="AG2143" i="1"/>
  <c r="AE2143" i="1"/>
  <c r="AD2143" i="1"/>
  <c r="AI2143" i="1" s="1"/>
  <c r="AA2143" i="1"/>
  <c r="V2143" i="1"/>
  <c r="U2143" i="1"/>
  <c r="T2143" i="1"/>
  <c r="S2143" i="1"/>
  <c r="R2143" i="1"/>
  <c r="AF2143" i="1" s="1"/>
  <c r="O2143" i="1"/>
  <c r="AH2142" i="1"/>
  <c r="AE2142" i="1"/>
  <c r="AA2142" i="1"/>
  <c r="Z2142" i="1"/>
  <c r="AG2142" i="1" s="1"/>
  <c r="AI2142" i="1" s="1"/>
  <c r="V2142" i="1"/>
  <c r="U2142" i="1"/>
  <c r="T2142" i="1"/>
  <c r="S2142" i="1"/>
  <c r="R2142" i="1"/>
  <c r="AF2142" i="1" s="1"/>
  <c r="O2142" i="1"/>
  <c r="AD2142" i="1" s="1"/>
  <c r="M2142" i="1"/>
  <c r="AH2141" i="1"/>
  <c r="AG2141" i="1"/>
  <c r="AE2141" i="1"/>
  <c r="AA2141" i="1"/>
  <c r="Z2141" i="1"/>
  <c r="V2141" i="1"/>
  <c r="U2141" i="1"/>
  <c r="T2141" i="1"/>
  <c r="S2141" i="1"/>
  <c r="R2141" i="1"/>
  <c r="AF2141" i="1" s="1"/>
  <c r="O2141" i="1"/>
  <c r="AD2141" i="1" s="1"/>
  <c r="AI2141" i="1" s="1"/>
  <c r="M2141" i="1"/>
  <c r="AH2140" i="1"/>
  <c r="AG2140" i="1"/>
  <c r="AF2140" i="1"/>
  <c r="AE2140" i="1"/>
  <c r="AA2140" i="1"/>
  <c r="Z2140" i="1"/>
  <c r="V2140" i="1"/>
  <c r="U2140" i="1"/>
  <c r="T2140" i="1"/>
  <c r="S2140" i="1"/>
  <c r="R2140" i="1"/>
  <c r="O2140" i="1"/>
  <c r="AD2140" i="1" s="1"/>
  <c r="M2140" i="1"/>
  <c r="AH2139" i="1"/>
  <c r="AF2139" i="1"/>
  <c r="AE2139" i="1"/>
  <c r="AA2139" i="1"/>
  <c r="Z2139" i="1"/>
  <c r="AG2139" i="1" s="1"/>
  <c r="V2139" i="1"/>
  <c r="U2139" i="1"/>
  <c r="T2139" i="1"/>
  <c r="S2139" i="1"/>
  <c r="R2139" i="1"/>
  <c r="O2139" i="1"/>
  <c r="AD2139" i="1" s="1"/>
  <c r="M2139" i="1"/>
  <c r="AH2138" i="1"/>
  <c r="AE2138" i="1"/>
  <c r="AA2138" i="1"/>
  <c r="Z2138" i="1"/>
  <c r="AG2138" i="1" s="1"/>
  <c r="V2138" i="1"/>
  <c r="U2138" i="1"/>
  <c r="T2138" i="1"/>
  <c r="S2138" i="1"/>
  <c r="R2138" i="1"/>
  <c r="AF2138" i="1" s="1"/>
  <c r="O2138" i="1"/>
  <c r="AD2138" i="1" s="1"/>
  <c r="M2138" i="1"/>
  <c r="AH2137" i="1"/>
  <c r="AG2137" i="1"/>
  <c r="AE2137" i="1"/>
  <c r="AA2137" i="1"/>
  <c r="Z2137" i="1"/>
  <c r="V2137" i="1"/>
  <c r="U2137" i="1"/>
  <c r="T2137" i="1"/>
  <c r="S2137" i="1"/>
  <c r="R2137" i="1"/>
  <c r="AF2137" i="1" s="1"/>
  <c r="O2137" i="1"/>
  <c r="AD2137" i="1" s="1"/>
  <c r="M2137" i="1"/>
  <c r="AH2136" i="1"/>
  <c r="AG2136" i="1"/>
  <c r="AF2136" i="1"/>
  <c r="AE2136" i="1"/>
  <c r="AA2136" i="1"/>
  <c r="Z2136" i="1"/>
  <c r="V2136" i="1"/>
  <c r="U2136" i="1"/>
  <c r="T2136" i="1"/>
  <c r="S2136" i="1"/>
  <c r="R2136" i="1"/>
  <c r="O2136" i="1"/>
  <c r="AD2136" i="1" s="1"/>
  <c r="AI2136" i="1" s="1"/>
  <c r="M2136" i="1"/>
  <c r="AH2135" i="1"/>
  <c r="AF2135" i="1"/>
  <c r="AE2135" i="1"/>
  <c r="AA2135" i="1"/>
  <c r="Z2135" i="1"/>
  <c r="AG2135" i="1" s="1"/>
  <c r="V2135" i="1"/>
  <c r="U2135" i="1"/>
  <c r="T2135" i="1"/>
  <c r="S2135" i="1"/>
  <c r="R2135" i="1"/>
  <c r="O2135" i="1"/>
  <c r="AD2135" i="1" s="1"/>
  <c r="M2135" i="1"/>
  <c r="AH2134" i="1"/>
  <c r="AE2134" i="1"/>
  <c r="AA2134" i="1"/>
  <c r="Z2134" i="1"/>
  <c r="AG2134" i="1" s="1"/>
  <c r="V2134" i="1"/>
  <c r="U2134" i="1"/>
  <c r="T2134" i="1"/>
  <c r="S2134" i="1"/>
  <c r="R2134" i="1"/>
  <c r="AF2134" i="1" s="1"/>
  <c r="AI2134" i="1" s="1"/>
  <c r="O2134" i="1"/>
  <c r="AD2134" i="1" s="1"/>
  <c r="M2134" i="1"/>
  <c r="AH2133" i="1"/>
  <c r="AG2133" i="1"/>
  <c r="AE2133" i="1"/>
  <c r="AA2133" i="1"/>
  <c r="V2133" i="1"/>
  <c r="U2133" i="1"/>
  <c r="T2133" i="1"/>
  <c r="S2133" i="1"/>
  <c r="R2133" i="1"/>
  <c r="AF2133" i="1" s="1"/>
  <c r="O2133" i="1"/>
  <c r="AD2133" i="1" s="1"/>
  <c r="AI2133" i="1" s="1"/>
  <c r="AH2132" i="1"/>
  <c r="AG2132" i="1"/>
  <c r="AF2132" i="1"/>
  <c r="AE2132" i="1"/>
  <c r="AA2132" i="1"/>
  <c r="V2132" i="1"/>
  <c r="U2132" i="1"/>
  <c r="T2132" i="1"/>
  <c r="S2132" i="1"/>
  <c r="R2132" i="1"/>
  <c r="O2132" i="1"/>
  <c r="AD2132" i="1" s="1"/>
  <c r="AI2132" i="1" s="1"/>
  <c r="AH2131" i="1"/>
  <c r="AF2131" i="1"/>
  <c r="AE2131" i="1"/>
  <c r="AA2131" i="1"/>
  <c r="Z2131" i="1"/>
  <c r="AG2131" i="1" s="1"/>
  <c r="V2131" i="1"/>
  <c r="U2131" i="1"/>
  <c r="T2131" i="1"/>
  <c r="S2131" i="1"/>
  <c r="R2131" i="1"/>
  <c r="O2131" i="1"/>
  <c r="AD2131" i="1" s="1"/>
  <c r="AI2131" i="1" s="1"/>
  <c r="M2131" i="1"/>
  <c r="AH2130" i="1"/>
  <c r="AE2130" i="1"/>
  <c r="AA2130" i="1"/>
  <c r="Z2130" i="1"/>
  <c r="AG2130" i="1" s="1"/>
  <c r="V2130" i="1"/>
  <c r="U2130" i="1"/>
  <c r="T2130" i="1"/>
  <c r="S2130" i="1"/>
  <c r="R2130" i="1"/>
  <c r="AF2130" i="1" s="1"/>
  <c r="O2130" i="1"/>
  <c r="AD2130" i="1" s="1"/>
  <c r="AI2130" i="1" s="1"/>
  <c r="M2130" i="1"/>
  <c r="AH2129" i="1"/>
  <c r="AG2129" i="1"/>
  <c r="AE2129" i="1"/>
  <c r="AA2129" i="1"/>
  <c r="Z2129" i="1"/>
  <c r="V2129" i="1"/>
  <c r="U2129" i="1"/>
  <c r="T2129" i="1"/>
  <c r="S2129" i="1"/>
  <c r="R2129" i="1"/>
  <c r="AF2129" i="1" s="1"/>
  <c r="O2129" i="1"/>
  <c r="AD2129" i="1" s="1"/>
  <c r="AI2129" i="1" s="1"/>
  <c r="M2129" i="1"/>
  <c r="AH2128" i="1"/>
  <c r="AG2128" i="1"/>
  <c r="AF2128" i="1"/>
  <c r="AE2128" i="1"/>
  <c r="AA2128" i="1"/>
  <c r="Z2128" i="1"/>
  <c r="V2128" i="1"/>
  <c r="U2128" i="1"/>
  <c r="T2128" i="1"/>
  <c r="S2128" i="1"/>
  <c r="R2128" i="1"/>
  <c r="O2128" i="1"/>
  <c r="AD2128" i="1" s="1"/>
  <c r="AI2128" i="1" s="1"/>
  <c r="M2128" i="1"/>
  <c r="AH2127" i="1"/>
  <c r="AF2127" i="1"/>
  <c r="AE2127" i="1"/>
  <c r="AA2127" i="1"/>
  <c r="Z2127" i="1"/>
  <c r="AG2127" i="1" s="1"/>
  <c r="V2127" i="1"/>
  <c r="U2127" i="1"/>
  <c r="T2127" i="1"/>
  <c r="S2127" i="1"/>
  <c r="R2127" i="1"/>
  <c r="O2127" i="1"/>
  <c r="AD2127" i="1" s="1"/>
  <c r="M2127" i="1"/>
  <c r="AH2126" i="1"/>
  <c r="AE2126" i="1"/>
  <c r="AA2126" i="1"/>
  <c r="Z2126" i="1"/>
  <c r="AG2126" i="1" s="1"/>
  <c r="AI2126" i="1" s="1"/>
  <c r="V2126" i="1"/>
  <c r="U2126" i="1"/>
  <c r="T2126" i="1"/>
  <c r="S2126" i="1"/>
  <c r="R2126" i="1"/>
  <c r="AF2126" i="1" s="1"/>
  <c r="O2126" i="1"/>
  <c r="AD2126" i="1" s="1"/>
  <c r="M2126" i="1"/>
  <c r="AH2125" i="1"/>
  <c r="AE2125" i="1"/>
  <c r="AA2125" i="1"/>
  <c r="Z2125" i="1"/>
  <c r="AG2125" i="1" s="1"/>
  <c r="V2125" i="1"/>
  <c r="U2125" i="1"/>
  <c r="T2125" i="1"/>
  <c r="S2125" i="1"/>
  <c r="R2125" i="1"/>
  <c r="AF2125" i="1" s="1"/>
  <c r="O2125" i="1"/>
  <c r="AD2125" i="1" s="1"/>
  <c r="AI2125" i="1" s="1"/>
  <c r="M2125" i="1"/>
  <c r="AH2124" i="1"/>
  <c r="AG2124" i="1"/>
  <c r="AE2124" i="1"/>
  <c r="AA2124" i="1"/>
  <c r="Z2124" i="1"/>
  <c r="V2124" i="1"/>
  <c r="U2124" i="1"/>
  <c r="T2124" i="1"/>
  <c r="S2124" i="1"/>
  <c r="R2124" i="1"/>
  <c r="AF2124" i="1" s="1"/>
  <c r="O2124" i="1"/>
  <c r="AD2124" i="1" s="1"/>
  <c r="AI2124" i="1" s="1"/>
  <c r="M2124" i="1"/>
  <c r="AH2123" i="1"/>
  <c r="AG2123" i="1"/>
  <c r="AE2123" i="1"/>
  <c r="AA2123" i="1"/>
  <c r="Z2123" i="1"/>
  <c r="V2123" i="1"/>
  <c r="U2123" i="1"/>
  <c r="T2123" i="1"/>
  <c r="S2123" i="1"/>
  <c r="R2123" i="1"/>
  <c r="AF2123" i="1" s="1"/>
  <c r="O2123" i="1"/>
  <c r="AD2123" i="1" s="1"/>
  <c r="AI2123" i="1" s="1"/>
  <c r="M2123" i="1"/>
  <c r="AH2122" i="1"/>
  <c r="AG2122" i="1"/>
  <c r="AF2122" i="1"/>
  <c r="AE2122" i="1"/>
  <c r="AA2122" i="1"/>
  <c r="Z2122" i="1"/>
  <c r="V2122" i="1"/>
  <c r="U2122" i="1"/>
  <c r="T2122" i="1"/>
  <c r="S2122" i="1"/>
  <c r="R2122" i="1"/>
  <c r="O2122" i="1"/>
  <c r="AD2122" i="1" s="1"/>
  <c r="AI2122" i="1" s="1"/>
  <c r="M2122" i="1"/>
  <c r="AH2121" i="1"/>
  <c r="AF2121" i="1"/>
  <c r="AE2121" i="1"/>
  <c r="AA2121" i="1"/>
  <c r="Z2121" i="1"/>
  <c r="AG2121" i="1" s="1"/>
  <c r="V2121" i="1"/>
  <c r="U2121" i="1"/>
  <c r="T2121" i="1"/>
  <c r="S2121" i="1"/>
  <c r="R2121" i="1"/>
  <c r="O2121" i="1"/>
  <c r="AD2121" i="1" s="1"/>
  <c r="AI2121" i="1" s="1"/>
  <c r="M2121" i="1"/>
  <c r="AH2120" i="1"/>
  <c r="AE2120" i="1"/>
  <c r="AA2120" i="1"/>
  <c r="Z2120" i="1"/>
  <c r="AG2120" i="1" s="1"/>
  <c r="V2120" i="1"/>
  <c r="U2120" i="1"/>
  <c r="T2120" i="1"/>
  <c r="S2120" i="1"/>
  <c r="R2120" i="1"/>
  <c r="AF2120" i="1" s="1"/>
  <c r="O2120" i="1"/>
  <c r="AD2120" i="1" s="1"/>
  <c r="M2120" i="1"/>
  <c r="AH2119" i="1"/>
  <c r="AG2119" i="1"/>
  <c r="AE2119" i="1"/>
  <c r="AA2119" i="1"/>
  <c r="Z2119" i="1"/>
  <c r="V2119" i="1"/>
  <c r="U2119" i="1"/>
  <c r="T2119" i="1"/>
  <c r="S2119" i="1"/>
  <c r="R2119" i="1"/>
  <c r="AF2119" i="1" s="1"/>
  <c r="O2119" i="1"/>
  <c r="AD2119" i="1" s="1"/>
  <c r="AI2119" i="1" s="1"/>
  <c r="M2119" i="1"/>
  <c r="AH2118" i="1"/>
  <c r="AG2118" i="1"/>
  <c r="AF2118" i="1"/>
  <c r="AE2118" i="1"/>
  <c r="AA2118" i="1"/>
  <c r="Z2118" i="1"/>
  <c r="V2118" i="1"/>
  <c r="U2118" i="1"/>
  <c r="T2118" i="1"/>
  <c r="S2118" i="1"/>
  <c r="R2118" i="1"/>
  <c r="O2118" i="1"/>
  <c r="AD2118" i="1" s="1"/>
  <c r="AI2118" i="1" s="1"/>
  <c r="M2118" i="1"/>
  <c r="AH2117" i="1"/>
  <c r="AF2117" i="1"/>
  <c r="AE2117" i="1"/>
  <c r="AA2117" i="1"/>
  <c r="Z2117" i="1"/>
  <c r="AG2117" i="1" s="1"/>
  <c r="V2117" i="1"/>
  <c r="U2117" i="1"/>
  <c r="T2117" i="1"/>
  <c r="S2117" i="1"/>
  <c r="R2117" i="1"/>
  <c r="O2117" i="1"/>
  <c r="AD2117" i="1" s="1"/>
  <c r="M2117" i="1"/>
  <c r="AI2116" i="1"/>
  <c r="AH2116" i="1"/>
  <c r="AE2116" i="1"/>
  <c r="AA2116" i="1"/>
  <c r="Z2116" i="1"/>
  <c r="AG2116" i="1" s="1"/>
  <c r="V2116" i="1"/>
  <c r="U2116" i="1"/>
  <c r="T2116" i="1"/>
  <c r="S2116" i="1"/>
  <c r="R2116" i="1"/>
  <c r="AF2116" i="1" s="1"/>
  <c r="O2116" i="1"/>
  <c r="AD2116" i="1" s="1"/>
  <c r="M2116" i="1"/>
  <c r="AH2115" i="1"/>
  <c r="AG2115" i="1"/>
  <c r="AE2115" i="1"/>
  <c r="AA2115" i="1"/>
  <c r="Z2115" i="1"/>
  <c r="V2115" i="1"/>
  <c r="U2115" i="1"/>
  <c r="T2115" i="1"/>
  <c r="S2115" i="1"/>
  <c r="R2115" i="1"/>
  <c r="AF2115" i="1" s="1"/>
  <c r="O2115" i="1"/>
  <c r="AD2115" i="1" s="1"/>
  <c r="AI2115" i="1" s="1"/>
  <c r="M2115" i="1"/>
  <c r="AH2114" i="1"/>
  <c r="AG2114" i="1"/>
  <c r="AF2114" i="1"/>
  <c r="AE2114" i="1"/>
  <c r="AA2114" i="1"/>
  <c r="Z2114" i="1"/>
  <c r="V2114" i="1"/>
  <c r="U2114" i="1"/>
  <c r="T2114" i="1"/>
  <c r="S2114" i="1"/>
  <c r="R2114" i="1"/>
  <c r="O2114" i="1"/>
  <c r="AD2114" i="1" s="1"/>
  <c r="AI2114" i="1" s="1"/>
  <c r="M2114" i="1"/>
  <c r="AH2113" i="1"/>
  <c r="AF2113" i="1"/>
  <c r="AE2113" i="1"/>
  <c r="AA2113" i="1"/>
  <c r="Z2113" i="1"/>
  <c r="AG2113" i="1" s="1"/>
  <c r="V2113" i="1"/>
  <c r="U2113" i="1"/>
  <c r="T2113" i="1"/>
  <c r="S2113" i="1"/>
  <c r="R2113" i="1"/>
  <c r="O2113" i="1"/>
  <c r="AD2113" i="1" s="1"/>
  <c r="AI2113" i="1" s="1"/>
  <c r="M2113" i="1"/>
  <c r="AH2112" i="1"/>
  <c r="AE2112" i="1"/>
  <c r="AA2112" i="1"/>
  <c r="Z2112" i="1"/>
  <c r="AG2112" i="1" s="1"/>
  <c r="V2112" i="1"/>
  <c r="U2112" i="1"/>
  <c r="T2112" i="1"/>
  <c r="S2112" i="1"/>
  <c r="R2112" i="1"/>
  <c r="AF2112" i="1" s="1"/>
  <c r="O2112" i="1"/>
  <c r="AD2112" i="1" s="1"/>
  <c r="M2112" i="1"/>
  <c r="AH2111" i="1"/>
  <c r="AG2111" i="1"/>
  <c r="AE2111" i="1"/>
  <c r="AA2111" i="1"/>
  <c r="Z2111" i="1"/>
  <c r="V2111" i="1"/>
  <c r="U2111" i="1"/>
  <c r="T2111" i="1"/>
  <c r="S2111" i="1"/>
  <c r="R2111" i="1"/>
  <c r="AF2111" i="1" s="1"/>
  <c r="O2111" i="1"/>
  <c r="AD2111" i="1" s="1"/>
  <c r="AI2111" i="1" s="1"/>
  <c r="M2111" i="1"/>
  <c r="AH2110" i="1"/>
  <c r="AF2110" i="1"/>
  <c r="AE2110" i="1"/>
  <c r="AA2110" i="1"/>
  <c r="Z2110" i="1"/>
  <c r="AG2110" i="1" s="1"/>
  <c r="V2110" i="1"/>
  <c r="U2110" i="1"/>
  <c r="T2110" i="1"/>
  <c r="S2110" i="1"/>
  <c r="R2110" i="1"/>
  <c r="O2110" i="1"/>
  <c r="AD2110" i="1" s="1"/>
  <c r="AI2110" i="1" s="1"/>
  <c r="M2110" i="1"/>
  <c r="AH2109" i="1"/>
  <c r="AE2109" i="1"/>
  <c r="AA2109" i="1"/>
  <c r="Z2109" i="1"/>
  <c r="AG2109" i="1" s="1"/>
  <c r="V2109" i="1"/>
  <c r="U2109" i="1"/>
  <c r="T2109" i="1"/>
  <c r="S2109" i="1"/>
  <c r="R2109" i="1"/>
  <c r="AF2109" i="1" s="1"/>
  <c r="O2109" i="1"/>
  <c r="AD2109" i="1" s="1"/>
  <c r="M2109" i="1"/>
  <c r="AH2108" i="1"/>
  <c r="AE2108" i="1"/>
  <c r="AA2108" i="1"/>
  <c r="Z2108" i="1"/>
  <c r="AG2108" i="1" s="1"/>
  <c r="V2108" i="1"/>
  <c r="U2108" i="1"/>
  <c r="T2108" i="1"/>
  <c r="S2108" i="1"/>
  <c r="R2108" i="1"/>
  <c r="AF2108" i="1" s="1"/>
  <c r="O2108" i="1"/>
  <c r="AD2108" i="1" s="1"/>
  <c r="M2108" i="1"/>
  <c r="AH2107" i="1"/>
  <c r="AG2107" i="1"/>
  <c r="AE2107" i="1"/>
  <c r="AA2107" i="1"/>
  <c r="Z2107" i="1"/>
  <c r="V2107" i="1"/>
  <c r="U2107" i="1"/>
  <c r="T2107" i="1"/>
  <c r="S2107" i="1"/>
  <c r="R2107" i="1"/>
  <c r="AF2107" i="1" s="1"/>
  <c r="O2107" i="1"/>
  <c r="AD2107" i="1" s="1"/>
  <c r="M2107" i="1"/>
  <c r="AH2106" i="1"/>
  <c r="AF2106" i="1"/>
  <c r="AE2106" i="1"/>
  <c r="AA2106" i="1"/>
  <c r="Z2106" i="1"/>
  <c r="AG2106" i="1" s="1"/>
  <c r="V2106" i="1"/>
  <c r="U2106" i="1"/>
  <c r="T2106" i="1"/>
  <c r="S2106" i="1"/>
  <c r="R2106" i="1"/>
  <c r="O2106" i="1"/>
  <c r="AD2106" i="1" s="1"/>
  <c r="M2106" i="1"/>
  <c r="AH2105" i="1"/>
  <c r="AE2105" i="1"/>
  <c r="AA2105" i="1"/>
  <c r="Z2105" i="1"/>
  <c r="AG2105" i="1" s="1"/>
  <c r="V2105" i="1"/>
  <c r="U2105" i="1"/>
  <c r="T2105" i="1"/>
  <c r="S2105" i="1"/>
  <c r="R2105" i="1"/>
  <c r="AF2105" i="1" s="1"/>
  <c r="O2105" i="1"/>
  <c r="AD2105" i="1" s="1"/>
  <c r="AI2105" i="1" s="1"/>
  <c r="M2105" i="1"/>
  <c r="AH2104" i="1"/>
  <c r="AE2104" i="1"/>
  <c r="AA2104" i="1"/>
  <c r="Z2104" i="1"/>
  <c r="AG2104" i="1" s="1"/>
  <c r="V2104" i="1"/>
  <c r="U2104" i="1"/>
  <c r="T2104" i="1"/>
  <c r="S2104" i="1"/>
  <c r="R2104" i="1"/>
  <c r="AF2104" i="1" s="1"/>
  <c r="O2104" i="1"/>
  <c r="AD2104" i="1" s="1"/>
  <c r="AI2104" i="1" s="1"/>
  <c r="M2104" i="1"/>
  <c r="AH2103" i="1"/>
  <c r="AG2103" i="1"/>
  <c r="AE2103" i="1"/>
  <c r="AA2103" i="1"/>
  <c r="Z2103" i="1"/>
  <c r="V2103" i="1"/>
  <c r="U2103" i="1"/>
  <c r="T2103" i="1"/>
  <c r="S2103" i="1"/>
  <c r="R2103" i="1"/>
  <c r="AF2103" i="1" s="1"/>
  <c r="O2103" i="1"/>
  <c r="AD2103" i="1" s="1"/>
  <c r="AI2103" i="1" s="1"/>
  <c r="M2103" i="1"/>
  <c r="AH2102" i="1"/>
  <c r="AF2102" i="1"/>
  <c r="AE2102" i="1"/>
  <c r="AA2102" i="1"/>
  <c r="Z2102" i="1"/>
  <c r="AG2102" i="1" s="1"/>
  <c r="V2102" i="1"/>
  <c r="U2102" i="1"/>
  <c r="T2102" i="1"/>
  <c r="S2102" i="1"/>
  <c r="R2102" i="1"/>
  <c r="O2102" i="1"/>
  <c r="AD2102" i="1" s="1"/>
  <c r="AI2102" i="1" s="1"/>
  <c r="M2102" i="1"/>
  <c r="AH2101" i="1"/>
  <c r="AE2101" i="1"/>
  <c r="AA2101" i="1"/>
  <c r="Z2101" i="1"/>
  <c r="AG2101" i="1" s="1"/>
  <c r="V2101" i="1"/>
  <c r="U2101" i="1"/>
  <c r="T2101" i="1"/>
  <c r="S2101" i="1"/>
  <c r="R2101" i="1"/>
  <c r="AF2101" i="1" s="1"/>
  <c r="O2101" i="1"/>
  <c r="AD2101" i="1" s="1"/>
  <c r="M2101" i="1"/>
  <c r="AH2100" i="1"/>
  <c r="AE2100" i="1"/>
  <c r="AA2100" i="1"/>
  <c r="Z2100" i="1"/>
  <c r="AG2100" i="1" s="1"/>
  <c r="V2100" i="1"/>
  <c r="U2100" i="1"/>
  <c r="T2100" i="1"/>
  <c r="S2100" i="1"/>
  <c r="R2100" i="1"/>
  <c r="AF2100" i="1" s="1"/>
  <c r="O2100" i="1"/>
  <c r="AD2100" i="1" s="1"/>
  <c r="M2100" i="1"/>
  <c r="AH2099" i="1"/>
  <c r="AG2099" i="1"/>
  <c r="AE2099" i="1"/>
  <c r="AA2099" i="1"/>
  <c r="Z2099" i="1"/>
  <c r="V2099" i="1"/>
  <c r="U2099" i="1"/>
  <c r="T2099" i="1"/>
  <c r="S2099" i="1"/>
  <c r="R2099" i="1"/>
  <c r="AF2099" i="1" s="1"/>
  <c r="O2099" i="1"/>
  <c r="AD2099" i="1" s="1"/>
  <c r="M2099" i="1"/>
  <c r="AH2098" i="1"/>
  <c r="AF2098" i="1"/>
  <c r="AE2098" i="1"/>
  <c r="AA2098" i="1"/>
  <c r="Z2098" i="1"/>
  <c r="AG2098" i="1" s="1"/>
  <c r="V2098" i="1"/>
  <c r="U2098" i="1"/>
  <c r="T2098" i="1"/>
  <c r="S2098" i="1"/>
  <c r="R2098" i="1"/>
  <c r="O2098" i="1"/>
  <c r="AD2098" i="1" s="1"/>
  <c r="M2098" i="1"/>
  <c r="AH2097" i="1"/>
  <c r="AE2097" i="1"/>
  <c r="AA2097" i="1"/>
  <c r="Z2097" i="1"/>
  <c r="AG2097" i="1" s="1"/>
  <c r="V2097" i="1"/>
  <c r="U2097" i="1"/>
  <c r="T2097" i="1"/>
  <c r="S2097" i="1"/>
  <c r="R2097" i="1"/>
  <c r="AF2097" i="1" s="1"/>
  <c r="O2097" i="1"/>
  <c r="AD2097" i="1" s="1"/>
  <c r="AI2097" i="1" s="1"/>
  <c r="M2097" i="1"/>
  <c r="AH2096" i="1"/>
  <c r="AE2096" i="1"/>
  <c r="AA2096" i="1"/>
  <c r="Z2096" i="1"/>
  <c r="AG2096" i="1" s="1"/>
  <c r="V2096" i="1"/>
  <c r="U2096" i="1"/>
  <c r="T2096" i="1"/>
  <c r="S2096" i="1"/>
  <c r="R2096" i="1"/>
  <c r="AF2096" i="1" s="1"/>
  <c r="O2096" i="1"/>
  <c r="AD2096" i="1" s="1"/>
  <c r="AI2096" i="1" s="1"/>
  <c r="M2096" i="1"/>
  <c r="AH2095" i="1"/>
  <c r="AG2095" i="1"/>
  <c r="AE2095" i="1"/>
  <c r="AA2095" i="1"/>
  <c r="Z2095" i="1"/>
  <c r="V2095" i="1"/>
  <c r="U2095" i="1"/>
  <c r="T2095" i="1"/>
  <c r="S2095" i="1"/>
  <c r="R2095" i="1"/>
  <c r="AF2095" i="1" s="1"/>
  <c r="O2095" i="1"/>
  <c r="AD2095" i="1" s="1"/>
  <c r="AI2095" i="1" s="1"/>
  <c r="M2095" i="1"/>
  <c r="AH2094" i="1"/>
  <c r="AE2094" i="1"/>
  <c r="AA2094" i="1"/>
  <c r="Z2094" i="1"/>
  <c r="AG2094" i="1" s="1"/>
  <c r="U2094" i="1"/>
  <c r="T2094" i="1"/>
  <c r="S2094" i="1"/>
  <c r="Q2094" i="1"/>
  <c r="R2094" i="1" s="1"/>
  <c r="AF2094" i="1" s="1"/>
  <c r="O2094" i="1"/>
  <c r="AD2094" i="1" s="1"/>
  <c r="M2094" i="1"/>
  <c r="K2094" i="1"/>
  <c r="V2094" i="1" s="1"/>
  <c r="AH2093" i="1"/>
  <c r="AG2093" i="1"/>
  <c r="AE2093" i="1"/>
  <c r="AA2093" i="1"/>
  <c r="Z2093" i="1"/>
  <c r="U2093" i="1"/>
  <c r="T2093" i="1"/>
  <c r="S2093" i="1"/>
  <c r="Q2093" i="1"/>
  <c r="R2093" i="1" s="1"/>
  <c r="AF2093" i="1" s="1"/>
  <c r="O2093" i="1"/>
  <c r="AD2093" i="1" s="1"/>
  <c r="M2093" i="1"/>
  <c r="K2093" i="1"/>
  <c r="V2093" i="1" s="1"/>
  <c r="AH2092" i="1"/>
  <c r="AE2092" i="1"/>
  <c r="AD2092" i="1"/>
  <c r="AA2092" i="1"/>
  <c r="Z2092" i="1"/>
  <c r="AG2092" i="1" s="1"/>
  <c r="U2092" i="1"/>
  <c r="T2092" i="1"/>
  <c r="S2092" i="1"/>
  <c r="Q2092" i="1"/>
  <c r="R2092" i="1" s="1"/>
  <c r="AF2092" i="1" s="1"/>
  <c r="O2092" i="1"/>
  <c r="M2092" i="1"/>
  <c r="K2092" i="1"/>
  <c r="V2092" i="1" s="1"/>
  <c r="AH2091" i="1"/>
  <c r="AE2091" i="1"/>
  <c r="AA2091" i="1"/>
  <c r="Z2091" i="1"/>
  <c r="AG2091" i="1" s="1"/>
  <c r="V2091" i="1"/>
  <c r="U2091" i="1"/>
  <c r="T2091" i="1"/>
  <c r="S2091" i="1"/>
  <c r="R2091" i="1"/>
  <c r="AF2091" i="1" s="1"/>
  <c r="O2091" i="1"/>
  <c r="AD2091" i="1" s="1"/>
  <c r="M2091" i="1"/>
  <c r="AH2090" i="1"/>
  <c r="AE2090" i="1"/>
  <c r="AA2090" i="1"/>
  <c r="Z2090" i="1"/>
  <c r="AG2090" i="1" s="1"/>
  <c r="V2090" i="1"/>
  <c r="U2090" i="1"/>
  <c r="T2090" i="1"/>
  <c r="S2090" i="1"/>
  <c r="R2090" i="1"/>
  <c r="AF2090" i="1" s="1"/>
  <c r="O2090" i="1"/>
  <c r="AD2090" i="1" s="1"/>
  <c r="AI2090" i="1" s="1"/>
  <c r="M2090" i="1"/>
  <c r="AH2089" i="1"/>
  <c r="AG2089" i="1"/>
  <c r="AE2089" i="1"/>
  <c r="AA2089" i="1"/>
  <c r="Z2089" i="1"/>
  <c r="V2089" i="1"/>
  <c r="U2089" i="1"/>
  <c r="T2089" i="1"/>
  <c r="S2089" i="1"/>
  <c r="R2089" i="1"/>
  <c r="AF2089" i="1" s="1"/>
  <c r="O2089" i="1"/>
  <c r="AD2089" i="1" s="1"/>
  <c r="AI2089" i="1" s="1"/>
  <c r="M2089" i="1"/>
  <c r="AH2088" i="1"/>
  <c r="AF2088" i="1"/>
  <c r="AE2088" i="1"/>
  <c r="AA2088" i="1"/>
  <c r="Z2088" i="1"/>
  <c r="AG2088" i="1" s="1"/>
  <c r="V2088" i="1"/>
  <c r="U2088" i="1"/>
  <c r="T2088" i="1"/>
  <c r="S2088" i="1"/>
  <c r="R2088" i="1"/>
  <c r="O2088" i="1"/>
  <c r="AD2088" i="1" s="1"/>
  <c r="AI2088" i="1" s="1"/>
  <c r="M2088" i="1"/>
  <c r="AH2087" i="1"/>
  <c r="AE2087" i="1"/>
  <c r="AA2087" i="1"/>
  <c r="Z2087" i="1"/>
  <c r="AG2087" i="1" s="1"/>
  <c r="V2087" i="1"/>
  <c r="U2087" i="1"/>
  <c r="T2087" i="1"/>
  <c r="S2087" i="1"/>
  <c r="R2087" i="1"/>
  <c r="AF2087" i="1" s="1"/>
  <c r="O2087" i="1"/>
  <c r="AD2087" i="1" s="1"/>
  <c r="AI2087" i="1" s="1"/>
  <c r="M2087" i="1"/>
  <c r="AH2086" i="1"/>
  <c r="AE2086" i="1"/>
  <c r="AA2086" i="1"/>
  <c r="Z2086" i="1"/>
  <c r="AG2086" i="1" s="1"/>
  <c r="V2086" i="1"/>
  <c r="U2086" i="1"/>
  <c r="S2086" i="1"/>
  <c r="R2086" i="1"/>
  <c r="AF2086" i="1" s="1"/>
  <c r="M2086" i="1"/>
  <c r="L2086" i="1"/>
  <c r="K2086" i="1"/>
  <c r="H2086" i="1"/>
  <c r="T2086" i="1" s="1"/>
  <c r="AH2085" i="1"/>
  <c r="AF2085" i="1"/>
  <c r="AE2085" i="1"/>
  <c r="AA2085" i="1"/>
  <c r="Z2085" i="1"/>
  <c r="AG2085" i="1" s="1"/>
  <c r="U2085" i="1"/>
  <c r="S2085" i="1"/>
  <c r="R2085" i="1"/>
  <c r="M2085" i="1"/>
  <c r="L2085" i="1"/>
  <c r="K2085" i="1"/>
  <c r="V2085" i="1" s="1"/>
  <c r="H2085" i="1"/>
  <c r="T2085" i="1" s="1"/>
  <c r="AH2084" i="1"/>
  <c r="AE2084" i="1"/>
  <c r="AA2084" i="1"/>
  <c r="Z2084" i="1"/>
  <c r="AG2084" i="1" s="1"/>
  <c r="V2084" i="1"/>
  <c r="U2084" i="1"/>
  <c r="S2084" i="1"/>
  <c r="R2084" i="1"/>
  <c r="AF2084" i="1" s="1"/>
  <c r="M2084" i="1"/>
  <c r="L2084" i="1"/>
  <c r="K2084" i="1"/>
  <c r="H2084" i="1"/>
  <c r="T2084" i="1" s="1"/>
  <c r="AH2083" i="1"/>
  <c r="AF2083" i="1"/>
  <c r="AE2083" i="1"/>
  <c r="AA2083" i="1"/>
  <c r="Z2083" i="1"/>
  <c r="AG2083" i="1" s="1"/>
  <c r="U2083" i="1"/>
  <c r="S2083" i="1"/>
  <c r="R2083" i="1"/>
  <c r="M2083" i="1"/>
  <c r="L2083" i="1"/>
  <c r="K2083" i="1"/>
  <c r="V2083" i="1" s="1"/>
  <c r="H2083" i="1"/>
  <c r="T2083" i="1" s="1"/>
  <c r="AH2082" i="1"/>
  <c r="AE2082" i="1"/>
  <c r="AA2082" i="1"/>
  <c r="Z2082" i="1"/>
  <c r="AG2082" i="1" s="1"/>
  <c r="V2082" i="1"/>
  <c r="U2082" i="1"/>
  <c r="S2082" i="1"/>
  <c r="R2082" i="1"/>
  <c r="AF2082" i="1" s="1"/>
  <c r="M2082" i="1"/>
  <c r="L2082" i="1"/>
  <c r="K2082" i="1"/>
  <c r="H2082" i="1"/>
  <c r="T2082" i="1" s="1"/>
  <c r="AH2081" i="1"/>
  <c r="AF2081" i="1"/>
  <c r="AE2081" i="1"/>
  <c r="AA2081" i="1"/>
  <c r="Z2081" i="1"/>
  <c r="AG2081" i="1" s="1"/>
  <c r="U2081" i="1"/>
  <c r="S2081" i="1"/>
  <c r="R2081" i="1"/>
  <c r="M2081" i="1"/>
  <c r="L2081" i="1"/>
  <c r="K2081" i="1"/>
  <c r="V2081" i="1" s="1"/>
  <c r="H2081" i="1"/>
  <c r="T2081" i="1" s="1"/>
  <c r="AH2080" i="1"/>
  <c r="AE2080" i="1"/>
  <c r="AA2080" i="1"/>
  <c r="Z2080" i="1"/>
  <c r="AG2080" i="1" s="1"/>
  <c r="V2080" i="1"/>
  <c r="U2080" i="1"/>
  <c r="S2080" i="1"/>
  <c r="R2080" i="1"/>
  <c r="AF2080" i="1" s="1"/>
  <c r="M2080" i="1"/>
  <c r="L2080" i="1"/>
  <c r="K2080" i="1"/>
  <c r="H2080" i="1"/>
  <c r="T2080" i="1" s="1"/>
  <c r="AH2079" i="1"/>
  <c r="AF2079" i="1"/>
  <c r="AE2079" i="1"/>
  <c r="AA2079" i="1"/>
  <c r="Z2079" i="1"/>
  <c r="AG2079" i="1" s="1"/>
  <c r="U2079" i="1"/>
  <c r="S2079" i="1"/>
  <c r="R2079" i="1"/>
  <c r="M2079" i="1"/>
  <c r="L2079" i="1"/>
  <c r="K2079" i="1"/>
  <c r="V2079" i="1" s="1"/>
  <c r="H2079" i="1"/>
  <c r="T2079" i="1" s="1"/>
  <c r="AH2078" i="1"/>
  <c r="AE2078" i="1"/>
  <c r="AA2078" i="1"/>
  <c r="Z2078" i="1"/>
  <c r="AG2078" i="1" s="1"/>
  <c r="V2078" i="1"/>
  <c r="U2078" i="1"/>
  <c r="S2078" i="1"/>
  <c r="R2078" i="1"/>
  <c r="AF2078" i="1" s="1"/>
  <c r="M2078" i="1"/>
  <c r="L2078" i="1"/>
  <c r="K2078" i="1"/>
  <c r="H2078" i="1"/>
  <c r="T2078" i="1" s="1"/>
  <c r="AH2077" i="1"/>
  <c r="AF2077" i="1"/>
  <c r="AE2077" i="1"/>
  <c r="AA2077" i="1"/>
  <c r="Z2077" i="1"/>
  <c r="AG2077" i="1" s="1"/>
  <c r="U2077" i="1"/>
  <c r="S2077" i="1"/>
  <c r="R2077" i="1"/>
  <c r="M2077" i="1"/>
  <c r="L2077" i="1"/>
  <c r="K2077" i="1"/>
  <c r="V2077" i="1" s="1"/>
  <c r="H2077" i="1"/>
  <c r="T2077" i="1" s="1"/>
  <c r="AH2076" i="1"/>
  <c r="AE2076" i="1"/>
  <c r="AA2076" i="1"/>
  <c r="Z2076" i="1"/>
  <c r="AG2076" i="1" s="1"/>
  <c r="V2076" i="1"/>
  <c r="U2076" i="1"/>
  <c r="S2076" i="1"/>
  <c r="R2076" i="1"/>
  <c r="AF2076" i="1" s="1"/>
  <c r="M2076" i="1"/>
  <c r="L2076" i="1"/>
  <c r="K2076" i="1"/>
  <c r="H2076" i="1"/>
  <c r="T2076" i="1" s="1"/>
  <c r="AH2075" i="1"/>
  <c r="AF2075" i="1"/>
  <c r="AE2075" i="1"/>
  <c r="AA2075" i="1"/>
  <c r="Z2075" i="1"/>
  <c r="AG2075" i="1" s="1"/>
  <c r="U2075" i="1"/>
  <c r="S2075" i="1"/>
  <c r="R2075" i="1"/>
  <c r="M2075" i="1"/>
  <c r="L2075" i="1"/>
  <c r="K2075" i="1"/>
  <c r="V2075" i="1" s="1"/>
  <c r="H2075" i="1"/>
  <c r="T2075" i="1" s="1"/>
  <c r="AH2074" i="1"/>
  <c r="AE2074" i="1"/>
  <c r="AA2074" i="1"/>
  <c r="Z2074" i="1"/>
  <c r="AG2074" i="1" s="1"/>
  <c r="V2074" i="1"/>
  <c r="U2074" i="1"/>
  <c r="S2074" i="1"/>
  <c r="R2074" i="1"/>
  <c r="AF2074" i="1" s="1"/>
  <c r="M2074" i="1"/>
  <c r="L2074" i="1"/>
  <c r="K2074" i="1"/>
  <c r="H2074" i="1"/>
  <c r="T2074" i="1" s="1"/>
  <c r="AH2073" i="1"/>
  <c r="AF2073" i="1"/>
  <c r="AE2073" i="1"/>
  <c r="AA2073" i="1"/>
  <c r="Z2073" i="1"/>
  <c r="AG2073" i="1" s="1"/>
  <c r="U2073" i="1"/>
  <c r="S2073" i="1"/>
  <c r="R2073" i="1"/>
  <c r="M2073" i="1"/>
  <c r="L2073" i="1"/>
  <c r="K2073" i="1"/>
  <c r="V2073" i="1" s="1"/>
  <c r="H2073" i="1"/>
  <c r="T2073" i="1" s="1"/>
  <c r="AH2072" i="1"/>
  <c r="AE2072" i="1"/>
  <c r="AA2072" i="1"/>
  <c r="Z2072" i="1"/>
  <c r="AG2072" i="1" s="1"/>
  <c r="V2072" i="1"/>
  <c r="U2072" i="1"/>
  <c r="S2072" i="1"/>
  <c r="R2072" i="1"/>
  <c r="AF2072" i="1" s="1"/>
  <c r="M2072" i="1"/>
  <c r="L2072" i="1"/>
  <c r="K2072" i="1"/>
  <c r="H2072" i="1"/>
  <c r="T2072" i="1" s="1"/>
  <c r="AH2071" i="1"/>
  <c r="AF2071" i="1"/>
  <c r="AE2071" i="1"/>
  <c r="AA2071" i="1"/>
  <c r="Z2071" i="1"/>
  <c r="AG2071" i="1" s="1"/>
  <c r="U2071" i="1"/>
  <c r="S2071" i="1"/>
  <c r="R2071" i="1"/>
  <c r="M2071" i="1"/>
  <c r="L2071" i="1"/>
  <c r="K2071" i="1"/>
  <c r="V2071" i="1" s="1"/>
  <c r="H2071" i="1"/>
  <c r="T2071" i="1" s="1"/>
  <c r="AH2070" i="1"/>
  <c r="AE2070" i="1"/>
  <c r="AA2070" i="1"/>
  <c r="Z2070" i="1"/>
  <c r="AG2070" i="1" s="1"/>
  <c r="V2070" i="1"/>
  <c r="U2070" i="1"/>
  <c r="S2070" i="1"/>
  <c r="R2070" i="1"/>
  <c r="AF2070" i="1" s="1"/>
  <c r="M2070" i="1"/>
  <c r="L2070" i="1"/>
  <c r="K2070" i="1"/>
  <c r="H2070" i="1"/>
  <c r="T2070" i="1" s="1"/>
  <c r="AH2069" i="1"/>
  <c r="AF2069" i="1"/>
  <c r="AE2069" i="1"/>
  <c r="AA2069" i="1"/>
  <c r="Z2069" i="1"/>
  <c r="AG2069" i="1" s="1"/>
  <c r="U2069" i="1"/>
  <c r="S2069" i="1"/>
  <c r="R2069" i="1"/>
  <c r="M2069" i="1"/>
  <c r="L2069" i="1"/>
  <c r="K2069" i="1"/>
  <c r="V2069" i="1" s="1"/>
  <c r="H2069" i="1"/>
  <c r="T2069" i="1" s="1"/>
  <c r="AH2068" i="1"/>
  <c r="AE2068" i="1"/>
  <c r="AA2068" i="1"/>
  <c r="Z2068" i="1"/>
  <c r="AG2068" i="1" s="1"/>
  <c r="V2068" i="1"/>
  <c r="U2068" i="1"/>
  <c r="S2068" i="1"/>
  <c r="R2068" i="1"/>
  <c r="AF2068" i="1" s="1"/>
  <c r="M2068" i="1"/>
  <c r="L2068" i="1"/>
  <c r="K2068" i="1"/>
  <c r="H2068" i="1"/>
  <c r="T2068" i="1" s="1"/>
  <c r="AH2067" i="1"/>
  <c r="AF2067" i="1"/>
  <c r="AE2067" i="1"/>
  <c r="AA2067" i="1"/>
  <c r="Z2067" i="1"/>
  <c r="AG2067" i="1" s="1"/>
  <c r="U2067" i="1"/>
  <c r="S2067" i="1"/>
  <c r="R2067" i="1"/>
  <c r="M2067" i="1"/>
  <c r="L2067" i="1"/>
  <c r="K2067" i="1"/>
  <c r="V2067" i="1" s="1"/>
  <c r="H2067" i="1"/>
  <c r="T2067" i="1" s="1"/>
  <c r="AH2066" i="1"/>
  <c r="AE2066" i="1"/>
  <c r="AA2066" i="1"/>
  <c r="Z2066" i="1"/>
  <c r="AG2066" i="1" s="1"/>
  <c r="V2066" i="1"/>
  <c r="U2066" i="1"/>
  <c r="S2066" i="1"/>
  <c r="R2066" i="1"/>
  <c r="AF2066" i="1" s="1"/>
  <c r="M2066" i="1"/>
  <c r="L2066" i="1"/>
  <c r="K2066" i="1"/>
  <c r="H2066" i="1"/>
  <c r="T2066" i="1" s="1"/>
  <c r="AH2065" i="1"/>
  <c r="AF2065" i="1"/>
  <c r="AE2065" i="1"/>
  <c r="AA2065" i="1"/>
  <c r="Z2065" i="1"/>
  <c r="AG2065" i="1" s="1"/>
  <c r="U2065" i="1"/>
  <c r="S2065" i="1"/>
  <c r="R2065" i="1"/>
  <c r="M2065" i="1"/>
  <c r="L2065" i="1"/>
  <c r="K2065" i="1"/>
  <c r="V2065" i="1" s="1"/>
  <c r="H2065" i="1"/>
  <c r="T2065" i="1" s="1"/>
  <c r="AH2064" i="1"/>
  <c r="AE2064" i="1"/>
  <c r="AA2064" i="1"/>
  <c r="Z2064" i="1"/>
  <c r="AG2064" i="1" s="1"/>
  <c r="V2064" i="1"/>
  <c r="U2064" i="1"/>
  <c r="S2064" i="1"/>
  <c r="R2064" i="1"/>
  <c r="AF2064" i="1" s="1"/>
  <c r="M2064" i="1"/>
  <c r="L2064" i="1"/>
  <c r="K2064" i="1"/>
  <c r="H2064" i="1"/>
  <c r="T2064" i="1" s="1"/>
  <c r="AH2063" i="1"/>
  <c r="AF2063" i="1"/>
  <c r="AE2063" i="1"/>
  <c r="AA2063" i="1"/>
  <c r="Z2063" i="1"/>
  <c r="AG2063" i="1" s="1"/>
  <c r="U2063" i="1"/>
  <c r="S2063" i="1"/>
  <c r="R2063" i="1"/>
  <c r="M2063" i="1"/>
  <c r="L2063" i="1"/>
  <c r="K2063" i="1"/>
  <c r="V2063" i="1" s="1"/>
  <c r="H2063" i="1"/>
  <c r="T2063" i="1" s="1"/>
  <c r="AH2062" i="1"/>
  <c r="AE2062" i="1"/>
  <c r="AA2062" i="1"/>
  <c r="Z2062" i="1"/>
  <c r="AG2062" i="1" s="1"/>
  <c r="V2062" i="1"/>
  <c r="U2062" i="1"/>
  <c r="S2062" i="1"/>
  <c r="R2062" i="1"/>
  <c r="AF2062" i="1" s="1"/>
  <c r="M2062" i="1"/>
  <c r="L2062" i="1"/>
  <c r="K2062" i="1"/>
  <c r="H2062" i="1"/>
  <c r="T2062" i="1" s="1"/>
  <c r="AH2061" i="1"/>
  <c r="AF2061" i="1"/>
  <c r="AE2061" i="1"/>
  <c r="AA2061" i="1"/>
  <c r="Z2061" i="1"/>
  <c r="AG2061" i="1" s="1"/>
  <c r="U2061" i="1"/>
  <c r="S2061" i="1"/>
  <c r="R2061" i="1"/>
  <c r="M2061" i="1"/>
  <c r="L2061" i="1"/>
  <c r="K2061" i="1"/>
  <c r="V2061" i="1" s="1"/>
  <c r="H2061" i="1"/>
  <c r="T2061" i="1" s="1"/>
  <c r="AH2060" i="1"/>
  <c r="AE2060" i="1"/>
  <c r="AA2060" i="1"/>
  <c r="Z2060" i="1"/>
  <c r="AG2060" i="1" s="1"/>
  <c r="V2060" i="1"/>
  <c r="U2060" i="1"/>
  <c r="S2060" i="1"/>
  <c r="R2060" i="1"/>
  <c r="AF2060" i="1" s="1"/>
  <c r="M2060" i="1"/>
  <c r="L2060" i="1"/>
  <c r="K2060" i="1"/>
  <c r="H2060" i="1"/>
  <c r="T2060" i="1" s="1"/>
  <c r="AH2059" i="1"/>
  <c r="AF2059" i="1"/>
  <c r="AE2059" i="1"/>
  <c r="AA2059" i="1"/>
  <c r="Z2059" i="1"/>
  <c r="AG2059" i="1" s="1"/>
  <c r="U2059" i="1"/>
  <c r="S2059" i="1"/>
  <c r="R2059" i="1"/>
  <c r="M2059" i="1"/>
  <c r="L2059" i="1"/>
  <c r="K2059" i="1"/>
  <c r="V2059" i="1" s="1"/>
  <c r="H2059" i="1"/>
  <c r="T2059" i="1" s="1"/>
  <c r="AH2058" i="1"/>
  <c r="AE2058" i="1"/>
  <c r="AA2058" i="1"/>
  <c r="Z2058" i="1"/>
  <c r="AG2058" i="1" s="1"/>
  <c r="V2058" i="1"/>
  <c r="U2058" i="1"/>
  <c r="S2058" i="1"/>
  <c r="R2058" i="1"/>
  <c r="AF2058" i="1" s="1"/>
  <c r="M2058" i="1"/>
  <c r="L2058" i="1"/>
  <c r="K2058" i="1"/>
  <c r="H2058" i="1"/>
  <c r="T2058" i="1" s="1"/>
  <c r="AH2057" i="1"/>
  <c r="AF2057" i="1"/>
  <c r="AE2057" i="1"/>
  <c r="AA2057" i="1"/>
  <c r="Z2057" i="1"/>
  <c r="AG2057" i="1" s="1"/>
  <c r="U2057" i="1"/>
  <c r="S2057" i="1"/>
  <c r="R2057" i="1"/>
  <c r="M2057" i="1"/>
  <c r="L2057" i="1"/>
  <c r="K2057" i="1"/>
  <c r="V2057" i="1" s="1"/>
  <c r="H2057" i="1"/>
  <c r="T2057" i="1" s="1"/>
  <c r="AH2056" i="1"/>
  <c r="AE2056" i="1"/>
  <c r="AA2056" i="1"/>
  <c r="Z2056" i="1"/>
  <c r="AG2056" i="1" s="1"/>
  <c r="V2056" i="1"/>
  <c r="U2056" i="1"/>
  <c r="S2056" i="1"/>
  <c r="R2056" i="1"/>
  <c r="AF2056" i="1" s="1"/>
  <c r="M2056" i="1"/>
  <c r="L2056" i="1"/>
  <c r="K2056" i="1"/>
  <c r="H2056" i="1"/>
  <c r="T2056" i="1" s="1"/>
  <c r="AH2055" i="1"/>
  <c r="AF2055" i="1"/>
  <c r="AE2055" i="1"/>
  <c r="AA2055" i="1"/>
  <c r="Z2055" i="1"/>
  <c r="AG2055" i="1" s="1"/>
  <c r="U2055" i="1"/>
  <c r="S2055" i="1"/>
  <c r="R2055" i="1"/>
  <c r="M2055" i="1"/>
  <c r="L2055" i="1"/>
  <c r="K2055" i="1"/>
  <c r="V2055" i="1" s="1"/>
  <c r="H2055" i="1"/>
  <c r="T2055" i="1" s="1"/>
  <c r="AH2054" i="1"/>
  <c r="AE2054" i="1"/>
  <c r="AA2054" i="1"/>
  <c r="Z2054" i="1"/>
  <c r="AG2054" i="1" s="1"/>
  <c r="V2054" i="1"/>
  <c r="U2054" i="1"/>
  <c r="S2054" i="1"/>
  <c r="R2054" i="1"/>
  <c r="AF2054" i="1" s="1"/>
  <c r="M2054" i="1"/>
  <c r="L2054" i="1"/>
  <c r="K2054" i="1"/>
  <c r="H2054" i="1"/>
  <c r="T2054" i="1" s="1"/>
  <c r="AH2053" i="1"/>
  <c r="AF2053" i="1"/>
  <c r="AE2053" i="1"/>
  <c r="AA2053" i="1"/>
  <c r="Z2053" i="1"/>
  <c r="AG2053" i="1" s="1"/>
  <c r="U2053" i="1"/>
  <c r="S2053" i="1"/>
  <c r="R2053" i="1"/>
  <c r="M2053" i="1"/>
  <c r="L2053" i="1"/>
  <c r="K2053" i="1"/>
  <c r="V2053" i="1" s="1"/>
  <c r="H2053" i="1"/>
  <c r="T2053" i="1" s="1"/>
  <c r="AH2052" i="1"/>
  <c r="AE2052" i="1"/>
  <c r="AA2052" i="1"/>
  <c r="Z2052" i="1"/>
  <c r="AG2052" i="1" s="1"/>
  <c r="V2052" i="1"/>
  <c r="U2052" i="1"/>
  <c r="S2052" i="1"/>
  <c r="R2052" i="1"/>
  <c r="AF2052" i="1" s="1"/>
  <c r="M2052" i="1"/>
  <c r="L2052" i="1"/>
  <c r="K2052" i="1"/>
  <c r="H2052" i="1"/>
  <c r="T2052" i="1" s="1"/>
  <c r="AH2051" i="1"/>
  <c r="AF2051" i="1"/>
  <c r="AE2051" i="1"/>
  <c r="AA2051" i="1"/>
  <c r="Z2051" i="1"/>
  <c r="AG2051" i="1" s="1"/>
  <c r="U2051" i="1"/>
  <c r="S2051" i="1"/>
  <c r="R2051" i="1"/>
  <c r="M2051" i="1"/>
  <c r="L2051" i="1"/>
  <c r="K2051" i="1"/>
  <c r="V2051" i="1" s="1"/>
  <c r="H2051" i="1"/>
  <c r="T2051" i="1" s="1"/>
  <c r="AH2050" i="1"/>
  <c r="AE2050" i="1"/>
  <c r="AA2050" i="1"/>
  <c r="Z2050" i="1"/>
  <c r="AG2050" i="1" s="1"/>
  <c r="V2050" i="1"/>
  <c r="U2050" i="1"/>
  <c r="S2050" i="1"/>
  <c r="R2050" i="1"/>
  <c r="AF2050" i="1" s="1"/>
  <c r="M2050" i="1"/>
  <c r="L2050" i="1"/>
  <c r="K2050" i="1"/>
  <c r="H2050" i="1"/>
  <c r="T2050" i="1" s="1"/>
  <c r="AH2049" i="1"/>
  <c r="AF2049" i="1"/>
  <c r="AE2049" i="1"/>
  <c r="AA2049" i="1"/>
  <c r="Z2049" i="1"/>
  <c r="AG2049" i="1" s="1"/>
  <c r="U2049" i="1"/>
  <c r="S2049" i="1"/>
  <c r="R2049" i="1"/>
  <c r="M2049" i="1"/>
  <c r="L2049" i="1"/>
  <c r="K2049" i="1"/>
  <c r="V2049" i="1" s="1"/>
  <c r="H2049" i="1"/>
  <c r="T2049" i="1" s="1"/>
  <c r="AH2048" i="1"/>
  <c r="AE2048" i="1"/>
  <c r="AA2048" i="1"/>
  <c r="Z2048" i="1"/>
  <c r="AG2048" i="1" s="1"/>
  <c r="V2048" i="1"/>
  <c r="U2048" i="1"/>
  <c r="S2048" i="1"/>
  <c r="R2048" i="1"/>
  <c r="AF2048" i="1" s="1"/>
  <c r="O2048" i="1"/>
  <c r="AD2048" i="1" s="1"/>
  <c r="M2048" i="1"/>
  <c r="K2048" i="1"/>
  <c r="H2048" i="1"/>
  <c r="T2048" i="1" s="1"/>
  <c r="AH2047" i="1"/>
  <c r="AE2047" i="1"/>
  <c r="AA2047" i="1"/>
  <c r="Z2047" i="1"/>
  <c r="AG2047" i="1" s="1"/>
  <c r="V2047" i="1"/>
  <c r="U2047" i="1"/>
  <c r="T2047" i="1"/>
  <c r="S2047" i="1"/>
  <c r="R2047" i="1"/>
  <c r="AF2047" i="1" s="1"/>
  <c r="AI2047" i="1" s="1"/>
  <c r="M2047" i="1"/>
  <c r="K2047" i="1"/>
  <c r="H2047" i="1"/>
  <c r="O2047" i="1" s="1"/>
  <c r="AD2047" i="1" s="1"/>
  <c r="AH2046" i="1"/>
  <c r="AG2046" i="1"/>
  <c r="AF2046" i="1"/>
  <c r="AE2046" i="1"/>
  <c r="AD2046" i="1"/>
  <c r="AA2046" i="1"/>
  <c r="Z2046" i="1"/>
  <c r="U2046" i="1"/>
  <c r="T2046" i="1"/>
  <c r="S2046" i="1"/>
  <c r="R2046" i="1"/>
  <c r="O2046" i="1"/>
  <c r="M2046" i="1"/>
  <c r="K2046" i="1"/>
  <c r="V2046" i="1" s="1"/>
  <c r="H2046" i="1"/>
  <c r="AH2045" i="1"/>
  <c r="AG2045" i="1"/>
  <c r="AE2045" i="1"/>
  <c r="AA2045" i="1"/>
  <c r="Z2045" i="1"/>
  <c r="V2045" i="1"/>
  <c r="U2045" i="1"/>
  <c r="T2045" i="1"/>
  <c r="S2045" i="1"/>
  <c r="R2045" i="1"/>
  <c r="AF2045" i="1" s="1"/>
  <c r="M2045" i="1"/>
  <c r="K2045" i="1"/>
  <c r="H2045" i="1"/>
  <c r="O2045" i="1" s="1"/>
  <c r="AD2045" i="1" s="1"/>
  <c r="AH2044" i="1"/>
  <c r="AF2044" i="1"/>
  <c r="AE2044" i="1"/>
  <c r="AD2044" i="1"/>
  <c r="AI2044" i="1" s="1"/>
  <c r="AA2044" i="1"/>
  <c r="Z2044" i="1"/>
  <c r="AG2044" i="1" s="1"/>
  <c r="U2044" i="1"/>
  <c r="T2044" i="1"/>
  <c r="S2044" i="1"/>
  <c r="R2044" i="1"/>
  <c r="Q2044" i="1"/>
  <c r="O2044" i="1"/>
  <c r="M2044" i="1"/>
  <c r="K2044" i="1"/>
  <c r="V2044" i="1" s="1"/>
  <c r="AH2043" i="1"/>
  <c r="AG2043" i="1"/>
  <c r="AE2043" i="1"/>
  <c r="AA2043" i="1"/>
  <c r="Z2043" i="1"/>
  <c r="U2043" i="1"/>
  <c r="T2043" i="1"/>
  <c r="S2043" i="1"/>
  <c r="R2043" i="1"/>
  <c r="AF2043" i="1" s="1"/>
  <c r="Q2043" i="1"/>
  <c r="O2043" i="1"/>
  <c r="AD2043" i="1" s="1"/>
  <c r="AI2043" i="1" s="1"/>
  <c r="M2043" i="1"/>
  <c r="K2043" i="1"/>
  <c r="V2043" i="1" s="1"/>
  <c r="AH2042" i="1"/>
  <c r="AF2042" i="1"/>
  <c r="AE2042" i="1"/>
  <c r="AA2042" i="1"/>
  <c r="Z2042" i="1"/>
  <c r="AG2042" i="1" s="1"/>
  <c r="U2042" i="1"/>
  <c r="T2042" i="1"/>
  <c r="S2042" i="1"/>
  <c r="Q2042" i="1"/>
  <c r="R2042" i="1" s="1"/>
  <c r="O2042" i="1"/>
  <c r="AD2042" i="1" s="1"/>
  <c r="AI2042" i="1" s="1"/>
  <c r="M2042" i="1"/>
  <c r="K2042" i="1"/>
  <c r="V2042" i="1" s="1"/>
  <c r="AH2041" i="1"/>
  <c r="AG2041" i="1"/>
  <c r="AE2041" i="1"/>
  <c r="AA2041" i="1"/>
  <c r="Z2041" i="1"/>
  <c r="V2041" i="1"/>
  <c r="U2041" i="1"/>
  <c r="T2041" i="1"/>
  <c r="S2041" i="1"/>
  <c r="R2041" i="1"/>
  <c r="AF2041" i="1" s="1"/>
  <c r="O2041" i="1"/>
  <c r="AD2041" i="1" s="1"/>
  <c r="AI2041" i="1" s="1"/>
  <c r="M2041" i="1"/>
  <c r="AH2040" i="1"/>
  <c r="AF2040" i="1"/>
  <c r="AE2040" i="1"/>
  <c r="AA2040" i="1"/>
  <c r="Z2040" i="1"/>
  <c r="AG2040" i="1" s="1"/>
  <c r="U2040" i="1"/>
  <c r="T2040" i="1"/>
  <c r="S2040" i="1"/>
  <c r="R2040" i="1"/>
  <c r="O2040" i="1"/>
  <c r="AD2040" i="1" s="1"/>
  <c r="AI2040" i="1" s="1"/>
  <c r="M2040" i="1"/>
  <c r="K2040" i="1"/>
  <c r="V2040" i="1" s="1"/>
  <c r="AH2039" i="1"/>
  <c r="AG2039" i="1"/>
  <c r="AF2039" i="1"/>
  <c r="AE2039" i="1"/>
  <c r="AD2039" i="1"/>
  <c r="AI2039" i="1" s="1"/>
  <c r="AA2039" i="1"/>
  <c r="Z2039" i="1"/>
  <c r="U2039" i="1"/>
  <c r="T2039" i="1"/>
  <c r="S2039" i="1"/>
  <c r="R2039" i="1"/>
  <c r="O2039" i="1"/>
  <c r="M2039" i="1"/>
  <c r="K2039" i="1"/>
  <c r="V2039" i="1" s="1"/>
  <c r="AH2038" i="1"/>
  <c r="AF2038" i="1"/>
  <c r="AE2038" i="1"/>
  <c r="AA2038" i="1"/>
  <c r="Z2038" i="1"/>
  <c r="AG2038" i="1" s="1"/>
  <c r="U2038" i="1"/>
  <c r="T2038" i="1"/>
  <c r="S2038" i="1"/>
  <c r="Q2038" i="1"/>
  <c r="R2038" i="1" s="1"/>
  <c r="O2038" i="1"/>
  <c r="AD2038" i="1" s="1"/>
  <c r="AI2038" i="1" s="1"/>
  <c r="M2038" i="1"/>
  <c r="K2038" i="1"/>
  <c r="V2038" i="1" s="1"/>
  <c r="AH2037" i="1"/>
  <c r="AG2037" i="1"/>
  <c r="AE2037" i="1"/>
  <c r="AD2037" i="1"/>
  <c r="AI2037" i="1" s="1"/>
  <c r="AA2037" i="1"/>
  <c r="Z2037" i="1"/>
  <c r="U2037" i="1"/>
  <c r="T2037" i="1"/>
  <c r="S2037" i="1"/>
  <c r="Q2037" i="1"/>
  <c r="R2037" i="1" s="1"/>
  <c r="AF2037" i="1" s="1"/>
  <c r="O2037" i="1"/>
  <c r="M2037" i="1"/>
  <c r="K2037" i="1"/>
  <c r="V2037" i="1" s="1"/>
  <c r="AH2036" i="1"/>
  <c r="AE2036" i="1"/>
  <c r="AD2036" i="1"/>
  <c r="AI2036" i="1" s="1"/>
  <c r="AA2036" i="1"/>
  <c r="Z2036" i="1"/>
  <c r="AG2036" i="1" s="1"/>
  <c r="U2036" i="1"/>
  <c r="T2036" i="1"/>
  <c r="S2036" i="1"/>
  <c r="Q2036" i="1"/>
  <c r="R2036" i="1" s="1"/>
  <c r="AF2036" i="1" s="1"/>
  <c r="O2036" i="1"/>
  <c r="M2036" i="1"/>
  <c r="K2036" i="1"/>
  <c r="V2036" i="1" s="1"/>
  <c r="AH2035" i="1"/>
  <c r="AE2035" i="1"/>
  <c r="AI2035" i="1" s="1"/>
  <c r="AA2035" i="1"/>
  <c r="Z2035" i="1"/>
  <c r="AG2035" i="1" s="1"/>
  <c r="U2035" i="1"/>
  <c r="T2035" i="1"/>
  <c r="S2035" i="1"/>
  <c r="R2035" i="1"/>
  <c r="AF2035" i="1" s="1"/>
  <c r="Q2035" i="1"/>
  <c r="O2035" i="1"/>
  <c r="AD2035" i="1" s="1"/>
  <c r="M2035" i="1"/>
  <c r="K2035" i="1"/>
  <c r="V2035" i="1" s="1"/>
  <c r="AH2034" i="1"/>
  <c r="AG2034" i="1"/>
  <c r="AF2034" i="1"/>
  <c r="AE2034" i="1"/>
  <c r="AD2034" i="1"/>
  <c r="AI2034" i="1" s="1"/>
  <c r="AA2034" i="1"/>
  <c r="Z2034" i="1"/>
  <c r="U2034" i="1"/>
  <c r="T2034" i="1"/>
  <c r="S2034" i="1"/>
  <c r="R2034" i="1"/>
  <c r="O2034" i="1"/>
  <c r="M2034" i="1"/>
  <c r="K2034" i="1"/>
  <c r="V2034" i="1" s="1"/>
  <c r="AH2033" i="1"/>
  <c r="AF2033" i="1"/>
  <c r="AE2033" i="1"/>
  <c r="AA2033" i="1"/>
  <c r="Z2033" i="1"/>
  <c r="AG2033" i="1" s="1"/>
  <c r="U2033" i="1"/>
  <c r="T2033" i="1"/>
  <c r="S2033" i="1"/>
  <c r="R2033" i="1"/>
  <c r="O2033" i="1"/>
  <c r="AD2033" i="1" s="1"/>
  <c r="AI2033" i="1" s="1"/>
  <c r="M2033" i="1"/>
  <c r="K2033" i="1"/>
  <c r="V2033" i="1" s="1"/>
  <c r="AH2032" i="1"/>
  <c r="AG2032" i="1"/>
  <c r="AF2032" i="1"/>
  <c r="AE2032" i="1"/>
  <c r="AD2032" i="1"/>
  <c r="AI2032" i="1" s="1"/>
  <c r="AA2032" i="1"/>
  <c r="Z2032" i="1"/>
  <c r="U2032" i="1"/>
  <c r="T2032" i="1"/>
  <c r="S2032" i="1"/>
  <c r="R2032" i="1"/>
  <c r="O2032" i="1"/>
  <c r="M2032" i="1"/>
  <c r="K2032" i="1"/>
  <c r="V2032" i="1" s="1"/>
  <c r="AH2031" i="1"/>
  <c r="AF2031" i="1"/>
  <c r="AE2031" i="1"/>
  <c r="AA2031" i="1"/>
  <c r="Z2031" i="1"/>
  <c r="AG2031" i="1" s="1"/>
  <c r="U2031" i="1"/>
  <c r="T2031" i="1"/>
  <c r="S2031" i="1"/>
  <c r="Q2031" i="1"/>
  <c r="R2031" i="1" s="1"/>
  <c r="O2031" i="1"/>
  <c r="AD2031" i="1" s="1"/>
  <c r="AI2031" i="1" s="1"/>
  <c r="M2031" i="1"/>
  <c r="K2031" i="1"/>
  <c r="V2031" i="1" s="1"/>
  <c r="AH2030" i="1"/>
  <c r="AG2030" i="1"/>
  <c r="AE2030" i="1"/>
  <c r="AD2030" i="1"/>
  <c r="AI2030" i="1" s="1"/>
  <c r="AA2030" i="1"/>
  <c r="Z2030" i="1"/>
  <c r="U2030" i="1"/>
  <c r="T2030" i="1"/>
  <c r="S2030" i="1"/>
  <c r="Q2030" i="1"/>
  <c r="R2030" i="1" s="1"/>
  <c r="AF2030" i="1" s="1"/>
  <c r="O2030" i="1"/>
  <c r="M2030" i="1"/>
  <c r="K2030" i="1"/>
  <c r="V2030" i="1" s="1"/>
  <c r="AH2029" i="1"/>
  <c r="AE2029" i="1"/>
  <c r="AD2029" i="1"/>
  <c r="AI2029" i="1" s="1"/>
  <c r="AA2029" i="1"/>
  <c r="Z2029" i="1"/>
  <c r="AG2029" i="1" s="1"/>
  <c r="U2029" i="1"/>
  <c r="T2029" i="1"/>
  <c r="S2029" i="1"/>
  <c r="Q2029" i="1"/>
  <c r="R2029" i="1" s="1"/>
  <c r="AF2029" i="1" s="1"/>
  <c r="O2029" i="1"/>
  <c r="M2029" i="1"/>
  <c r="K2029" i="1"/>
  <c r="V2029" i="1" s="1"/>
  <c r="AH2028" i="1"/>
  <c r="AE2028" i="1"/>
  <c r="AA2028" i="1"/>
  <c r="Z2028" i="1"/>
  <c r="AG2028" i="1" s="1"/>
  <c r="V2028" i="1"/>
  <c r="U2028" i="1"/>
  <c r="T2028" i="1"/>
  <c r="S2028" i="1"/>
  <c r="R2028" i="1"/>
  <c r="AF2028" i="1" s="1"/>
  <c r="O2028" i="1"/>
  <c r="AD2028" i="1" s="1"/>
  <c r="AI2028" i="1" s="1"/>
  <c r="M2028" i="1"/>
  <c r="K2028" i="1"/>
  <c r="AH2027" i="1"/>
  <c r="AE2027" i="1"/>
  <c r="AA2027" i="1"/>
  <c r="Z2027" i="1"/>
  <c r="AG2027" i="1" s="1"/>
  <c r="U2027" i="1"/>
  <c r="T2027" i="1"/>
  <c r="S2027" i="1"/>
  <c r="R2027" i="1"/>
  <c r="AF2027" i="1" s="1"/>
  <c r="O2027" i="1"/>
  <c r="AD2027" i="1" s="1"/>
  <c r="AI2027" i="1" s="1"/>
  <c r="M2027" i="1"/>
  <c r="K2027" i="1"/>
  <c r="V2027" i="1" s="1"/>
  <c r="AH2026" i="1"/>
  <c r="AG2026" i="1"/>
  <c r="AE2026" i="1"/>
  <c r="AA2026" i="1"/>
  <c r="Z2026" i="1"/>
  <c r="U2026" i="1"/>
  <c r="T2026" i="1"/>
  <c r="S2026" i="1"/>
  <c r="R2026" i="1"/>
  <c r="AF2026" i="1" s="1"/>
  <c r="O2026" i="1"/>
  <c r="AD2026" i="1" s="1"/>
  <c r="AI2026" i="1" s="1"/>
  <c r="M2026" i="1"/>
  <c r="K2026" i="1"/>
  <c r="V2026" i="1" s="1"/>
  <c r="AH2025" i="1"/>
  <c r="AE2025" i="1"/>
  <c r="AA2025" i="1"/>
  <c r="Z2025" i="1"/>
  <c r="AG2025" i="1" s="1"/>
  <c r="U2025" i="1"/>
  <c r="T2025" i="1"/>
  <c r="S2025" i="1"/>
  <c r="R2025" i="1"/>
  <c r="AF2025" i="1" s="1"/>
  <c r="Q2025" i="1"/>
  <c r="O2025" i="1"/>
  <c r="AD2025" i="1" s="1"/>
  <c r="M2025" i="1"/>
  <c r="K2025" i="1"/>
  <c r="V2025" i="1" s="1"/>
  <c r="AH2024" i="1"/>
  <c r="AE2024" i="1"/>
  <c r="AA2024" i="1"/>
  <c r="Z2024" i="1"/>
  <c r="AG2024" i="1" s="1"/>
  <c r="U2024" i="1"/>
  <c r="T2024" i="1"/>
  <c r="S2024" i="1"/>
  <c r="Q2024" i="1"/>
  <c r="R2024" i="1" s="1"/>
  <c r="AF2024" i="1" s="1"/>
  <c r="O2024" i="1"/>
  <c r="AD2024" i="1" s="1"/>
  <c r="AI2024" i="1" s="1"/>
  <c r="M2024" i="1"/>
  <c r="K2024" i="1"/>
  <c r="V2024" i="1" s="1"/>
  <c r="AH2023" i="1"/>
  <c r="AG2023" i="1"/>
  <c r="AE2023" i="1"/>
  <c r="AA2023" i="1"/>
  <c r="Z2023" i="1"/>
  <c r="U2023" i="1"/>
  <c r="T2023" i="1"/>
  <c r="S2023" i="1"/>
  <c r="Q2023" i="1"/>
  <c r="R2023" i="1" s="1"/>
  <c r="AF2023" i="1" s="1"/>
  <c r="O2023" i="1"/>
  <c r="AD2023" i="1" s="1"/>
  <c r="AI2023" i="1" s="1"/>
  <c r="M2023" i="1"/>
  <c r="K2023" i="1"/>
  <c r="V2023" i="1" s="1"/>
  <c r="AH2022" i="1"/>
  <c r="AE2022" i="1"/>
  <c r="AA2022" i="1"/>
  <c r="Z2022" i="1"/>
  <c r="AG2022" i="1" s="1"/>
  <c r="V2022" i="1"/>
  <c r="U2022" i="1"/>
  <c r="T2022" i="1"/>
  <c r="S2022" i="1"/>
  <c r="R2022" i="1"/>
  <c r="AF2022" i="1" s="1"/>
  <c r="O2022" i="1"/>
  <c r="AD2022" i="1" s="1"/>
  <c r="AI2022" i="1" s="1"/>
  <c r="M2022" i="1"/>
  <c r="AH2021" i="1"/>
  <c r="AG2021" i="1"/>
  <c r="AE2021" i="1"/>
  <c r="AA2021" i="1"/>
  <c r="Z2021" i="1"/>
  <c r="V2021" i="1"/>
  <c r="U2021" i="1"/>
  <c r="T2021" i="1"/>
  <c r="S2021" i="1"/>
  <c r="R2021" i="1"/>
  <c r="AF2021" i="1" s="1"/>
  <c r="O2021" i="1"/>
  <c r="AD2021" i="1" s="1"/>
  <c r="AI2021" i="1" s="1"/>
  <c r="M2021" i="1"/>
  <c r="AH2020" i="1"/>
  <c r="AG2020" i="1"/>
  <c r="AE2020" i="1"/>
  <c r="AD2020" i="1"/>
  <c r="AA2020" i="1"/>
  <c r="Z2020" i="1"/>
  <c r="U2020" i="1"/>
  <c r="T2020" i="1"/>
  <c r="S2020" i="1"/>
  <c r="Q2020" i="1"/>
  <c r="R2020" i="1" s="1"/>
  <c r="AF2020" i="1" s="1"/>
  <c r="O2020" i="1"/>
  <c r="M2020" i="1"/>
  <c r="K2020" i="1"/>
  <c r="V2020" i="1" s="1"/>
  <c r="AH2019" i="1"/>
  <c r="AG2019" i="1"/>
  <c r="AE2019" i="1"/>
  <c r="AD2019" i="1"/>
  <c r="AI2019" i="1" s="1"/>
  <c r="AA2019" i="1"/>
  <c r="Z2019" i="1"/>
  <c r="U2019" i="1"/>
  <c r="T2019" i="1"/>
  <c r="S2019" i="1"/>
  <c r="R2019" i="1"/>
  <c r="AF2019" i="1" s="1"/>
  <c r="Q2019" i="1"/>
  <c r="O2019" i="1"/>
  <c r="M2019" i="1"/>
  <c r="K2019" i="1"/>
  <c r="V2019" i="1" s="1"/>
  <c r="AH2018" i="1"/>
  <c r="AE2018" i="1"/>
  <c r="AD2018" i="1"/>
  <c r="AI2018" i="1" s="1"/>
  <c r="AA2018" i="1"/>
  <c r="Z2018" i="1"/>
  <c r="AG2018" i="1" s="1"/>
  <c r="U2018" i="1"/>
  <c r="T2018" i="1"/>
  <c r="S2018" i="1"/>
  <c r="R2018" i="1"/>
  <c r="AF2018" i="1" s="1"/>
  <c r="Q2018" i="1"/>
  <c r="O2018" i="1"/>
  <c r="M2018" i="1"/>
  <c r="K2018" i="1"/>
  <c r="V2018" i="1" s="1"/>
  <c r="AH2017" i="1"/>
  <c r="AE2017" i="1"/>
  <c r="AA2017" i="1"/>
  <c r="Z2017" i="1"/>
  <c r="AG2017" i="1" s="1"/>
  <c r="U2017" i="1"/>
  <c r="T2017" i="1"/>
  <c r="S2017" i="1"/>
  <c r="R2017" i="1"/>
  <c r="AF2017" i="1" s="1"/>
  <c r="Q2017" i="1"/>
  <c r="O2017" i="1"/>
  <c r="AD2017" i="1" s="1"/>
  <c r="M2017" i="1"/>
  <c r="K2017" i="1"/>
  <c r="V2017" i="1" s="1"/>
  <c r="AH2016" i="1"/>
  <c r="AE2016" i="1"/>
  <c r="AA2016" i="1"/>
  <c r="Z2016" i="1"/>
  <c r="AG2016" i="1" s="1"/>
  <c r="U2016" i="1"/>
  <c r="T2016" i="1"/>
  <c r="S2016" i="1"/>
  <c r="Q2016" i="1"/>
  <c r="R2016" i="1" s="1"/>
  <c r="AF2016" i="1" s="1"/>
  <c r="O2016" i="1"/>
  <c r="AD2016" i="1" s="1"/>
  <c r="AI2016" i="1" s="1"/>
  <c r="M2016" i="1"/>
  <c r="K2016" i="1"/>
  <c r="V2016" i="1" s="1"/>
  <c r="AH2015" i="1"/>
  <c r="AG2015" i="1"/>
  <c r="AE2015" i="1"/>
  <c r="AA2015" i="1"/>
  <c r="Z2015" i="1"/>
  <c r="V2015" i="1"/>
  <c r="U2015" i="1"/>
  <c r="T2015" i="1"/>
  <c r="S2015" i="1"/>
  <c r="R2015" i="1"/>
  <c r="AF2015" i="1" s="1"/>
  <c r="O2015" i="1"/>
  <c r="AD2015" i="1" s="1"/>
  <c r="AI2015" i="1" s="1"/>
  <c r="M2015" i="1"/>
  <c r="K2015" i="1"/>
  <c r="AH2014" i="1"/>
  <c r="AG2014" i="1"/>
  <c r="AE2014" i="1"/>
  <c r="AA2014" i="1"/>
  <c r="Z2014" i="1"/>
  <c r="U2014" i="1"/>
  <c r="T2014" i="1"/>
  <c r="S2014" i="1"/>
  <c r="Q2014" i="1"/>
  <c r="R2014" i="1" s="1"/>
  <c r="AF2014" i="1" s="1"/>
  <c r="O2014" i="1"/>
  <c r="AD2014" i="1" s="1"/>
  <c r="AI2014" i="1" s="1"/>
  <c r="M2014" i="1"/>
  <c r="K2014" i="1"/>
  <c r="V2014" i="1" s="1"/>
  <c r="AH2013" i="1"/>
  <c r="AE2013" i="1"/>
  <c r="AD2013" i="1"/>
  <c r="AA2013" i="1"/>
  <c r="Z2013" i="1"/>
  <c r="AG2013" i="1" s="1"/>
  <c r="U2013" i="1"/>
  <c r="T2013" i="1"/>
  <c r="S2013" i="1"/>
  <c r="Q2013" i="1"/>
  <c r="R2013" i="1" s="1"/>
  <c r="AF2013" i="1" s="1"/>
  <c r="O2013" i="1"/>
  <c r="M2013" i="1"/>
  <c r="K2013" i="1"/>
  <c r="V2013" i="1" s="1"/>
  <c r="AH2012" i="1"/>
  <c r="AG2012" i="1"/>
  <c r="AE2012" i="1"/>
  <c r="AA2012" i="1"/>
  <c r="Z2012" i="1"/>
  <c r="U2012" i="1"/>
  <c r="T2012" i="1"/>
  <c r="S2012" i="1"/>
  <c r="R2012" i="1"/>
  <c r="AF2012" i="1" s="1"/>
  <c r="Q2012" i="1"/>
  <c r="O2012" i="1"/>
  <c r="AD2012" i="1" s="1"/>
  <c r="M2012" i="1"/>
  <c r="K2012" i="1"/>
  <c r="V2012" i="1" s="1"/>
  <c r="AH2011" i="1"/>
  <c r="AE2011" i="1"/>
  <c r="AA2011" i="1"/>
  <c r="Z2011" i="1"/>
  <c r="AG2011" i="1" s="1"/>
  <c r="U2011" i="1"/>
  <c r="T2011" i="1"/>
  <c r="S2011" i="1"/>
  <c r="Q2011" i="1"/>
  <c r="R2011" i="1" s="1"/>
  <c r="AF2011" i="1" s="1"/>
  <c r="O2011" i="1"/>
  <c r="AD2011" i="1" s="1"/>
  <c r="M2011" i="1"/>
  <c r="K2011" i="1"/>
  <c r="V2011" i="1" s="1"/>
  <c r="AH2010" i="1"/>
  <c r="AG2010" i="1"/>
  <c r="AE2010" i="1"/>
  <c r="AD2010" i="1"/>
  <c r="AI2010" i="1" s="1"/>
  <c r="AA2010" i="1"/>
  <c r="Z2010" i="1"/>
  <c r="U2010" i="1"/>
  <c r="T2010" i="1"/>
  <c r="S2010" i="1"/>
  <c r="Q2010" i="1"/>
  <c r="R2010" i="1" s="1"/>
  <c r="AF2010" i="1" s="1"/>
  <c r="O2010" i="1"/>
  <c r="M2010" i="1"/>
  <c r="K2010" i="1"/>
  <c r="V2010" i="1" s="1"/>
  <c r="AH2009" i="1"/>
  <c r="AE2009" i="1"/>
  <c r="AD2009" i="1"/>
  <c r="AA2009" i="1"/>
  <c r="Z2009" i="1"/>
  <c r="AG2009" i="1" s="1"/>
  <c r="U2009" i="1"/>
  <c r="T2009" i="1"/>
  <c r="S2009" i="1"/>
  <c r="Q2009" i="1"/>
  <c r="R2009" i="1" s="1"/>
  <c r="AF2009" i="1" s="1"/>
  <c r="AI2009" i="1" s="1"/>
  <c r="O2009" i="1"/>
  <c r="M2009" i="1"/>
  <c r="K2009" i="1"/>
  <c r="V2009" i="1" s="1"/>
  <c r="AH2008" i="1"/>
  <c r="AE2008" i="1"/>
  <c r="AA2008" i="1"/>
  <c r="Z2008" i="1"/>
  <c r="AG2008" i="1" s="1"/>
  <c r="V2008" i="1"/>
  <c r="U2008" i="1"/>
  <c r="T2008" i="1"/>
  <c r="S2008" i="1"/>
  <c r="R2008" i="1"/>
  <c r="AF2008" i="1" s="1"/>
  <c r="AI2008" i="1" s="1"/>
  <c r="O2008" i="1"/>
  <c r="AD2008" i="1" s="1"/>
  <c r="M2008" i="1"/>
  <c r="K2008" i="1"/>
  <c r="AH2007" i="1"/>
  <c r="AE2007" i="1"/>
  <c r="AA2007" i="1"/>
  <c r="Z2007" i="1"/>
  <c r="AG2007" i="1" s="1"/>
  <c r="V2007" i="1"/>
  <c r="U2007" i="1"/>
  <c r="T2007" i="1"/>
  <c r="S2007" i="1"/>
  <c r="R2007" i="1"/>
  <c r="AF2007" i="1" s="1"/>
  <c r="O2007" i="1"/>
  <c r="AD2007" i="1" s="1"/>
  <c r="M2007" i="1"/>
  <c r="K2007" i="1"/>
  <c r="AH2006" i="1"/>
  <c r="AE2006" i="1"/>
  <c r="AA2006" i="1"/>
  <c r="Z2006" i="1"/>
  <c r="AG2006" i="1" s="1"/>
  <c r="U2006" i="1"/>
  <c r="T2006" i="1"/>
  <c r="S2006" i="1"/>
  <c r="R2006" i="1"/>
  <c r="AF2006" i="1" s="1"/>
  <c r="O2006" i="1"/>
  <c r="AD2006" i="1" s="1"/>
  <c r="M2006" i="1"/>
  <c r="K2006" i="1"/>
  <c r="V2006" i="1" s="1"/>
  <c r="AH2005" i="1"/>
  <c r="AE2005" i="1"/>
  <c r="AA2005" i="1"/>
  <c r="Z2005" i="1"/>
  <c r="AG2005" i="1" s="1"/>
  <c r="V2005" i="1"/>
  <c r="U2005" i="1"/>
  <c r="T2005" i="1"/>
  <c r="S2005" i="1"/>
  <c r="R2005" i="1"/>
  <c r="AF2005" i="1" s="1"/>
  <c r="O2005" i="1"/>
  <c r="AD2005" i="1" s="1"/>
  <c r="M2005" i="1"/>
  <c r="AH2004" i="1"/>
  <c r="AE2004" i="1"/>
  <c r="AD2004" i="1"/>
  <c r="AA2004" i="1"/>
  <c r="Z2004" i="1"/>
  <c r="AG2004" i="1" s="1"/>
  <c r="U2004" i="1"/>
  <c r="T2004" i="1"/>
  <c r="S2004" i="1"/>
  <c r="Q2004" i="1"/>
  <c r="R2004" i="1" s="1"/>
  <c r="AF2004" i="1" s="1"/>
  <c r="O2004" i="1"/>
  <c r="M2004" i="1"/>
  <c r="K2004" i="1"/>
  <c r="V2004" i="1" s="1"/>
  <c r="AH2003" i="1"/>
  <c r="AE2003" i="1"/>
  <c r="AA2003" i="1"/>
  <c r="Z2003" i="1"/>
  <c r="AG2003" i="1" s="1"/>
  <c r="U2003" i="1"/>
  <c r="T2003" i="1"/>
  <c r="S2003" i="1"/>
  <c r="R2003" i="1"/>
  <c r="AF2003" i="1" s="1"/>
  <c r="Q2003" i="1"/>
  <c r="O2003" i="1"/>
  <c r="AD2003" i="1" s="1"/>
  <c r="M2003" i="1"/>
  <c r="K2003" i="1"/>
  <c r="V2003" i="1" s="1"/>
  <c r="AH2002" i="1"/>
  <c r="AG2002" i="1"/>
  <c r="AE2002" i="1"/>
  <c r="AD2002" i="1"/>
  <c r="AA2002" i="1"/>
  <c r="Z2002" i="1"/>
  <c r="U2002" i="1"/>
  <c r="T2002" i="1"/>
  <c r="S2002" i="1"/>
  <c r="Q2002" i="1"/>
  <c r="R2002" i="1" s="1"/>
  <c r="AF2002" i="1" s="1"/>
  <c r="O2002" i="1"/>
  <c r="M2002" i="1"/>
  <c r="K2002" i="1"/>
  <c r="V2002" i="1" s="1"/>
  <c r="AH2001" i="1"/>
  <c r="AG2001" i="1"/>
  <c r="AE2001" i="1"/>
  <c r="AA2001" i="1"/>
  <c r="Z2001" i="1"/>
  <c r="U2001" i="1"/>
  <c r="T2001" i="1"/>
  <c r="S2001" i="1"/>
  <c r="R2001" i="1"/>
  <c r="AF2001" i="1" s="1"/>
  <c r="Q2001" i="1"/>
  <c r="O2001" i="1"/>
  <c r="AD2001" i="1" s="1"/>
  <c r="AI2001" i="1" s="1"/>
  <c r="M2001" i="1"/>
  <c r="K2001" i="1"/>
  <c r="V2001" i="1" s="1"/>
  <c r="AH2000" i="1"/>
  <c r="AE2000" i="1"/>
  <c r="AD2000" i="1"/>
  <c r="AA2000" i="1"/>
  <c r="Z2000" i="1"/>
  <c r="AG2000" i="1" s="1"/>
  <c r="U2000" i="1"/>
  <c r="T2000" i="1"/>
  <c r="S2000" i="1"/>
  <c r="R2000" i="1"/>
  <c r="AF2000" i="1" s="1"/>
  <c r="Q2000" i="1"/>
  <c r="O2000" i="1"/>
  <c r="M2000" i="1"/>
  <c r="K2000" i="1"/>
  <c r="V2000" i="1" s="1"/>
  <c r="AH1999" i="1"/>
  <c r="AE1999" i="1"/>
  <c r="AA1999" i="1"/>
  <c r="Z1999" i="1"/>
  <c r="AG1999" i="1" s="1"/>
  <c r="U1999" i="1"/>
  <c r="T1999" i="1"/>
  <c r="S1999" i="1"/>
  <c r="R1999" i="1"/>
  <c r="AF1999" i="1" s="1"/>
  <c r="Q1999" i="1"/>
  <c r="O1999" i="1"/>
  <c r="AD1999" i="1" s="1"/>
  <c r="AI1999" i="1" s="1"/>
  <c r="M1999" i="1"/>
  <c r="K1999" i="1"/>
  <c r="V1999" i="1" s="1"/>
  <c r="AH1998" i="1"/>
  <c r="AE1998" i="1"/>
  <c r="AA1998" i="1"/>
  <c r="Z1998" i="1"/>
  <c r="AG1998" i="1" s="1"/>
  <c r="U1998" i="1"/>
  <c r="T1998" i="1"/>
  <c r="S1998" i="1"/>
  <c r="Q1998" i="1"/>
  <c r="R1998" i="1" s="1"/>
  <c r="AF1998" i="1" s="1"/>
  <c r="O1998" i="1"/>
  <c r="AD1998" i="1" s="1"/>
  <c r="AI1998" i="1" s="1"/>
  <c r="M1998" i="1"/>
  <c r="K1998" i="1"/>
  <c r="V1998" i="1" s="1"/>
  <c r="AH1997" i="1"/>
  <c r="AG1997" i="1"/>
  <c r="AE1997" i="1"/>
  <c r="AA1997" i="1"/>
  <c r="Z1997" i="1"/>
  <c r="U1997" i="1"/>
  <c r="T1997" i="1"/>
  <c r="S1997" i="1"/>
  <c r="Q1997" i="1"/>
  <c r="R1997" i="1" s="1"/>
  <c r="AF1997" i="1" s="1"/>
  <c r="O1997" i="1"/>
  <c r="AD1997" i="1" s="1"/>
  <c r="AI1997" i="1" s="1"/>
  <c r="M1997" i="1"/>
  <c r="K1997" i="1"/>
  <c r="V1997" i="1" s="1"/>
  <c r="AH1996" i="1"/>
  <c r="AE1996" i="1"/>
  <c r="AD1996" i="1"/>
  <c r="AI1996" i="1" s="1"/>
  <c r="AA1996" i="1"/>
  <c r="Z1996" i="1"/>
  <c r="AG1996" i="1" s="1"/>
  <c r="U1996" i="1"/>
  <c r="T1996" i="1"/>
  <c r="S1996" i="1"/>
  <c r="Q1996" i="1"/>
  <c r="R1996" i="1" s="1"/>
  <c r="AF1996" i="1" s="1"/>
  <c r="O1996" i="1"/>
  <c r="M1996" i="1"/>
  <c r="K1996" i="1"/>
  <c r="V1996" i="1" s="1"/>
  <c r="AH1995" i="1"/>
  <c r="AE1995" i="1"/>
  <c r="AA1995" i="1"/>
  <c r="Z1995" i="1"/>
  <c r="AG1995" i="1" s="1"/>
  <c r="U1995" i="1"/>
  <c r="T1995" i="1"/>
  <c r="S1995" i="1"/>
  <c r="R1995" i="1"/>
  <c r="AF1995" i="1" s="1"/>
  <c r="Q1995" i="1"/>
  <c r="O1995" i="1"/>
  <c r="AD1995" i="1" s="1"/>
  <c r="AI1995" i="1" s="1"/>
  <c r="M1995" i="1"/>
  <c r="K1995" i="1"/>
  <c r="V1995" i="1" s="1"/>
  <c r="AH1994" i="1"/>
  <c r="AG1994" i="1"/>
  <c r="AE1994" i="1"/>
  <c r="AD1994" i="1"/>
  <c r="AA1994" i="1"/>
  <c r="Z1994" i="1"/>
  <c r="U1994" i="1"/>
  <c r="T1994" i="1"/>
  <c r="S1994" i="1"/>
  <c r="Q1994" i="1"/>
  <c r="R1994" i="1" s="1"/>
  <c r="AF1994" i="1" s="1"/>
  <c r="O1994" i="1"/>
  <c r="M1994" i="1"/>
  <c r="K1994" i="1"/>
  <c r="V1994" i="1" s="1"/>
  <c r="AH1993" i="1"/>
  <c r="AG1993" i="1"/>
  <c r="AE1993" i="1"/>
  <c r="AA1993" i="1"/>
  <c r="Z1993" i="1"/>
  <c r="U1993" i="1"/>
  <c r="T1993" i="1"/>
  <c r="S1993" i="1"/>
  <c r="R1993" i="1"/>
  <c r="AF1993" i="1" s="1"/>
  <c r="Q1993" i="1"/>
  <c r="O1993" i="1"/>
  <c r="AD1993" i="1" s="1"/>
  <c r="M1993" i="1"/>
  <c r="K1993" i="1"/>
  <c r="V1993" i="1" s="1"/>
  <c r="AH1992" i="1"/>
  <c r="AE1992" i="1"/>
  <c r="AD1992" i="1"/>
  <c r="AI1992" i="1" s="1"/>
  <c r="AA1992" i="1"/>
  <c r="Z1992" i="1"/>
  <c r="AG1992" i="1" s="1"/>
  <c r="U1992" i="1"/>
  <c r="T1992" i="1"/>
  <c r="S1992" i="1"/>
  <c r="R1992" i="1"/>
  <c r="AF1992" i="1" s="1"/>
  <c r="Q1992" i="1"/>
  <c r="O1992" i="1"/>
  <c r="M1992" i="1"/>
  <c r="K1992" i="1"/>
  <c r="V1992" i="1" s="1"/>
  <c r="AH1991" i="1"/>
  <c r="AE1991" i="1"/>
  <c r="AA1991" i="1"/>
  <c r="Z1991" i="1"/>
  <c r="AG1991" i="1" s="1"/>
  <c r="U1991" i="1"/>
  <c r="T1991" i="1"/>
  <c r="S1991" i="1"/>
  <c r="R1991" i="1"/>
  <c r="AF1991" i="1" s="1"/>
  <c r="Q1991" i="1"/>
  <c r="O1991" i="1"/>
  <c r="AD1991" i="1" s="1"/>
  <c r="M1991" i="1"/>
  <c r="K1991" i="1"/>
  <c r="V1991" i="1" s="1"/>
  <c r="AH1990" i="1"/>
  <c r="AE1990" i="1"/>
  <c r="AA1990" i="1"/>
  <c r="Z1990" i="1"/>
  <c r="AG1990" i="1" s="1"/>
  <c r="U1990" i="1"/>
  <c r="T1990" i="1"/>
  <c r="S1990" i="1"/>
  <c r="Q1990" i="1"/>
  <c r="R1990" i="1" s="1"/>
  <c r="AF1990" i="1" s="1"/>
  <c r="O1990" i="1"/>
  <c r="AD1990" i="1" s="1"/>
  <c r="M1990" i="1"/>
  <c r="K1990" i="1"/>
  <c r="V1990" i="1" s="1"/>
  <c r="AH1989" i="1"/>
  <c r="AG1989" i="1"/>
  <c r="AE1989" i="1"/>
  <c r="AA1989" i="1"/>
  <c r="Z1989" i="1"/>
  <c r="V1989" i="1"/>
  <c r="U1989" i="1"/>
  <c r="T1989" i="1"/>
  <c r="S1989" i="1"/>
  <c r="R1989" i="1"/>
  <c r="AF1989" i="1" s="1"/>
  <c r="O1989" i="1"/>
  <c r="AD1989" i="1" s="1"/>
  <c r="M1989" i="1"/>
  <c r="K1989" i="1"/>
  <c r="AH1988" i="1"/>
  <c r="AG1988" i="1"/>
  <c r="AE1988" i="1"/>
  <c r="AA1988" i="1"/>
  <c r="Z1988" i="1"/>
  <c r="U1988" i="1"/>
  <c r="T1988" i="1"/>
  <c r="S1988" i="1"/>
  <c r="Q1988" i="1"/>
  <c r="R1988" i="1" s="1"/>
  <c r="AF1988" i="1" s="1"/>
  <c r="O1988" i="1"/>
  <c r="AD1988" i="1" s="1"/>
  <c r="AI1988" i="1" s="1"/>
  <c r="M1988" i="1"/>
  <c r="K1988" i="1"/>
  <c r="V1988" i="1" s="1"/>
  <c r="AH1987" i="1"/>
  <c r="AE1987" i="1"/>
  <c r="AD1987" i="1"/>
  <c r="AA1987" i="1"/>
  <c r="Z1987" i="1"/>
  <c r="AG1987" i="1" s="1"/>
  <c r="U1987" i="1"/>
  <c r="T1987" i="1"/>
  <c r="S1987" i="1"/>
  <c r="Q1987" i="1"/>
  <c r="R1987" i="1" s="1"/>
  <c r="AF1987" i="1" s="1"/>
  <c r="O1987" i="1"/>
  <c r="M1987" i="1"/>
  <c r="K1987" i="1"/>
  <c r="V1987" i="1" s="1"/>
  <c r="AH1986" i="1"/>
  <c r="AG1986" i="1"/>
  <c r="AE1986" i="1"/>
  <c r="AA1986" i="1"/>
  <c r="Z1986" i="1"/>
  <c r="U1986" i="1"/>
  <c r="T1986" i="1"/>
  <c r="S1986" i="1"/>
  <c r="R1986" i="1"/>
  <c r="AF1986" i="1" s="1"/>
  <c r="Q1986" i="1"/>
  <c r="O1986" i="1"/>
  <c r="AD1986" i="1" s="1"/>
  <c r="AI1986" i="1" s="1"/>
  <c r="M1986" i="1"/>
  <c r="K1986" i="1"/>
  <c r="V1986" i="1" s="1"/>
  <c r="AH1985" i="1"/>
  <c r="AE1985" i="1"/>
  <c r="AD1985" i="1"/>
  <c r="AA1985" i="1"/>
  <c r="Z1985" i="1"/>
  <c r="AG1985" i="1" s="1"/>
  <c r="U1985" i="1"/>
  <c r="T1985" i="1"/>
  <c r="S1985" i="1"/>
  <c r="Q1985" i="1"/>
  <c r="R1985" i="1" s="1"/>
  <c r="AF1985" i="1" s="1"/>
  <c r="O1985" i="1"/>
  <c r="M1985" i="1"/>
  <c r="K1985" i="1"/>
  <c r="V1985" i="1" s="1"/>
  <c r="AH1984" i="1"/>
  <c r="AG1984" i="1"/>
  <c r="AE1984" i="1"/>
  <c r="AD1984" i="1"/>
  <c r="AI1984" i="1" s="1"/>
  <c r="AA1984" i="1"/>
  <c r="Z1984" i="1"/>
  <c r="U1984" i="1"/>
  <c r="T1984" i="1"/>
  <c r="S1984" i="1"/>
  <c r="Q1984" i="1"/>
  <c r="R1984" i="1" s="1"/>
  <c r="AF1984" i="1" s="1"/>
  <c r="O1984" i="1"/>
  <c r="M1984" i="1"/>
  <c r="K1984" i="1"/>
  <c r="V1984" i="1" s="1"/>
  <c r="AH1983" i="1"/>
  <c r="AE1983" i="1"/>
  <c r="AD1983" i="1"/>
  <c r="AA1983" i="1"/>
  <c r="Z1983" i="1"/>
  <c r="AG1983" i="1" s="1"/>
  <c r="U1983" i="1"/>
  <c r="T1983" i="1"/>
  <c r="S1983" i="1"/>
  <c r="Q1983" i="1"/>
  <c r="R1983" i="1" s="1"/>
  <c r="AF1983" i="1" s="1"/>
  <c r="AI1983" i="1" s="1"/>
  <c r="O1983" i="1"/>
  <c r="M1983" i="1"/>
  <c r="K1983" i="1"/>
  <c r="V1983" i="1" s="1"/>
  <c r="AH1982" i="1"/>
  <c r="AE1982" i="1"/>
  <c r="AA1982" i="1"/>
  <c r="Z1982" i="1"/>
  <c r="AG1982" i="1" s="1"/>
  <c r="U1982" i="1"/>
  <c r="T1982" i="1"/>
  <c r="S1982" i="1"/>
  <c r="R1982" i="1"/>
  <c r="AF1982" i="1" s="1"/>
  <c r="AI1982" i="1" s="1"/>
  <c r="Q1982" i="1"/>
  <c r="O1982" i="1"/>
  <c r="AD1982" i="1" s="1"/>
  <c r="M1982" i="1"/>
  <c r="K1982" i="1"/>
  <c r="V1982" i="1" s="1"/>
  <c r="AH1981" i="1"/>
  <c r="AE1981" i="1"/>
  <c r="AD1981" i="1"/>
  <c r="AA1981" i="1"/>
  <c r="Z1981" i="1"/>
  <c r="AG1981" i="1" s="1"/>
  <c r="U1981" i="1"/>
  <c r="T1981" i="1"/>
  <c r="S1981" i="1"/>
  <c r="Q1981" i="1"/>
  <c r="R1981" i="1" s="1"/>
  <c r="AF1981" i="1" s="1"/>
  <c r="O1981" i="1"/>
  <c r="M1981" i="1"/>
  <c r="K1981" i="1"/>
  <c r="V1981" i="1" s="1"/>
  <c r="AH1980" i="1"/>
  <c r="AG1980" i="1"/>
  <c r="AE1980" i="1"/>
  <c r="AA1980" i="1"/>
  <c r="Z1980" i="1"/>
  <c r="U1980" i="1"/>
  <c r="T1980" i="1"/>
  <c r="S1980" i="1"/>
  <c r="Q1980" i="1"/>
  <c r="R1980" i="1" s="1"/>
  <c r="AF1980" i="1" s="1"/>
  <c r="O1980" i="1"/>
  <c r="AD1980" i="1" s="1"/>
  <c r="M1980" i="1"/>
  <c r="K1980" i="1"/>
  <c r="V1980" i="1" s="1"/>
  <c r="AH1979" i="1"/>
  <c r="AF1979" i="1"/>
  <c r="AE1979" i="1"/>
  <c r="AA1979" i="1"/>
  <c r="Z1979" i="1"/>
  <c r="AG1979" i="1" s="1"/>
  <c r="V1979" i="1"/>
  <c r="U1979" i="1"/>
  <c r="T1979" i="1"/>
  <c r="S1979" i="1"/>
  <c r="R1979" i="1"/>
  <c r="O1979" i="1"/>
  <c r="AD1979" i="1" s="1"/>
  <c r="AH1978" i="1"/>
  <c r="AG1978" i="1"/>
  <c r="AF1978" i="1"/>
  <c r="AE1978" i="1"/>
  <c r="AA1978" i="1"/>
  <c r="Z1978" i="1"/>
  <c r="V1978" i="1"/>
  <c r="U1978" i="1"/>
  <c r="T1978" i="1"/>
  <c r="S1978" i="1"/>
  <c r="R1978" i="1"/>
  <c r="O1978" i="1"/>
  <c r="AD1978" i="1" s="1"/>
  <c r="AH1977" i="1"/>
  <c r="AE1977" i="1"/>
  <c r="AA1977" i="1"/>
  <c r="Z1977" i="1"/>
  <c r="AG1977" i="1" s="1"/>
  <c r="V1977" i="1"/>
  <c r="U1977" i="1"/>
  <c r="T1977" i="1"/>
  <c r="S1977" i="1"/>
  <c r="R1977" i="1"/>
  <c r="AF1977" i="1" s="1"/>
  <c r="O1977" i="1"/>
  <c r="AD1977" i="1" s="1"/>
  <c r="AI1977" i="1" s="1"/>
  <c r="AH1976" i="1"/>
  <c r="AF1976" i="1"/>
  <c r="AE1976" i="1"/>
  <c r="AA1976" i="1"/>
  <c r="Z1976" i="1"/>
  <c r="AG1976" i="1" s="1"/>
  <c r="V1976" i="1"/>
  <c r="U1976" i="1"/>
  <c r="T1976" i="1"/>
  <c r="S1976" i="1"/>
  <c r="R1976" i="1"/>
  <c r="O1976" i="1"/>
  <c r="AD1976" i="1" s="1"/>
  <c r="AH1975" i="1"/>
  <c r="AF1975" i="1"/>
  <c r="AE1975" i="1"/>
  <c r="AA1975" i="1"/>
  <c r="Z1975" i="1"/>
  <c r="AG1975" i="1" s="1"/>
  <c r="V1975" i="1"/>
  <c r="U1975" i="1"/>
  <c r="T1975" i="1"/>
  <c r="S1975" i="1"/>
  <c r="R1975" i="1"/>
  <c r="O1975" i="1"/>
  <c r="AD1975" i="1" s="1"/>
  <c r="AI1975" i="1" s="1"/>
  <c r="AH1974" i="1"/>
  <c r="AG1974" i="1"/>
  <c r="AE1974" i="1"/>
  <c r="AD1974" i="1"/>
  <c r="AA1974" i="1"/>
  <c r="Z1974" i="1"/>
  <c r="U1974" i="1"/>
  <c r="T1974" i="1"/>
  <c r="S1974" i="1"/>
  <c r="Q1974" i="1"/>
  <c r="R1974" i="1" s="1"/>
  <c r="AF1974" i="1" s="1"/>
  <c r="O1974" i="1"/>
  <c r="M1974" i="1"/>
  <c r="K1974" i="1"/>
  <c r="V1974" i="1" s="1"/>
  <c r="AH1973" i="1"/>
  <c r="AG1973" i="1"/>
  <c r="AE1973" i="1"/>
  <c r="AA1973" i="1"/>
  <c r="Z1973" i="1"/>
  <c r="U1973" i="1"/>
  <c r="T1973" i="1"/>
  <c r="S1973" i="1"/>
  <c r="R1973" i="1"/>
  <c r="AF1973" i="1" s="1"/>
  <c r="Q1973" i="1"/>
  <c r="O1973" i="1"/>
  <c r="AD1973" i="1" s="1"/>
  <c r="M1973" i="1"/>
  <c r="K1973" i="1"/>
  <c r="V1973" i="1" s="1"/>
  <c r="AH1972" i="1"/>
  <c r="AE1972" i="1"/>
  <c r="AD1972" i="1"/>
  <c r="AI1972" i="1" s="1"/>
  <c r="AA1972" i="1"/>
  <c r="Z1972" i="1"/>
  <c r="AG1972" i="1" s="1"/>
  <c r="U1972" i="1"/>
  <c r="T1972" i="1"/>
  <c r="S1972" i="1"/>
  <c r="R1972" i="1"/>
  <c r="AF1972" i="1" s="1"/>
  <c r="Q1972" i="1"/>
  <c r="O1972" i="1"/>
  <c r="M1972" i="1"/>
  <c r="K1972" i="1"/>
  <c r="V1972" i="1" s="1"/>
  <c r="AH1971" i="1"/>
  <c r="AE1971" i="1"/>
  <c r="AA1971" i="1"/>
  <c r="Z1971" i="1"/>
  <c r="AG1971" i="1" s="1"/>
  <c r="U1971" i="1"/>
  <c r="T1971" i="1"/>
  <c r="S1971" i="1"/>
  <c r="R1971" i="1"/>
  <c r="AF1971" i="1" s="1"/>
  <c r="Q1971" i="1"/>
  <c r="O1971" i="1"/>
  <c r="AD1971" i="1" s="1"/>
  <c r="M1971" i="1"/>
  <c r="K1971" i="1"/>
  <c r="V1971" i="1" s="1"/>
  <c r="AH1970" i="1"/>
  <c r="AE1970" i="1"/>
  <c r="AA1970" i="1"/>
  <c r="Z1970" i="1"/>
  <c r="AG1970" i="1" s="1"/>
  <c r="U1970" i="1"/>
  <c r="T1970" i="1"/>
  <c r="S1970" i="1"/>
  <c r="Q1970" i="1"/>
  <c r="R1970" i="1" s="1"/>
  <c r="AF1970" i="1" s="1"/>
  <c r="O1970" i="1"/>
  <c r="AD1970" i="1" s="1"/>
  <c r="AI1970" i="1" s="1"/>
  <c r="M1970" i="1"/>
  <c r="K1970" i="1"/>
  <c r="V1970" i="1" s="1"/>
  <c r="AH1969" i="1"/>
  <c r="AG1969" i="1"/>
  <c r="AE1969" i="1"/>
  <c r="AA1969" i="1"/>
  <c r="Z1969" i="1"/>
  <c r="U1969" i="1"/>
  <c r="T1969" i="1"/>
  <c r="S1969" i="1"/>
  <c r="Q1969" i="1"/>
  <c r="R1969" i="1" s="1"/>
  <c r="AF1969" i="1" s="1"/>
  <c r="O1969" i="1"/>
  <c r="AD1969" i="1" s="1"/>
  <c r="AI1969" i="1" s="1"/>
  <c r="M1969" i="1"/>
  <c r="K1969" i="1"/>
  <c r="V1969" i="1" s="1"/>
  <c r="AH1968" i="1"/>
  <c r="AE1968" i="1"/>
  <c r="AD1968" i="1"/>
  <c r="AA1968" i="1"/>
  <c r="Z1968" i="1"/>
  <c r="AG1968" i="1" s="1"/>
  <c r="U1968" i="1"/>
  <c r="T1968" i="1"/>
  <c r="S1968" i="1"/>
  <c r="Q1968" i="1"/>
  <c r="R1968" i="1" s="1"/>
  <c r="AF1968" i="1" s="1"/>
  <c r="O1968" i="1"/>
  <c r="M1968" i="1"/>
  <c r="K1968" i="1"/>
  <c r="V1968" i="1" s="1"/>
  <c r="AH1967" i="1"/>
  <c r="AE1967" i="1"/>
  <c r="AA1967" i="1"/>
  <c r="Z1967" i="1"/>
  <c r="AG1967" i="1" s="1"/>
  <c r="U1967" i="1"/>
  <c r="T1967" i="1"/>
  <c r="S1967" i="1"/>
  <c r="R1967" i="1"/>
  <c r="AF1967" i="1" s="1"/>
  <c r="Q1967" i="1"/>
  <c r="O1967" i="1"/>
  <c r="AD1967" i="1" s="1"/>
  <c r="AI1967" i="1" s="1"/>
  <c r="M1967" i="1"/>
  <c r="K1967" i="1"/>
  <c r="V1967" i="1" s="1"/>
  <c r="AH1966" i="1"/>
  <c r="AG1966" i="1"/>
  <c r="AE1966" i="1"/>
  <c r="AD1966" i="1"/>
  <c r="AA1966" i="1"/>
  <c r="Z1966" i="1"/>
  <c r="U1966" i="1"/>
  <c r="T1966" i="1"/>
  <c r="S1966" i="1"/>
  <c r="Q1966" i="1"/>
  <c r="R1966" i="1" s="1"/>
  <c r="AF1966" i="1" s="1"/>
  <c r="O1966" i="1"/>
  <c r="M1966" i="1"/>
  <c r="K1966" i="1"/>
  <c r="V1966" i="1" s="1"/>
  <c r="AH1965" i="1"/>
  <c r="AG1965" i="1"/>
  <c r="AE1965" i="1"/>
  <c r="AA1965" i="1"/>
  <c r="Z1965" i="1"/>
  <c r="V1965" i="1"/>
  <c r="U1965" i="1"/>
  <c r="T1965" i="1"/>
  <c r="S1965" i="1"/>
  <c r="R1965" i="1"/>
  <c r="AF1965" i="1" s="1"/>
  <c r="O1965" i="1"/>
  <c r="AD1965" i="1" s="1"/>
  <c r="AI1965" i="1" s="1"/>
  <c r="M1965" i="1"/>
  <c r="K1965" i="1"/>
  <c r="AH1964" i="1"/>
  <c r="AG1964" i="1"/>
  <c r="AE1964" i="1"/>
  <c r="AA1964" i="1"/>
  <c r="Z1964" i="1"/>
  <c r="V1964" i="1"/>
  <c r="U1964" i="1"/>
  <c r="T1964" i="1"/>
  <c r="S1964" i="1"/>
  <c r="R1964" i="1"/>
  <c r="AF1964" i="1" s="1"/>
  <c r="O1964" i="1"/>
  <c r="AD1964" i="1" s="1"/>
  <c r="AI1964" i="1" s="1"/>
  <c r="M1964" i="1"/>
  <c r="K1964" i="1"/>
  <c r="AH1963" i="1"/>
  <c r="AG1963" i="1"/>
  <c r="AE1963" i="1"/>
  <c r="AA1963" i="1"/>
  <c r="Z1963" i="1"/>
  <c r="V1963" i="1"/>
  <c r="U1963" i="1"/>
  <c r="T1963" i="1"/>
  <c r="S1963" i="1"/>
  <c r="R1963" i="1"/>
  <c r="AF1963" i="1" s="1"/>
  <c r="O1963" i="1"/>
  <c r="AD1963" i="1" s="1"/>
  <c r="M1963" i="1"/>
  <c r="K1963" i="1"/>
  <c r="AH1962" i="1"/>
  <c r="AG1962" i="1"/>
  <c r="AE1962" i="1"/>
  <c r="AA1962" i="1"/>
  <c r="Z1962" i="1"/>
  <c r="U1962" i="1"/>
  <c r="T1962" i="1"/>
  <c r="S1962" i="1"/>
  <c r="Q1962" i="1"/>
  <c r="R1962" i="1" s="1"/>
  <c r="AF1962" i="1" s="1"/>
  <c r="O1962" i="1"/>
  <c r="AD1962" i="1" s="1"/>
  <c r="AI1962" i="1" s="1"/>
  <c r="M1962" i="1"/>
  <c r="K1962" i="1"/>
  <c r="V1962" i="1" s="1"/>
  <c r="AH1961" i="1"/>
  <c r="AE1961" i="1"/>
  <c r="AD1961" i="1"/>
  <c r="AA1961" i="1"/>
  <c r="Z1961" i="1"/>
  <c r="AG1961" i="1" s="1"/>
  <c r="U1961" i="1"/>
  <c r="T1961" i="1"/>
  <c r="S1961" i="1"/>
  <c r="Q1961" i="1"/>
  <c r="R1961" i="1" s="1"/>
  <c r="AF1961" i="1" s="1"/>
  <c r="O1961" i="1"/>
  <c r="M1961" i="1"/>
  <c r="K1961" i="1"/>
  <c r="V1961" i="1" s="1"/>
  <c r="AH1960" i="1"/>
  <c r="AG1960" i="1"/>
  <c r="AE1960" i="1"/>
  <c r="AA1960" i="1"/>
  <c r="Z1960" i="1"/>
  <c r="U1960" i="1"/>
  <c r="T1960" i="1"/>
  <c r="S1960" i="1"/>
  <c r="R1960" i="1"/>
  <c r="AF1960" i="1" s="1"/>
  <c r="Q1960" i="1"/>
  <c r="O1960" i="1"/>
  <c r="AD1960" i="1" s="1"/>
  <c r="AI1960" i="1" s="1"/>
  <c r="M1960" i="1"/>
  <c r="K1960" i="1"/>
  <c r="V1960" i="1" s="1"/>
  <c r="AH1959" i="1"/>
  <c r="AF1959" i="1"/>
  <c r="AE1959" i="1"/>
  <c r="AA1959" i="1"/>
  <c r="Z1959" i="1"/>
  <c r="AG1959" i="1" s="1"/>
  <c r="U1959" i="1"/>
  <c r="T1959" i="1"/>
  <c r="S1959" i="1"/>
  <c r="R1959" i="1"/>
  <c r="O1959" i="1"/>
  <c r="AD1959" i="1" s="1"/>
  <c r="AI1959" i="1" s="1"/>
  <c r="M1959" i="1"/>
  <c r="K1959" i="1"/>
  <c r="V1959" i="1" s="1"/>
  <c r="AH1958" i="1"/>
  <c r="AF1958" i="1"/>
  <c r="AE1958" i="1"/>
  <c r="AD1958" i="1"/>
  <c r="AA1958" i="1"/>
  <c r="Z1958" i="1"/>
  <c r="AG1958" i="1" s="1"/>
  <c r="U1958" i="1"/>
  <c r="T1958" i="1"/>
  <c r="S1958" i="1"/>
  <c r="R1958" i="1"/>
  <c r="O1958" i="1"/>
  <c r="M1958" i="1"/>
  <c r="K1958" i="1"/>
  <c r="V1958" i="1" s="1"/>
  <c r="AH1957" i="1"/>
  <c r="AF1957" i="1"/>
  <c r="AE1957" i="1"/>
  <c r="AA1957" i="1"/>
  <c r="Z1957" i="1"/>
  <c r="AG1957" i="1" s="1"/>
  <c r="U1957" i="1"/>
  <c r="T1957" i="1"/>
  <c r="S1957" i="1"/>
  <c r="R1957" i="1"/>
  <c r="O1957" i="1"/>
  <c r="AD1957" i="1" s="1"/>
  <c r="M1957" i="1"/>
  <c r="K1957" i="1"/>
  <c r="V1957" i="1" s="1"/>
  <c r="AH1956" i="1"/>
  <c r="AE1956" i="1"/>
  <c r="AD1956" i="1"/>
  <c r="AA1956" i="1"/>
  <c r="Z1956" i="1"/>
  <c r="AG1956" i="1" s="1"/>
  <c r="U1956" i="1"/>
  <c r="T1956" i="1"/>
  <c r="S1956" i="1"/>
  <c r="Q1956" i="1"/>
  <c r="R1956" i="1" s="1"/>
  <c r="AF1956" i="1" s="1"/>
  <c r="O1956" i="1"/>
  <c r="M1956" i="1"/>
  <c r="K1956" i="1"/>
  <c r="V1956" i="1" s="1"/>
  <c r="AH1955" i="1"/>
  <c r="AG1955" i="1"/>
  <c r="AE1955" i="1"/>
  <c r="AA1955" i="1"/>
  <c r="Z1955" i="1"/>
  <c r="U1955" i="1"/>
  <c r="T1955" i="1"/>
  <c r="S1955" i="1"/>
  <c r="Q1955" i="1"/>
  <c r="R1955" i="1" s="1"/>
  <c r="AF1955" i="1" s="1"/>
  <c r="O1955" i="1"/>
  <c r="AD1955" i="1" s="1"/>
  <c r="M1955" i="1"/>
  <c r="K1955" i="1"/>
  <c r="V1955" i="1" s="1"/>
  <c r="AH1954" i="1"/>
  <c r="AE1954" i="1"/>
  <c r="AD1954" i="1"/>
  <c r="AA1954" i="1"/>
  <c r="Z1954" i="1"/>
  <c r="AG1954" i="1" s="1"/>
  <c r="U1954" i="1"/>
  <c r="T1954" i="1"/>
  <c r="S1954" i="1"/>
  <c r="Q1954" i="1"/>
  <c r="R1954" i="1" s="1"/>
  <c r="AF1954" i="1" s="1"/>
  <c r="O1954" i="1"/>
  <c r="M1954" i="1"/>
  <c r="K1954" i="1"/>
  <c r="V1954" i="1" s="1"/>
  <c r="AH1953" i="1"/>
  <c r="AE1953" i="1"/>
  <c r="AA1953" i="1"/>
  <c r="Z1953" i="1"/>
  <c r="AG1953" i="1" s="1"/>
  <c r="U1953" i="1"/>
  <c r="T1953" i="1"/>
  <c r="S1953" i="1"/>
  <c r="R1953" i="1"/>
  <c r="AF1953" i="1" s="1"/>
  <c r="O1953" i="1"/>
  <c r="AD1953" i="1" s="1"/>
  <c r="M1953" i="1"/>
  <c r="K1953" i="1"/>
  <c r="V1953" i="1" s="1"/>
  <c r="AH1952" i="1"/>
  <c r="AE1952" i="1"/>
  <c r="AA1952" i="1"/>
  <c r="Z1952" i="1"/>
  <c r="AG1952" i="1" s="1"/>
  <c r="V1952" i="1"/>
  <c r="U1952" i="1"/>
  <c r="T1952" i="1"/>
  <c r="S1952" i="1"/>
  <c r="R1952" i="1"/>
  <c r="AF1952" i="1" s="1"/>
  <c r="O1952" i="1"/>
  <c r="AD1952" i="1" s="1"/>
  <c r="M1952" i="1"/>
  <c r="K1952" i="1"/>
  <c r="AH1951" i="1"/>
  <c r="AE1951" i="1"/>
  <c r="AA1951" i="1"/>
  <c r="Z1951" i="1"/>
  <c r="AG1951" i="1" s="1"/>
  <c r="V1951" i="1"/>
  <c r="U1951" i="1"/>
  <c r="T1951" i="1"/>
  <c r="S1951" i="1"/>
  <c r="R1951" i="1"/>
  <c r="AF1951" i="1" s="1"/>
  <c r="O1951" i="1"/>
  <c r="AD1951" i="1" s="1"/>
  <c r="AI1951" i="1" s="1"/>
  <c r="M1951" i="1"/>
  <c r="K1951" i="1"/>
  <c r="AH1950" i="1"/>
  <c r="AE1950" i="1"/>
  <c r="AA1950" i="1"/>
  <c r="Z1950" i="1"/>
  <c r="AG1950" i="1" s="1"/>
  <c r="U1950" i="1"/>
  <c r="T1950" i="1"/>
  <c r="S1950" i="1"/>
  <c r="R1950" i="1"/>
  <c r="AF1950" i="1" s="1"/>
  <c r="Q1950" i="1"/>
  <c r="O1950" i="1"/>
  <c r="AD1950" i="1" s="1"/>
  <c r="AI1950" i="1" s="1"/>
  <c r="M1950" i="1"/>
  <c r="K1950" i="1"/>
  <c r="V1950" i="1" s="1"/>
  <c r="AH1949" i="1"/>
  <c r="AG1949" i="1"/>
  <c r="AE1949" i="1"/>
  <c r="AD1949" i="1"/>
  <c r="AA1949" i="1"/>
  <c r="Z1949" i="1"/>
  <c r="U1949" i="1"/>
  <c r="T1949" i="1"/>
  <c r="S1949" i="1"/>
  <c r="Q1949" i="1"/>
  <c r="R1949" i="1" s="1"/>
  <c r="AF1949" i="1" s="1"/>
  <c r="O1949" i="1"/>
  <c r="M1949" i="1"/>
  <c r="K1949" i="1"/>
  <c r="V1949" i="1" s="1"/>
  <c r="AH1948" i="1"/>
  <c r="AG1948" i="1"/>
  <c r="AE1948" i="1"/>
  <c r="AA1948" i="1"/>
  <c r="Z1948" i="1"/>
  <c r="U1948" i="1"/>
  <c r="T1948" i="1"/>
  <c r="S1948" i="1"/>
  <c r="R1948" i="1"/>
  <c r="AF1948" i="1" s="1"/>
  <c r="Q1948" i="1"/>
  <c r="O1948" i="1"/>
  <c r="AD1948" i="1" s="1"/>
  <c r="AI1948" i="1" s="1"/>
  <c r="M1948" i="1"/>
  <c r="K1948" i="1"/>
  <c r="V1948" i="1" s="1"/>
  <c r="AH1947" i="1"/>
  <c r="AE1947" i="1"/>
  <c r="AD1947" i="1"/>
  <c r="AI1947" i="1" s="1"/>
  <c r="AA1947" i="1"/>
  <c r="Z1947" i="1"/>
  <c r="AG1947" i="1" s="1"/>
  <c r="U1947" i="1"/>
  <c r="T1947" i="1"/>
  <c r="S1947" i="1"/>
  <c r="R1947" i="1"/>
  <c r="AF1947" i="1" s="1"/>
  <c r="Q1947" i="1"/>
  <c r="O1947" i="1"/>
  <c r="M1947" i="1"/>
  <c r="K1947" i="1"/>
  <c r="V1947" i="1" s="1"/>
  <c r="AH1946" i="1"/>
  <c r="AE1946" i="1"/>
  <c r="AA1946" i="1"/>
  <c r="Z1946" i="1"/>
  <c r="AG1946" i="1" s="1"/>
  <c r="U1946" i="1"/>
  <c r="T1946" i="1"/>
  <c r="S1946" i="1"/>
  <c r="R1946" i="1"/>
  <c r="AF1946" i="1" s="1"/>
  <c r="Q1946" i="1"/>
  <c r="O1946" i="1"/>
  <c r="AD1946" i="1" s="1"/>
  <c r="M1946" i="1"/>
  <c r="K1946" i="1"/>
  <c r="V1946" i="1" s="1"/>
  <c r="AH1945" i="1"/>
  <c r="AE1945" i="1"/>
  <c r="AA1945" i="1"/>
  <c r="Z1945" i="1"/>
  <c r="AG1945" i="1" s="1"/>
  <c r="U1945" i="1"/>
  <c r="T1945" i="1"/>
  <c r="S1945" i="1"/>
  <c r="Q1945" i="1"/>
  <c r="R1945" i="1" s="1"/>
  <c r="AF1945" i="1" s="1"/>
  <c r="O1945" i="1"/>
  <c r="AD1945" i="1" s="1"/>
  <c r="M1945" i="1"/>
  <c r="K1945" i="1"/>
  <c r="V1945" i="1" s="1"/>
  <c r="AH1944" i="1"/>
  <c r="AG1944" i="1"/>
  <c r="AE1944" i="1"/>
  <c r="AA1944" i="1"/>
  <c r="Z1944" i="1"/>
  <c r="U1944" i="1"/>
  <c r="T1944" i="1"/>
  <c r="S1944" i="1"/>
  <c r="Q1944" i="1"/>
  <c r="R1944" i="1" s="1"/>
  <c r="AF1944" i="1" s="1"/>
  <c r="O1944" i="1"/>
  <c r="AD1944" i="1" s="1"/>
  <c r="M1944" i="1"/>
  <c r="K1944" i="1"/>
  <c r="V1944" i="1" s="1"/>
  <c r="AH1943" i="1"/>
  <c r="AE1943" i="1"/>
  <c r="AA1943" i="1"/>
  <c r="Z1943" i="1"/>
  <c r="AG1943" i="1" s="1"/>
  <c r="U1943" i="1"/>
  <c r="T1943" i="1"/>
  <c r="S1943" i="1"/>
  <c r="R1943" i="1"/>
  <c r="AF1943" i="1" s="1"/>
  <c r="O1943" i="1"/>
  <c r="AD1943" i="1" s="1"/>
  <c r="M1943" i="1"/>
  <c r="K1943" i="1"/>
  <c r="V1943" i="1" s="1"/>
  <c r="AH1942" i="1"/>
  <c r="AF1942" i="1"/>
  <c r="AE1942" i="1"/>
  <c r="AA1942" i="1"/>
  <c r="Z1942" i="1"/>
  <c r="AG1942" i="1" s="1"/>
  <c r="U1942" i="1"/>
  <c r="T1942" i="1"/>
  <c r="S1942" i="1"/>
  <c r="R1942" i="1"/>
  <c r="O1942" i="1"/>
  <c r="AD1942" i="1" s="1"/>
  <c r="M1942" i="1"/>
  <c r="K1942" i="1"/>
  <c r="V1942" i="1" s="1"/>
  <c r="AH1941" i="1"/>
  <c r="AE1941" i="1"/>
  <c r="AA1941" i="1"/>
  <c r="Z1941" i="1"/>
  <c r="AG1941" i="1" s="1"/>
  <c r="V1941" i="1"/>
  <c r="U1941" i="1"/>
  <c r="T1941" i="1"/>
  <c r="S1941" i="1"/>
  <c r="R1941" i="1"/>
  <c r="AF1941" i="1" s="1"/>
  <c r="O1941" i="1"/>
  <c r="AD1941" i="1" s="1"/>
  <c r="M1941" i="1"/>
  <c r="K1941" i="1"/>
  <c r="AH1940" i="1"/>
  <c r="AE1940" i="1"/>
  <c r="AA1940" i="1"/>
  <c r="Z1940" i="1"/>
  <c r="AG1940" i="1" s="1"/>
  <c r="V1940" i="1"/>
  <c r="U1940" i="1"/>
  <c r="T1940" i="1"/>
  <c r="S1940" i="1"/>
  <c r="R1940" i="1"/>
  <c r="AF1940" i="1" s="1"/>
  <c r="O1940" i="1"/>
  <c r="AD1940" i="1" s="1"/>
  <c r="AI1940" i="1" s="1"/>
  <c r="M1940" i="1"/>
  <c r="K1940" i="1"/>
  <c r="AH1939" i="1"/>
  <c r="AE1939" i="1"/>
  <c r="AA1939" i="1"/>
  <c r="Z1939" i="1"/>
  <c r="AG1939" i="1" s="1"/>
  <c r="U1939" i="1"/>
  <c r="T1939" i="1"/>
  <c r="S1939" i="1"/>
  <c r="R1939" i="1"/>
  <c r="AF1939" i="1" s="1"/>
  <c r="O1939" i="1"/>
  <c r="AD1939" i="1" s="1"/>
  <c r="M1939" i="1"/>
  <c r="K1939" i="1"/>
  <c r="V1939" i="1" s="1"/>
  <c r="AH1938" i="1"/>
  <c r="AF1938" i="1"/>
  <c r="AE1938" i="1"/>
  <c r="AA1938" i="1"/>
  <c r="Z1938" i="1"/>
  <c r="AG1938" i="1" s="1"/>
  <c r="U1938" i="1"/>
  <c r="T1938" i="1"/>
  <c r="S1938" i="1"/>
  <c r="R1938" i="1"/>
  <c r="O1938" i="1"/>
  <c r="AD1938" i="1" s="1"/>
  <c r="M1938" i="1"/>
  <c r="K1938" i="1"/>
  <c r="V1938" i="1" s="1"/>
  <c r="AH1937" i="1"/>
  <c r="AE1937" i="1"/>
  <c r="AD1937" i="1"/>
  <c r="AI1937" i="1" s="1"/>
  <c r="AA1937" i="1"/>
  <c r="Z1937" i="1"/>
  <c r="AG1937" i="1" s="1"/>
  <c r="U1937" i="1"/>
  <c r="T1937" i="1"/>
  <c r="S1937" i="1"/>
  <c r="R1937" i="1"/>
  <c r="AF1937" i="1" s="1"/>
  <c r="Q1937" i="1"/>
  <c r="O1937" i="1"/>
  <c r="M1937" i="1"/>
  <c r="K1937" i="1"/>
  <c r="V1937" i="1" s="1"/>
  <c r="AH1936" i="1"/>
  <c r="AE1936" i="1"/>
  <c r="AA1936" i="1"/>
  <c r="Z1936" i="1"/>
  <c r="AG1936" i="1" s="1"/>
  <c r="U1936" i="1"/>
  <c r="T1936" i="1"/>
  <c r="S1936" i="1"/>
  <c r="R1936" i="1"/>
  <c r="AF1936" i="1" s="1"/>
  <c r="Q1936" i="1"/>
  <c r="O1936" i="1"/>
  <c r="AD1936" i="1" s="1"/>
  <c r="M1936" i="1"/>
  <c r="K1936" i="1"/>
  <c r="V1936" i="1" s="1"/>
  <c r="AH1935" i="1"/>
  <c r="AF1935" i="1"/>
  <c r="AE1935" i="1"/>
  <c r="AA1935" i="1"/>
  <c r="Z1935" i="1"/>
  <c r="AG1935" i="1" s="1"/>
  <c r="V1935" i="1"/>
  <c r="U1935" i="1"/>
  <c r="T1935" i="1"/>
  <c r="S1935" i="1"/>
  <c r="R1935" i="1"/>
  <c r="O1935" i="1"/>
  <c r="AD1935" i="1" s="1"/>
  <c r="AI1935" i="1" s="1"/>
  <c r="M1935" i="1"/>
  <c r="AH1934" i="1"/>
  <c r="AE1934" i="1"/>
  <c r="AA1934" i="1"/>
  <c r="Z1934" i="1"/>
  <c r="AG1934" i="1" s="1"/>
  <c r="U1934" i="1"/>
  <c r="T1934" i="1"/>
  <c r="S1934" i="1"/>
  <c r="Q1934" i="1"/>
  <c r="R1934" i="1" s="1"/>
  <c r="AF1934" i="1" s="1"/>
  <c r="O1934" i="1"/>
  <c r="AD1934" i="1" s="1"/>
  <c r="M1934" i="1"/>
  <c r="K1934" i="1"/>
  <c r="V1934" i="1" s="1"/>
  <c r="AH1933" i="1"/>
  <c r="AE1933" i="1"/>
  <c r="AD1933" i="1"/>
  <c r="AA1933" i="1"/>
  <c r="Z1933" i="1"/>
  <c r="AG1933" i="1" s="1"/>
  <c r="U1933" i="1"/>
  <c r="T1933" i="1"/>
  <c r="S1933" i="1"/>
  <c r="Q1933" i="1"/>
  <c r="R1933" i="1" s="1"/>
  <c r="AF1933" i="1" s="1"/>
  <c r="O1933" i="1"/>
  <c r="M1933" i="1"/>
  <c r="K1933" i="1"/>
  <c r="V1933" i="1" s="1"/>
  <c r="AH1932" i="1"/>
  <c r="AE1932" i="1"/>
  <c r="AA1932" i="1"/>
  <c r="Z1932" i="1"/>
  <c r="AG1932" i="1" s="1"/>
  <c r="AI1932" i="1" s="1"/>
  <c r="U1932" i="1"/>
  <c r="T1932" i="1"/>
  <c r="S1932" i="1"/>
  <c r="R1932" i="1"/>
  <c r="AF1932" i="1" s="1"/>
  <c r="Q1932" i="1"/>
  <c r="O1932" i="1"/>
  <c r="AD1932" i="1" s="1"/>
  <c r="M1932" i="1"/>
  <c r="K1932" i="1"/>
  <c r="V1932" i="1" s="1"/>
  <c r="AH1931" i="1"/>
  <c r="AG1931" i="1"/>
  <c r="AF1931" i="1"/>
  <c r="AE1931" i="1"/>
  <c r="V1931" i="1"/>
  <c r="U1931" i="1"/>
  <c r="T1931" i="1"/>
  <c r="S1931" i="1"/>
  <c r="R1931" i="1"/>
  <c r="O1931" i="1"/>
  <c r="AD1931" i="1" s="1"/>
  <c r="M1931" i="1"/>
  <c r="AH1930" i="1"/>
  <c r="AG1930" i="1"/>
  <c r="AE1930" i="1"/>
  <c r="AD1930" i="1"/>
  <c r="AI1930" i="1" s="1"/>
  <c r="V1930" i="1"/>
  <c r="U1930" i="1"/>
  <c r="T1930" i="1"/>
  <c r="S1930" i="1"/>
  <c r="R1930" i="1"/>
  <c r="AF1930" i="1" s="1"/>
  <c r="O1930" i="1"/>
  <c r="M1930" i="1"/>
  <c r="AH1929" i="1"/>
  <c r="AE1929" i="1"/>
  <c r="AA1929" i="1"/>
  <c r="Z1929" i="1"/>
  <c r="AG1929" i="1" s="1"/>
  <c r="V1929" i="1"/>
  <c r="U1929" i="1"/>
  <c r="T1929" i="1"/>
  <c r="S1929" i="1"/>
  <c r="R1929" i="1"/>
  <c r="AF1929" i="1" s="1"/>
  <c r="O1929" i="1"/>
  <c r="AD1929" i="1" s="1"/>
  <c r="M1929" i="1"/>
  <c r="AH1928" i="1"/>
  <c r="AG1928" i="1"/>
  <c r="AE1928" i="1"/>
  <c r="AA1928" i="1"/>
  <c r="Z1928" i="1"/>
  <c r="U1928" i="1"/>
  <c r="T1928" i="1"/>
  <c r="S1928" i="1"/>
  <c r="Q1928" i="1"/>
  <c r="R1928" i="1" s="1"/>
  <c r="AF1928" i="1" s="1"/>
  <c r="O1928" i="1"/>
  <c r="AD1928" i="1" s="1"/>
  <c r="M1928" i="1"/>
  <c r="K1928" i="1"/>
  <c r="V1928" i="1" s="1"/>
  <c r="AH1927" i="1"/>
  <c r="AE1927" i="1"/>
  <c r="AD1927" i="1"/>
  <c r="AA1927" i="1"/>
  <c r="Z1927" i="1"/>
  <c r="AG1927" i="1" s="1"/>
  <c r="U1927" i="1"/>
  <c r="T1927" i="1"/>
  <c r="S1927" i="1"/>
  <c r="Q1927" i="1"/>
  <c r="R1927" i="1" s="1"/>
  <c r="AF1927" i="1" s="1"/>
  <c r="O1927" i="1"/>
  <c r="M1927" i="1"/>
  <c r="K1927" i="1"/>
  <c r="V1927" i="1" s="1"/>
  <c r="AH1926" i="1"/>
  <c r="AE1926" i="1"/>
  <c r="AA1926" i="1"/>
  <c r="Z1926" i="1"/>
  <c r="AG1926" i="1" s="1"/>
  <c r="AI1926" i="1" s="1"/>
  <c r="U1926" i="1"/>
  <c r="T1926" i="1"/>
  <c r="S1926" i="1"/>
  <c r="R1926" i="1"/>
  <c r="AF1926" i="1" s="1"/>
  <c r="Q1926" i="1"/>
  <c r="O1926" i="1"/>
  <c r="AD1926" i="1" s="1"/>
  <c r="M1926" i="1"/>
  <c r="K1926" i="1"/>
  <c r="V1926" i="1" s="1"/>
  <c r="AH1925" i="1"/>
  <c r="AF1925" i="1"/>
  <c r="AE1925" i="1"/>
  <c r="AA1925" i="1"/>
  <c r="Z1925" i="1"/>
  <c r="AG1925" i="1" s="1"/>
  <c r="U1925" i="1"/>
  <c r="T1925" i="1"/>
  <c r="S1925" i="1"/>
  <c r="Q1925" i="1"/>
  <c r="R1925" i="1" s="1"/>
  <c r="O1925" i="1"/>
  <c r="AD1925" i="1" s="1"/>
  <c r="AI1925" i="1" s="1"/>
  <c r="M1925" i="1"/>
  <c r="K1925" i="1"/>
  <c r="V1925" i="1" s="1"/>
  <c r="AH1924" i="1"/>
  <c r="AG1924" i="1"/>
  <c r="AE1924" i="1"/>
  <c r="AA1924" i="1"/>
  <c r="Z1924" i="1"/>
  <c r="U1924" i="1"/>
  <c r="T1924" i="1"/>
  <c r="S1924" i="1"/>
  <c r="Q1924" i="1"/>
  <c r="R1924" i="1" s="1"/>
  <c r="AF1924" i="1" s="1"/>
  <c r="O1924" i="1"/>
  <c r="AD1924" i="1" s="1"/>
  <c r="AI1924" i="1" s="1"/>
  <c r="M1924" i="1"/>
  <c r="K1924" i="1"/>
  <c r="V1924" i="1" s="1"/>
  <c r="AH1923" i="1"/>
  <c r="AE1923" i="1"/>
  <c r="AD1923" i="1"/>
  <c r="AI1923" i="1" s="1"/>
  <c r="AA1923" i="1"/>
  <c r="Z1923" i="1"/>
  <c r="AG1923" i="1" s="1"/>
  <c r="U1923" i="1"/>
  <c r="T1923" i="1"/>
  <c r="S1923" i="1"/>
  <c r="Q1923" i="1"/>
  <c r="R1923" i="1" s="1"/>
  <c r="AF1923" i="1" s="1"/>
  <c r="O1923" i="1"/>
  <c r="M1923" i="1"/>
  <c r="K1923" i="1"/>
  <c r="V1923" i="1" s="1"/>
  <c r="AH1922" i="1"/>
  <c r="AE1922" i="1"/>
  <c r="AA1922" i="1"/>
  <c r="Z1922" i="1"/>
  <c r="AG1922" i="1" s="1"/>
  <c r="V1922" i="1"/>
  <c r="U1922" i="1"/>
  <c r="T1922" i="1"/>
  <c r="S1922" i="1"/>
  <c r="R1922" i="1"/>
  <c r="AF1922" i="1" s="1"/>
  <c r="O1922" i="1"/>
  <c r="AD1922" i="1" s="1"/>
  <c r="AI1922" i="1" s="1"/>
  <c r="M1922" i="1"/>
  <c r="K1922" i="1"/>
  <c r="AH1921" i="1"/>
  <c r="AE1921" i="1"/>
  <c r="AA1921" i="1"/>
  <c r="Z1921" i="1"/>
  <c r="AG1921" i="1" s="1"/>
  <c r="V1921" i="1"/>
  <c r="U1921" i="1"/>
  <c r="T1921" i="1"/>
  <c r="S1921" i="1"/>
  <c r="R1921" i="1"/>
  <c r="AF1921" i="1" s="1"/>
  <c r="AI1921" i="1" s="1"/>
  <c r="O1921" i="1"/>
  <c r="AD1921" i="1" s="1"/>
  <c r="M1921" i="1"/>
  <c r="K1921" i="1"/>
  <c r="AH1920" i="1"/>
  <c r="AE1920" i="1"/>
  <c r="AA1920" i="1"/>
  <c r="Z1920" i="1"/>
  <c r="AG1920" i="1" s="1"/>
  <c r="AI1920" i="1" s="1"/>
  <c r="V1920" i="1"/>
  <c r="U1920" i="1"/>
  <c r="T1920" i="1"/>
  <c r="S1920" i="1"/>
  <c r="R1920" i="1"/>
  <c r="AF1920" i="1" s="1"/>
  <c r="O1920" i="1"/>
  <c r="AD1920" i="1" s="1"/>
  <c r="M1920" i="1"/>
  <c r="K1920" i="1"/>
  <c r="AH1919" i="1"/>
  <c r="AE1919" i="1"/>
  <c r="AA1919" i="1"/>
  <c r="Z1919" i="1"/>
  <c r="AG1919" i="1" s="1"/>
  <c r="U1919" i="1"/>
  <c r="T1919" i="1"/>
  <c r="S1919" i="1"/>
  <c r="R1919" i="1"/>
  <c r="AF1919" i="1" s="1"/>
  <c r="Q1919" i="1"/>
  <c r="O1919" i="1"/>
  <c r="AD1919" i="1" s="1"/>
  <c r="AI1919" i="1" s="1"/>
  <c r="M1919" i="1"/>
  <c r="K1919" i="1"/>
  <c r="V1919" i="1" s="1"/>
  <c r="AH1918" i="1"/>
  <c r="AF1918" i="1"/>
  <c r="AE1918" i="1"/>
  <c r="AA1918" i="1"/>
  <c r="Z1918" i="1"/>
  <c r="AG1918" i="1" s="1"/>
  <c r="U1918" i="1"/>
  <c r="T1918" i="1"/>
  <c r="S1918" i="1"/>
  <c r="Q1918" i="1"/>
  <c r="R1918" i="1" s="1"/>
  <c r="O1918" i="1"/>
  <c r="AD1918" i="1" s="1"/>
  <c r="AI1918" i="1" s="1"/>
  <c r="M1918" i="1"/>
  <c r="K1918" i="1"/>
  <c r="V1918" i="1" s="1"/>
  <c r="AH1917" i="1"/>
  <c r="AG1917" i="1"/>
  <c r="AE1917" i="1"/>
  <c r="AA1917" i="1"/>
  <c r="Z1917" i="1"/>
  <c r="U1917" i="1"/>
  <c r="T1917" i="1"/>
  <c r="S1917" i="1"/>
  <c r="Q1917" i="1"/>
  <c r="R1917" i="1" s="1"/>
  <c r="AF1917" i="1" s="1"/>
  <c r="O1917" i="1"/>
  <c r="AD1917" i="1" s="1"/>
  <c r="AI1917" i="1" s="1"/>
  <c r="M1917" i="1"/>
  <c r="K1917" i="1"/>
  <c r="V1917" i="1" s="1"/>
  <c r="AH1916" i="1"/>
  <c r="AE1916" i="1"/>
  <c r="AD1916" i="1"/>
  <c r="AA1916" i="1"/>
  <c r="Z1916" i="1"/>
  <c r="AG1916" i="1" s="1"/>
  <c r="U1916" i="1"/>
  <c r="T1916" i="1"/>
  <c r="S1916" i="1"/>
  <c r="Q1916" i="1"/>
  <c r="R1916" i="1" s="1"/>
  <c r="AF1916" i="1" s="1"/>
  <c r="O1916" i="1"/>
  <c r="M1916" i="1"/>
  <c r="K1916" i="1"/>
  <c r="V1916" i="1" s="1"/>
  <c r="AH1915" i="1"/>
  <c r="AE1915" i="1"/>
  <c r="AA1915" i="1"/>
  <c r="Z1915" i="1"/>
  <c r="AG1915" i="1" s="1"/>
  <c r="U1915" i="1"/>
  <c r="T1915" i="1"/>
  <c r="S1915" i="1"/>
  <c r="R1915" i="1"/>
  <c r="AF1915" i="1" s="1"/>
  <c r="AI1915" i="1" s="1"/>
  <c r="Q1915" i="1"/>
  <c r="O1915" i="1"/>
  <c r="AD1915" i="1" s="1"/>
  <c r="M1915" i="1"/>
  <c r="K1915" i="1"/>
  <c r="V1915" i="1" s="1"/>
  <c r="AH1914" i="1"/>
  <c r="AE1914" i="1"/>
  <c r="AA1914" i="1"/>
  <c r="Z1914" i="1"/>
  <c r="AG1914" i="1" s="1"/>
  <c r="U1914" i="1"/>
  <c r="T1914" i="1"/>
  <c r="S1914" i="1"/>
  <c r="Q1914" i="1"/>
  <c r="R1914" i="1" s="1"/>
  <c r="AF1914" i="1" s="1"/>
  <c r="O1914" i="1"/>
  <c r="AD1914" i="1" s="1"/>
  <c r="M1914" i="1"/>
  <c r="K1914" i="1"/>
  <c r="V1914" i="1" s="1"/>
  <c r="AH1913" i="1"/>
  <c r="AG1913" i="1"/>
  <c r="AE1913" i="1"/>
  <c r="AA1913" i="1"/>
  <c r="Z1913" i="1"/>
  <c r="U1913" i="1"/>
  <c r="T1913" i="1"/>
  <c r="S1913" i="1"/>
  <c r="Q1913" i="1"/>
  <c r="R1913" i="1" s="1"/>
  <c r="AF1913" i="1" s="1"/>
  <c r="O1913" i="1"/>
  <c r="AD1913" i="1" s="1"/>
  <c r="M1913" i="1"/>
  <c r="K1913" i="1"/>
  <c r="V1913" i="1" s="1"/>
  <c r="AH1912" i="1"/>
  <c r="AE1912" i="1"/>
  <c r="AD1912" i="1"/>
  <c r="AI1912" i="1" s="1"/>
  <c r="AA1912" i="1"/>
  <c r="Z1912" i="1"/>
  <c r="AG1912" i="1" s="1"/>
  <c r="U1912" i="1"/>
  <c r="T1912" i="1"/>
  <c r="S1912" i="1"/>
  <c r="Q1912" i="1"/>
  <c r="R1912" i="1" s="1"/>
  <c r="AF1912" i="1" s="1"/>
  <c r="O1912" i="1"/>
  <c r="M1912" i="1"/>
  <c r="K1912" i="1"/>
  <c r="V1912" i="1" s="1"/>
  <c r="AH1911" i="1"/>
  <c r="AE1911" i="1"/>
  <c r="AA1911" i="1"/>
  <c r="Z1911" i="1"/>
  <c r="AG1911" i="1" s="1"/>
  <c r="U1911" i="1"/>
  <c r="T1911" i="1"/>
  <c r="S1911" i="1"/>
  <c r="R1911" i="1"/>
  <c r="AF1911" i="1" s="1"/>
  <c r="Q1911" i="1"/>
  <c r="O1911" i="1"/>
  <c r="AD1911" i="1" s="1"/>
  <c r="AI1911" i="1" s="1"/>
  <c r="M1911" i="1"/>
  <c r="K1911" i="1"/>
  <c r="V1911" i="1" s="1"/>
  <c r="AH1910" i="1"/>
  <c r="AF1910" i="1"/>
  <c r="AE1910" i="1"/>
  <c r="AA1910" i="1"/>
  <c r="Z1910" i="1"/>
  <c r="AG1910" i="1" s="1"/>
  <c r="U1910" i="1"/>
  <c r="T1910" i="1"/>
  <c r="S1910" i="1"/>
  <c r="R1910" i="1"/>
  <c r="O1910" i="1"/>
  <c r="AD1910" i="1" s="1"/>
  <c r="AI1910" i="1" s="1"/>
  <c r="M1910" i="1"/>
  <c r="K1910" i="1"/>
  <c r="V1910" i="1" s="1"/>
  <c r="AH1909" i="1"/>
  <c r="AF1909" i="1"/>
  <c r="AE1909" i="1"/>
  <c r="AA1909" i="1"/>
  <c r="Z1909" i="1"/>
  <c r="AG1909" i="1" s="1"/>
  <c r="U1909" i="1"/>
  <c r="T1909" i="1"/>
  <c r="S1909" i="1"/>
  <c r="R1909" i="1"/>
  <c r="O1909" i="1"/>
  <c r="AD1909" i="1" s="1"/>
  <c r="AI1909" i="1" s="1"/>
  <c r="M1909" i="1"/>
  <c r="K1909" i="1"/>
  <c r="V1909" i="1" s="1"/>
  <c r="AH1908" i="1"/>
  <c r="AF1908" i="1"/>
  <c r="AE1908" i="1"/>
  <c r="AA1908" i="1"/>
  <c r="Z1908" i="1"/>
  <c r="AG1908" i="1" s="1"/>
  <c r="U1908" i="1"/>
  <c r="T1908" i="1"/>
  <c r="S1908" i="1"/>
  <c r="R1908" i="1"/>
  <c r="O1908" i="1"/>
  <c r="AD1908" i="1" s="1"/>
  <c r="AI1908" i="1" s="1"/>
  <c r="M1908" i="1"/>
  <c r="K1908" i="1"/>
  <c r="V1908" i="1" s="1"/>
  <c r="AH1907" i="1"/>
  <c r="AF1907" i="1"/>
  <c r="AE1907" i="1"/>
  <c r="AA1907" i="1"/>
  <c r="Z1907" i="1"/>
  <c r="AG1907" i="1" s="1"/>
  <c r="V1907" i="1"/>
  <c r="U1907" i="1"/>
  <c r="T1907" i="1"/>
  <c r="S1907" i="1"/>
  <c r="R1907" i="1"/>
  <c r="O1907" i="1"/>
  <c r="AD1907" i="1" s="1"/>
  <c r="M1907" i="1"/>
  <c r="AH1906" i="1"/>
  <c r="AE1906" i="1"/>
  <c r="AA1906" i="1"/>
  <c r="Z1906" i="1"/>
  <c r="AG1906" i="1" s="1"/>
  <c r="V1906" i="1"/>
  <c r="U1906" i="1"/>
  <c r="T1906" i="1"/>
  <c r="S1906" i="1"/>
  <c r="R1906" i="1"/>
  <c r="AF1906" i="1" s="1"/>
  <c r="AI1906" i="1" s="1"/>
  <c r="O1906" i="1"/>
  <c r="AD1906" i="1" s="1"/>
  <c r="M1906" i="1"/>
  <c r="AH1905" i="1"/>
  <c r="AE1905" i="1"/>
  <c r="AD1905" i="1"/>
  <c r="AA1905" i="1"/>
  <c r="Z1905" i="1"/>
  <c r="AG1905" i="1" s="1"/>
  <c r="U1905" i="1"/>
  <c r="T1905" i="1"/>
  <c r="S1905" i="1"/>
  <c r="Q1905" i="1"/>
  <c r="R1905" i="1" s="1"/>
  <c r="AF1905" i="1" s="1"/>
  <c r="O1905" i="1"/>
  <c r="M1905" i="1"/>
  <c r="K1905" i="1"/>
  <c r="V1905" i="1" s="1"/>
  <c r="AH1904" i="1"/>
  <c r="AE1904" i="1"/>
  <c r="AA1904" i="1"/>
  <c r="Z1904" i="1"/>
  <c r="AG1904" i="1" s="1"/>
  <c r="U1904" i="1"/>
  <c r="T1904" i="1"/>
  <c r="S1904" i="1"/>
  <c r="R1904" i="1"/>
  <c r="AF1904" i="1" s="1"/>
  <c r="AI1904" i="1" s="1"/>
  <c r="Q1904" i="1"/>
  <c r="O1904" i="1"/>
  <c r="AD1904" i="1" s="1"/>
  <c r="M1904" i="1"/>
  <c r="K1904" i="1"/>
  <c r="V1904" i="1" s="1"/>
  <c r="AH1903" i="1"/>
  <c r="AE1903" i="1"/>
  <c r="AA1903" i="1"/>
  <c r="Z1903" i="1"/>
  <c r="AG1903" i="1" s="1"/>
  <c r="U1903" i="1"/>
  <c r="T1903" i="1"/>
  <c r="S1903" i="1"/>
  <c r="Q1903" i="1"/>
  <c r="R1903" i="1" s="1"/>
  <c r="AF1903" i="1" s="1"/>
  <c r="O1903" i="1"/>
  <c r="AD1903" i="1" s="1"/>
  <c r="M1903" i="1"/>
  <c r="K1903" i="1"/>
  <c r="V1903" i="1" s="1"/>
  <c r="AH1902" i="1"/>
  <c r="AG1902" i="1"/>
  <c r="AE1902" i="1"/>
  <c r="AA1902" i="1"/>
  <c r="Z1902" i="1"/>
  <c r="U1902" i="1"/>
  <c r="T1902" i="1"/>
  <c r="S1902" i="1"/>
  <c r="Q1902" i="1"/>
  <c r="R1902" i="1" s="1"/>
  <c r="AF1902" i="1" s="1"/>
  <c r="O1902" i="1"/>
  <c r="AD1902" i="1" s="1"/>
  <c r="AI1902" i="1" s="1"/>
  <c r="M1902" i="1"/>
  <c r="K1902" i="1"/>
  <c r="V1902" i="1" s="1"/>
  <c r="AH1901" i="1"/>
  <c r="AE1901" i="1"/>
  <c r="AD1901" i="1"/>
  <c r="AI1901" i="1" s="1"/>
  <c r="AA1901" i="1"/>
  <c r="Z1901" i="1"/>
  <c r="AG1901" i="1" s="1"/>
  <c r="U1901" i="1"/>
  <c r="T1901" i="1"/>
  <c r="S1901" i="1"/>
  <c r="Q1901" i="1"/>
  <c r="R1901" i="1" s="1"/>
  <c r="AF1901" i="1" s="1"/>
  <c r="O1901" i="1"/>
  <c r="M1901" i="1"/>
  <c r="K1901" i="1"/>
  <c r="V1901" i="1" s="1"/>
  <c r="AH1900" i="1"/>
  <c r="AE1900" i="1"/>
  <c r="AA1900" i="1"/>
  <c r="Z1900" i="1"/>
  <c r="AG1900" i="1" s="1"/>
  <c r="U1900" i="1"/>
  <c r="T1900" i="1"/>
  <c r="S1900" i="1"/>
  <c r="R1900" i="1"/>
  <c r="AF1900" i="1" s="1"/>
  <c r="Q1900" i="1"/>
  <c r="O1900" i="1"/>
  <c r="AD1900" i="1" s="1"/>
  <c r="AI1900" i="1" s="1"/>
  <c r="M1900" i="1"/>
  <c r="K1900" i="1"/>
  <c r="V1900" i="1" s="1"/>
  <c r="AH1899" i="1"/>
  <c r="AF1899" i="1"/>
  <c r="AE1899" i="1"/>
  <c r="AA1899" i="1"/>
  <c r="Z1899" i="1"/>
  <c r="AG1899" i="1" s="1"/>
  <c r="U1899" i="1"/>
  <c r="T1899" i="1"/>
  <c r="S1899" i="1"/>
  <c r="Q1899" i="1"/>
  <c r="R1899" i="1" s="1"/>
  <c r="O1899" i="1"/>
  <c r="AD1899" i="1" s="1"/>
  <c r="AI1899" i="1" s="1"/>
  <c r="M1899" i="1"/>
  <c r="K1899" i="1"/>
  <c r="V1899" i="1" s="1"/>
  <c r="AH1898" i="1"/>
  <c r="AG1898" i="1"/>
  <c r="AE1898" i="1"/>
  <c r="AA1898" i="1"/>
  <c r="Z1898" i="1"/>
  <c r="U1898" i="1"/>
  <c r="T1898" i="1"/>
  <c r="S1898" i="1"/>
  <c r="Q1898" i="1"/>
  <c r="R1898" i="1" s="1"/>
  <c r="AF1898" i="1" s="1"/>
  <c r="O1898" i="1"/>
  <c r="AD1898" i="1" s="1"/>
  <c r="AI1898" i="1" s="1"/>
  <c r="M1898" i="1"/>
  <c r="K1898" i="1"/>
  <c r="V1898" i="1" s="1"/>
  <c r="AH1897" i="1"/>
  <c r="AG1897" i="1"/>
  <c r="AE1897" i="1"/>
  <c r="AD1897" i="1"/>
  <c r="AA1897" i="1"/>
  <c r="Z1897" i="1"/>
  <c r="U1897" i="1"/>
  <c r="T1897" i="1"/>
  <c r="S1897" i="1"/>
  <c r="Q1897" i="1"/>
  <c r="R1897" i="1" s="1"/>
  <c r="AF1897" i="1" s="1"/>
  <c r="O1897" i="1"/>
  <c r="M1897" i="1"/>
  <c r="K1897" i="1"/>
  <c r="V1897" i="1" s="1"/>
  <c r="AI1896" i="1"/>
  <c r="AH1896" i="1"/>
  <c r="AE1896" i="1"/>
  <c r="AD1896" i="1"/>
  <c r="AA1896" i="1"/>
  <c r="Z1896" i="1"/>
  <c r="AG1896" i="1" s="1"/>
  <c r="U1896" i="1"/>
  <c r="T1896" i="1"/>
  <c r="S1896" i="1"/>
  <c r="R1896" i="1"/>
  <c r="AF1896" i="1" s="1"/>
  <c r="Q1896" i="1"/>
  <c r="O1896" i="1"/>
  <c r="M1896" i="1"/>
  <c r="K1896" i="1"/>
  <c r="V1896" i="1" s="1"/>
  <c r="AH1895" i="1"/>
  <c r="AF1895" i="1"/>
  <c r="AE1895" i="1"/>
  <c r="AA1895" i="1"/>
  <c r="Z1895" i="1"/>
  <c r="AG1895" i="1" s="1"/>
  <c r="U1895" i="1"/>
  <c r="T1895" i="1"/>
  <c r="S1895" i="1"/>
  <c r="R1895" i="1"/>
  <c r="Q1895" i="1"/>
  <c r="O1895" i="1"/>
  <c r="AD1895" i="1" s="1"/>
  <c r="M1895" i="1"/>
  <c r="K1895" i="1"/>
  <c r="V1895" i="1" s="1"/>
  <c r="AH1894" i="1"/>
  <c r="AG1894" i="1"/>
  <c r="AE1894" i="1"/>
  <c r="AA1894" i="1"/>
  <c r="Z1894" i="1"/>
  <c r="U1894" i="1"/>
  <c r="T1894" i="1"/>
  <c r="S1894" i="1"/>
  <c r="Q1894" i="1"/>
  <c r="R1894" i="1" s="1"/>
  <c r="AF1894" i="1" s="1"/>
  <c r="O1894" i="1"/>
  <c r="AD1894" i="1" s="1"/>
  <c r="M1894" i="1"/>
  <c r="K1894" i="1"/>
  <c r="V1894" i="1" s="1"/>
  <c r="AH1893" i="1"/>
  <c r="AE1893" i="1"/>
  <c r="AD1893" i="1"/>
  <c r="AA1893" i="1"/>
  <c r="Z1893" i="1"/>
  <c r="AG1893" i="1" s="1"/>
  <c r="U1893" i="1"/>
  <c r="T1893" i="1"/>
  <c r="S1893" i="1"/>
  <c r="Q1893" i="1"/>
  <c r="R1893" i="1" s="1"/>
  <c r="AF1893" i="1" s="1"/>
  <c r="O1893" i="1"/>
  <c r="M1893" i="1"/>
  <c r="K1893" i="1"/>
  <c r="V1893" i="1" s="1"/>
  <c r="AH1892" i="1"/>
  <c r="AE1892" i="1"/>
  <c r="AA1892" i="1"/>
  <c r="Z1892" i="1"/>
  <c r="AG1892" i="1" s="1"/>
  <c r="AI1892" i="1" s="1"/>
  <c r="U1892" i="1"/>
  <c r="T1892" i="1"/>
  <c r="S1892" i="1"/>
  <c r="R1892" i="1"/>
  <c r="AF1892" i="1" s="1"/>
  <c r="Q1892" i="1"/>
  <c r="O1892" i="1"/>
  <c r="AD1892" i="1" s="1"/>
  <c r="M1892" i="1"/>
  <c r="K1892" i="1"/>
  <c r="V1892" i="1" s="1"/>
  <c r="AH1891" i="1"/>
  <c r="AF1891" i="1"/>
  <c r="AE1891" i="1"/>
  <c r="AA1891" i="1"/>
  <c r="Z1891" i="1"/>
  <c r="AG1891" i="1" s="1"/>
  <c r="U1891" i="1"/>
  <c r="T1891" i="1"/>
  <c r="S1891" i="1"/>
  <c r="Q1891" i="1"/>
  <c r="R1891" i="1" s="1"/>
  <c r="O1891" i="1"/>
  <c r="AD1891" i="1" s="1"/>
  <c r="AI1891" i="1" s="1"/>
  <c r="M1891" i="1"/>
  <c r="K1891" i="1"/>
  <c r="V1891" i="1" s="1"/>
  <c r="AH1890" i="1"/>
  <c r="AG1890" i="1"/>
  <c r="AE1890" i="1"/>
  <c r="AA1890" i="1"/>
  <c r="Z1890" i="1"/>
  <c r="U1890" i="1"/>
  <c r="T1890" i="1"/>
  <c r="S1890" i="1"/>
  <c r="Q1890" i="1"/>
  <c r="R1890" i="1" s="1"/>
  <c r="AF1890" i="1" s="1"/>
  <c r="O1890" i="1"/>
  <c r="AD1890" i="1" s="1"/>
  <c r="AI1890" i="1" s="1"/>
  <c r="M1890" i="1"/>
  <c r="K1890" i="1"/>
  <c r="V1890" i="1" s="1"/>
  <c r="AH1889" i="1"/>
  <c r="AE1889" i="1"/>
  <c r="AD1889" i="1"/>
  <c r="AI1889" i="1" s="1"/>
  <c r="AA1889" i="1"/>
  <c r="Z1889" i="1"/>
  <c r="AG1889" i="1" s="1"/>
  <c r="U1889" i="1"/>
  <c r="T1889" i="1"/>
  <c r="S1889" i="1"/>
  <c r="Q1889" i="1"/>
  <c r="R1889" i="1" s="1"/>
  <c r="AF1889" i="1" s="1"/>
  <c r="O1889" i="1"/>
  <c r="M1889" i="1"/>
  <c r="K1889" i="1"/>
  <c r="V1889" i="1" s="1"/>
  <c r="AH1888" i="1"/>
  <c r="AE1888" i="1"/>
  <c r="AA1888" i="1"/>
  <c r="Z1888" i="1"/>
  <c r="AG1888" i="1" s="1"/>
  <c r="U1888" i="1"/>
  <c r="T1888" i="1"/>
  <c r="S1888" i="1"/>
  <c r="R1888" i="1"/>
  <c r="AF1888" i="1" s="1"/>
  <c r="Q1888" i="1"/>
  <c r="O1888" i="1"/>
  <c r="AD1888" i="1" s="1"/>
  <c r="AI1888" i="1" s="1"/>
  <c r="M1888" i="1"/>
  <c r="K1888" i="1"/>
  <c r="V1888" i="1" s="1"/>
  <c r="AH1887" i="1"/>
  <c r="AF1887" i="1"/>
  <c r="AE1887" i="1"/>
  <c r="AA1887" i="1"/>
  <c r="Z1887" i="1"/>
  <c r="AG1887" i="1" s="1"/>
  <c r="U1887" i="1"/>
  <c r="T1887" i="1"/>
  <c r="S1887" i="1"/>
  <c r="R1887" i="1"/>
  <c r="O1887" i="1"/>
  <c r="AD1887" i="1" s="1"/>
  <c r="M1887" i="1"/>
  <c r="K1887" i="1"/>
  <c r="V1887" i="1" s="1"/>
  <c r="AH1886" i="1"/>
  <c r="AE1886" i="1"/>
  <c r="AA1886" i="1"/>
  <c r="Z1886" i="1"/>
  <c r="AG1886" i="1" s="1"/>
  <c r="U1886" i="1"/>
  <c r="T1886" i="1"/>
  <c r="S1886" i="1"/>
  <c r="Q1886" i="1"/>
  <c r="R1886" i="1" s="1"/>
  <c r="AF1886" i="1" s="1"/>
  <c r="O1886" i="1"/>
  <c r="AD1886" i="1" s="1"/>
  <c r="M1886" i="1"/>
  <c r="K1886" i="1"/>
  <c r="V1886" i="1" s="1"/>
  <c r="AH1885" i="1"/>
  <c r="AG1885" i="1"/>
  <c r="AE1885" i="1"/>
  <c r="AA1885" i="1"/>
  <c r="Z1885" i="1"/>
  <c r="U1885" i="1"/>
  <c r="T1885" i="1"/>
  <c r="S1885" i="1"/>
  <c r="Q1885" i="1"/>
  <c r="R1885" i="1" s="1"/>
  <c r="AF1885" i="1" s="1"/>
  <c r="O1885" i="1"/>
  <c r="AD1885" i="1" s="1"/>
  <c r="M1885" i="1"/>
  <c r="K1885" i="1"/>
  <c r="V1885" i="1" s="1"/>
  <c r="AH1884" i="1"/>
  <c r="AE1884" i="1"/>
  <c r="AD1884" i="1"/>
  <c r="AA1884" i="1"/>
  <c r="Z1884" i="1"/>
  <c r="AG1884" i="1" s="1"/>
  <c r="U1884" i="1"/>
  <c r="T1884" i="1"/>
  <c r="S1884" i="1"/>
  <c r="Q1884" i="1"/>
  <c r="R1884" i="1" s="1"/>
  <c r="AF1884" i="1" s="1"/>
  <c r="O1884" i="1"/>
  <c r="M1884" i="1"/>
  <c r="K1884" i="1"/>
  <c r="V1884" i="1" s="1"/>
  <c r="AH1883" i="1"/>
  <c r="AE1883" i="1"/>
  <c r="AA1883" i="1"/>
  <c r="Z1883" i="1"/>
  <c r="AG1883" i="1" s="1"/>
  <c r="AI1883" i="1" s="1"/>
  <c r="U1883" i="1"/>
  <c r="T1883" i="1"/>
  <c r="S1883" i="1"/>
  <c r="R1883" i="1"/>
  <c r="AF1883" i="1" s="1"/>
  <c r="Q1883" i="1"/>
  <c r="O1883" i="1"/>
  <c r="AD1883" i="1" s="1"/>
  <c r="M1883" i="1"/>
  <c r="K1883" i="1"/>
  <c r="V1883" i="1" s="1"/>
  <c r="AH1882" i="1"/>
  <c r="AF1882" i="1"/>
  <c r="AE1882" i="1"/>
  <c r="AA1882" i="1"/>
  <c r="Z1882" i="1"/>
  <c r="AG1882" i="1" s="1"/>
  <c r="U1882" i="1"/>
  <c r="T1882" i="1"/>
  <c r="S1882" i="1"/>
  <c r="Q1882" i="1"/>
  <c r="R1882" i="1" s="1"/>
  <c r="O1882" i="1"/>
  <c r="AD1882" i="1" s="1"/>
  <c r="AI1882" i="1" s="1"/>
  <c r="M1882" i="1"/>
  <c r="K1882" i="1"/>
  <c r="V1882" i="1" s="1"/>
  <c r="AH1881" i="1"/>
  <c r="AG1881" i="1"/>
  <c r="AE1881" i="1"/>
  <c r="AA1881" i="1"/>
  <c r="Z1881" i="1"/>
  <c r="U1881" i="1"/>
  <c r="T1881" i="1"/>
  <c r="S1881" i="1"/>
  <c r="Q1881" i="1"/>
  <c r="R1881" i="1" s="1"/>
  <c r="AF1881" i="1" s="1"/>
  <c r="O1881" i="1"/>
  <c r="AD1881" i="1" s="1"/>
  <c r="AI1881" i="1" s="1"/>
  <c r="M1881" i="1"/>
  <c r="K1881" i="1"/>
  <c r="V1881" i="1" s="1"/>
  <c r="AH1880" i="1"/>
  <c r="AE1880" i="1"/>
  <c r="AD1880" i="1"/>
  <c r="AI1880" i="1" s="1"/>
  <c r="AA1880" i="1"/>
  <c r="Z1880" i="1"/>
  <c r="AG1880" i="1" s="1"/>
  <c r="U1880" i="1"/>
  <c r="T1880" i="1"/>
  <c r="S1880" i="1"/>
  <c r="Q1880" i="1"/>
  <c r="R1880" i="1" s="1"/>
  <c r="AF1880" i="1" s="1"/>
  <c r="O1880" i="1"/>
  <c r="M1880" i="1"/>
  <c r="K1880" i="1"/>
  <c r="V1880" i="1" s="1"/>
  <c r="AH1879" i="1"/>
  <c r="AE1879" i="1"/>
  <c r="AA1879" i="1"/>
  <c r="Z1879" i="1"/>
  <c r="AG1879" i="1" s="1"/>
  <c r="U1879" i="1"/>
  <c r="T1879" i="1"/>
  <c r="S1879" i="1"/>
  <c r="R1879" i="1"/>
  <c r="AF1879" i="1" s="1"/>
  <c r="Q1879" i="1"/>
  <c r="O1879" i="1"/>
  <c r="AD1879" i="1" s="1"/>
  <c r="AI1879" i="1" s="1"/>
  <c r="M1879" i="1"/>
  <c r="K1879" i="1"/>
  <c r="V1879" i="1" s="1"/>
  <c r="AH1878" i="1"/>
  <c r="AE1878" i="1"/>
  <c r="AA1878" i="1"/>
  <c r="Z1878" i="1"/>
  <c r="AG1878" i="1" s="1"/>
  <c r="U1878" i="1"/>
  <c r="T1878" i="1"/>
  <c r="S1878" i="1"/>
  <c r="Q1878" i="1"/>
  <c r="R1878" i="1" s="1"/>
  <c r="AF1878" i="1" s="1"/>
  <c r="O1878" i="1"/>
  <c r="AD1878" i="1" s="1"/>
  <c r="M1878" i="1"/>
  <c r="K1878" i="1"/>
  <c r="V1878" i="1" s="1"/>
  <c r="AH1877" i="1"/>
  <c r="AG1877" i="1"/>
  <c r="AE1877" i="1"/>
  <c r="AA1877" i="1"/>
  <c r="Z1877" i="1"/>
  <c r="U1877" i="1"/>
  <c r="T1877" i="1"/>
  <c r="S1877" i="1"/>
  <c r="Q1877" i="1"/>
  <c r="R1877" i="1" s="1"/>
  <c r="AF1877" i="1" s="1"/>
  <c r="O1877" i="1"/>
  <c r="AD1877" i="1" s="1"/>
  <c r="M1877" i="1"/>
  <c r="K1877" i="1"/>
  <c r="V1877" i="1" s="1"/>
  <c r="AH1876" i="1"/>
  <c r="AE1876" i="1"/>
  <c r="AD1876" i="1"/>
  <c r="AA1876" i="1"/>
  <c r="Z1876" i="1"/>
  <c r="AG1876" i="1" s="1"/>
  <c r="U1876" i="1"/>
  <c r="T1876" i="1"/>
  <c r="S1876" i="1"/>
  <c r="Q1876" i="1"/>
  <c r="R1876" i="1" s="1"/>
  <c r="AF1876" i="1" s="1"/>
  <c r="O1876" i="1"/>
  <c r="M1876" i="1"/>
  <c r="K1876" i="1"/>
  <c r="V1876" i="1" s="1"/>
  <c r="AH1875" i="1"/>
  <c r="AE1875" i="1"/>
  <c r="AA1875" i="1"/>
  <c r="Z1875" i="1"/>
  <c r="AG1875" i="1" s="1"/>
  <c r="AI1875" i="1" s="1"/>
  <c r="V1875" i="1"/>
  <c r="U1875" i="1"/>
  <c r="T1875" i="1"/>
  <c r="S1875" i="1"/>
  <c r="R1875" i="1"/>
  <c r="AF1875" i="1" s="1"/>
  <c r="O1875" i="1"/>
  <c r="AD1875" i="1" s="1"/>
  <c r="M1875" i="1"/>
  <c r="K1875" i="1"/>
  <c r="AH1874" i="1"/>
  <c r="AE1874" i="1"/>
  <c r="AA1874" i="1"/>
  <c r="Z1874" i="1"/>
  <c r="AG1874" i="1" s="1"/>
  <c r="V1874" i="1"/>
  <c r="U1874" i="1"/>
  <c r="T1874" i="1"/>
  <c r="S1874" i="1"/>
  <c r="R1874" i="1"/>
  <c r="AF1874" i="1" s="1"/>
  <c r="O1874" i="1"/>
  <c r="AD1874" i="1" s="1"/>
  <c r="AI1874" i="1" s="1"/>
  <c r="M1874" i="1"/>
  <c r="K1874" i="1"/>
  <c r="AH1873" i="1"/>
  <c r="AE1873" i="1"/>
  <c r="AA1873" i="1"/>
  <c r="Z1873" i="1"/>
  <c r="AG1873" i="1" s="1"/>
  <c r="V1873" i="1"/>
  <c r="U1873" i="1"/>
  <c r="T1873" i="1"/>
  <c r="S1873" i="1"/>
  <c r="R1873" i="1"/>
  <c r="AF1873" i="1" s="1"/>
  <c r="O1873" i="1"/>
  <c r="AD1873" i="1" s="1"/>
  <c r="AI1873" i="1" s="1"/>
  <c r="M1873" i="1"/>
  <c r="K1873" i="1"/>
  <c r="AH1872" i="1"/>
  <c r="AE1872" i="1"/>
  <c r="AA1872" i="1"/>
  <c r="Z1872" i="1"/>
  <c r="AG1872" i="1" s="1"/>
  <c r="V1872" i="1"/>
  <c r="U1872" i="1"/>
  <c r="T1872" i="1"/>
  <c r="S1872" i="1"/>
  <c r="R1872" i="1"/>
  <c r="AF1872" i="1" s="1"/>
  <c r="AI1872" i="1" s="1"/>
  <c r="O1872" i="1"/>
  <c r="AD1872" i="1" s="1"/>
  <c r="M1872" i="1"/>
  <c r="AH1871" i="1"/>
  <c r="AE1871" i="1"/>
  <c r="AD1871" i="1"/>
  <c r="AA1871" i="1"/>
  <c r="Z1871" i="1"/>
  <c r="AG1871" i="1" s="1"/>
  <c r="U1871" i="1"/>
  <c r="T1871" i="1"/>
  <c r="S1871" i="1"/>
  <c r="Q1871" i="1"/>
  <c r="R1871" i="1" s="1"/>
  <c r="AF1871" i="1" s="1"/>
  <c r="O1871" i="1"/>
  <c r="M1871" i="1"/>
  <c r="K1871" i="1"/>
  <c r="V1871" i="1" s="1"/>
  <c r="AH1870" i="1"/>
  <c r="AE1870" i="1"/>
  <c r="AA1870" i="1"/>
  <c r="Z1870" i="1"/>
  <c r="AG1870" i="1" s="1"/>
  <c r="U1870" i="1"/>
  <c r="T1870" i="1"/>
  <c r="S1870" i="1"/>
  <c r="R1870" i="1"/>
  <c r="AF1870" i="1" s="1"/>
  <c r="AI1870" i="1" s="1"/>
  <c r="Q1870" i="1"/>
  <c r="O1870" i="1"/>
  <c r="AD1870" i="1" s="1"/>
  <c r="M1870" i="1"/>
  <c r="K1870" i="1"/>
  <c r="V1870" i="1" s="1"/>
  <c r="AH1869" i="1"/>
  <c r="AE1869" i="1"/>
  <c r="AA1869" i="1"/>
  <c r="Z1869" i="1"/>
  <c r="AG1869" i="1" s="1"/>
  <c r="U1869" i="1"/>
  <c r="T1869" i="1"/>
  <c r="S1869" i="1"/>
  <c r="Q1869" i="1"/>
  <c r="R1869" i="1" s="1"/>
  <c r="AF1869" i="1" s="1"/>
  <c r="O1869" i="1"/>
  <c r="AD1869" i="1" s="1"/>
  <c r="M1869" i="1"/>
  <c r="K1869" i="1"/>
  <c r="V1869" i="1" s="1"/>
  <c r="AH1868" i="1"/>
  <c r="AG1868" i="1"/>
  <c r="AE1868" i="1"/>
  <c r="AA1868" i="1"/>
  <c r="Z1868" i="1"/>
  <c r="U1868" i="1"/>
  <c r="T1868" i="1"/>
  <c r="S1868" i="1"/>
  <c r="Q1868" i="1"/>
  <c r="R1868" i="1" s="1"/>
  <c r="AF1868" i="1" s="1"/>
  <c r="O1868" i="1"/>
  <c r="AD1868" i="1" s="1"/>
  <c r="M1868" i="1"/>
  <c r="K1868" i="1"/>
  <c r="V1868" i="1" s="1"/>
  <c r="AH1867" i="1"/>
  <c r="AE1867" i="1"/>
  <c r="AD1867" i="1"/>
  <c r="AI1867" i="1" s="1"/>
  <c r="AA1867" i="1"/>
  <c r="Z1867" i="1"/>
  <c r="AG1867" i="1" s="1"/>
  <c r="U1867" i="1"/>
  <c r="T1867" i="1"/>
  <c r="S1867" i="1"/>
  <c r="Q1867" i="1"/>
  <c r="R1867" i="1" s="1"/>
  <c r="AF1867" i="1" s="1"/>
  <c r="O1867" i="1"/>
  <c r="M1867" i="1"/>
  <c r="K1867" i="1"/>
  <c r="V1867" i="1" s="1"/>
  <c r="AH1866" i="1"/>
  <c r="AE1866" i="1"/>
  <c r="AA1866" i="1"/>
  <c r="Z1866" i="1"/>
  <c r="AG1866" i="1" s="1"/>
  <c r="U1866" i="1"/>
  <c r="T1866" i="1"/>
  <c r="S1866" i="1"/>
  <c r="R1866" i="1"/>
  <c r="AF1866" i="1" s="1"/>
  <c r="Q1866" i="1"/>
  <c r="O1866" i="1"/>
  <c r="AD1866" i="1" s="1"/>
  <c r="AI1866" i="1" s="1"/>
  <c r="M1866" i="1"/>
  <c r="K1866" i="1"/>
  <c r="V1866" i="1" s="1"/>
  <c r="AH1865" i="1"/>
  <c r="AF1865" i="1"/>
  <c r="AE1865" i="1"/>
  <c r="AA1865" i="1"/>
  <c r="Z1865" i="1"/>
  <c r="AG1865" i="1" s="1"/>
  <c r="U1865" i="1"/>
  <c r="T1865" i="1"/>
  <c r="S1865" i="1"/>
  <c r="Q1865" i="1"/>
  <c r="R1865" i="1" s="1"/>
  <c r="O1865" i="1"/>
  <c r="AD1865" i="1" s="1"/>
  <c r="AI1865" i="1" s="1"/>
  <c r="M1865" i="1"/>
  <c r="K1865" i="1"/>
  <c r="V1865" i="1" s="1"/>
  <c r="AH1864" i="1"/>
  <c r="AG1864" i="1"/>
  <c r="AE1864" i="1"/>
  <c r="AA1864" i="1"/>
  <c r="Z1864" i="1"/>
  <c r="U1864" i="1"/>
  <c r="T1864" i="1"/>
  <c r="S1864" i="1"/>
  <c r="Q1864" i="1"/>
  <c r="R1864" i="1" s="1"/>
  <c r="AF1864" i="1" s="1"/>
  <c r="O1864" i="1"/>
  <c r="AD1864" i="1" s="1"/>
  <c r="AI1864" i="1" s="1"/>
  <c r="M1864" i="1"/>
  <c r="K1864" i="1"/>
  <c r="V1864" i="1" s="1"/>
  <c r="AH1863" i="1"/>
  <c r="AE1863" i="1"/>
  <c r="AD1863" i="1"/>
  <c r="AA1863" i="1"/>
  <c r="Z1863" i="1"/>
  <c r="AG1863" i="1" s="1"/>
  <c r="U1863" i="1"/>
  <c r="T1863" i="1"/>
  <c r="S1863" i="1"/>
  <c r="Q1863" i="1"/>
  <c r="R1863" i="1" s="1"/>
  <c r="AF1863" i="1" s="1"/>
  <c r="O1863" i="1"/>
  <c r="M1863" i="1"/>
  <c r="K1863" i="1"/>
  <c r="V1863" i="1" s="1"/>
  <c r="AH1862" i="1"/>
  <c r="AE1862" i="1"/>
  <c r="AA1862" i="1"/>
  <c r="Z1862" i="1"/>
  <c r="AG1862" i="1" s="1"/>
  <c r="U1862" i="1"/>
  <c r="T1862" i="1"/>
  <c r="S1862" i="1"/>
  <c r="R1862" i="1"/>
  <c r="AF1862" i="1" s="1"/>
  <c r="AI1862" i="1" s="1"/>
  <c r="Q1862" i="1"/>
  <c r="O1862" i="1"/>
  <c r="AD1862" i="1" s="1"/>
  <c r="M1862" i="1"/>
  <c r="K1862" i="1"/>
  <c r="V1862" i="1" s="1"/>
  <c r="AH1861" i="1"/>
  <c r="AE1861" i="1"/>
  <c r="AA1861" i="1"/>
  <c r="Z1861" i="1"/>
  <c r="AG1861" i="1" s="1"/>
  <c r="U1861" i="1"/>
  <c r="T1861" i="1"/>
  <c r="S1861" i="1"/>
  <c r="Q1861" i="1"/>
  <c r="R1861" i="1" s="1"/>
  <c r="AF1861" i="1" s="1"/>
  <c r="O1861" i="1"/>
  <c r="AD1861" i="1" s="1"/>
  <c r="M1861" i="1"/>
  <c r="K1861" i="1"/>
  <c r="V1861" i="1" s="1"/>
  <c r="AH1860" i="1"/>
  <c r="AG1860" i="1"/>
  <c r="AE1860" i="1"/>
  <c r="AA1860" i="1"/>
  <c r="Z1860" i="1"/>
  <c r="U1860" i="1"/>
  <c r="T1860" i="1"/>
  <c r="S1860" i="1"/>
  <c r="Q1860" i="1"/>
  <c r="R1860" i="1" s="1"/>
  <c r="AF1860" i="1" s="1"/>
  <c r="O1860" i="1"/>
  <c r="AD1860" i="1" s="1"/>
  <c r="M1860" i="1"/>
  <c r="K1860" i="1"/>
  <c r="V1860" i="1" s="1"/>
  <c r="AH1859" i="1"/>
  <c r="AE1859" i="1"/>
  <c r="AD1859" i="1"/>
  <c r="AI1859" i="1" s="1"/>
  <c r="AA1859" i="1"/>
  <c r="Z1859" i="1"/>
  <c r="AG1859" i="1" s="1"/>
  <c r="U1859" i="1"/>
  <c r="T1859" i="1"/>
  <c r="S1859" i="1"/>
  <c r="Q1859" i="1"/>
  <c r="R1859" i="1" s="1"/>
  <c r="AF1859" i="1" s="1"/>
  <c r="O1859" i="1"/>
  <c r="M1859" i="1"/>
  <c r="K1859" i="1"/>
  <c r="V1859" i="1" s="1"/>
  <c r="AH1858" i="1"/>
  <c r="AE1858" i="1"/>
  <c r="AA1858" i="1"/>
  <c r="Z1858" i="1"/>
  <c r="AG1858" i="1" s="1"/>
  <c r="U1858" i="1"/>
  <c r="T1858" i="1"/>
  <c r="S1858" i="1"/>
  <c r="R1858" i="1"/>
  <c r="AF1858" i="1" s="1"/>
  <c r="Q1858" i="1"/>
  <c r="O1858" i="1"/>
  <c r="AD1858" i="1" s="1"/>
  <c r="AI1858" i="1" s="1"/>
  <c r="M1858" i="1"/>
  <c r="K1858" i="1"/>
  <c r="V1858" i="1" s="1"/>
  <c r="AH1857" i="1"/>
  <c r="AF1857" i="1"/>
  <c r="AE1857" i="1"/>
  <c r="AA1857" i="1"/>
  <c r="Z1857" i="1"/>
  <c r="AG1857" i="1" s="1"/>
  <c r="U1857" i="1"/>
  <c r="T1857" i="1"/>
  <c r="S1857" i="1"/>
  <c r="Q1857" i="1"/>
  <c r="R1857" i="1" s="1"/>
  <c r="O1857" i="1"/>
  <c r="AD1857" i="1" s="1"/>
  <c r="AI1857" i="1" s="1"/>
  <c r="M1857" i="1"/>
  <c r="K1857" i="1"/>
  <c r="V1857" i="1" s="1"/>
  <c r="AH1856" i="1"/>
  <c r="AG1856" i="1"/>
  <c r="AE1856" i="1"/>
  <c r="AA1856" i="1"/>
  <c r="Z1856" i="1"/>
  <c r="V1856" i="1"/>
  <c r="U1856" i="1"/>
  <c r="T1856" i="1"/>
  <c r="S1856" i="1"/>
  <c r="R1856" i="1"/>
  <c r="AF1856" i="1" s="1"/>
  <c r="O1856" i="1"/>
  <c r="AD1856" i="1" s="1"/>
  <c r="M1856" i="1"/>
  <c r="AH1855" i="1"/>
  <c r="AF1855" i="1"/>
  <c r="AE1855" i="1"/>
  <c r="AA1855" i="1"/>
  <c r="Z1855" i="1"/>
  <c r="AG1855" i="1" s="1"/>
  <c r="U1855" i="1"/>
  <c r="T1855" i="1"/>
  <c r="S1855" i="1"/>
  <c r="Q1855" i="1"/>
  <c r="R1855" i="1" s="1"/>
  <c r="O1855" i="1"/>
  <c r="AD1855" i="1" s="1"/>
  <c r="AI1855" i="1" s="1"/>
  <c r="M1855" i="1"/>
  <c r="K1855" i="1"/>
  <c r="V1855" i="1" s="1"/>
  <c r="AH1854" i="1"/>
  <c r="AG1854" i="1"/>
  <c r="AE1854" i="1"/>
  <c r="AA1854" i="1"/>
  <c r="Z1854" i="1"/>
  <c r="U1854" i="1"/>
  <c r="T1854" i="1"/>
  <c r="S1854" i="1"/>
  <c r="Q1854" i="1"/>
  <c r="R1854" i="1" s="1"/>
  <c r="AF1854" i="1" s="1"/>
  <c r="O1854" i="1"/>
  <c r="AD1854" i="1" s="1"/>
  <c r="AI1854" i="1" s="1"/>
  <c r="M1854" i="1"/>
  <c r="K1854" i="1"/>
  <c r="V1854" i="1" s="1"/>
  <c r="AH1853" i="1"/>
  <c r="AE1853" i="1"/>
  <c r="AD1853" i="1"/>
  <c r="AA1853" i="1"/>
  <c r="Z1853" i="1"/>
  <c r="AG1853" i="1" s="1"/>
  <c r="U1853" i="1"/>
  <c r="T1853" i="1"/>
  <c r="S1853" i="1"/>
  <c r="Q1853" i="1"/>
  <c r="R1853" i="1" s="1"/>
  <c r="AF1853" i="1" s="1"/>
  <c r="O1853" i="1"/>
  <c r="M1853" i="1"/>
  <c r="K1853" i="1"/>
  <c r="V1853" i="1" s="1"/>
  <c r="AH1852" i="1"/>
  <c r="AE1852" i="1"/>
  <c r="AA1852" i="1"/>
  <c r="Z1852" i="1"/>
  <c r="AG1852" i="1" s="1"/>
  <c r="U1852" i="1"/>
  <c r="T1852" i="1"/>
  <c r="S1852" i="1"/>
  <c r="R1852" i="1"/>
  <c r="AF1852" i="1" s="1"/>
  <c r="AI1852" i="1" s="1"/>
  <c r="Q1852" i="1"/>
  <c r="O1852" i="1"/>
  <c r="AD1852" i="1" s="1"/>
  <c r="M1852" i="1"/>
  <c r="K1852" i="1"/>
  <c r="V1852" i="1" s="1"/>
  <c r="AH1851" i="1"/>
  <c r="AE1851" i="1"/>
  <c r="AA1851" i="1"/>
  <c r="Z1851" i="1"/>
  <c r="AG1851" i="1" s="1"/>
  <c r="U1851" i="1"/>
  <c r="T1851" i="1"/>
  <c r="S1851" i="1"/>
  <c r="Q1851" i="1"/>
  <c r="R1851" i="1" s="1"/>
  <c r="AF1851" i="1" s="1"/>
  <c r="O1851" i="1"/>
  <c r="AD1851" i="1" s="1"/>
  <c r="M1851" i="1"/>
  <c r="K1851" i="1"/>
  <c r="V1851" i="1" s="1"/>
  <c r="AH1850" i="1"/>
  <c r="AG1850" i="1"/>
  <c r="AE1850" i="1"/>
  <c r="AA1850" i="1"/>
  <c r="Z1850" i="1"/>
  <c r="U1850" i="1"/>
  <c r="T1850" i="1"/>
  <c r="S1850" i="1"/>
  <c r="Q1850" i="1"/>
  <c r="R1850" i="1" s="1"/>
  <c r="AF1850" i="1" s="1"/>
  <c r="O1850" i="1"/>
  <c r="AD1850" i="1" s="1"/>
  <c r="AI1850" i="1" s="1"/>
  <c r="M1850" i="1"/>
  <c r="K1850" i="1"/>
  <c r="V1850" i="1" s="1"/>
  <c r="AH1849" i="1"/>
  <c r="AE1849" i="1"/>
  <c r="AD1849" i="1"/>
  <c r="AI1849" i="1" s="1"/>
  <c r="AA1849" i="1"/>
  <c r="Z1849" i="1"/>
  <c r="AG1849" i="1" s="1"/>
  <c r="V1849" i="1"/>
  <c r="U1849" i="1"/>
  <c r="S1849" i="1"/>
  <c r="R1849" i="1"/>
  <c r="AF1849" i="1" s="1"/>
  <c r="O1849" i="1"/>
  <c r="M1849" i="1"/>
  <c r="K1849" i="1"/>
  <c r="H1849" i="1"/>
  <c r="T1849" i="1" s="1"/>
  <c r="AH1848" i="1"/>
  <c r="AE1848" i="1"/>
  <c r="AA1848" i="1"/>
  <c r="Z1848" i="1"/>
  <c r="AG1848" i="1" s="1"/>
  <c r="V1848" i="1"/>
  <c r="U1848" i="1"/>
  <c r="S1848" i="1"/>
  <c r="R1848" i="1"/>
  <c r="AF1848" i="1" s="1"/>
  <c r="M1848" i="1"/>
  <c r="K1848" i="1"/>
  <c r="H1848" i="1"/>
  <c r="AH1847" i="1"/>
  <c r="AF1847" i="1"/>
  <c r="AE1847" i="1"/>
  <c r="AA1847" i="1"/>
  <c r="Z1847" i="1"/>
  <c r="AG1847" i="1" s="1"/>
  <c r="U1847" i="1"/>
  <c r="T1847" i="1"/>
  <c r="S1847" i="1"/>
  <c r="R1847" i="1"/>
  <c r="O1847" i="1"/>
  <c r="AD1847" i="1" s="1"/>
  <c r="AI1847" i="1" s="1"/>
  <c r="M1847" i="1"/>
  <c r="K1847" i="1"/>
  <c r="V1847" i="1" s="1"/>
  <c r="H1847" i="1"/>
  <c r="AH1846" i="1"/>
  <c r="AG1846" i="1"/>
  <c r="AE1846" i="1"/>
  <c r="AA1846" i="1"/>
  <c r="Z1846" i="1"/>
  <c r="U1846" i="1"/>
  <c r="T1846" i="1"/>
  <c r="S1846" i="1"/>
  <c r="Q1846" i="1"/>
  <c r="R1846" i="1" s="1"/>
  <c r="AF1846" i="1" s="1"/>
  <c r="O1846" i="1"/>
  <c r="AD1846" i="1" s="1"/>
  <c r="AI1846" i="1" s="1"/>
  <c r="M1846" i="1"/>
  <c r="K1846" i="1"/>
  <c r="V1846" i="1" s="1"/>
  <c r="AH1845" i="1"/>
  <c r="AE1845" i="1"/>
  <c r="AA1845" i="1"/>
  <c r="Z1845" i="1"/>
  <c r="AG1845" i="1" s="1"/>
  <c r="V1845" i="1"/>
  <c r="U1845" i="1"/>
  <c r="T1845" i="1"/>
  <c r="S1845" i="1"/>
  <c r="R1845" i="1"/>
  <c r="AF1845" i="1" s="1"/>
  <c r="O1845" i="1"/>
  <c r="AD1845" i="1" s="1"/>
  <c r="M1845" i="1"/>
  <c r="K1845" i="1"/>
  <c r="AH1844" i="1"/>
  <c r="AE1844" i="1"/>
  <c r="AA1844" i="1"/>
  <c r="Z1844" i="1"/>
  <c r="AG1844" i="1" s="1"/>
  <c r="V1844" i="1"/>
  <c r="U1844" i="1"/>
  <c r="T1844" i="1"/>
  <c r="S1844" i="1"/>
  <c r="R1844" i="1"/>
  <c r="AF1844" i="1" s="1"/>
  <c r="O1844" i="1"/>
  <c r="AD1844" i="1" s="1"/>
  <c r="M1844" i="1"/>
  <c r="K1844" i="1"/>
  <c r="AH1843" i="1"/>
  <c r="AE1843" i="1"/>
  <c r="AA1843" i="1"/>
  <c r="Z1843" i="1"/>
  <c r="AG1843" i="1" s="1"/>
  <c r="V1843" i="1"/>
  <c r="U1843" i="1"/>
  <c r="T1843" i="1"/>
  <c r="S1843" i="1"/>
  <c r="R1843" i="1"/>
  <c r="AF1843" i="1" s="1"/>
  <c r="O1843" i="1"/>
  <c r="AD1843" i="1" s="1"/>
  <c r="AI1843" i="1" s="1"/>
  <c r="M1843" i="1"/>
  <c r="K1843" i="1"/>
  <c r="AH1842" i="1"/>
  <c r="AE1842" i="1"/>
  <c r="AA1842" i="1"/>
  <c r="Z1842" i="1"/>
  <c r="AG1842" i="1" s="1"/>
  <c r="V1842" i="1"/>
  <c r="U1842" i="1"/>
  <c r="T1842" i="1"/>
  <c r="S1842" i="1"/>
  <c r="R1842" i="1"/>
  <c r="AF1842" i="1" s="1"/>
  <c r="O1842" i="1"/>
  <c r="AD1842" i="1" s="1"/>
  <c r="AI1842" i="1" s="1"/>
  <c r="M1842" i="1"/>
  <c r="K1842" i="1"/>
  <c r="AH1841" i="1"/>
  <c r="AE1841" i="1"/>
  <c r="AA1841" i="1"/>
  <c r="Z1841" i="1"/>
  <c r="AG1841" i="1" s="1"/>
  <c r="V1841" i="1"/>
  <c r="U1841" i="1"/>
  <c r="T1841" i="1"/>
  <c r="S1841" i="1"/>
  <c r="R1841" i="1"/>
  <c r="AF1841" i="1" s="1"/>
  <c r="O1841" i="1"/>
  <c r="AD1841" i="1" s="1"/>
  <c r="AI1841" i="1" s="1"/>
  <c r="M1841" i="1"/>
  <c r="K1841" i="1"/>
  <c r="AH1840" i="1"/>
  <c r="AE1840" i="1"/>
  <c r="AD1840" i="1"/>
  <c r="AA1840" i="1"/>
  <c r="Z1840" i="1"/>
  <c r="AG1840" i="1" s="1"/>
  <c r="U1840" i="1"/>
  <c r="T1840" i="1"/>
  <c r="S1840" i="1"/>
  <c r="Q1840" i="1"/>
  <c r="R1840" i="1" s="1"/>
  <c r="AF1840" i="1" s="1"/>
  <c r="O1840" i="1"/>
  <c r="M1840" i="1"/>
  <c r="K1840" i="1"/>
  <c r="V1840" i="1" s="1"/>
  <c r="AH1839" i="1"/>
  <c r="AE1839" i="1"/>
  <c r="AA1839" i="1"/>
  <c r="Z1839" i="1"/>
  <c r="AG1839" i="1" s="1"/>
  <c r="AI1839" i="1" s="1"/>
  <c r="U1839" i="1"/>
  <c r="T1839" i="1"/>
  <c r="S1839" i="1"/>
  <c r="R1839" i="1"/>
  <c r="AF1839" i="1" s="1"/>
  <c r="Q1839" i="1"/>
  <c r="O1839" i="1"/>
  <c r="AD1839" i="1" s="1"/>
  <c r="M1839" i="1"/>
  <c r="K1839" i="1"/>
  <c r="V1839" i="1" s="1"/>
  <c r="AH1838" i="1"/>
  <c r="AF1838" i="1"/>
  <c r="AE1838" i="1"/>
  <c r="AA1838" i="1"/>
  <c r="Z1838" i="1"/>
  <c r="AG1838" i="1" s="1"/>
  <c r="U1838" i="1"/>
  <c r="T1838" i="1"/>
  <c r="S1838" i="1"/>
  <c r="Q1838" i="1"/>
  <c r="R1838" i="1" s="1"/>
  <c r="O1838" i="1"/>
  <c r="AD1838" i="1" s="1"/>
  <c r="AI1838" i="1" s="1"/>
  <c r="M1838" i="1"/>
  <c r="K1838" i="1"/>
  <c r="V1838" i="1" s="1"/>
  <c r="AH1837" i="1"/>
  <c r="AG1837" i="1"/>
  <c r="AE1837" i="1"/>
  <c r="AA1837" i="1"/>
  <c r="Z1837" i="1"/>
  <c r="U1837" i="1"/>
  <c r="T1837" i="1"/>
  <c r="S1837" i="1"/>
  <c r="Q1837" i="1"/>
  <c r="R1837" i="1" s="1"/>
  <c r="AF1837" i="1" s="1"/>
  <c r="O1837" i="1"/>
  <c r="AD1837" i="1" s="1"/>
  <c r="AI1837" i="1" s="1"/>
  <c r="M1837" i="1"/>
  <c r="K1837" i="1"/>
  <c r="V1837" i="1" s="1"/>
  <c r="AH1836" i="1"/>
  <c r="AE1836" i="1"/>
  <c r="AD1836" i="1"/>
  <c r="AI1836" i="1" s="1"/>
  <c r="AA1836" i="1"/>
  <c r="Z1836" i="1"/>
  <c r="AG1836" i="1" s="1"/>
  <c r="U1836" i="1"/>
  <c r="T1836" i="1"/>
  <c r="S1836" i="1"/>
  <c r="Q1836" i="1"/>
  <c r="R1836" i="1" s="1"/>
  <c r="AF1836" i="1" s="1"/>
  <c r="O1836" i="1"/>
  <c r="M1836" i="1"/>
  <c r="K1836" i="1"/>
  <c r="V1836" i="1" s="1"/>
  <c r="AH1835" i="1"/>
  <c r="AE1835" i="1"/>
  <c r="AA1835" i="1"/>
  <c r="Z1835" i="1"/>
  <c r="AG1835" i="1" s="1"/>
  <c r="U1835" i="1"/>
  <c r="T1835" i="1"/>
  <c r="S1835" i="1"/>
  <c r="R1835" i="1"/>
  <c r="AF1835" i="1" s="1"/>
  <c r="Q1835" i="1"/>
  <c r="O1835" i="1"/>
  <c r="AD1835" i="1" s="1"/>
  <c r="AI1835" i="1" s="1"/>
  <c r="M1835" i="1"/>
  <c r="K1835" i="1"/>
  <c r="V1835" i="1" s="1"/>
  <c r="AH1834" i="1"/>
  <c r="AE1834" i="1"/>
  <c r="AA1834" i="1"/>
  <c r="Z1834" i="1"/>
  <c r="AG1834" i="1" s="1"/>
  <c r="U1834" i="1"/>
  <c r="T1834" i="1"/>
  <c r="S1834" i="1"/>
  <c r="Q1834" i="1"/>
  <c r="R1834" i="1" s="1"/>
  <c r="AF1834" i="1" s="1"/>
  <c r="O1834" i="1"/>
  <c r="AD1834" i="1" s="1"/>
  <c r="M1834" i="1"/>
  <c r="K1834" i="1"/>
  <c r="V1834" i="1" s="1"/>
  <c r="AH1833" i="1"/>
  <c r="AG1833" i="1"/>
  <c r="AE1833" i="1"/>
  <c r="AA1833" i="1"/>
  <c r="Z1833" i="1"/>
  <c r="U1833" i="1"/>
  <c r="T1833" i="1"/>
  <c r="S1833" i="1"/>
  <c r="Q1833" i="1"/>
  <c r="R1833" i="1" s="1"/>
  <c r="AF1833" i="1" s="1"/>
  <c r="O1833" i="1"/>
  <c r="AD1833" i="1" s="1"/>
  <c r="M1833" i="1"/>
  <c r="K1833" i="1"/>
  <c r="V1833" i="1" s="1"/>
  <c r="AH1832" i="1"/>
  <c r="AE1832" i="1"/>
  <c r="AD1832" i="1"/>
  <c r="AA1832" i="1"/>
  <c r="Z1832" i="1"/>
  <c r="AG1832" i="1" s="1"/>
  <c r="U1832" i="1"/>
  <c r="T1832" i="1"/>
  <c r="S1832" i="1"/>
  <c r="Q1832" i="1"/>
  <c r="R1832" i="1" s="1"/>
  <c r="AF1832" i="1" s="1"/>
  <c r="O1832" i="1"/>
  <c r="M1832" i="1"/>
  <c r="K1832" i="1"/>
  <c r="V1832" i="1" s="1"/>
  <c r="AH1831" i="1"/>
  <c r="AE1831" i="1"/>
  <c r="AA1831" i="1"/>
  <c r="Z1831" i="1"/>
  <c r="AG1831" i="1" s="1"/>
  <c r="AI1831" i="1" s="1"/>
  <c r="U1831" i="1"/>
  <c r="T1831" i="1"/>
  <c r="S1831" i="1"/>
  <c r="R1831" i="1"/>
  <c r="AF1831" i="1" s="1"/>
  <c r="Q1831" i="1"/>
  <c r="O1831" i="1"/>
  <c r="AD1831" i="1" s="1"/>
  <c r="M1831" i="1"/>
  <c r="K1831" i="1"/>
  <c r="V1831" i="1" s="1"/>
  <c r="AH1830" i="1"/>
  <c r="AE1830" i="1"/>
  <c r="AD1830" i="1"/>
  <c r="AA1830" i="1"/>
  <c r="Z1830" i="1"/>
  <c r="AG1830" i="1" s="1"/>
  <c r="U1830" i="1"/>
  <c r="T1830" i="1"/>
  <c r="S1830" i="1"/>
  <c r="Q1830" i="1"/>
  <c r="R1830" i="1" s="1"/>
  <c r="AF1830" i="1" s="1"/>
  <c r="O1830" i="1"/>
  <c r="M1830" i="1"/>
  <c r="K1830" i="1"/>
  <c r="V1830" i="1" s="1"/>
  <c r="AH1829" i="1"/>
  <c r="AG1829" i="1"/>
  <c r="AE1829" i="1"/>
  <c r="AA1829" i="1"/>
  <c r="Z1829" i="1"/>
  <c r="U1829" i="1"/>
  <c r="T1829" i="1"/>
  <c r="S1829" i="1"/>
  <c r="R1829" i="1"/>
  <c r="AF1829" i="1" s="1"/>
  <c r="Q1829" i="1"/>
  <c r="O1829" i="1"/>
  <c r="AD1829" i="1" s="1"/>
  <c r="AI1829" i="1" s="1"/>
  <c r="M1829" i="1"/>
  <c r="K1829" i="1"/>
  <c r="V1829" i="1" s="1"/>
  <c r="AH1828" i="1"/>
  <c r="AE1828" i="1"/>
  <c r="AD1828" i="1"/>
  <c r="AA1828" i="1"/>
  <c r="Z1828" i="1"/>
  <c r="AG1828" i="1" s="1"/>
  <c r="U1828" i="1"/>
  <c r="T1828" i="1"/>
  <c r="S1828" i="1"/>
  <c r="Q1828" i="1"/>
  <c r="R1828" i="1" s="1"/>
  <c r="AF1828" i="1" s="1"/>
  <c r="O1828" i="1"/>
  <c r="M1828" i="1"/>
  <c r="K1828" i="1"/>
  <c r="V1828" i="1" s="1"/>
  <c r="AH1827" i="1"/>
  <c r="AG1827" i="1"/>
  <c r="AE1827" i="1"/>
  <c r="AA1827" i="1"/>
  <c r="Z1827" i="1"/>
  <c r="U1827" i="1"/>
  <c r="T1827" i="1"/>
  <c r="S1827" i="1"/>
  <c r="R1827" i="1"/>
  <c r="AF1827" i="1" s="1"/>
  <c r="Q1827" i="1"/>
  <c r="O1827" i="1"/>
  <c r="AD1827" i="1" s="1"/>
  <c r="AI1827" i="1" s="1"/>
  <c r="M1827" i="1"/>
  <c r="K1827" i="1"/>
  <c r="V1827" i="1" s="1"/>
  <c r="AH1826" i="1"/>
  <c r="AE1826" i="1"/>
  <c r="AD1826" i="1"/>
  <c r="AA1826" i="1"/>
  <c r="Z1826" i="1"/>
  <c r="AG1826" i="1" s="1"/>
  <c r="U1826" i="1"/>
  <c r="T1826" i="1"/>
  <c r="S1826" i="1"/>
  <c r="Q1826" i="1"/>
  <c r="R1826" i="1" s="1"/>
  <c r="AF1826" i="1" s="1"/>
  <c r="O1826" i="1"/>
  <c r="M1826" i="1"/>
  <c r="K1826" i="1"/>
  <c r="V1826" i="1" s="1"/>
  <c r="AI1825" i="1"/>
  <c r="AH1825" i="1"/>
  <c r="AG1825" i="1"/>
  <c r="AE1825" i="1"/>
  <c r="AA1825" i="1"/>
  <c r="Z1825" i="1"/>
  <c r="V1825" i="1"/>
  <c r="U1825" i="1"/>
  <c r="T1825" i="1"/>
  <c r="S1825" i="1"/>
  <c r="R1825" i="1"/>
  <c r="AF1825" i="1" s="1"/>
  <c r="O1825" i="1"/>
  <c r="AD1825" i="1" s="1"/>
  <c r="M1825" i="1"/>
  <c r="K1825" i="1"/>
  <c r="AH1824" i="1"/>
  <c r="AG1824" i="1"/>
  <c r="AE1824" i="1"/>
  <c r="AA1824" i="1"/>
  <c r="Z1824" i="1"/>
  <c r="U1824" i="1"/>
  <c r="T1824" i="1"/>
  <c r="S1824" i="1"/>
  <c r="R1824" i="1"/>
  <c r="AF1824" i="1" s="1"/>
  <c r="Q1824" i="1"/>
  <c r="O1824" i="1"/>
  <c r="AD1824" i="1" s="1"/>
  <c r="AI1824" i="1" s="1"/>
  <c r="M1824" i="1"/>
  <c r="K1824" i="1"/>
  <c r="V1824" i="1" s="1"/>
  <c r="AH1823" i="1"/>
  <c r="AE1823" i="1"/>
  <c r="AD1823" i="1"/>
  <c r="AA1823" i="1"/>
  <c r="Z1823" i="1"/>
  <c r="AG1823" i="1" s="1"/>
  <c r="U1823" i="1"/>
  <c r="T1823" i="1"/>
  <c r="S1823" i="1"/>
  <c r="Q1823" i="1"/>
  <c r="R1823" i="1" s="1"/>
  <c r="AF1823" i="1" s="1"/>
  <c r="O1823" i="1"/>
  <c r="M1823" i="1"/>
  <c r="K1823" i="1"/>
  <c r="V1823" i="1" s="1"/>
  <c r="AH1822" i="1"/>
  <c r="AG1822" i="1"/>
  <c r="AE1822" i="1"/>
  <c r="AA1822" i="1"/>
  <c r="Z1822" i="1"/>
  <c r="U1822" i="1"/>
  <c r="T1822" i="1"/>
  <c r="S1822" i="1"/>
  <c r="R1822" i="1"/>
  <c r="AF1822" i="1" s="1"/>
  <c r="Q1822" i="1"/>
  <c r="O1822" i="1"/>
  <c r="AD1822" i="1" s="1"/>
  <c r="AI1822" i="1" s="1"/>
  <c r="M1822" i="1"/>
  <c r="K1822" i="1"/>
  <c r="V1822" i="1" s="1"/>
  <c r="AH1821" i="1"/>
  <c r="AE1821" i="1"/>
  <c r="AD1821" i="1"/>
  <c r="AA1821" i="1"/>
  <c r="Z1821" i="1"/>
  <c r="AG1821" i="1" s="1"/>
  <c r="U1821" i="1"/>
  <c r="T1821" i="1"/>
  <c r="S1821" i="1"/>
  <c r="Q1821" i="1"/>
  <c r="R1821" i="1" s="1"/>
  <c r="AF1821" i="1" s="1"/>
  <c r="O1821" i="1"/>
  <c r="M1821" i="1"/>
  <c r="K1821" i="1"/>
  <c r="V1821" i="1" s="1"/>
  <c r="AH1820" i="1"/>
  <c r="AG1820" i="1"/>
  <c r="AE1820" i="1"/>
  <c r="AA1820" i="1"/>
  <c r="Z1820" i="1"/>
  <c r="U1820" i="1"/>
  <c r="T1820" i="1"/>
  <c r="S1820" i="1"/>
  <c r="R1820" i="1"/>
  <c r="AF1820" i="1" s="1"/>
  <c r="Q1820" i="1"/>
  <c r="O1820" i="1"/>
  <c r="AD1820" i="1" s="1"/>
  <c r="AI1820" i="1" s="1"/>
  <c r="M1820" i="1"/>
  <c r="K1820" i="1"/>
  <c r="V1820" i="1" s="1"/>
  <c r="AH1819" i="1"/>
  <c r="AE1819" i="1"/>
  <c r="AD1819" i="1"/>
  <c r="AA1819" i="1"/>
  <c r="Z1819" i="1"/>
  <c r="AG1819" i="1" s="1"/>
  <c r="U1819" i="1"/>
  <c r="T1819" i="1"/>
  <c r="S1819" i="1"/>
  <c r="Q1819" i="1"/>
  <c r="R1819" i="1" s="1"/>
  <c r="AF1819" i="1" s="1"/>
  <c r="O1819" i="1"/>
  <c r="M1819" i="1"/>
  <c r="K1819" i="1"/>
  <c r="V1819" i="1" s="1"/>
  <c r="AH1818" i="1"/>
  <c r="AG1818" i="1"/>
  <c r="AE1818" i="1"/>
  <c r="AA1818" i="1"/>
  <c r="Z1818" i="1"/>
  <c r="U1818" i="1"/>
  <c r="T1818" i="1"/>
  <c r="S1818" i="1"/>
  <c r="R1818" i="1"/>
  <c r="AF1818" i="1" s="1"/>
  <c r="Q1818" i="1"/>
  <c r="O1818" i="1"/>
  <c r="AD1818" i="1" s="1"/>
  <c r="AI1818" i="1" s="1"/>
  <c r="M1818" i="1"/>
  <c r="K1818" i="1"/>
  <c r="V1818" i="1" s="1"/>
  <c r="AH1817" i="1"/>
  <c r="AE1817" i="1"/>
  <c r="AD1817" i="1"/>
  <c r="AA1817" i="1"/>
  <c r="Z1817" i="1"/>
  <c r="AG1817" i="1" s="1"/>
  <c r="U1817" i="1"/>
  <c r="T1817" i="1"/>
  <c r="S1817" i="1"/>
  <c r="Q1817" i="1"/>
  <c r="R1817" i="1" s="1"/>
  <c r="AF1817" i="1" s="1"/>
  <c r="O1817" i="1"/>
  <c r="M1817" i="1"/>
  <c r="K1817" i="1"/>
  <c r="V1817" i="1" s="1"/>
  <c r="AH1816" i="1"/>
  <c r="AG1816" i="1"/>
  <c r="AE1816" i="1"/>
  <c r="AA1816" i="1"/>
  <c r="Z1816" i="1"/>
  <c r="V1816" i="1"/>
  <c r="U1816" i="1"/>
  <c r="T1816" i="1"/>
  <c r="S1816" i="1"/>
  <c r="R1816" i="1"/>
  <c r="AF1816" i="1" s="1"/>
  <c r="O1816" i="1"/>
  <c r="AD1816" i="1" s="1"/>
  <c r="AI1816" i="1" s="1"/>
  <c r="M1816" i="1"/>
  <c r="AH1815" i="1"/>
  <c r="AF1815" i="1"/>
  <c r="AE1815" i="1"/>
  <c r="AA1815" i="1"/>
  <c r="Z1815" i="1"/>
  <c r="AG1815" i="1" s="1"/>
  <c r="U1815" i="1"/>
  <c r="T1815" i="1"/>
  <c r="S1815" i="1"/>
  <c r="R1815" i="1"/>
  <c r="O1815" i="1"/>
  <c r="AD1815" i="1" s="1"/>
  <c r="AI1815" i="1" s="1"/>
  <c r="M1815" i="1"/>
  <c r="K1815" i="1"/>
  <c r="V1815" i="1" s="1"/>
  <c r="AH1814" i="1"/>
  <c r="AF1814" i="1"/>
  <c r="AE1814" i="1"/>
  <c r="AA1814" i="1"/>
  <c r="Z1814" i="1"/>
  <c r="AG1814" i="1" s="1"/>
  <c r="U1814" i="1"/>
  <c r="T1814" i="1"/>
  <c r="S1814" i="1"/>
  <c r="R1814" i="1"/>
  <c r="O1814" i="1"/>
  <c r="AD1814" i="1" s="1"/>
  <c r="AI1814" i="1" s="1"/>
  <c r="M1814" i="1"/>
  <c r="K1814" i="1"/>
  <c r="V1814" i="1" s="1"/>
  <c r="AH1813" i="1"/>
  <c r="AF1813" i="1"/>
  <c r="AE1813" i="1"/>
  <c r="AD1813" i="1"/>
  <c r="AA1813" i="1"/>
  <c r="Z1813" i="1"/>
  <c r="AG1813" i="1" s="1"/>
  <c r="U1813" i="1"/>
  <c r="T1813" i="1"/>
  <c r="S1813" i="1"/>
  <c r="R1813" i="1"/>
  <c r="O1813" i="1"/>
  <c r="M1813" i="1"/>
  <c r="K1813" i="1"/>
  <c r="V1813" i="1" s="1"/>
  <c r="AH1812" i="1"/>
  <c r="AF1812" i="1"/>
  <c r="AE1812" i="1"/>
  <c r="AA1812" i="1"/>
  <c r="Z1812" i="1"/>
  <c r="AG1812" i="1" s="1"/>
  <c r="V1812" i="1"/>
  <c r="U1812" i="1"/>
  <c r="T1812" i="1"/>
  <c r="S1812" i="1"/>
  <c r="R1812" i="1"/>
  <c r="O1812" i="1"/>
  <c r="AD1812" i="1" s="1"/>
  <c r="AI1812" i="1" s="1"/>
  <c r="M1812" i="1"/>
  <c r="AH1811" i="1"/>
  <c r="AG1811" i="1"/>
  <c r="AE1811" i="1"/>
  <c r="AA1811" i="1"/>
  <c r="Z1811" i="1"/>
  <c r="V1811" i="1"/>
  <c r="U1811" i="1"/>
  <c r="T1811" i="1"/>
  <c r="S1811" i="1"/>
  <c r="R1811" i="1"/>
  <c r="AF1811" i="1" s="1"/>
  <c r="O1811" i="1"/>
  <c r="AD1811" i="1" s="1"/>
  <c r="AI1811" i="1" s="1"/>
  <c r="M1811" i="1"/>
  <c r="K1811" i="1"/>
  <c r="AI1810" i="1"/>
  <c r="AH1810" i="1"/>
  <c r="AG1810" i="1"/>
  <c r="AE1810" i="1"/>
  <c r="AA1810" i="1"/>
  <c r="Z1810" i="1"/>
  <c r="V1810" i="1"/>
  <c r="U1810" i="1"/>
  <c r="T1810" i="1"/>
  <c r="S1810" i="1"/>
  <c r="R1810" i="1"/>
  <c r="AF1810" i="1" s="1"/>
  <c r="O1810" i="1"/>
  <c r="AD1810" i="1" s="1"/>
  <c r="M1810" i="1"/>
  <c r="K1810" i="1"/>
  <c r="AH1809" i="1"/>
  <c r="AG1809" i="1"/>
  <c r="AE1809" i="1"/>
  <c r="AA1809" i="1"/>
  <c r="Z1809" i="1"/>
  <c r="V1809" i="1"/>
  <c r="U1809" i="1"/>
  <c r="T1809" i="1"/>
  <c r="S1809" i="1"/>
  <c r="R1809" i="1"/>
  <c r="AF1809" i="1" s="1"/>
  <c r="O1809" i="1"/>
  <c r="AD1809" i="1" s="1"/>
  <c r="M1809" i="1"/>
  <c r="K1809" i="1"/>
  <c r="AH1808" i="1"/>
  <c r="AG1808" i="1"/>
  <c r="AE1808" i="1"/>
  <c r="AA1808" i="1"/>
  <c r="Z1808" i="1"/>
  <c r="U1808" i="1"/>
  <c r="T1808" i="1"/>
  <c r="S1808" i="1"/>
  <c r="R1808" i="1"/>
  <c r="AF1808" i="1" s="1"/>
  <c r="Q1808" i="1"/>
  <c r="O1808" i="1"/>
  <c r="AD1808" i="1" s="1"/>
  <c r="AI1808" i="1" s="1"/>
  <c r="M1808" i="1"/>
  <c r="K1808" i="1"/>
  <c r="V1808" i="1" s="1"/>
  <c r="AH1807" i="1"/>
  <c r="AE1807" i="1"/>
  <c r="AD1807" i="1"/>
  <c r="AA1807" i="1"/>
  <c r="Z1807" i="1"/>
  <c r="AG1807" i="1" s="1"/>
  <c r="U1807" i="1"/>
  <c r="T1807" i="1"/>
  <c r="S1807" i="1"/>
  <c r="Q1807" i="1"/>
  <c r="R1807" i="1" s="1"/>
  <c r="AF1807" i="1" s="1"/>
  <c r="O1807" i="1"/>
  <c r="M1807" i="1"/>
  <c r="K1807" i="1"/>
  <c r="V1807" i="1" s="1"/>
  <c r="AI1806" i="1"/>
  <c r="AH1806" i="1"/>
  <c r="AG1806" i="1"/>
  <c r="AE1806" i="1"/>
  <c r="AA1806" i="1"/>
  <c r="Z1806" i="1"/>
  <c r="U1806" i="1"/>
  <c r="T1806" i="1"/>
  <c r="S1806" i="1"/>
  <c r="R1806" i="1"/>
  <c r="AF1806" i="1" s="1"/>
  <c r="Q1806" i="1"/>
  <c r="O1806" i="1"/>
  <c r="AD1806" i="1" s="1"/>
  <c r="M1806" i="1"/>
  <c r="K1806" i="1"/>
  <c r="V1806" i="1" s="1"/>
  <c r="AH1805" i="1"/>
  <c r="AE1805" i="1"/>
  <c r="AD1805" i="1"/>
  <c r="AA1805" i="1"/>
  <c r="Z1805" i="1"/>
  <c r="AG1805" i="1" s="1"/>
  <c r="U1805" i="1"/>
  <c r="T1805" i="1"/>
  <c r="S1805" i="1"/>
  <c r="Q1805" i="1"/>
  <c r="R1805" i="1" s="1"/>
  <c r="AF1805" i="1" s="1"/>
  <c r="O1805" i="1"/>
  <c r="M1805" i="1"/>
  <c r="K1805" i="1"/>
  <c r="V1805" i="1" s="1"/>
  <c r="AI1804" i="1"/>
  <c r="AH1804" i="1"/>
  <c r="AG1804" i="1"/>
  <c r="AE1804" i="1"/>
  <c r="AA1804" i="1"/>
  <c r="Z1804" i="1"/>
  <c r="U1804" i="1"/>
  <c r="T1804" i="1"/>
  <c r="S1804" i="1"/>
  <c r="R1804" i="1"/>
  <c r="AF1804" i="1" s="1"/>
  <c r="Q1804" i="1"/>
  <c r="O1804" i="1"/>
  <c r="AD1804" i="1" s="1"/>
  <c r="M1804" i="1"/>
  <c r="K1804" i="1"/>
  <c r="V1804" i="1" s="1"/>
  <c r="AH1803" i="1"/>
  <c r="AE1803" i="1"/>
  <c r="AD1803" i="1"/>
  <c r="AA1803" i="1"/>
  <c r="Z1803" i="1"/>
  <c r="AG1803" i="1" s="1"/>
  <c r="U1803" i="1"/>
  <c r="T1803" i="1"/>
  <c r="S1803" i="1"/>
  <c r="Q1803" i="1"/>
  <c r="R1803" i="1" s="1"/>
  <c r="AF1803" i="1" s="1"/>
  <c r="O1803" i="1"/>
  <c r="M1803" i="1"/>
  <c r="K1803" i="1"/>
  <c r="V1803" i="1" s="1"/>
  <c r="AH1802" i="1"/>
  <c r="AG1802" i="1"/>
  <c r="AE1802" i="1"/>
  <c r="AA1802" i="1"/>
  <c r="Z1802" i="1"/>
  <c r="U1802" i="1"/>
  <c r="T1802" i="1"/>
  <c r="S1802" i="1"/>
  <c r="R1802" i="1"/>
  <c r="AF1802" i="1" s="1"/>
  <c r="Q1802" i="1"/>
  <c r="O1802" i="1"/>
  <c r="AD1802" i="1" s="1"/>
  <c r="AI1802" i="1" s="1"/>
  <c r="M1802" i="1"/>
  <c r="K1802" i="1"/>
  <c r="V1802" i="1" s="1"/>
  <c r="AH1801" i="1"/>
  <c r="AE1801" i="1"/>
  <c r="AD1801" i="1"/>
  <c r="AA1801" i="1"/>
  <c r="Z1801" i="1"/>
  <c r="AG1801" i="1" s="1"/>
  <c r="U1801" i="1"/>
  <c r="T1801" i="1"/>
  <c r="S1801" i="1"/>
  <c r="R1801" i="1"/>
  <c r="AF1801" i="1" s="1"/>
  <c r="Q1801" i="1"/>
  <c r="O1801" i="1"/>
  <c r="M1801" i="1"/>
  <c r="K1801" i="1"/>
  <c r="V1801" i="1" s="1"/>
  <c r="AH1800" i="1"/>
  <c r="AE1800" i="1"/>
  <c r="AA1800" i="1"/>
  <c r="Z1800" i="1"/>
  <c r="AG1800" i="1" s="1"/>
  <c r="U1800" i="1"/>
  <c r="T1800" i="1"/>
  <c r="S1800" i="1"/>
  <c r="R1800" i="1"/>
  <c r="AF1800" i="1" s="1"/>
  <c r="Q1800" i="1"/>
  <c r="O1800" i="1"/>
  <c r="AD1800" i="1" s="1"/>
  <c r="M1800" i="1"/>
  <c r="K1800" i="1"/>
  <c r="V1800" i="1" s="1"/>
  <c r="AH1799" i="1"/>
  <c r="AE1799" i="1"/>
  <c r="AA1799" i="1"/>
  <c r="Z1799" i="1"/>
  <c r="AG1799" i="1" s="1"/>
  <c r="U1799" i="1"/>
  <c r="T1799" i="1"/>
  <c r="S1799" i="1"/>
  <c r="Q1799" i="1"/>
  <c r="R1799" i="1" s="1"/>
  <c r="AF1799" i="1" s="1"/>
  <c r="O1799" i="1"/>
  <c r="AD1799" i="1" s="1"/>
  <c r="AI1799" i="1" s="1"/>
  <c r="M1799" i="1"/>
  <c r="K1799" i="1"/>
  <c r="V1799" i="1" s="1"/>
  <c r="AH1798" i="1"/>
  <c r="AG1798" i="1"/>
  <c r="AE1798" i="1"/>
  <c r="AA1798" i="1"/>
  <c r="Z1798" i="1"/>
  <c r="U1798" i="1"/>
  <c r="T1798" i="1"/>
  <c r="S1798" i="1"/>
  <c r="Q1798" i="1"/>
  <c r="R1798" i="1" s="1"/>
  <c r="AF1798" i="1" s="1"/>
  <c r="O1798" i="1"/>
  <c r="AD1798" i="1" s="1"/>
  <c r="AI1798" i="1" s="1"/>
  <c r="M1798" i="1"/>
  <c r="K1798" i="1"/>
  <c r="V1798" i="1" s="1"/>
  <c r="AH1797" i="1"/>
  <c r="AE1797" i="1"/>
  <c r="AD1797" i="1"/>
  <c r="AI1797" i="1" s="1"/>
  <c r="AA1797" i="1"/>
  <c r="Z1797" i="1"/>
  <c r="AG1797" i="1" s="1"/>
  <c r="U1797" i="1"/>
  <c r="T1797" i="1"/>
  <c r="S1797" i="1"/>
  <c r="Q1797" i="1"/>
  <c r="R1797" i="1" s="1"/>
  <c r="AF1797" i="1" s="1"/>
  <c r="O1797" i="1"/>
  <c r="M1797" i="1"/>
  <c r="K1797" i="1"/>
  <c r="V1797" i="1" s="1"/>
  <c r="AH1796" i="1"/>
  <c r="AE1796" i="1"/>
  <c r="AA1796" i="1"/>
  <c r="Z1796" i="1"/>
  <c r="AG1796" i="1" s="1"/>
  <c r="U1796" i="1"/>
  <c r="T1796" i="1"/>
  <c r="S1796" i="1"/>
  <c r="R1796" i="1"/>
  <c r="AF1796" i="1" s="1"/>
  <c r="Q1796" i="1"/>
  <c r="O1796" i="1"/>
  <c r="AD1796" i="1" s="1"/>
  <c r="AI1796" i="1" s="1"/>
  <c r="M1796" i="1"/>
  <c r="K1796" i="1"/>
  <c r="V1796" i="1" s="1"/>
  <c r="AH1795" i="1"/>
  <c r="AG1795" i="1"/>
  <c r="AE1795" i="1"/>
  <c r="AD1795" i="1"/>
  <c r="AA1795" i="1"/>
  <c r="Z1795" i="1"/>
  <c r="U1795" i="1"/>
  <c r="T1795" i="1"/>
  <c r="S1795" i="1"/>
  <c r="Q1795" i="1"/>
  <c r="R1795" i="1" s="1"/>
  <c r="AF1795" i="1" s="1"/>
  <c r="O1795" i="1"/>
  <c r="M1795" i="1"/>
  <c r="K1795" i="1"/>
  <c r="V1795" i="1" s="1"/>
  <c r="AH1794" i="1"/>
  <c r="AG1794" i="1"/>
  <c r="AE1794" i="1"/>
  <c r="AD1794" i="1"/>
  <c r="AI1794" i="1" s="1"/>
  <c r="AA1794" i="1"/>
  <c r="Z1794" i="1"/>
  <c r="U1794" i="1"/>
  <c r="T1794" i="1"/>
  <c r="S1794" i="1"/>
  <c r="R1794" i="1"/>
  <c r="AF1794" i="1" s="1"/>
  <c r="Q1794" i="1"/>
  <c r="O1794" i="1"/>
  <c r="M1794" i="1"/>
  <c r="K1794" i="1"/>
  <c r="V1794" i="1" s="1"/>
  <c r="AH1793" i="1"/>
  <c r="AE1793" i="1"/>
  <c r="AD1793" i="1"/>
  <c r="AA1793" i="1"/>
  <c r="Z1793" i="1"/>
  <c r="AG1793" i="1" s="1"/>
  <c r="U1793" i="1"/>
  <c r="T1793" i="1"/>
  <c r="S1793" i="1"/>
  <c r="R1793" i="1"/>
  <c r="AF1793" i="1" s="1"/>
  <c r="Q1793" i="1"/>
  <c r="O1793" i="1"/>
  <c r="M1793" i="1"/>
  <c r="K1793" i="1"/>
  <c r="V1793" i="1" s="1"/>
  <c r="AH1792" i="1"/>
  <c r="AE1792" i="1"/>
  <c r="AA1792" i="1"/>
  <c r="Z1792" i="1"/>
  <c r="AG1792" i="1" s="1"/>
  <c r="U1792" i="1"/>
  <c r="T1792" i="1"/>
  <c r="S1792" i="1"/>
  <c r="R1792" i="1"/>
  <c r="AF1792" i="1" s="1"/>
  <c r="Q1792" i="1"/>
  <c r="O1792" i="1"/>
  <c r="AD1792" i="1" s="1"/>
  <c r="M1792" i="1"/>
  <c r="K1792" i="1"/>
  <c r="V1792" i="1" s="1"/>
  <c r="AH1791" i="1"/>
  <c r="AE1791" i="1"/>
  <c r="AA1791" i="1"/>
  <c r="Z1791" i="1"/>
  <c r="AG1791" i="1" s="1"/>
  <c r="U1791" i="1"/>
  <c r="T1791" i="1"/>
  <c r="S1791" i="1"/>
  <c r="Q1791" i="1"/>
  <c r="R1791" i="1" s="1"/>
  <c r="AF1791" i="1" s="1"/>
  <c r="O1791" i="1"/>
  <c r="AD1791" i="1" s="1"/>
  <c r="AI1791" i="1" s="1"/>
  <c r="M1791" i="1"/>
  <c r="K1791" i="1"/>
  <c r="V1791" i="1" s="1"/>
  <c r="AH1790" i="1"/>
  <c r="AG1790" i="1"/>
  <c r="AE1790" i="1"/>
  <c r="AA1790" i="1"/>
  <c r="Z1790" i="1"/>
  <c r="V1790" i="1"/>
  <c r="U1790" i="1"/>
  <c r="T1790" i="1"/>
  <c r="S1790" i="1"/>
  <c r="R1790" i="1"/>
  <c r="AF1790" i="1" s="1"/>
  <c r="O1790" i="1"/>
  <c r="AD1790" i="1" s="1"/>
  <c r="AI1790" i="1" s="1"/>
  <c r="M1790" i="1"/>
  <c r="AH1789" i="1"/>
  <c r="AE1789" i="1"/>
  <c r="AA1789" i="1"/>
  <c r="Z1789" i="1"/>
  <c r="AG1789" i="1" s="1"/>
  <c r="U1789" i="1"/>
  <c r="T1789" i="1"/>
  <c r="S1789" i="1"/>
  <c r="Q1789" i="1"/>
  <c r="R1789" i="1" s="1"/>
  <c r="AF1789" i="1" s="1"/>
  <c r="O1789" i="1"/>
  <c r="AD1789" i="1" s="1"/>
  <c r="M1789" i="1"/>
  <c r="K1789" i="1"/>
  <c r="V1789" i="1" s="1"/>
  <c r="AH1788" i="1"/>
  <c r="AG1788" i="1"/>
  <c r="AE1788" i="1"/>
  <c r="AA1788" i="1"/>
  <c r="Z1788" i="1"/>
  <c r="U1788" i="1"/>
  <c r="T1788" i="1"/>
  <c r="S1788" i="1"/>
  <c r="Q1788" i="1"/>
  <c r="R1788" i="1" s="1"/>
  <c r="AF1788" i="1" s="1"/>
  <c r="O1788" i="1"/>
  <c r="AD1788" i="1" s="1"/>
  <c r="M1788" i="1"/>
  <c r="K1788" i="1"/>
  <c r="V1788" i="1" s="1"/>
  <c r="AH1787" i="1"/>
  <c r="AE1787" i="1"/>
  <c r="AD1787" i="1"/>
  <c r="AA1787" i="1"/>
  <c r="Z1787" i="1"/>
  <c r="AG1787" i="1" s="1"/>
  <c r="U1787" i="1"/>
  <c r="T1787" i="1"/>
  <c r="S1787" i="1"/>
  <c r="Q1787" i="1"/>
  <c r="R1787" i="1" s="1"/>
  <c r="AF1787" i="1" s="1"/>
  <c r="O1787" i="1"/>
  <c r="M1787" i="1"/>
  <c r="K1787" i="1"/>
  <c r="V1787" i="1" s="1"/>
  <c r="AH1786" i="1"/>
  <c r="AE1786" i="1"/>
  <c r="AA1786" i="1"/>
  <c r="Z1786" i="1"/>
  <c r="AG1786" i="1" s="1"/>
  <c r="V1786" i="1"/>
  <c r="U1786" i="1"/>
  <c r="T1786" i="1"/>
  <c r="S1786" i="1"/>
  <c r="R1786" i="1"/>
  <c r="AF1786" i="1" s="1"/>
  <c r="O1786" i="1"/>
  <c r="AD1786" i="1" s="1"/>
  <c r="M1786" i="1"/>
  <c r="AH1785" i="1"/>
  <c r="AE1785" i="1"/>
  <c r="AD1785" i="1"/>
  <c r="AA1785" i="1"/>
  <c r="Z1785" i="1"/>
  <c r="AG1785" i="1" s="1"/>
  <c r="U1785" i="1"/>
  <c r="T1785" i="1"/>
  <c r="S1785" i="1"/>
  <c r="R1785" i="1"/>
  <c r="AF1785" i="1" s="1"/>
  <c r="Q1785" i="1"/>
  <c r="O1785" i="1"/>
  <c r="M1785" i="1"/>
  <c r="K1785" i="1"/>
  <c r="V1785" i="1" s="1"/>
  <c r="AH1784" i="1"/>
  <c r="AE1784" i="1"/>
  <c r="AA1784" i="1"/>
  <c r="Z1784" i="1"/>
  <c r="AG1784" i="1" s="1"/>
  <c r="U1784" i="1"/>
  <c r="T1784" i="1"/>
  <c r="S1784" i="1"/>
  <c r="R1784" i="1"/>
  <c r="AF1784" i="1" s="1"/>
  <c r="Q1784" i="1"/>
  <c r="O1784" i="1"/>
  <c r="AD1784" i="1" s="1"/>
  <c r="M1784" i="1"/>
  <c r="K1784" i="1"/>
  <c r="V1784" i="1" s="1"/>
  <c r="AH1783" i="1"/>
  <c r="AE1783" i="1"/>
  <c r="AA1783" i="1"/>
  <c r="Z1783" i="1"/>
  <c r="AG1783" i="1" s="1"/>
  <c r="U1783" i="1"/>
  <c r="T1783" i="1"/>
  <c r="S1783" i="1"/>
  <c r="Q1783" i="1"/>
  <c r="R1783" i="1" s="1"/>
  <c r="AF1783" i="1" s="1"/>
  <c r="O1783" i="1"/>
  <c r="AD1783" i="1" s="1"/>
  <c r="AI1783" i="1" s="1"/>
  <c r="M1783" i="1"/>
  <c r="K1783" i="1"/>
  <c r="V1783" i="1" s="1"/>
  <c r="AH1782" i="1"/>
  <c r="AG1782" i="1"/>
  <c r="AE1782" i="1"/>
  <c r="AA1782" i="1"/>
  <c r="Z1782" i="1"/>
  <c r="U1782" i="1"/>
  <c r="T1782" i="1"/>
  <c r="S1782" i="1"/>
  <c r="Q1782" i="1"/>
  <c r="R1782" i="1" s="1"/>
  <c r="AF1782" i="1" s="1"/>
  <c r="O1782" i="1"/>
  <c r="AD1782" i="1" s="1"/>
  <c r="AI1782" i="1" s="1"/>
  <c r="M1782" i="1"/>
  <c r="K1782" i="1"/>
  <c r="V1782" i="1" s="1"/>
  <c r="AH1781" i="1"/>
  <c r="AE1781" i="1"/>
  <c r="AD1781" i="1"/>
  <c r="AI1781" i="1" s="1"/>
  <c r="AA1781" i="1"/>
  <c r="Z1781" i="1"/>
  <c r="AG1781" i="1" s="1"/>
  <c r="U1781" i="1"/>
  <c r="T1781" i="1"/>
  <c r="S1781" i="1"/>
  <c r="Q1781" i="1"/>
  <c r="R1781" i="1" s="1"/>
  <c r="AF1781" i="1" s="1"/>
  <c r="O1781" i="1"/>
  <c r="M1781" i="1"/>
  <c r="K1781" i="1"/>
  <c r="V1781" i="1" s="1"/>
  <c r="AH1780" i="1"/>
  <c r="AE1780" i="1"/>
  <c r="AA1780" i="1"/>
  <c r="Z1780" i="1"/>
  <c r="AG1780" i="1" s="1"/>
  <c r="U1780" i="1"/>
  <c r="T1780" i="1"/>
  <c r="S1780" i="1"/>
  <c r="R1780" i="1"/>
  <c r="AF1780" i="1" s="1"/>
  <c r="Q1780" i="1"/>
  <c r="O1780" i="1"/>
  <c r="AD1780" i="1" s="1"/>
  <c r="AI1780" i="1" s="1"/>
  <c r="M1780" i="1"/>
  <c r="K1780" i="1"/>
  <c r="V1780" i="1" s="1"/>
  <c r="AH1779" i="1"/>
  <c r="AG1779" i="1"/>
  <c r="AE1779" i="1"/>
  <c r="AD1779" i="1"/>
  <c r="AA1779" i="1"/>
  <c r="Z1779" i="1"/>
  <c r="U1779" i="1"/>
  <c r="T1779" i="1"/>
  <c r="S1779" i="1"/>
  <c r="Q1779" i="1"/>
  <c r="R1779" i="1" s="1"/>
  <c r="AF1779" i="1" s="1"/>
  <c r="O1779" i="1"/>
  <c r="M1779" i="1"/>
  <c r="K1779" i="1"/>
  <c r="V1779" i="1" s="1"/>
  <c r="AH1778" i="1"/>
  <c r="AG1778" i="1"/>
  <c r="AE1778" i="1"/>
  <c r="AD1778" i="1"/>
  <c r="AI1778" i="1" s="1"/>
  <c r="AA1778" i="1"/>
  <c r="Z1778" i="1"/>
  <c r="U1778" i="1"/>
  <c r="T1778" i="1"/>
  <c r="S1778" i="1"/>
  <c r="R1778" i="1"/>
  <c r="AF1778" i="1" s="1"/>
  <c r="Q1778" i="1"/>
  <c r="O1778" i="1"/>
  <c r="M1778" i="1"/>
  <c r="K1778" i="1"/>
  <c r="V1778" i="1" s="1"/>
  <c r="AH1777" i="1"/>
  <c r="AE1777" i="1"/>
  <c r="AD1777" i="1"/>
  <c r="AA1777" i="1"/>
  <c r="Z1777" i="1"/>
  <c r="AG1777" i="1" s="1"/>
  <c r="U1777" i="1"/>
  <c r="T1777" i="1"/>
  <c r="S1777" i="1"/>
  <c r="R1777" i="1"/>
  <c r="AF1777" i="1" s="1"/>
  <c r="Q1777" i="1"/>
  <c r="O1777" i="1"/>
  <c r="M1777" i="1"/>
  <c r="K1777" i="1"/>
  <c r="V1777" i="1" s="1"/>
  <c r="AH1776" i="1"/>
  <c r="AE1776" i="1"/>
  <c r="AA1776" i="1"/>
  <c r="Z1776" i="1"/>
  <c r="AG1776" i="1" s="1"/>
  <c r="V1776" i="1"/>
  <c r="U1776" i="1"/>
  <c r="T1776" i="1"/>
  <c r="S1776" i="1"/>
  <c r="R1776" i="1"/>
  <c r="AF1776" i="1" s="1"/>
  <c r="O1776" i="1"/>
  <c r="AD1776" i="1" s="1"/>
  <c r="M1776" i="1"/>
  <c r="AH1775" i="1"/>
  <c r="AF1775" i="1"/>
  <c r="AE1775" i="1"/>
  <c r="AA1775" i="1"/>
  <c r="Z1775" i="1"/>
  <c r="AG1775" i="1" s="1"/>
  <c r="U1775" i="1"/>
  <c r="T1775" i="1"/>
  <c r="S1775" i="1"/>
  <c r="R1775" i="1"/>
  <c r="O1775" i="1"/>
  <c r="AD1775" i="1" s="1"/>
  <c r="M1775" i="1"/>
  <c r="K1775" i="1"/>
  <c r="V1775" i="1" s="1"/>
  <c r="AH1774" i="1"/>
  <c r="AF1774" i="1"/>
  <c r="AE1774" i="1"/>
  <c r="AA1774" i="1"/>
  <c r="Z1774" i="1"/>
  <c r="AG1774" i="1" s="1"/>
  <c r="U1774" i="1"/>
  <c r="T1774" i="1"/>
  <c r="S1774" i="1"/>
  <c r="R1774" i="1"/>
  <c r="O1774" i="1"/>
  <c r="AD1774" i="1" s="1"/>
  <c r="M1774" i="1"/>
  <c r="K1774" i="1"/>
  <c r="V1774" i="1" s="1"/>
  <c r="AH1773" i="1"/>
  <c r="AE1773" i="1"/>
  <c r="AA1773" i="1"/>
  <c r="Z1773" i="1"/>
  <c r="AG1773" i="1" s="1"/>
  <c r="V1773" i="1"/>
  <c r="U1773" i="1"/>
  <c r="T1773" i="1"/>
  <c r="S1773" i="1"/>
  <c r="R1773" i="1"/>
  <c r="AF1773" i="1" s="1"/>
  <c r="O1773" i="1"/>
  <c r="AD1773" i="1" s="1"/>
  <c r="M1773" i="1"/>
  <c r="K1773" i="1"/>
  <c r="AH1772" i="1"/>
  <c r="AE1772" i="1"/>
  <c r="AD1772" i="1"/>
  <c r="AI1772" i="1" s="1"/>
  <c r="AA1772" i="1"/>
  <c r="Z1772" i="1"/>
  <c r="AG1772" i="1" s="1"/>
  <c r="U1772" i="1"/>
  <c r="T1772" i="1"/>
  <c r="S1772" i="1"/>
  <c r="Q1772" i="1"/>
  <c r="R1772" i="1" s="1"/>
  <c r="AF1772" i="1" s="1"/>
  <c r="O1772" i="1"/>
  <c r="M1772" i="1"/>
  <c r="K1772" i="1"/>
  <c r="V1772" i="1" s="1"/>
  <c r="AH1771" i="1"/>
  <c r="AE1771" i="1"/>
  <c r="AI1771" i="1" s="1"/>
  <c r="AA1771" i="1"/>
  <c r="Z1771" i="1"/>
  <c r="AG1771" i="1" s="1"/>
  <c r="U1771" i="1"/>
  <c r="T1771" i="1"/>
  <c r="S1771" i="1"/>
  <c r="R1771" i="1"/>
  <c r="AF1771" i="1" s="1"/>
  <c r="Q1771" i="1"/>
  <c r="O1771" i="1"/>
  <c r="AD1771" i="1" s="1"/>
  <c r="M1771" i="1"/>
  <c r="K1771" i="1"/>
  <c r="V1771" i="1" s="1"/>
  <c r="AH1770" i="1"/>
  <c r="AG1770" i="1"/>
  <c r="AE1770" i="1"/>
  <c r="AD1770" i="1"/>
  <c r="AA1770" i="1"/>
  <c r="Z1770" i="1"/>
  <c r="U1770" i="1"/>
  <c r="T1770" i="1"/>
  <c r="S1770" i="1"/>
  <c r="Q1770" i="1"/>
  <c r="R1770" i="1" s="1"/>
  <c r="AF1770" i="1" s="1"/>
  <c r="O1770" i="1"/>
  <c r="M1770" i="1"/>
  <c r="K1770" i="1"/>
  <c r="V1770" i="1" s="1"/>
  <c r="AH1769" i="1"/>
  <c r="AG1769" i="1"/>
  <c r="AE1769" i="1"/>
  <c r="AA1769" i="1"/>
  <c r="Z1769" i="1"/>
  <c r="U1769" i="1"/>
  <c r="T1769" i="1"/>
  <c r="S1769" i="1"/>
  <c r="R1769" i="1"/>
  <c r="AF1769" i="1" s="1"/>
  <c r="Q1769" i="1"/>
  <c r="O1769" i="1"/>
  <c r="AD1769" i="1" s="1"/>
  <c r="M1769" i="1"/>
  <c r="K1769" i="1"/>
  <c r="V1769" i="1" s="1"/>
  <c r="AH1768" i="1"/>
  <c r="AF1768" i="1"/>
  <c r="AE1768" i="1"/>
  <c r="AD1768" i="1"/>
  <c r="AI1768" i="1" s="1"/>
  <c r="AA1768" i="1"/>
  <c r="Z1768" i="1"/>
  <c r="AG1768" i="1" s="1"/>
  <c r="U1768" i="1"/>
  <c r="T1768" i="1"/>
  <c r="S1768" i="1"/>
  <c r="R1768" i="1"/>
  <c r="Q1768" i="1"/>
  <c r="O1768" i="1"/>
  <c r="M1768" i="1"/>
  <c r="K1768" i="1"/>
  <c r="V1768" i="1" s="1"/>
  <c r="AH1767" i="1"/>
  <c r="AG1767" i="1"/>
  <c r="AE1767" i="1"/>
  <c r="AA1767" i="1"/>
  <c r="Z1767" i="1"/>
  <c r="U1767" i="1"/>
  <c r="T1767" i="1"/>
  <c r="S1767" i="1"/>
  <c r="R1767" i="1"/>
  <c r="AF1767" i="1" s="1"/>
  <c r="Q1767" i="1"/>
  <c r="O1767" i="1"/>
  <c r="AD1767" i="1" s="1"/>
  <c r="M1767" i="1"/>
  <c r="K1767" i="1"/>
  <c r="V1767" i="1" s="1"/>
  <c r="AH1766" i="1"/>
  <c r="AE1766" i="1"/>
  <c r="AA1766" i="1"/>
  <c r="Z1766" i="1"/>
  <c r="AG1766" i="1" s="1"/>
  <c r="U1766" i="1"/>
  <c r="T1766" i="1"/>
  <c r="S1766" i="1"/>
  <c r="Q1766" i="1"/>
  <c r="R1766" i="1" s="1"/>
  <c r="AF1766" i="1" s="1"/>
  <c r="O1766" i="1"/>
  <c r="AD1766" i="1" s="1"/>
  <c r="M1766" i="1"/>
  <c r="K1766" i="1"/>
  <c r="V1766" i="1" s="1"/>
  <c r="AH1765" i="1"/>
  <c r="AG1765" i="1"/>
  <c r="AE1765" i="1"/>
  <c r="AD1765" i="1"/>
  <c r="AI1765" i="1" s="1"/>
  <c r="AA1765" i="1"/>
  <c r="Z1765" i="1"/>
  <c r="U1765" i="1"/>
  <c r="T1765" i="1"/>
  <c r="S1765" i="1"/>
  <c r="Q1765" i="1"/>
  <c r="R1765" i="1" s="1"/>
  <c r="AF1765" i="1" s="1"/>
  <c r="O1765" i="1"/>
  <c r="M1765" i="1"/>
  <c r="K1765" i="1"/>
  <c r="V1765" i="1" s="1"/>
  <c r="AH1764" i="1"/>
  <c r="AE1764" i="1"/>
  <c r="AD1764" i="1"/>
  <c r="AI1764" i="1" s="1"/>
  <c r="AA1764" i="1"/>
  <c r="Z1764" i="1"/>
  <c r="AG1764" i="1" s="1"/>
  <c r="U1764" i="1"/>
  <c r="T1764" i="1"/>
  <c r="S1764" i="1"/>
  <c r="Q1764" i="1"/>
  <c r="R1764" i="1" s="1"/>
  <c r="AF1764" i="1" s="1"/>
  <c r="O1764" i="1"/>
  <c r="M1764" i="1"/>
  <c r="K1764" i="1"/>
  <c r="V1764" i="1" s="1"/>
  <c r="AH1763" i="1"/>
  <c r="AE1763" i="1"/>
  <c r="AA1763" i="1"/>
  <c r="Z1763" i="1"/>
  <c r="AG1763" i="1" s="1"/>
  <c r="V1763" i="1"/>
  <c r="U1763" i="1"/>
  <c r="T1763" i="1"/>
  <c r="S1763" i="1"/>
  <c r="R1763" i="1"/>
  <c r="AF1763" i="1" s="1"/>
  <c r="O1763" i="1"/>
  <c r="AD1763" i="1" s="1"/>
  <c r="AI1763" i="1" s="1"/>
  <c r="M1763" i="1"/>
  <c r="K1763" i="1"/>
  <c r="AH1762" i="1"/>
  <c r="AE1762" i="1"/>
  <c r="AA1762" i="1"/>
  <c r="Z1762" i="1"/>
  <c r="AG1762" i="1" s="1"/>
  <c r="U1762" i="1"/>
  <c r="T1762" i="1"/>
  <c r="S1762" i="1"/>
  <c r="R1762" i="1"/>
  <c r="AF1762" i="1" s="1"/>
  <c r="O1762" i="1"/>
  <c r="AD1762" i="1" s="1"/>
  <c r="AI1762" i="1" s="1"/>
  <c r="M1762" i="1"/>
  <c r="K1762" i="1"/>
  <c r="V1762" i="1" s="1"/>
  <c r="AH1761" i="1"/>
  <c r="AG1761" i="1"/>
  <c r="AE1761" i="1"/>
  <c r="AA1761" i="1"/>
  <c r="Z1761" i="1"/>
  <c r="U1761" i="1"/>
  <c r="T1761" i="1"/>
  <c r="S1761" i="1"/>
  <c r="R1761" i="1"/>
  <c r="AF1761" i="1" s="1"/>
  <c r="O1761" i="1"/>
  <c r="AD1761" i="1" s="1"/>
  <c r="AI1761" i="1" s="1"/>
  <c r="M1761" i="1"/>
  <c r="K1761" i="1"/>
  <c r="V1761" i="1" s="1"/>
  <c r="AH1760" i="1"/>
  <c r="AE1760" i="1"/>
  <c r="AA1760" i="1"/>
  <c r="Z1760" i="1"/>
  <c r="AG1760" i="1" s="1"/>
  <c r="V1760" i="1"/>
  <c r="U1760" i="1"/>
  <c r="T1760" i="1"/>
  <c r="S1760" i="1"/>
  <c r="R1760" i="1"/>
  <c r="AF1760" i="1" s="1"/>
  <c r="O1760" i="1"/>
  <c r="AD1760" i="1" s="1"/>
  <c r="M1760" i="1"/>
  <c r="AH1759" i="1"/>
  <c r="AF1759" i="1"/>
  <c r="AE1759" i="1"/>
  <c r="AA1759" i="1"/>
  <c r="Z1759" i="1"/>
  <c r="AG1759" i="1" s="1"/>
  <c r="V1759" i="1"/>
  <c r="U1759" i="1"/>
  <c r="T1759" i="1"/>
  <c r="S1759" i="1"/>
  <c r="R1759" i="1"/>
  <c r="O1759" i="1"/>
  <c r="AD1759" i="1" s="1"/>
  <c r="AI1759" i="1" s="1"/>
  <c r="M1759" i="1"/>
  <c r="AH1758" i="1"/>
  <c r="AG1758" i="1"/>
  <c r="AE1758" i="1"/>
  <c r="AD1758" i="1"/>
  <c r="AA1758" i="1"/>
  <c r="Z1758" i="1"/>
  <c r="U1758" i="1"/>
  <c r="T1758" i="1"/>
  <c r="S1758" i="1"/>
  <c r="R1758" i="1"/>
  <c r="AF1758" i="1" s="1"/>
  <c r="Q1758" i="1"/>
  <c r="O1758" i="1"/>
  <c r="M1758" i="1"/>
  <c r="K1758" i="1"/>
  <c r="V1758" i="1" s="1"/>
  <c r="AH1757" i="1"/>
  <c r="AE1757" i="1"/>
  <c r="AD1757" i="1"/>
  <c r="AI1757" i="1" s="1"/>
  <c r="AA1757" i="1"/>
  <c r="Z1757" i="1"/>
  <c r="AG1757" i="1" s="1"/>
  <c r="U1757" i="1"/>
  <c r="T1757" i="1"/>
  <c r="S1757" i="1"/>
  <c r="R1757" i="1"/>
  <c r="AF1757" i="1" s="1"/>
  <c r="Q1757" i="1"/>
  <c r="O1757" i="1"/>
  <c r="M1757" i="1"/>
  <c r="K1757" i="1"/>
  <c r="V1757" i="1" s="1"/>
  <c r="AH1756" i="1"/>
  <c r="AE1756" i="1"/>
  <c r="AA1756" i="1"/>
  <c r="Z1756" i="1"/>
  <c r="AG1756" i="1" s="1"/>
  <c r="U1756" i="1"/>
  <c r="T1756" i="1"/>
  <c r="S1756" i="1"/>
  <c r="R1756" i="1"/>
  <c r="AF1756" i="1" s="1"/>
  <c r="Q1756" i="1"/>
  <c r="O1756" i="1"/>
  <c r="AD1756" i="1" s="1"/>
  <c r="M1756" i="1"/>
  <c r="K1756" i="1"/>
  <c r="V1756" i="1" s="1"/>
  <c r="AH1755" i="1"/>
  <c r="AE1755" i="1"/>
  <c r="AA1755" i="1"/>
  <c r="Z1755" i="1"/>
  <c r="AG1755" i="1" s="1"/>
  <c r="U1755" i="1"/>
  <c r="T1755" i="1"/>
  <c r="S1755" i="1"/>
  <c r="Q1755" i="1"/>
  <c r="R1755" i="1" s="1"/>
  <c r="AF1755" i="1" s="1"/>
  <c r="O1755" i="1"/>
  <c r="AD1755" i="1" s="1"/>
  <c r="M1755" i="1"/>
  <c r="K1755" i="1"/>
  <c r="V1755" i="1" s="1"/>
  <c r="AH1754" i="1"/>
  <c r="AG1754" i="1"/>
  <c r="AE1754" i="1"/>
  <c r="AA1754" i="1"/>
  <c r="Z1754" i="1"/>
  <c r="U1754" i="1"/>
  <c r="T1754" i="1"/>
  <c r="S1754" i="1"/>
  <c r="Q1754" i="1"/>
  <c r="R1754" i="1" s="1"/>
  <c r="AF1754" i="1" s="1"/>
  <c r="O1754" i="1"/>
  <c r="AD1754" i="1" s="1"/>
  <c r="M1754" i="1"/>
  <c r="K1754" i="1"/>
  <c r="V1754" i="1" s="1"/>
  <c r="AH1753" i="1"/>
  <c r="AE1753" i="1"/>
  <c r="AD1753" i="1"/>
  <c r="AA1753" i="1"/>
  <c r="Z1753" i="1"/>
  <c r="AG1753" i="1" s="1"/>
  <c r="U1753" i="1"/>
  <c r="T1753" i="1"/>
  <c r="S1753" i="1"/>
  <c r="Q1753" i="1"/>
  <c r="R1753" i="1" s="1"/>
  <c r="AF1753" i="1" s="1"/>
  <c r="O1753" i="1"/>
  <c r="M1753" i="1"/>
  <c r="K1753" i="1"/>
  <c r="V1753" i="1" s="1"/>
  <c r="AH1752" i="1"/>
  <c r="AE1752" i="1"/>
  <c r="AA1752" i="1"/>
  <c r="Z1752" i="1"/>
  <c r="AG1752" i="1" s="1"/>
  <c r="U1752" i="1"/>
  <c r="T1752" i="1"/>
  <c r="S1752" i="1"/>
  <c r="R1752" i="1"/>
  <c r="AF1752" i="1" s="1"/>
  <c r="Q1752" i="1"/>
  <c r="O1752" i="1"/>
  <c r="AD1752" i="1" s="1"/>
  <c r="M1752" i="1"/>
  <c r="K1752" i="1"/>
  <c r="V1752" i="1" s="1"/>
  <c r="AH1751" i="1"/>
  <c r="AG1751" i="1"/>
  <c r="AE1751" i="1"/>
  <c r="AD1751" i="1"/>
  <c r="AA1751" i="1"/>
  <c r="Z1751" i="1"/>
  <c r="U1751" i="1"/>
  <c r="T1751" i="1"/>
  <c r="S1751" i="1"/>
  <c r="Q1751" i="1"/>
  <c r="R1751" i="1" s="1"/>
  <c r="AF1751" i="1" s="1"/>
  <c r="O1751" i="1"/>
  <c r="M1751" i="1"/>
  <c r="K1751" i="1"/>
  <c r="V1751" i="1" s="1"/>
  <c r="AH1750" i="1"/>
  <c r="AG1750" i="1"/>
  <c r="AE1750" i="1"/>
  <c r="AD1750" i="1"/>
  <c r="AA1750" i="1"/>
  <c r="Z1750" i="1"/>
  <c r="U1750" i="1"/>
  <c r="T1750" i="1"/>
  <c r="S1750" i="1"/>
  <c r="R1750" i="1"/>
  <c r="AF1750" i="1" s="1"/>
  <c r="Q1750" i="1"/>
  <c r="O1750" i="1"/>
  <c r="M1750" i="1"/>
  <c r="K1750" i="1"/>
  <c r="V1750" i="1" s="1"/>
  <c r="AH1749" i="1"/>
  <c r="AE1749" i="1"/>
  <c r="AD1749" i="1"/>
  <c r="AI1749" i="1" s="1"/>
  <c r="AA1749" i="1"/>
  <c r="Z1749" i="1"/>
  <c r="AG1749" i="1" s="1"/>
  <c r="U1749" i="1"/>
  <c r="T1749" i="1"/>
  <c r="S1749" i="1"/>
  <c r="R1749" i="1"/>
  <c r="AF1749" i="1" s="1"/>
  <c r="Q1749" i="1"/>
  <c r="O1749" i="1"/>
  <c r="M1749" i="1"/>
  <c r="K1749" i="1"/>
  <c r="V1749" i="1" s="1"/>
  <c r="AH1748" i="1"/>
  <c r="AE1748" i="1"/>
  <c r="AA1748" i="1"/>
  <c r="Z1748" i="1"/>
  <c r="AG1748" i="1" s="1"/>
  <c r="U1748" i="1"/>
  <c r="T1748" i="1"/>
  <c r="S1748" i="1"/>
  <c r="R1748" i="1"/>
  <c r="AF1748" i="1" s="1"/>
  <c r="Q1748" i="1"/>
  <c r="O1748" i="1"/>
  <c r="AD1748" i="1" s="1"/>
  <c r="M1748" i="1"/>
  <c r="K1748" i="1"/>
  <c r="V1748" i="1" s="1"/>
  <c r="AH1747" i="1"/>
  <c r="AE1747" i="1"/>
  <c r="AA1747" i="1"/>
  <c r="Z1747" i="1"/>
  <c r="AG1747" i="1" s="1"/>
  <c r="U1747" i="1"/>
  <c r="T1747" i="1"/>
  <c r="S1747" i="1"/>
  <c r="Q1747" i="1"/>
  <c r="R1747" i="1" s="1"/>
  <c r="AF1747" i="1" s="1"/>
  <c r="O1747" i="1"/>
  <c r="AD1747" i="1" s="1"/>
  <c r="M1747" i="1"/>
  <c r="K1747" i="1"/>
  <c r="V1747" i="1" s="1"/>
  <c r="AH1746" i="1"/>
  <c r="AG1746" i="1"/>
  <c r="AE1746" i="1"/>
  <c r="AA1746" i="1"/>
  <c r="Z1746" i="1"/>
  <c r="V1746" i="1"/>
  <c r="U1746" i="1"/>
  <c r="T1746" i="1"/>
  <c r="S1746" i="1"/>
  <c r="R1746" i="1"/>
  <c r="AF1746" i="1" s="1"/>
  <c r="O1746" i="1"/>
  <c r="AD1746" i="1" s="1"/>
  <c r="M1746" i="1"/>
  <c r="AH1745" i="1"/>
  <c r="AF1745" i="1"/>
  <c r="AE1745" i="1"/>
  <c r="AA1745" i="1"/>
  <c r="Z1745" i="1"/>
  <c r="AG1745" i="1" s="1"/>
  <c r="V1745" i="1"/>
  <c r="U1745" i="1"/>
  <c r="T1745" i="1"/>
  <c r="S1745" i="1"/>
  <c r="R1745" i="1"/>
  <c r="O1745" i="1"/>
  <c r="AD1745" i="1" s="1"/>
  <c r="M1745" i="1"/>
  <c r="AH1744" i="1"/>
  <c r="AE1744" i="1"/>
  <c r="AA1744" i="1"/>
  <c r="Z1744" i="1"/>
  <c r="AG1744" i="1" s="1"/>
  <c r="V1744" i="1"/>
  <c r="U1744" i="1"/>
  <c r="T1744" i="1"/>
  <c r="S1744" i="1"/>
  <c r="R1744" i="1"/>
  <c r="AF1744" i="1" s="1"/>
  <c r="O1744" i="1"/>
  <c r="AD1744" i="1" s="1"/>
  <c r="M1744" i="1"/>
  <c r="AH1743" i="1"/>
  <c r="AF1743" i="1"/>
  <c r="AE1743" i="1"/>
  <c r="AA1743" i="1"/>
  <c r="Z1743" i="1"/>
  <c r="AG1743" i="1" s="1"/>
  <c r="V1743" i="1"/>
  <c r="U1743" i="1"/>
  <c r="T1743" i="1"/>
  <c r="S1743" i="1"/>
  <c r="R1743" i="1"/>
  <c r="O1743" i="1"/>
  <c r="AD1743" i="1" s="1"/>
  <c r="M1743" i="1"/>
  <c r="AH1742" i="1"/>
  <c r="AE1742" i="1"/>
  <c r="AI1742" i="1" s="1"/>
  <c r="AA1742" i="1"/>
  <c r="Z1742" i="1"/>
  <c r="AG1742" i="1" s="1"/>
  <c r="U1742" i="1"/>
  <c r="T1742" i="1"/>
  <c r="S1742" i="1"/>
  <c r="R1742" i="1"/>
  <c r="AF1742" i="1" s="1"/>
  <c r="Q1742" i="1"/>
  <c r="O1742" i="1"/>
  <c r="AD1742" i="1" s="1"/>
  <c r="M1742" i="1"/>
  <c r="K1742" i="1"/>
  <c r="V1742" i="1" s="1"/>
  <c r="AH1741" i="1"/>
  <c r="AE1741" i="1"/>
  <c r="AA1741" i="1"/>
  <c r="Z1741" i="1"/>
  <c r="AG1741" i="1" s="1"/>
  <c r="U1741" i="1"/>
  <c r="T1741" i="1"/>
  <c r="S1741" i="1"/>
  <c r="Q1741" i="1"/>
  <c r="R1741" i="1" s="1"/>
  <c r="AF1741" i="1" s="1"/>
  <c r="O1741" i="1"/>
  <c r="AD1741" i="1" s="1"/>
  <c r="M1741" i="1"/>
  <c r="K1741" i="1"/>
  <c r="V1741" i="1" s="1"/>
  <c r="AH1740" i="1"/>
  <c r="AG1740" i="1"/>
  <c r="AE1740" i="1"/>
  <c r="AA1740" i="1"/>
  <c r="Z1740" i="1"/>
  <c r="U1740" i="1"/>
  <c r="T1740" i="1"/>
  <c r="S1740" i="1"/>
  <c r="Q1740" i="1"/>
  <c r="R1740" i="1" s="1"/>
  <c r="AF1740" i="1" s="1"/>
  <c r="O1740" i="1"/>
  <c r="AD1740" i="1" s="1"/>
  <c r="M1740" i="1"/>
  <c r="K1740" i="1"/>
  <c r="V1740" i="1" s="1"/>
  <c r="AH1739" i="1"/>
  <c r="AE1739" i="1"/>
  <c r="AA1739" i="1"/>
  <c r="Z1739" i="1"/>
  <c r="AG1739" i="1" s="1"/>
  <c r="V1739" i="1"/>
  <c r="U1739" i="1"/>
  <c r="T1739" i="1"/>
  <c r="S1739" i="1"/>
  <c r="R1739" i="1"/>
  <c r="AF1739" i="1" s="1"/>
  <c r="O1739" i="1"/>
  <c r="AD1739" i="1" s="1"/>
  <c r="AI1739" i="1" s="1"/>
  <c r="M1739" i="1"/>
  <c r="AH1738" i="1"/>
  <c r="AG1738" i="1"/>
  <c r="AE1738" i="1"/>
  <c r="AA1738" i="1"/>
  <c r="Z1738" i="1"/>
  <c r="U1738" i="1"/>
  <c r="T1738" i="1"/>
  <c r="S1738" i="1"/>
  <c r="Q1738" i="1"/>
  <c r="R1738" i="1" s="1"/>
  <c r="AF1738" i="1" s="1"/>
  <c r="O1738" i="1"/>
  <c r="AD1738" i="1" s="1"/>
  <c r="M1738" i="1"/>
  <c r="K1738" i="1"/>
  <c r="V1738" i="1" s="1"/>
  <c r="AH1737" i="1"/>
  <c r="AE1737" i="1"/>
  <c r="AD1737" i="1"/>
  <c r="AA1737" i="1"/>
  <c r="Z1737" i="1"/>
  <c r="AG1737" i="1" s="1"/>
  <c r="U1737" i="1"/>
  <c r="T1737" i="1"/>
  <c r="S1737" i="1"/>
  <c r="Q1737" i="1"/>
  <c r="R1737" i="1" s="1"/>
  <c r="AF1737" i="1" s="1"/>
  <c r="O1737" i="1"/>
  <c r="M1737" i="1"/>
  <c r="K1737" i="1"/>
  <c r="V1737" i="1" s="1"/>
  <c r="AH1736" i="1"/>
  <c r="AE1736" i="1"/>
  <c r="AA1736" i="1"/>
  <c r="Z1736" i="1"/>
  <c r="AG1736" i="1" s="1"/>
  <c r="U1736" i="1"/>
  <c r="T1736" i="1"/>
  <c r="S1736" i="1"/>
  <c r="R1736" i="1"/>
  <c r="AF1736" i="1" s="1"/>
  <c r="Q1736" i="1"/>
  <c r="O1736" i="1"/>
  <c r="AD1736" i="1" s="1"/>
  <c r="AI1736" i="1" s="1"/>
  <c r="M1736" i="1"/>
  <c r="K1736" i="1"/>
  <c r="V1736" i="1" s="1"/>
  <c r="AH1735" i="1"/>
  <c r="AF1735" i="1"/>
  <c r="AE1735" i="1"/>
  <c r="AA1735" i="1"/>
  <c r="Z1735" i="1"/>
  <c r="AG1735" i="1" s="1"/>
  <c r="U1735" i="1"/>
  <c r="T1735" i="1"/>
  <c r="S1735" i="1"/>
  <c r="Q1735" i="1"/>
  <c r="R1735" i="1" s="1"/>
  <c r="O1735" i="1"/>
  <c r="AD1735" i="1" s="1"/>
  <c r="AI1735" i="1" s="1"/>
  <c r="M1735" i="1"/>
  <c r="K1735" i="1"/>
  <c r="V1735" i="1" s="1"/>
  <c r="AH1734" i="1"/>
  <c r="AG1734" i="1"/>
  <c r="AE1734" i="1"/>
  <c r="AA1734" i="1"/>
  <c r="Z1734" i="1"/>
  <c r="U1734" i="1"/>
  <c r="T1734" i="1"/>
  <c r="S1734" i="1"/>
  <c r="Q1734" i="1"/>
  <c r="R1734" i="1" s="1"/>
  <c r="AF1734" i="1" s="1"/>
  <c r="O1734" i="1"/>
  <c r="AD1734" i="1" s="1"/>
  <c r="AI1734" i="1" s="1"/>
  <c r="M1734" i="1"/>
  <c r="K1734" i="1"/>
  <c r="V1734" i="1" s="1"/>
  <c r="AH1733" i="1"/>
  <c r="AE1733" i="1"/>
  <c r="AD1733" i="1"/>
  <c r="AI1733" i="1" s="1"/>
  <c r="AA1733" i="1"/>
  <c r="Z1733" i="1"/>
  <c r="AG1733" i="1" s="1"/>
  <c r="U1733" i="1"/>
  <c r="T1733" i="1"/>
  <c r="S1733" i="1"/>
  <c r="Q1733" i="1"/>
  <c r="R1733" i="1" s="1"/>
  <c r="AF1733" i="1" s="1"/>
  <c r="O1733" i="1"/>
  <c r="M1733" i="1"/>
  <c r="K1733" i="1"/>
  <c r="V1733" i="1" s="1"/>
  <c r="AH1732" i="1"/>
  <c r="AE1732" i="1"/>
  <c r="AA1732" i="1"/>
  <c r="Z1732" i="1"/>
  <c r="AG1732" i="1" s="1"/>
  <c r="V1732" i="1"/>
  <c r="U1732" i="1"/>
  <c r="T1732" i="1"/>
  <c r="S1732" i="1"/>
  <c r="R1732" i="1"/>
  <c r="AF1732" i="1" s="1"/>
  <c r="O1732" i="1"/>
  <c r="AD1732" i="1" s="1"/>
  <c r="AI1732" i="1" s="1"/>
  <c r="AH1731" i="1"/>
  <c r="AG1731" i="1"/>
  <c r="AE1731" i="1"/>
  <c r="AA1731" i="1"/>
  <c r="Z1731" i="1"/>
  <c r="V1731" i="1"/>
  <c r="U1731" i="1"/>
  <c r="T1731" i="1"/>
  <c r="S1731" i="1"/>
  <c r="R1731" i="1"/>
  <c r="AF1731" i="1" s="1"/>
  <c r="O1731" i="1"/>
  <c r="AD1731" i="1" s="1"/>
  <c r="AI1731" i="1" s="1"/>
  <c r="AH1730" i="1"/>
  <c r="AE1730" i="1"/>
  <c r="AA1730" i="1"/>
  <c r="Z1730" i="1"/>
  <c r="AG1730" i="1" s="1"/>
  <c r="AI1730" i="1" s="1"/>
  <c r="V1730" i="1"/>
  <c r="U1730" i="1"/>
  <c r="T1730" i="1"/>
  <c r="S1730" i="1"/>
  <c r="R1730" i="1"/>
  <c r="AF1730" i="1" s="1"/>
  <c r="O1730" i="1"/>
  <c r="AD1730" i="1" s="1"/>
  <c r="AH1729" i="1"/>
  <c r="AG1729" i="1"/>
  <c r="AE1729" i="1"/>
  <c r="AA1729" i="1"/>
  <c r="Z1729" i="1"/>
  <c r="V1729" i="1"/>
  <c r="U1729" i="1"/>
  <c r="T1729" i="1"/>
  <c r="S1729" i="1"/>
  <c r="R1729" i="1"/>
  <c r="AF1729" i="1" s="1"/>
  <c r="O1729" i="1"/>
  <c r="AD1729" i="1" s="1"/>
  <c r="AH1728" i="1"/>
  <c r="AE1728" i="1"/>
  <c r="AA1728" i="1"/>
  <c r="Z1728" i="1"/>
  <c r="AG1728" i="1" s="1"/>
  <c r="V1728" i="1"/>
  <c r="U1728" i="1"/>
  <c r="T1728" i="1"/>
  <c r="S1728" i="1"/>
  <c r="R1728" i="1"/>
  <c r="AF1728" i="1" s="1"/>
  <c r="O1728" i="1"/>
  <c r="AD1728" i="1" s="1"/>
  <c r="AH1727" i="1"/>
  <c r="AG1727" i="1"/>
  <c r="AE1727" i="1"/>
  <c r="AA1727" i="1"/>
  <c r="Z1727" i="1"/>
  <c r="V1727" i="1"/>
  <c r="U1727" i="1"/>
  <c r="T1727" i="1"/>
  <c r="S1727" i="1"/>
  <c r="R1727" i="1"/>
  <c r="AF1727" i="1" s="1"/>
  <c r="O1727" i="1"/>
  <c r="AD1727" i="1" s="1"/>
  <c r="AI1727" i="1" s="1"/>
  <c r="AH1726" i="1"/>
  <c r="AE1726" i="1"/>
  <c r="AA1726" i="1"/>
  <c r="Z1726" i="1"/>
  <c r="AG1726" i="1" s="1"/>
  <c r="AI1726" i="1" s="1"/>
  <c r="V1726" i="1"/>
  <c r="U1726" i="1"/>
  <c r="T1726" i="1"/>
  <c r="S1726" i="1"/>
  <c r="R1726" i="1"/>
  <c r="AF1726" i="1" s="1"/>
  <c r="O1726" i="1"/>
  <c r="AD1726" i="1" s="1"/>
  <c r="M1726" i="1"/>
  <c r="AH1725" i="1"/>
  <c r="AE1725" i="1"/>
  <c r="AA1725" i="1"/>
  <c r="Z1725" i="1"/>
  <c r="AG1725" i="1" s="1"/>
  <c r="V1725" i="1"/>
  <c r="U1725" i="1"/>
  <c r="T1725" i="1"/>
  <c r="S1725" i="1"/>
  <c r="R1725" i="1"/>
  <c r="AF1725" i="1" s="1"/>
  <c r="O1725" i="1"/>
  <c r="AD1725" i="1" s="1"/>
  <c r="AI1725" i="1" s="1"/>
  <c r="AH1724" i="1"/>
  <c r="AF1724" i="1"/>
  <c r="AE1724" i="1"/>
  <c r="AA1724" i="1"/>
  <c r="Z1724" i="1"/>
  <c r="AG1724" i="1" s="1"/>
  <c r="V1724" i="1"/>
  <c r="U1724" i="1"/>
  <c r="T1724" i="1"/>
  <c r="S1724" i="1"/>
  <c r="R1724" i="1"/>
  <c r="O1724" i="1"/>
  <c r="AD1724" i="1" s="1"/>
  <c r="AH1723" i="1"/>
  <c r="AE1723" i="1"/>
  <c r="AA1723" i="1"/>
  <c r="Z1723" i="1"/>
  <c r="AG1723" i="1" s="1"/>
  <c r="V1723" i="1"/>
  <c r="U1723" i="1"/>
  <c r="T1723" i="1"/>
  <c r="S1723" i="1"/>
  <c r="R1723" i="1"/>
  <c r="AF1723" i="1" s="1"/>
  <c r="O1723" i="1"/>
  <c r="AD1723" i="1" s="1"/>
  <c r="AI1723" i="1" s="1"/>
  <c r="AH1722" i="1"/>
  <c r="AF1722" i="1"/>
  <c r="AE1722" i="1"/>
  <c r="AA1722" i="1"/>
  <c r="Z1722" i="1"/>
  <c r="AG1722" i="1" s="1"/>
  <c r="V1722" i="1"/>
  <c r="U1722" i="1"/>
  <c r="T1722" i="1"/>
  <c r="S1722" i="1"/>
  <c r="R1722" i="1"/>
  <c r="O1722" i="1"/>
  <c r="AD1722" i="1" s="1"/>
  <c r="AI1722" i="1" s="1"/>
  <c r="M1722" i="1"/>
  <c r="AH1721" i="1"/>
  <c r="AE1721" i="1"/>
  <c r="AA1721" i="1"/>
  <c r="Z1721" i="1"/>
  <c r="AG1721" i="1" s="1"/>
  <c r="V1721" i="1"/>
  <c r="U1721" i="1"/>
  <c r="T1721" i="1"/>
  <c r="S1721" i="1"/>
  <c r="R1721" i="1"/>
  <c r="AF1721" i="1" s="1"/>
  <c r="O1721" i="1"/>
  <c r="AD1721" i="1" s="1"/>
  <c r="AI1721" i="1" s="1"/>
  <c r="AH1720" i="1"/>
  <c r="AG1720" i="1"/>
  <c r="AE1720" i="1"/>
  <c r="AA1720" i="1"/>
  <c r="Z1720" i="1"/>
  <c r="V1720" i="1"/>
  <c r="U1720" i="1"/>
  <c r="T1720" i="1"/>
  <c r="S1720" i="1"/>
  <c r="R1720" i="1"/>
  <c r="AF1720" i="1" s="1"/>
  <c r="O1720" i="1"/>
  <c r="AD1720" i="1" s="1"/>
  <c r="AI1720" i="1" s="1"/>
  <c r="AH1719" i="1"/>
  <c r="AE1719" i="1"/>
  <c r="AA1719" i="1"/>
  <c r="Z1719" i="1"/>
  <c r="AG1719" i="1" s="1"/>
  <c r="AI1719" i="1" s="1"/>
  <c r="V1719" i="1"/>
  <c r="U1719" i="1"/>
  <c r="T1719" i="1"/>
  <c r="S1719" i="1"/>
  <c r="R1719" i="1"/>
  <c r="AF1719" i="1" s="1"/>
  <c r="O1719" i="1"/>
  <c r="AD1719" i="1" s="1"/>
  <c r="AH1718" i="1"/>
  <c r="AG1718" i="1"/>
  <c r="AE1718" i="1"/>
  <c r="AA1718" i="1"/>
  <c r="Z1718" i="1"/>
  <c r="V1718" i="1"/>
  <c r="U1718" i="1"/>
  <c r="T1718" i="1"/>
  <c r="S1718" i="1"/>
  <c r="R1718" i="1"/>
  <c r="AF1718" i="1" s="1"/>
  <c r="O1718" i="1"/>
  <c r="AD1718" i="1" s="1"/>
  <c r="AH1717" i="1"/>
  <c r="AE1717" i="1"/>
  <c r="AA1717" i="1"/>
  <c r="Z1717" i="1"/>
  <c r="AG1717" i="1" s="1"/>
  <c r="V1717" i="1"/>
  <c r="U1717" i="1"/>
  <c r="T1717" i="1"/>
  <c r="S1717" i="1"/>
  <c r="R1717" i="1"/>
  <c r="AF1717" i="1" s="1"/>
  <c r="O1717" i="1"/>
  <c r="AD1717" i="1" s="1"/>
  <c r="AI1717" i="1" s="1"/>
  <c r="AH1716" i="1"/>
  <c r="AG1716" i="1"/>
  <c r="AE1716" i="1"/>
  <c r="AA1716" i="1"/>
  <c r="Z1716" i="1"/>
  <c r="V1716" i="1"/>
  <c r="U1716" i="1"/>
  <c r="T1716" i="1"/>
  <c r="S1716" i="1"/>
  <c r="R1716" i="1"/>
  <c r="AF1716" i="1" s="1"/>
  <c r="O1716" i="1"/>
  <c r="AD1716" i="1" s="1"/>
  <c r="AI1716" i="1" s="1"/>
  <c r="AH1715" i="1"/>
  <c r="AE1715" i="1"/>
  <c r="AA1715" i="1"/>
  <c r="Z1715" i="1"/>
  <c r="AG1715" i="1" s="1"/>
  <c r="AI1715" i="1" s="1"/>
  <c r="V1715" i="1"/>
  <c r="U1715" i="1"/>
  <c r="T1715" i="1"/>
  <c r="S1715" i="1"/>
  <c r="R1715" i="1"/>
  <c r="AF1715" i="1" s="1"/>
  <c r="O1715" i="1"/>
  <c r="AD1715" i="1" s="1"/>
  <c r="AH1714" i="1"/>
  <c r="AG1714" i="1"/>
  <c r="AE1714" i="1"/>
  <c r="AA1714" i="1"/>
  <c r="Z1714" i="1"/>
  <c r="V1714" i="1"/>
  <c r="U1714" i="1"/>
  <c r="T1714" i="1"/>
  <c r="S1714" i="1"/>
  <c r="R1714" i="1"/>
  <c r="AF1714" i="1" s="1"/>
  <c r="O1714" i="1"/>
  <c r="AD1714" i="1" s="1"/>
  <c r="AH1713" i="1"/>
  <c r="AE1713" i="1"/>
  <c r="AA1713" i="1"/>
  <c r="Z1713" i="1"/>
  <c r="AG1713" i="1" s="1"/>
  <c r="V1713" i="1"/>
  <c r="U1713" i="1"/>
  <c r="T1713" i="1"/>
  <c r="S1713" i="1"/>
  <c r="R1713" i="1"/>
  <c r="AF1713" i="1" s="1"/>
  <c r="O1713" i="1"/>
  <c r="AD1713" i="1" s="1"/>
  <c r="AI1713" i="1" s="1"/>
  <c r="AH1712" i="1"/>
  <c r="AG1712" i="1"/>
  <c r="AE1712" i="1"/>
  <c r="AA1712" i="1"/>
  <c r="Z1712" i="1"/>
  <c r="V1712" i="1"/>
  <c r="U1712" i="1"/>
  <c r="T1712" i="1"/>
  <c r="S1712" i="1"/>
  <c r="R1712" i="1"/>
  <c r="AF1712" i="1" s="1"/>
  <c r="O1712" i="1"/>
  <c r="AD1712" i="1" s="1"/>
  <c r="AH1711" i="1"/>
  <c r="AE1711" i="1"/>
  <c r="AA1711" i="1"/>
  <c r="Z1711" i="1"/>
  <c r="AG1711" i="1" s="1"/>
  <c r="AI1711" i="1" s="1"/>
  <c r="V1711" i="1"/>
  <c r="U1711" i="1"/>
  <c r="T1711" i="1"/>
  <c r="S1711" i="1"/>
  <c r="R1711" i="1"/>
  <c r="AF1711" i="1" s="1"/>
  <c r="O1711" i="1"/>
  <c r="AD1711" i="1" s="1"/>
  <c r="AH1710" i="1"/>
  <c r="AG1710" i="1"/>
  <c r="AE1710" i="1"/>
  <c r="AA1710" i="1"/>
  <c r="Z1710" i="1"/>
  <c r="V1710" i="1"/>
  <c r="U1710" i="1"/>
  <c r="T1710" i="1"/>
  <c r="S1710" i="1"/>
  <c r="R1710" i="1"/>
  <c r="AF1710" i="1" s="1"/>
  <c r="O1710" i="1"/>
  <c r="AD1710" i="1" s="1"/>
  <c r="AH1709" i="1"/>
  <c r="AE1709" i="1"/>
  <c r="AA1709" i="1"/>
  <c r="Z1709" i="1"/>
  <c r="AG1709" i="1" s="1"/>
  <c r="V1709" i="1"/>
  <c r="U1709" i="1"/>
  <c r="T1709" i="1"/>
  <c r="S1709" i="1"/>
  <c r="R1709" i="1"/>
  <c r="AF1709" i="1" s="1"/>
  <c r="O1709" i="1"/>
  <c r="AD1709" i="1" s="1"/>
  <c r="AI1709" i="1" s="1"/>
  <c r="M1709" i="1"/>
  <c r="AH1708" i="1"/>
  <c r="AE1708" i="1"/>
  <c r="AA1708" i="1"/>
  <c r="Z1708" i="1"/>
  <c r="AG1708" i="1" s="1"/>
  <c r="V1708" i="1"/>
  <c r="U1708" i="1"/>
  <c r="T1708" i="1"/>
  <c r="S1708" i="1"/>
  <c r="R1708" i="1"/>
  <c r="AF1708" i="1" s="1"/>
  <c r="O1708" i="1"/>
  <c r="AD1708" i="1" s="1"/>
  <c r="AI1708" i="1" s="1"/>
  <c r="AH1707" i="1"/>
  <c r="AF1707" i="1"/>
  <c r="AE1707" i="1"/>
  <c r="AA1707" i="1"/>
  <c r="Z1707" i="1"/>
  <c r="AG1707" i="1" s="1"/>
  <c r="V1707" i="1"/>
  <c r="U1707" i="1"/>
  <c r="T1707" i="1"/>
  <c r="S1707" i="1"/>
  <c r="R1707" i="1"/>
  <c r="O1707" i="1"/>
  <c r="AD1707" i="1" s="1"/>
  <c r="AH1706" i="1"/>
  <c r="AE1706" i="1"/>
  <c r="AA1706" i="1"/>
  <c r="Z1706" i="1"/>
  <c r="AG1706" i="1" s="1"/>
  <c r="V1706" i="1"/>
  <c r="U1706" i="1"/>
  <c r="T1706" i="1"/>
  <c r="S1706" i="1"/>
  <c r="R1706" i="1"/>
  <c r="AF1706" i="1" s="1"/>
  <c r="O1706" i="1"/>
  <c r="AD1706" i="1" s="1"/>
  <c r="AH1705" i="1"/>
  <c r="AF1705" i="1"/>
  <c r="AE1705" i="1"/>
  <c r="AA1705" i="1"/>
  <c r="Z1705" i="1"/>
  <c r="AG1705" i="1" s="1"/>
  <c r="V1705" i="1"/>
  <c r="U1705" i="1"/>
  <c r="T1705" i="1"/>
  <c r="S1705" i="1"/>
  <c r="R1705" i="1"/>
  <c r="O1705" i="1"/>
  <c r="AD1705" i="1" s="1"/>
  <c r="AH1704" i="1"/>
  <c r="AE1704" i="1"/>
  <c r="AA1704" i="1"/>
  <c r="Z1704" i="1"/>
  <c r="AG1704" i="1" s="1"/>
  <c r="V1704" i="1"/>
  <c r="U1704" i="1"/>
  <c r="T1704" i="1"/>
  <c r="S1704" i="1"/>
  <c r="R1704" i="1"/>
  <c r="AF1704" i="1" s="1"/>
  <c r="O1704" i="1"/>
  <c r="AD1704" i="1" s="1"/>
  <c r="AI1704" i="1" s="1"/>
  <c r="AH1703" i="1"/>
  <c r="AF1703" i="1"/>
  <c r="AE1703" i="1"/>
  <c r="AA1703" i="1"/>
  <c r="Z1703" i="1"/>
  <c r="AG1703" i="1" s="1"/>
  <c r="V1703" i="1"/>
  <c r="U1703" i="1"/>
  <c r="T1703" i="1"/>
  <c r="S1703" i="1"/>
  <c r="R1703" i="1"/>
  <c r="O1703" i="1"/>
  <c r="AD1703" i="1" s="1"/>
  <c r="AH1702" i="1"/>
  <c r="AE1702" i="1"/>
  <c r="AA1702" i="1"/>
  <c r="Z1702" i="1"/>
  <c r="AG1702" i="1" s="1"/>
  <c r="V1702" i="1"/>
  <c r="U1702" i="1"/>
  <c r="T1702" i="1"/>
  <c r="S1702" i="1"/>
  <c r="R1702" i="1"/>
  <c r="AF1702" i="1" s="1"/>
  <c r="O1702" i="1"/>
  <c r="AD1702" i="1" s="1"/>
  <c r="AH1701" i="1"/>
  <c r="AF1701" i="1"/>
  <c r="AE1701" i="1"/>
  <c r="AA1701" i="1"/>
  <c r="Z1701" i="1"/>
  <c r="AG1701" i="1" s="1"/>
  <c r="V1701" i="1"/>
  <c r="U1701" i="1"/>
  <c r="T1701" i="1"/>
  <c r="S1701" i="1"/>
  <c r="R1701" i="1"/>
  <c r="O1701" i="1"/>
  <c r="AD1701" i="1" s="1"/>
  <c r="AH1700" i="1"/>
  <c r="AE1700" i="1"/>
  <c r="AA1700" i="1"/>
  <c r="Z1700" i="1"/>
  <c r="AG1700" i="1" s="1"/>
  <c r="V1700" i="1"/>
  <c r="U1700" i="1"/>
  <c r="T1700" i="1"/>
  <c r="S1700" i="1"/>
  <c r="R1700" i="1"/>
  <c r="AF1700" i="1" s="1"/>
  <c r="O1700" i="1"/>
  <c r="AD1700" i="1" s="1"/>
  <c r="AI1700" i="1" s="1"/>
  <c r="AH1699" i="1"/>
  <c r="AF1699" i="1"/>
  <c r="AE1699" i="1"/>
  <c r="AA1699" i="1"/>
  <c r="Z1699" i="1"/>
  <c r="AG1699" i="1" s="1"/>
  <c r="V1699" i="1"/>
  <c r="U1699" i="1"/>
  <c r="T1699" i="1"/>
  <c r="S1699" i="1"/>
  <c r="R1699" i="1"/>
  <c r="O1699" i="1"/>
  <c r="AD1699" i="1" s="1"/>
  <c r="AH1698" i="1"/>
  <c r="AE1698" i="1"/>
  <c r="AA1698" i="1"/>
  <c r="Z1698" i="1"/>
  <c r="AG1698" i="1" s="1"/>
  <c r="V1698" i="1"/>
  <c r="U1698" i="1"/>
  <c r="T1698" i="1"/>
  <c r="S1698" i="1"/>
  <c r="R1698" i="1"/>
  <c r="AF1698" i="1" s="1"/>
  <c r="O1698" i="1"/>
  <c r="AD1698" i="1" s="1"/>
  <c r="AI1698" i="1" s="1"/>
  <c r="AH1697" i="1"/>
  <c r="AF1697" i="1"/>
  <c r="AE1697" i="1"/>
  <c r="AA1697" i="1"/>
  <c r="Z1697" i="1"/>
  <c r="AG1697" i="1" s="1"/>
  <c r="V1697" i="1"/>
  <c r="U1697" i="1"/>
  <c r="T1697" i="1"/>
  <c r="S1697" i="1"/>
  <c r="R1697" i="1"/>
  <c r="O1697" i="1"/>
  <c r="AD1697" i="1" s="1"/>
  <c r="AH1696" i="1"/>
  <c r="AE1696" i="1"/>
  <c r="AA1696" i="1"/>
  <c r="Z1696" i="1"/>
  <c r="AG1696" i="1" s="1"/>
  <c r="V1696" i="1"/>
  <c r="U1696" i="1"/>
  <c r="T1696" i="1"/>
  <c r="S1696" i="1"/>
  <c r="R1696" i="1"/>
  <c r="AF1696" i="1" s="1"/>
  <c r="O1696" i="1"/>
  <c r="AD1696" i="1" s="1"/>
  <c r="AI1696" i="1" s="1"/>
  <c r="AH1695" i="1"/>
  <c r="AF1695" i="1"/>
  <c r="AE1695" i="1"/>
  <c r="AA1695" i="1"/>
  <c r="Z1695" i="1"/>
  <c r="AG1695" i="1" s="1"/>
  <c r="V1695" i="1"/>
  <c r="U1695" i="1"/>
  <c r="T1695" i="1"/>
  <c r="S1695" i="1"/>
  <c r="R1695" i="1"/>
  <c r="O1695" i="1"/>
  <c r="AD1695" i="1" s="1"/>
  <c r="AH1694" i="1"/>
  <c r="AE1694" i="1"/>
  <c r="AA1694" i="1"/>
  <c r="Z1694" i="1"/>
  <c r="AG1694" i="1" s="1"/>
  <c r="V1694" i="1"/>
  <c r="U1694" i="1"/>
  <c r="T1694" i="1"/>
  <c r="S1694" i="1"/>
  <c r="R1694" i="1"/>
  <c r="AF1694" i="1" s="1"/>
  <c r="O1694" i="1"/>
  <c r="AD1694" i="1" s="1"/>
  <c r="AH1693" i="1"/>
  <c r="AF1693" i="1"/>
  <c r="AE1693" i="1"/>
  <c r="AA1693" i="1"/>
  <c r="Z1693" i="1"/>
  <c r="AG1693" i="1" s="1"/>
  <c r="V1693" i="1"/>
  <c r="U1693" i="1"/>
  <c r="T1693" i="1"/>
  <c r="S1693" i="1"/>
  <c r="R1693" i="1"/>
  <c r="O1693" i="1"/>
  <c r="AD1693" i="1" s="1"/>
  <c r="AH1692" i="1"/>
  <c r="AE1692" i="1"/>
  <c r="AA1692" i="1"/>
  <c r="Z1692" i="1"/>
  <c r="AG1692" i="1" s="1"/>
  <c r="V1692" i="1"/>
  <c r="U1692" i="1"/>
  <c r="T1692" i="1"/>
  <c r="S1692" i="1"/>
  <c r="R1692" i="1"/>
  <c r="AF1692" i="1" s="1"/>
  <c r="O1692" i="1"/>
  <c r="AD1692" i="1" s="1"/>
  <c r="AI1692" i="1" s="1"/>
  <c r="AH1691" i="1"/>
  <c r="AF1691" i="1"/>
  <c r="AE1691" i="1"/>
  <c r="AA1691" i="1"/>
  <c r="Z1691" i="1"/>
  <c r="AG1691" i="1" s="1"/>
  <c r="V1691" i="1"/>
  <c r="U1691" i="1"/>
  <c r="T1691" i="1"/>
  <c r="S1691" i="1"/>
  <c r="R1691" i="1"/>
  <c r="O1691" i="1"/>
  <c r="AD1691" i="1" s="1"/>
  <c r="AH1690" i="1"/>
  <c r="AE1690" i="1"/>
  <c r="AA1690" i="1"/>
  <c r="Z1690" i="1"/>
  <c r="AG1690" i="1" s="1"/>
  <c r="V1690" i="1"/>
  <c r="U1690" i="1"/>
  <c r="T1690" i="1"/>
  <c r="S1690" i="1"/>
  <c r="R1690" i="1"/>
  <c r="AF1690" i="1" s="1"/>
  <c r="O1690" i="1"/>
  <c r="AD1690" i="1" s="1"/>
  <c r="AH1689" i="1"/>
  <c r="AF1689" i="1"/>
  <c r="AE1689" i="1"/>
  <c r="AA1689" i="1"/>
  <c r="Z1689" i="1"/>
  <c r="AG1689" i="1" s="1"/>
  <c r="V1689" i="1"/>
  <c r="U1689" i="1"/>
  <c r="T1689" i="1"/>
  <c r="S1689" i="1"/>
  <c r="R1689" i="1"/>
  <c r="O1689" i="1"/>
  <c r="AD1689" i="1" s="1"/>
  <c r="AH1688" i="1"/>
  <c r="AE1688" i="1"/>
  <c r="AA1688" i="1"/>
  <c r="Z1688" i="1"/>
  <c r="AG1688" i="1" s="1"/>
  <c r="V1688" i="1"/>
  <c r="U1688" i="1"/>
  <c r="T1688" i="1"/>
  <c r="S1688" i="1"/>
  <c r="R1688" i="1"/>
  <c r="AF1688" i="1" s="1"/>
  <c r="O1688" i="1"/>
  <c r="AD1688" i="1" s="1"/>
  <c r="AI1688" i="1" s="1"/>
  <c r="AH1687" i="1"/>
  <c r="AF1687" i="1"/>
  <c r="AE1687" i="1"/>
  <c r="AA1687" i="1"/>
  <c r="Z1687" i="1"/>
  <c r="AG1687" i="1" s="1"/>
  <c r="V1687" i="1"/>
  <c r="U1687" i="1"/>
  <c r="T1687" i="1"/>
  <c r="S1687" i="1"/>
  <c r="R1687" i="1"/>
  <c r="O1687" i="1"/>
  <c r="AD1687" i="1" s="1"/>
  <c r="AH1686" i="1"/>
  <c r="AE1686" i="1"/>
  <c r="AA1686" i="1"/>
  <c r="Z1686" i="1"/>
  <c r="AG1686" i="1" s="1"/>
  <c r="V1686" i="1"/>
  <c r="U1686" i="1"/>
  <c r="T1686" i="1"/>
  <c r="S1686" i="1"/>
  <c r="R1686" i="1"/>
  <c r="AF1686" i="1" s="1"/>
  <c r="O1686" i="1"/>
  <c r="AD1686" i="1" s="1"/>
  <c r="AH1685" i="1"/>
  <c r="AF1685" i="1"/>
  <c r="AE1685" i="1"/>
  <c r="AA1685" i="1"/>
  <c r="Z1685" i="1"/>
  <c r="AG1685" i="1" s="1"/>
  <c r="V1685" i="1"/>
  <c r="U1685" i="1"/>
  <c r="T1685" i="1"/>
  <c r="S1685" i="1"/>
  <c r="R1685" i="1"/>
  <c r="O1685" i="1"/>
  <c r="AD1685" i="1" s="1"/>
  <c r="AH1684" i="1"/>
  <c r="AE1684" i="1"/>
  <c r="AA1684" i="1"/>
  <c r="Z1684" i="1"/>
  <c r="AG1684" i="1" s="1"/>
  <c r="V1684" i="1"/>
  <c r="U1684" i="1"/>
  <c r="T1684" i="1"/>
  <c r="S1684" i="1"/>
  <c r="R1684" i="1"/>
  <c r="AF1684" i="1" s="1"/>
  <c r="O1684" i="1"/>
  <c r="AD1684" i="1" s="1"/>
  <c r="AI1684" i="1" s="1"/>
  <c r="AH1683" i="1"/>
  <c r="AF1683" i="1"/>
  <c r="AE1683" i="1"/>
  <c r="AA1683" i="1"/>
  <c r="Z1683" i="1"/>
  <c r="AG1683" i="1" s="1"/>
  <c r="V1683" i="1"/>
  <c r="U1683" i="1"/>
  <c r="T1683" i="1"/>
  <c r="S1683" i="1"/>
  <c r="R1683" i="1"/>
  <c r="O1683" i="1"/>
  <c r="AD1683" i="1" s="1"/>
  <c r="AH1682" i="1"/>
  <c r="AE1682" i="1"/>
  <c r="AA1682" i="1"/>
  <c r="Z1682" i="1"/>
  <c r="AG1682" i="1" s="1"/>
  <c r="V1682" i="1"/>
  <c r="U1682" i="1"/>
  <c r="T1682" i="1"/>
  <c r="S1682" i="1"/>
  <c r="R1682" i="1"/>
  <c r="AF1682" i="1" s="1"/>
  <c r="O1682" i="1"/>
  <c r="AD1682" i="1" s="1"/>
  <c r="AI1682" i="1" s="1"/>
  <c r="AH1681" i="1"/>
  <c r="AF1681" i="1"/>
  <c r="AE1681" i="1"/>
  <c r="AA1681" i="1"/>
  <c r="Z1681" i="1"/>
  <c r="AG1681" i="1" s="1"/>
  <c r="V1681" i="1"/>
  <c r="U1681" i="1"/>
  <c r="T1681" i="1"/>
  <c r="S1681" i="1"/>
  <c r="R1681" i="1"/>
  <c r="O1681" i="1"/>
  <c r="AD1681" i="1" s="1"/>
  <c r="AH1680" i="1"/>
  <c r="AE1680" i="1"/>
  <c r="AA1680" i="1"/>
  <c r="Z1680" i="1"/>
  <c r="AG1680" i="1" s="1"/>
  <c r="V1680" i="1"/>
  <c r="U1680" i="1"/>
  <c r="T1680" i="1"/>
  <c r="S1680" i="1"/>
  <c r="R1680" i="1"/>
  <c r="AF1680" i="1" s="1"/>
  <c r="O1680" i="1"/>
  <c r="AD1680" i="1" s="1"/>
  <c r="AI1680" i="1" s="1"/>
  <c r="AH1679" i="1"/>
  <c r="AF1679" i="1"/>
  <c r="AE1679" i="1"/>
  <c r="AA1679" i="1"/>
  <c r="Z1679" i="1"/>
  <c r="AG1679" i="1" s="1"/>
  <c r="V1679" i="1"/>
  <c r="U1679" i="1"/>
  <c r="T1679" i="1"/>
  <c r="S1679" i="1"/>
  <c r="R1679" i="1"/>
  <c r="O1679" i="1"/>
  <c r="AD1679" i="1" s="1"/>
  <c r="AH1678" i="1"/>
  <c r="AE1678" i="1"/>
  <c r="AA1678" i="1"/>
  <c r="Z1678" i="1"/>
  <c r="AG1678" i="1" s="1"/>
  <c r="V1678" i="1"/>
  <c r="U1678" i="1"/>
  <c r="T1678" i="1"/>
  <c r="S1678" i="1"/>
  <c r="R1678" i="1"/>
  <c r="AF1678" i="1" s="1"/>
  <c r="O1678" i="1"/>
  <c r="AD1678" i="1" s="1"/>
  <c r="AH1677" i="1"/>
  <c r="AF1677" i="1"/>
  <c r="AE1677" i="1"/>
  <c r="AA1677" i="1"/>
  <c r="Z1677" i="1"/>
  <c r="AG1677" i="1" s="1"/>
  <c r="V1677" i="1"/>
  <c r="U1677" i="1"/>
  <c r="T1677" i="1"/>
  <c r="S1677" i="1"/>
  <c r="R1677" i="1"/>
  <c r="O1677" i="1"/>
  <c r="AD1677" i="1" s="1"/>
  <c r="AH1676" i="1"/>
  <c r="AE1676" i="1"/>
  <c r="AA1676" i="1"/>
  <c r="Z1676" i="1"/>
  <c r="AG1676" i="1" s="1"/>
  <c r="V1676" i="1"/>
  <c r="U1676" i="1"/>
  <c r="T1676" i="1"/>
  <c r="S1676" i="1"/>
  <c r="R1676" i="1"/>
  <c r="AF1676" i="1" s="1"/>
  <c r="O1676" i="1"/>
  <c r="AD1676" i="1" s="1"/>
  <c r="AI1676" i="1" s="1"/>
  <c r="AH1675" i="1"/>
  <c r="AF1675" i="1"/>
  <c r="AE1675" i="1"/>
  <c r="AA1675" i="1"/>
  <c r="Z1675" i="1"/>
  <c r="AG1675" i="1" s="1"/>
  <c r="V1675" i="1"/>
  <c r="U1675" i="1"/>
  <c r="T1675" i="1"/>
  <c r="S1675" i="1"/>
  <c r="R1675" i="1"/>
  <c r="O1675" i="1"/>
  <c r="AD1675" i="1" s="1"/>
  <c r="AH1674" i="1"/>
  <c r="AE1674" i="1"/>
  <c r="AA1674" i="1"/>
  <c r="Z1674" i="1"/>
  <c r="AG1674" i="1" s="1"/>
  <c r="V1674" i="1"/>
  <c r="U1674" i="1"/>
  <c r="T1674" i="1"/>
  <c r="S1674" i="1"/>
  <c r="R1674" i="1"/>
  <c r="AF1674" i="1" s="1"/>
  <c r="O1674" i="1"/>
  <c r="AD1674" i="1" s="1"/>
  <c r="AH1673" i="1"/>
  <c r="AF1673" i="1"/>
  <c r="AE1673" i="1"/>
  <c r="AA1673" i="1"/>
  <c r="Z1673" i="1"/>
  <c r="AG1673" i="1" s="1"/>
  <c r="V1673" i="1"/>
  <c r="U1673" i="1"/>
  <c r="T1673" i="1"/>
  <c r="S1673" i="1"/>
  <c r="R1673" i="1"/>
  <c r="O1673" i="1"/>
  <c r="AD1673" i="1" s="1"/>
  <c r="AH1672" i="1"/>
  <c r="AE1672" i="1"/>
  <c r="AA1672" i="1"/>
  <c r="Z1672" i="1"/>
  <c r="AG1672" i="1" s="1"/>
  <c r="V1672" i="1"/>
  <c r="U1672" i="1"/>
  <c r="T1672" i="1"/>
  <c r="S1672" i="1"/>
  <c r="R1672" i="1"/>
  <c r="AF1672" i="1" s="1"/>
  <c r="O1672" i="1"/>
  <c r="AD1672" i="1" s="1"/>
  <c r="AI1672" i="1" s="1"/>
  <c r="AH1671" i="1"/>
  <c r="AF1671" i="1"/>
  <c r="AE1671" i="1"/>
  <c r="AA1671" i="1"/>
  <c r="Z1671" i="1"/>
  <c r="AG1671" i="1" s="1"/>
  <c r="V1671" i="1"/>
  <c r="U1671" i="1"/>
  <c r="T1671" i="1"/>
  <c r="S1671" i="1"/>
  <c r="R1671" i="1"/>
  <c r="O1671" i="1"/>
  <c r="AD1671" i="1" s="1"/>
  <c r="AH1670" i="1"/>
  <c r="AE1670" i="1"/>
  <c r="AA1670" i="1"/>
  <c r="Z1670" i="1"/>
  <c r="AG1670" i="1" s="1"/>
  <c r="V1670" i="1"/>
  <c r="U1670" i="1"/>
  <c r="T1670" i="1"/>
  <c r="S1670" i="1"/>
  <c r="R1670" i="1"/>
  <c r="AF1670" i="1" s="1"/>
  <c r="O1670" i="1"/>
  <c r="AD1670" i="1" s="1"/>
  <c r="AH1669" i="1"/>
  <c r="AF1669" i="1"/>
  <c r="AE1669" i="1"/>
  <c r="AA1669" i="1"/>
  <c r="Z1669" i="1"/>
  <c r="AG1669" i="1" s="1"/>
  <c r="V1669" i="1"/>
  <c r="U1669" i="1"/>
  <c r="T1669" i="1"/>
  <c r="S1669" i="1"/>
  <c r="R1669" i="1"/>
  <c r="O1669" i="1"/>
  <c r="AD1669" i="1" s="1"/>
  <c r="M1669" i="1"/>
  <c r="AH1668" i="1"/>
  <c r="AE1668" i="1"/>
  <c r="AA1668" i="1"/>
  <c r="Z1668" i="1"/>
  <c r="AG1668" i="1" s="1"/>
  <c r="V1668" i="1"/>
  <c r="U1668" i="1"/>
  <c r="T1668" i="1"/>
  <c r="S1668" i="1"/>
  <c r="R1668" i="1"/>
  <c r="AF1668" i="1" s="1"/>
  <c r="O1668" i="1"/>
  <c r="AD1668" i="1" s="1"/>
  <c r="AH1667" i="1"/>
  <c r="AG1667" i="1"/>
  <c r="AE1667" i="1"/>
  <c r="AA1667" i="1"/>
  <c r="Z1667" i="1"/>
  <c r="V1667" i="1"/>
  <c r="U1667" i="1"/>
  <c r="T1667" i="1"/>
  <c r="S1667" i="1"/>
  <c r="R1667" i="1"/>
  <c r="AF1667" i="1" s="1"/>
  <c r="O1667" i="1"/>
  <c r="AD1667" i="1" s="1"/>
  <c r="AI1667" i="1" s="1"/>
  <c r="AH1666" i="1"/>
  <c r="AE1666" i="1"/>
  <c r="AA1666" i="1"/>
  <c r="Z1666" i="1"/>
  <c r="AG1666" i="1" s="1"/>
  <c r="AI1666" i="1" s="1"/>
  <c r="V1666" i="1"/>
  <c r="U1666" i="1"/>
  <c r="T1666" i="1"/>
  <c r="S1666" i="1"/>
  <c r="R1666" i="1"/>
  <c r="AF1666" i="1" s="1"/>
  <c r="O1666" i="1"/>
  <c r="AD1666" i="1" s="1"/>
  <c r="AH1665" i="1"/>
  <c r="AG1665" i="1"/>
  <c r="AE1665" i="1"/>
  <c r="AA1665" i="1"/>
  <c r="Z1665" i="1"/>
  <c r="V1665" i="1"/>
  <c r="U1665" i="1"/>
  <c r="T1665" i="1"/>
  <c r="S1665" i="1"/>
  <c r="R1665" i="1"/>
  <c r="AF1665" i="1" s="1"/>
  <c r="O1665" i="1"/>
  <c r="AD1665" i="1" s="1"/>
  <c r="AH1664" i="1"/>
  <c r="AE1664" i="1"/>
  <c r="AA1664" i="1"/>
  <c r="Z1664" i="1"/>
  <c r="AG1664" i="1" s="1"/>
  <c r="V1664" i="1"/>
  <c r="U1664" i="1"/>
  <c r="T1664" i="1"/>
  <c r="S1664" i="1"/>
  <c r="R1664" i="1"/>
  <c r="AF1664" i="1" s="1"/>
  <c r="O1664" i="1"/>
  <c r="AD1664" i="1" s="1"/>
  <c r="AH1663" i="1"/>
  <c r="AG1663" i="1"/>
  <c r="AE1663" i="1"/>
  <c r="AA1663" i="1"/>
  <c r="Z1663" i="1"/>
  <c r="V1663" i="1"/>
  <c r="U1663" i="1"/>
  <c r="T1663" i="1"/>
  <c r="S1663" i="1"/>
  <c r="R1663" i="1"/>
  <c r="AF1663" i="1" s="1"/>
  <c r="O1663" i="1"/>
  <c r="AD1663" i="1" s="1"/>
  <c r="AI1663" i="1" s="1"/>
  <c r="AH1662" i="1"/>
  <c r="AE1662" i="1"/>
  <c r="AA1662" i="1"/>
  <c r="Z1662" i="1"/>
  <c r="AG1662" i="1" s="1"/>
  <c r="AI1662" i="1" s="1"/>
  <c r="V1662" i="1"/>
  <c r="U1662" i="1"/>
  <c r="T1662" i="1"/>
  <c r="S1662" i="1"/>
  <c r="R1662" i="1"/>
  <c r="AF1662" i="1" s="1"/>
  <c r="O1662" i="1"/>
  <c r="AD1662" i="1" s="1"/>
  <c r="AH1661" i="1"/>
  <c r="AG1661" i="1"/>
  <c r="AE1661" i="1"/>
  <c r="AA1661" i="1"/>
  <c r="Z1661" i="1"/>
  <c r="V1661" i="1"/>
  <c r="U1661" i="1"/>
  <c r="T1661" i="1"/>
  <c r="S1661" i="1"/>
  <c r="R1661" i="1"/>
  <c r="AF1661" i="1" s="1"/>
  <c r="O1661" i="1"/>
  <c r="AD1661" i="1" s="1"/>
  <c r="AH1660" i="1"/>
  <c r="AE1660" i="1"/>
  <c r="AA1660" i="1"/>
  <c r="Z1660" i="1"/>
  <c r="AG1660" i="1" s="1"/>
  <c r="V1660" i="1"/>
  <c r="U1660" i="1"/>
  <c r="T1660" i="1"/>
  <c r="S1660" i="1"/>
  <c r="R1660" i="1"/>
  <c r="AF1660" i="1" s="1"/>
  <c r="O1660" i="1"/>
  <c r="AD1660" i="1" s="1"/>
  <c r="AH1659" i="1"/>
  <c r="AG1659" i="1"/>
  <c r="AE1659" i="1"/>
  <c r="AA1659" i="1"/>
  <c r="Z1659" i="1"/>
  <c r="V1659" i="1"/>
  <c r="U1659" i="1"/>
  <c r="T1659" i="1"/>
  <c r="S1659" i="1"/>
  <c r="R1659" i="1"/>
  <c r="AF1659" i="1" s="1"/>
  <c r="O1659" i="1"/>
  <c r="AD1659" i="1" s="1"/>
  <c r="AI1659" i="1" s="1"/>
  <c r="AH1658" i="1"/>
  <c r="AE1658" i="1"/>
  <c r="AA1658" i="1"/>
  <c r="Z1658" i="1"/>
  <c r="AG1658" i="1" s="1"/>
  <c r="AI1658" i="1" s="1"/>
  <c r="V1658" i="1"/>
  <c r="U1658" i="1"/>
  <c r="T1658" i="1"/>
  <c r="S1658" i="1"/>
  <c r="R1658" i="1"/>
  <c r="AF1658" i="1" s="1"/>
  <c r="O1658" i="1"/>
  <c r="AD1658" i="1" s="1"/>
  <c r="AH1657" i="1"/>
  <c r="AG1657" i="1"/>
  <c r="AE1657" i="1"/>
  <c r="AA1657" i="1"/>
  <c r="Z1657" i="1"/>
  <c r="V1657" i="1"/>
  <c r="U1657" i="1"/>
  <c r="T1657" i="1"/>
  <c r="S1657" i="1"/>
  <c r="R1657" i="1"/>
  <c r="AF1657" i="1" s="1"/>
  <c r="O1657" i="1"/>
  <c r="AD1657" i="1" s="1"/>
  <c r="AH1656" i="1"/>
  <c r="AE1656" i="1"/>
  <c r="AA1656" i="1"/>
  <c r="Z1656" i="1"/>
  <c r="AG1656" i="1" s="1"/>
  <c r="V1656" i="1"/>
  <c r="U1656" i="1"/>
  <c r="T1656" i="1"/>
  <c r="S1656" i="1"/>
  <c r="R1656" i="1"/>
  <c r="AF1656" i="1" s="1"/>
  <c r="O1656" i="1"/>
  <c r="AD1656" i="1" s="1"/>
  <c r="AH1655" i="1"/>
  <c r="AG1655" i="1"/>
  <c r="AE1655" i="1"/>
  <c r="AA1655" i="1"/>
  <c r="Z1655" i="1"/>
  <c r="V1655" i="1"/>
  <c r="U1655" i="1"/>
  <c r="T1655" i="1"/>
  <c r="S1655" i="1"/>
  <c r="R1655" i="1"/>
  <c r="AF1655" i="1" s="1"/>
  <c r="O1655" i="1"/>
  <c r="AD1655" i="1" s="1"/>
  <c r="AI1655" i="1" s="1"/>
  <c r="AH1654" i="1"/>
  <c r="AE1654" i="1"/>
  <c r="AA1654" i="1"/>
  <c r="Z1654" i="1"/>
  <c r="AG1654" i="1" s="1"/>
  <c r="AI1654" i="1" s="1"/>
  <c r="V1654" i="1"/>
  <c r="U1654" i="1"/>
  <c r="T1654" i="1"/>
  <c r="S1654" i="1"/>
  <c r="R1654" i="1"/>
  <c r="AF1654" i="1" s="1"/>
  <c r="O1654" i="1"/>
  <c r="AD1654" i="1" s="1"/>
  <c r="AH1653" i="1"/>
  <c r="AG1653" i="1"/>
  <c r="AE1653" i="1"/>
  <c r="AA1653" i="1"/>
  <c r="Z1653" i="1"/>
  <c r="V1653" i="1"/>
  <c r="U1653" i="1"/>
  <c r="T1653" i="1"/>
  <c r="S1653" i="1"/>
  <c r="R1653" i="1"/>
  <c r="AF1653" i="1" s="1"/>
  <c r="O1653" i="1"/>
  <c r="AD1653" i="1" s="1"/>
  <c r="M1653" i="1"/>
  <c r="AH1652" i="1"/>
  <c r="AF1652" i="1"/>
  <c r="AE1652" i="1"/>
  <c r="AA1652" i="1"/>
  <c r="Z1652" i="1"/>
  <c r="AG1652" i="1" s="1"/>
  <c r="V1652" i="1"/>
  <c r="U1652" i="1"/>
  <c r="T1652" i="1"/>
  <c r="S1652" i="1"/>
  <c r="R1652" i="1"/>
  <c r="O1652" i="1"/>
  <c r="AD1652" i="1" s="1"/>
  <c r="AH1651" i="1"/>
  <c r="AE1651" i="1"/>
  <c r="AA1651" i="1"/>
  <c r="Z1651" i="1"/>
  <c r="AG1651" i="1" s="1"/>
  <c r="V1651" i="1"/>
  <c r="U1651" i="1"/>
  <c r="T1651" i="1"/>
  <c r="S1651" i="1"/>
  <c r="R1651" i="1"/>
  <c r="AF1651" i="1" s="1"/>
  <c r="O1651" i="1"/>
  <c r="AD1651" i="1" s="1"/>
  <c r="AH1650" i="1"/>
  <c r="AF1650" i="1"/>
  <c r="AE1650" i="1"/>
  <c r="AA1650" i="1"/>
  <c r="Z1650" i="1"/>
  <c r="AG1650" i="1" s="1"/>
  <c r="V1650" i="1"/>
  <c r="U1650" i="1"/>
  <c r="T1650" i="1"/>
  <c r="S1650" i="1"/>
  <c r="R1650" i="1"/>
  <c r="O1650" i="1"/>
  <c r="AD1650" i="1" s="1"/>
  <c r="AI1650" i="1" s="1"/>
  <c r="AH1649" i="1"/>
  <c r="AE1649" i="1"/>
  <c r="AA1649" i="1"/>
  <c r="Z1649" i="1"/>
  <c r="AG1649" i="1" s="1"/>
  <c r="V1649" i="1"/>
  <c r="U1649" i="1"/>
  <c r="T1649" i="1"/>
  <c r="S1649" i="1"/>
  <c r="R1649" i="1"/>
  <c r="AF1649" i="1" s="1"/>
  <c r="O1649" i="1"/>
  <c r="AD1649" i="1" s="1"/>
  <c r="AI1649" i="1" s="1"/>
  <c r="M1649" i="1"/>
  <c r="AH1648" i="1"/>
  <c r="AG1648" i="1"/>
  <c r="AE1648" i="1"/>
  <c r="AA1648" i="1"/>
  <c r="Z1648" i="1"/>
  <c r="V1648" i="1"/>
  <c r="U1648" i="1"/>
  <c r="T1648" i="1"/>
  <c r="S1648" i="1"/>
  <c r="R1648" i="1"/>
  <c r="AF1648" i="1" s="1"/>
  <c r="O1648" i="1"/>
  <c r="AD1648" i="1" s="1"/>
  <c r="M1648" i="1"/>
  <c r="AH1647" i="1"/>
  <c r="AF1647" i="1"/>
  <c r="AE1647" i="1"/>
  <c r="AA1647" i="1"/>
  <c r="Z1647" i="1"/>
  <c r="AG1647" i="1" s="1"/>
  <c r="V1647" i="1"/>
  <c r="U1647" i="1"/>
  <c r="T1647" i="1"/>
  <c r="S1647" i="1"/>
  <c r="R1647" i="1"/>
  <c r="O1647" i="1"/>
  <c r="AD1647" i="1" s="1"/>
  <c r="M1647" i="1"/>
  <c r="AH1646" i="1"/>
  <c r="AE1646" i="1"/>
  <c r="AA1646" i="1"/>
  <c r="Z1646" i="1"/>
  <c r="AG1646" i="1" s="1"/>
  <c r="AI1646" i="1" s="1"/>
  <c r="V1646" i="1"/>
  <c r="U1646" i="1"/>
  <c r="T1646" i="1"/>
  <c r="S1646" i="1"/>
  <c r="R1646" i="1"/>
  <c r="AF1646" i="1" s="1"/>
  <c r="O1646" i="1"/>
  <c r="AD1646" i="1" s="1"/>
  <c r="AH1645" i="1"/>
  <c r="AG1645" i="1"/>
  <c r="AE1645" i="1"/>
  <c r="AA1645" i="1"/>
  <c r="Z1645" i="1"/>
  <c r="V1645" i="1"/>
  <c r="U1645" i="1"/>
  <c r="T1645" i="1"/>
  <c r="S1645" i="1"/>
  <c r="R1645" i="1"/>
  <c r="AF1645" i="1" s="1"/>
  <c r="O1645" i="1"/>
  <c r="AD1645" i="1" s="1"/>
  <c r="AH1644" i="1"/>
  <c r="AE1644" i="1"/>
  <c r="AA1644" i="1"/>
  <c r="Z1644" i="1"/>
  <c r="AG1644" i="1" s="1"/>
  <c r="V1644" i="1"/>
  <c r="U1644" i="1"/>
  <c r="T1644" i="1"/>
  <c r="S1644" i="1"/>
  <c r="R1644" i="1"/>
  <c r="AF1644" i="1" s="1"/>
  <c r="O1644" i="1"/>
  <c r="AD1644" i="1" s="1"/>
  <c r="AI1644" i="1" s="1"/>
  <c r="AH1643" i="1"/>
  <c r="AG1643" i="1"/>
  <c r="AE1643" i="1"/>
  <c r="AA1643" i="1"/>
  <c r="Z1643" i="1"/>
  <c r="V1643" i="1"/>
  <c r="U1643" i="1"/>
  <c r="T1643" i="1"/>
  <c r="S1643" i="1"/>
  <c r="R1643" i="1"/>
  <c r="AF1643" i="1" s="1"/>
  <c r="O1643" i="1"/>
  <c r="AD1643" i="1" s="1"/>
  <c r="AI1643" i="1" s="1"/>
  <c r="AH1642" i="1"/>
  <c r="AE1642" i="1"/>
  <c r="AA1642" i="1"/>
  <c r="Z1642" i="1"/>
  <c r="AG1642" i="1" s="1"/>
  <c r="AI1642" i="1" s="1"/>
  <c r="V1642" i="1"/>
  <c r="U1642" i="1"/>
  <c r="T1642" i="1"/>
  <c r="S1642" i="1"/>
  <c r="R1642" i="1"/>
  <c r="AF1642" i="1" s="1"/>
  <c r="O1642" i="1"/>
  <c r="AD1642" i="1" s="1"/>
  <c r="AH1641" i="1"/>
  <c r="AG1641" i="1"/>
  <c r="AE1641" i="1"/>
  <c r="AA1641" i="1"/>
  <c r="Z1641" i="1"/>
  <c r="V1641" i="1"/>
  <c r="U1641" i="1"/>
  <c r="T1641" i="1"/>
  <c r="S1641" i="1"/>
  <c r="R1641" i="1"/>
  <c r="AF1641" i="1" s="1"/>
  <c r="O1641" i="1"/>
  <c r="AD1641" i="1" s="1"/>
  <c r="AH1640" i="1"/>
  <c r="AE1640" i="1"/>
  <c r="AA1640" i="1"/>
  <c r="Z1640" i="1"/>
  <c r="AG1640" i="1" s="1"/>
  <c r="V1640" i="1"/>
  <c r="U1640" i="1"/>
  <c r="T1640" i="1"/>
  <c r="S1640" i="1"/>
  <c r="R1640" i="1"/>
  <c r="AF1640" i="1" s="1"/>
  <c r="O1640" i="1"/>
  <c r="AD1640" i="1" s="1"/>
  <c r="AI1640" i="1" s="1"/>
  <c r="AH1639" i="1"/>
  <c r="AG1639" i="1"/>
  <c r="AE1639" i="1"/>
  <c r="AA1639" i="1"/>
  <c r="Z1639" i="1"/>
  <c r="V1639" i="1"/>
  <c r="U1639" i="1"/>
  <c r="T1639" i="1"/>
  <c r="S1639" i="1"/>
  <c r="R1639" i="1"/>
  <c r="AF1639" i="1" s="1"/>
  <c r="O1639" i="1"/>
  <c r="AD1639" i="1" s="1"/>
  <c r="AI1639" i="1" s="1"/>
  <c r="AH1638" i="1"/>
  <c r="AE1638" i="1"/>
  <c r="AA1638" i="1"/>
  <c r="Z1638" i="1"/>
  <c r="AG1638" i="1" s="1"/>
  <c r="AI1638" i="1" s="1"/>
  <c r="V1638" i="1"/>
  <c r="U1638" i="1"/>
  <c r="T1638" i="1"/>
  <c r="S1638" i="1"/>
  <c r="R1638" i="1"/>
  <c r="AF1638" i="1" s="1"/>
  <c r="O1638" i="1"/>
  <c r="AD1638" i="1" s="1"/>
  <c r="AH1637" i="1"/>
  <c r="AG1637" i="1"/>
  <c r="AE1637" i="1"/>
  <c r="AA1637" i="1"/>
  <c r="Z1637" i="1"/>
  <c r="V1637" i="1"/>
  <c r="U1637" i="1"/>
  <c r="T1637" i="1"/>
  <c r="S1637" i="1"/>
  <c r="R1637" i="1"/>
  <c r="AF1637" i="1" s="1"/>
  <c r="O1637" i="1"/>
  <c r="AD1637" i="1" s="1"/>
  <c r="AH1636" i="1"/>
  <c r="AE1636" i="1"/>
  <c r="AA1636" i="1"/>
  <c r="Z1636" i="1"/>
  <c r="AG1636" i="1" s="1"/>
  <c r="V1636" i="1"/>
  <c r="U1636" i="1"/>
  <c r="T1636" i="1"/>
  <c r="S1636" i="1"/>
  <c r="R1636" i="1"/>
  <c r="AF1636" i="1" s="1"/>
  <c r="O1636" i="1"/>
  <c r="AD1636" i="1" s="1"/>
  <c r="AI1636" i="1" s="1"/>
  <c r="AH1635" i="1"/>
  <c r="AG1635" i="1"/>
  <c r="AE1635" i="1"/>
  <c r="AA1635" i="1"/>
  <c r="Z1635" i="1"/>
  <c r="V1635" i="1"/>
  <c r="U1635" i="1"/>
  <c r="T1635" i="1"/>
  <c r="S1635" i="1"/>
  <c r="R1635" i="1"/>
  <c r="AF1635" i="1" s="1"/>
  <c r="O1635" i="1"/>
  <c r="AD1635" i="1" s="1"/>
  <c r="AI1635" i="1" s="1"/>
  <c r="AH1634" i="1"/>
  <c r="AE1634" i="1"/>
  <c r="AA1634" i="1"/>
  <c r="Z1634" i="1"/>
  <c r="AG1634" i="1" s="1"/>
  <c r="AI1634" i="1" s="1"/>
  <c r="V1634" i="1"/>
  <c r="U1634" i="1"/>
  <c r="T1634" i="1"/>
  <c r="S1634" i="1"/>
  <c r="R1634" i="1"/>
  <c r="AF1634" i="1" s="1"/>
  <c r="O1634" i="1"/>
  <c r="AD1634" i="1" s="1"/>
  <c r="AH1633" i="1"/>
  <c r="AG1633" i="1"/>
  <c r="AE1633" i="1"/>
  <c r="AA1633" i="1"/>
  <c r="Z1633" i="1"/>
  <c r="V1633" i="1"/>
  <c r="U1633" i="1"/>
  <c r="T1633" i="1"/>
  <c r="S1633" i="1"/>
  <c r="R1633" i="1"/>
  <c r="AF1633" i="1" s="1"/>
  <c r="O1633" i="1"/>
  <c r="AD1633" i="1" s="1"/>
  <c r="AH1632" i="1"/>
  <c r="AE1632" i="1"/>
  <c r="AA1632" i="1"/>
  <c r="Z1632" i="1"/>
  <c r="AG1632" i="1" s="1"/>
  <c r="V1632" i="1"/>
  <c r="U1632" i="1"/>
  <c r="T1632" i="1"/>
  <c r="S1632" i="1"/>
  <c r="R1632" i="1"/>
  <c r="AF1632" i="1" s="1"/>
  <c r="O1632" i="1"/>
  <c r="AD1632" i="1" s="1"/>
  <c r="AI1632" i="1" s="1"/>
  <c r="AH1631" i="1"/>
  <c r="AG1631" i="1"/>
  <c r="AE1631" i="1"/>
  <c r="AA1631" i="1"/>
  <c r="Z1631" i="1"/>
  <c r="V1631" i="1"/>
  <c r="U1631" i="1"/>
  <c r="T1631" i="1"/>
  <c r="S1631" i="1"/>
  <c r="R1631" i="1"/>
  <c r="AF1631" i="1" s="1"/>
  <c r="O1631" i="1"/>
  <c r="AD1631" i="1" s="1"/>
  <c r="AI1631" i="1" s="1"/>
  <c r="AH1630" i="1"/>
  <c r="AE1630" i="1"/>
  <c r="AA1630" i="1"/>
  <c r="Z1630" i="1"/>
  <c r="AG1630" i="1" s="1"/>
  <c r="AI1630" i="1" s="1"/>
  <c r="V1630" i="1"/>
  <c r="U1630" i="1"/>
  <c r="T1630" i="1"/>
  <c r="S1630" i="1"/>
  <c r="R1630" i="1"/>
  <c r="AF1630" i="1" s="1"/>
  <c r="O1630" i="1"/>
  <c r="AD1630" i="1" s="1"/>
  <c r="AH1629" i="1"/>
  <c r="AG1629" i="1"/>
  <c r="AE1629" i="1"/>
  <c r="AA1629" i="1"/>
  <c r="Z1629" i="1"/>
  <c r="V1629" i="1"/>
  <c r="U1629" i="1"/>
  <c r="T1629" i="1"/>
  <c r="S1629" i="1"/>
  <c r="R1629" i="1"/>
  <c r="AF1629" i="1" s="1"/>
  <c r="O1629" i="1"/>
  <c r="AD1629" i="1" s="1"/>
  <c r="AH1628" i="1"/>
  <c r="AE1628" i="1"/>
  <c r="AA1628" i="1"/>
  <c r="Z1628" i="1"/>
  <c r="AG1628" i="1" s="1"/>
  <c r="V1628" i="1"/>
  <c r="U1628" i="1"/>
  <c r="T1628" i="1"/>
  <c r="S1628" i="1"/>
  <c r="R1628" i="1"/>
  <c r="AF1628" i="1" s="1"/>
  <c r="O1628" i="1"/>
  <c r="AD1628" i="1" s="1"/>
  <c r="AI1628" i="1" s="1"/>
  <c r="M1628" i="1"/>
  <c r="AH1627" i="1"/>
  <c r="AE1627" i="1"/>
  <c r="AA1627" i="1"/>
  <c r="Z1627" i="1"/>
  <c r="AG1627" i="1" s="1"/>
  <c r="V1627" i="1"/>
  <c r="U1627" i="1"/>
  <c r="T1627" i="1"/>
  <c r="S1627" i="1"/>
  <c r="R1627" i="1"/>
  <c r="AF1627" i="1" s="1"/>
  <c r="O1627" i="1"/>
  <c r="AD1627" i="1" s="1"/>
  <c r="M1627" i="1"/>
  <c r="AH1626" i="1"/>
  <c r="AG1626" i="1"/>
  <c r="AE1626" i="1"/>
  <c r="AA1626" i="1"/>
  <c r="Z1626" i="1"/>
  <c r="V1626" i="1"/>
  <c r="U1626" i="1"/>
  <c r="T1626" i="1"/>
  <c r="S1626" i="1"/>
  <c r="R1626" i="1"/>
  <c r="AF1626" i="1" s="1"/>
  <c r="O1626" i="1"/>
  <c r="AD1626" i="1" s="1"/>
  <c r="M1626" i="1"/>
  <c r="K1626" i="1"/>
  <c r="AH1625" i="1"/>
  <c r="AG1625" i="1"/>
  <c r="AE1625" i="1"/>
  <c r="AA1625" i="1"/>
  <c r="Z1625" i="1"/>
  <c r="U1625" i="1"/>
  <c r="T1625" i="1"/>
  <c r="S1625" i="1"/>
  <c r="Q1625" i="1"/>
  <c r="R1625" i="1" s="1"/>
  <c r="AF1625" i="1" s="1"/>
  <c r="O1625" i="1"/>
  <c r="AD1625" i="1" s="1"/>
  <c r="M1625" i="1"/>
  <c r="K1625" i="1"/>
  <c r="V1625" i="1" s="1"/>
  <c r="AH1624" i="1"/>
  <c r="AE1624" i="1"/>
  <c r="AA1624" i="1"/>
  <c r="Z1624" i="1"/>
  <c r="AG1624" i="1" s="1"/>
  <c r="V1624" i="1"/>
  <c r="U1624" i="1"/>
  <c r="T1624" i="1"/>
  <c r="S1624" i="1"/>
  <c r="R1624" i="1"/>
  <c r="AF1624" i="1" s="1"/>
  <c r="O1624" i="1"/>
  <c r="AD1624" i="1" s="1"/>
  <c r="M1624" i="1"/>
  <c r="K1624" i="1"/>
  <c r="AH1623" i="1"/>
  <c r="AE1623" i="1"/>
  <c r="AD1623" i="1"/>
  <c r="AA1623" i="1"/>
  <c r="Z1623" i="1"/>
  <c r="AG1623" i="1" s="1"/>
  <c r="U1623" i="1"/>
  <c r="T1623" i="1"/>
  <c r="S1623" i="1"/>
  <c r="Q1623" i="1"/>
  <c r="R1623" i="1" s="1"/>
  <c r="AF1623" i="1" s="1"/>
  <c r="O1623" i="1"/>
  <c r="M1623" i="1"/>
  <c r="K1623" i="1"/>
  <c r="V1623" i="1" s="1"/>
  <c r="AH1622" i="1"/>
  <c r="AE1622" i="1"/>
  <c r="AA1622" i="1"/>
  <c r="Z1622" i="1"/>
  <c r="AG1622" i="1" s="1"/>
  <c r="U1622" i="1"/>
  <c r="T1622" i="1"/>
  <c r="S1622" i="1"/>
  <c r="R1622" i="1"/>
  <c r="AF1622" i="1" s="1"/>
  <c r="Q1622" i="1"/>
  <c r="O1622" i="1"/>
  <c r="AD1622" i="1" s="1"/>
  <c r="AI1622" i="1" s="1"/>
  <c r="M1622" i="1"/>
  <c r="K1622" i="1"/>
  <c r="V1622" i="1" s="1"/>
  <c r="AH1621" i="1"/>
  <c r="AF1621" i="1"/>
  <c r="AE1621" i="1"/>
  <c r="AA1621" i="1"/>
  <c r="Z1621" i="1"/>
  <c r="AG1621" i="1" s="1"/>
  <c r="U1621" i="1"/>
  <c r="T1621" i="1"/>
  <c r="S1621" i="1"/>
  <c r="Q1621" i="1"/>
  <c r="R1621" i="1" s="1"/>
  <c r="O1621" i="1"/>
  <c r="AD1621" i="1" s="1"/>
  <c r="AI1621" i="1" s="1"/>
  <c r="M1621" i="1"/>
  <c r="K1621" i="1"/>
  <c r="V1621" i="1" s="1"/>
  <c r="AH1620" i="1"/>
  <c r="AG1620" i="1"/>
  <c r="AE1620" i="1"/>
  <c r="AA1620" i="1"/>
  <c r="Z1620" i="1"/>
  <c r="V1620" i="1"/>
  <c r="U1620" i="1"/>
  <c r="T1620" i="1"/>
  <c r="S1620" i="1"/>
  <c r="R1620" i="1"/>
  <c r="AF1620" i="1" s="1"/>
  <c r="O1620" i="1"/>
  <c r="AD1620" i="1" s="1"/>
  <c r="M1620" i="1"/>
  <c r="AH1619" i="1"/>
  <c r="AF1619" i="1"/>
  <c r="AE1619" i="1"/>
  <c r="AA1619" i="1"/>
  <c r="Z1619" i="1"/>
  <c r="AG1619" i="1" s="1"/>
  <c r="U1619" i="1"/>
  <c r="T1619" i="1"/>
  <c r="S1619" i="1"/>
  <c r="Q1619" i="1"/>
  <c r="R1619" i="1" s="1"/>
  <c r="O1619" i="1"/>
  <c r="AD1619" i="1" s="1"/>
  <c r="AI1619" i="1" s="1"/>
  <c r="M1619" i="1"/>
  <c r="K1619" i="1"/>
  <c r="V1619" i="1" s="1"/>
  <c r="AH1618" i="1"/>
  <c r="AG1618" i="1"/>
  <c r="AE1618" i="1"/>
  <c r="AA1618" i="1"/>
  <c r="Z1618" i="1"/>
  <c r="U1618" i="1"/>
  <c r="T1618" i="1"/>
  <c r="S1618" i="1"/>
  <c r="Q1618" i="1"/>
  <c r="R1618" i="1" s="1"/>
  <c r="AF1618" i="1" s="1"/>
  <c r="O1618" i="1"/>
  <c r="AD1618" i="1" s="1"/>
  <c r="AI1618" i="1" s="1"/>
  <c r="M1618" i="1"/>
  <c r="K1618" i="1"/>
  <c r="V1618" i="1" s="1"/>
  <c r="AH1617" i="1"/>
  <c r="AE1617" i="1"/>
  <c r="AD1617" i="1"/>
  <c r="AI1617" i="1" s="1"/>
  <c r="AA1617" i="1"/>
  <c r="Z1617" i="1"/>
  <c r="AG1617" i="1" s="1"/>
  <c r="U1617" i="1"/>
  <c r="T1617" i="1"/>
  <c r="S1617" i="1"/>
  <c r="Q1617" i="1"/>
  <c r="R1617" i="1" s="1"/>
  <c r="AF1617" i="1" s="1"/>
  <c r="O1617" i="1"/>
  <c r="M1617" i="1"/>
  <c r="K1617" i="1"/>
  <c r="V1617" i="1" s="1"/>
  <c r="AH1616" i="1"/>
  <c r="AE1616" i="1"/>
  <c r="AA1616" i="1"/>
  <c r="Z1616" i="1"/>
  <c r="AG1616" i="1" s="1"/>
  <c r="V1616" i="1"/>
  <c r="U1616" i="1"/>
  <c r="T1616" i="1"/>
  <c r="S1616" i="1"/>
  <c r="R1616" i="1"/>
  <c r="AF1616" i="1" s="1"/>
  <c r="O1616" i="1"/>
  <c r="AD1616" i="1" s="1"/>
  <c r="AI1616" i="1" s="1"/>
  <c r="M1616" i="1"/>
  <c r="AH1615" i="1"/>
  <c r="AE1615" i="1"/>
  <c r="AA1615" i="1"/>
  <c r="Z1615" i="1"/>
  <c r="AG1615" i="1" s="1"/>
  <c r="U1615" i="1"/>
  <c r="S1615" i="1"/>
  <c r="R1615" i="1"/>
  <c r="AF1615" i="1" s="1"/>
  <c r="M1615" i="1"/>
  <c r="L1615" i="1"/>
  <c r="K1615" i="1"/>
  <c r="V1615" i="1" s="1"/>
  <c r="H1615" i="1"/>
  <c r="T1615" i="1" s="1"/>
  <c r="AH1614" i="1"/>
  <c r="AF1614" i="1"/>
  <c r="AE1614" i="1"/>
  <c r="AA1614" i="1"/>
  <c r="Z1614" i="1"/>
  <c r="AG1614" i="1" s="1"/>
  <c r="U1614" i="1"/>
  <c r="S1614" i="1"/>
  <c r="R1614" i="1"/>
  <c r="M1614" i="1"/>
  <c r="L1614" i="1"/>
  <c r="T1614" i="1" s="1"/>
  <c r="K1614" i="1"/>
  <c r="V1614" i="1" s="1"/>
  <c r="H1614" i="1"/>
  <c r="O1614" i="1" s="1"/>
  <c r="AD1614" i="1" s="1"/>
  <c r="AH1613" i="1"/>
  <c r="AE1613" i="1"/>
  <c r="AA1613" i="1"/>
  <c r="Z1613" i="1"/>
  <c r="AG1613" i="1" s="1"/>
  <c r="U1613" i="1"/>
  <c r="S1613" i="1"/>
  <c r="R1613" i="1"/>
  <c r="AF1613" i="1" s="1"/>
  <c r="M1613" i="1"/>
  <c r="L1613" i="1"/>
  <c r="K1613" i="1"/>
  <c r="V1613" i="1" s="1"/>
  <c r="H1613" i="1"/>
  <c r="T1613" i="1" s="1"/>
  <c r="AH1612" i="1"/>
  <c r="AE1612" i="1"/>
  <c r="AA1612" i="1"/>
  <c r="Z1612" i="1"/>
  <c r="AG1612" i="1" s="1"/>
  <c r="U1612" i="1"/>
  <c r="T1612" i="1"/>
  <c r="S1612" i="1"/>
  <c r="Q1612" i="1"/>
  <c r="R1612" i="1" s="1"/>
  <c r="AF1612" i="1" s="1"/>
  <c r="O1612" i="1"/>
  <c r="AD1612" i="1" s="1"/>
  <c r="M1612" i="1"/>
  <c r="K1612" i="1"/>
  <c r="V1612" i="1" s="1"/>
  <c r="AH1611" i="1"/>
  <c r="AG1611" i="1"/>
  <c r="AE1611" i="1"/>
  <c r="AD1611" i="1"/>
  <c r="AI1611" i="1" s="1"/>
  <c r="AA1611" i="1"/>
  <c r="Z1611" i="1"/>
  <c r="U1611" i="1"/>
  <c r="T1611" i="1"/>
  <c r="S1611" i="1"/>
  <c r="Q1611" i="1"/>
  <c r="R1611" i="1" s="1"/>
  <c r="AF1611" i="1" s="1"/>
  <c r="O1611" i="1"/>
  <c r="M1611" i="1"/>
  <c r="K1611" i="1"/>
  <c r="V1611" i="1" s="1"/>
  <c r="AH1610" i="1"/>
  <c r="AE1610" i="1"/>
  <c r="AD1610" i="1"/>
  <c r="AI1610" i="1" s="1"/>
  <c r="AA1610" i="1"/>
  <c r="Z1610" i="1"/>
  <c r="AG1610" i="1" s="1"/>
  <c r="U1610" i="1"/>
  <c r="T1610" i="1"/>
  <c r="S1610" i="1"/>
  <c r="R1610" i="1"/>
  <c r="AF1610" i="1" s="1"/>
  <c r="Q1610" i="1"/>
  <c r="O1610" i="1"/>
  <c r="M1610" i="1"/>
  <c r="K1610" i="1"/>
  <c r="V1610" i="1" s="1"/>
  <c r="AH1609" i="1"/>
  <c r="AE1609" i="1"/>
  <c r="AA1609" i="1"/>
  <c r="Z1609" i="1"/>
  <c r="AG1609" i="1" s="1"/>
  <c r="U1609" i="1"/>
  <c r="T1609" i="1"/>
  <c r="S1609" i="1"/>
  <c r="R1609" i="1"/>
  <c r="AF1609" i="1" s="1"/>
  <c r="O1609" i="1"/>
  <c r="AD1609" i="1" s="1"/>
  <c r="AI1609" i="1" s="1"/>
  <c r="M1609" i="1"/>
  <c r="K1609" i="1"/>
  <c r="V1609" i="1" s="1"/>
  <c r="AH1608" i="1"/>
  <c r="AE1608" i="1"/>
  <c r="AA1608" i="1"/>
  <c r="Z1608" i="1"/>
  <c r="AG1608" i="1" s="1"/>
  <c r="U1608" i="1"/>
  <c r="T1608" i="1"/>
  <c r="S1608" i="1"/>
  <c r="R1608" i="1"/>
  <c r="AF1608" i="1" s="1"/>
  <c r="O1608" i="1"/>
  <c r="AD1608" i="1" s="1"/>
  <c r="AI1608" i="1" s="1"/>
  <c r="M1608" i="1"/>
  <c r="K1608" i="1"/>
  <c r="V1608" i="1" s="1"/>
  <c r="AH1607" i="1"/>
  <c r="AE1607" i="1"/>
  <c r="AA1607" i="1"/>
  <c r="Z1607" i="1"/>
  <c r="AG1607" i="1" s="1"/>
  <c r="U1607" i="1"/>
  <c r="T1607" i="1"/>
  <c r="S1607" i="1"/>
  <c r="R1607" i="1"/>
  <c r="AF1607" i="1" s="1"/>
  <c r="O1607" i="1"/>
  <c r="AD1607" i="1" s="1"/>
  <c r="M1607" i="1"/>
  <c r="K1607" i="1"/>
  <c r="V1607" i="1" s="1"/>
  <c r="AH1606" i="1"/>
  <c r="AE1606" i="1"/>
  <c r="AA1606" i="1"/>
  <c r="Z1606" i="1"/>
  <c r="AG1606" i="1" s="1"/>
  <c r="U1606" i="1"/>
  <c r="T1606" i="1"/>
  <c r="S1606" i="1"/>
  <c r="R1606" i="1"/>
  <c r="AF1606" i="1" s="1"/>
  <c r="Q1606" i="1"/>
  <c r="O1606" i="1"/>
  <c r="AD1606" i="1" s="1"/>
  <c r="M1606" i="1"/>
  <c r="K1606" i="1"/>
  <c r="V1606" i="1" s="1"/>
  <c r="AH1605" i="1"/>
  <c r="AF1605" i="1"/>
  <c r="AE1605" i="1"/>
  <c r="AA1605" i="1"/>
  <c r="Z1605" i="1"/>
  <c r="AG1605" i="1" s="1"/>
  <c r="U1605" i="1"/>
  <c r="T1605" i="1"/>
  <c r="S1605" i="1"/>
  <c r="Q1605" i="1"/>
  <c r="R1605" i="1" s="1"/>
  <c r="O1605" i="1"/>
  <c r="AD1605" i="1" s="1"/>
  <c r="M1605" i="1"/>
  <c r="K1605" i="1"/>
  <c r="V1605" i="1" s="1"/>
  <c r="AH1604" i="1"/>
  <c r="AG1604" i="1"/>
  <c r="AE1604" i="1"/>
  <c r="AA1604" i="1"/>
  <c r="Z1604" i="1"/>
  <c r="U1604" i="1"/>
  <c r="T1604" i="1"/>
  <c r="S1604" i="1"/>
  <c r="Q1604" i="1"/>
  <c r="R1604" i="1" s="1"/>
  <c r="AF1604" i="1" s="1"/>
  <c r="O1604" i="1"/>
  <c r="AD1604" i="1" s="1"/>
  <c r="M1604" i="1"/>
  <c r="K1604" i="1"/>
  <c r="V1604" i="1" s="1"/>
  <c r="AI1603" i="1"/>
  <c r="AH1603" i="1"/>
  <c r="AE1603" i="1"/>
  <c r="AD1603" i="1"/>
  <c r="AA1603" i="1"/>
  <c r="Z1603" i="1"/>
  <c r="AG1603" i="1" s="1"/>
  <c r="U1603" i="1"/>
  <c r="T1603" i="1"/>
  <c r="S1603" i="1"/>
  <c r="R1603" i="1"/>
  <c r="AF1603" i="1" s="1"/>
  <c r="Q1603" i="1"/>
  <c r="O1603" i="1"/>
  <c r="M1603" i="1"/>
  <c r="K1603" i="1"/>
  <c r="V1603" i="1" s="1"/>
  <c r="AH1602" i="1"/>
  <c r="AE1602" i="1"/>
  <c r="AA1602" i="1"/>
  <c r="Z1602" i="1"/>
  <c r="AG1602" i="1" s="1"/>
  <c r="U1602" i="1"/>
  <c r="T1602" i="1"/>
  <c r="S1602" i="1"/>
  <c r="R1602" i="1"/>
  <c r="AF1602" i="1" s="1"/>
  <c r="Q1602" i="1"/>
  <c r="O1602" i="1"/>
  <c r="AD1602" i="1" s="1"/>
  <c r="AI1602" i="1" s="1"/>
  <c r="M1602" i="1"/>
  <c r="K1602" i="1"/>
  <c r="V1602" i="1" s="1"/>
  <c r="AH1601" i="1"/>
  <c r="AF1601" i="1"/>
  <c r="AE1601" i="1"/>
  <c r="AA1601" i="1"/>
  <c r="Z1601" i="1"/>
  <c r="AG1601" i="1" s="1"/>
  <c r="U1601" i="1"/>
  <c r="T1601" i="1"/>
  <c r="S1601" i="1"/>
  <c r="Q1601" i="1"/>
  <c r="R1601" i="1" s="1"/>
  <c r="O1601" i="1"/>
  <c r="AD1601" i="1" s="1"/>
  <c r="AI1601" i="1" s="1"/>
  <c r="M1601" i="1"/>
  <c r="K1601" i="1"/>
  <c r="V1601" i="1" s="1"/>
  <c r="AH1600" i="1"/>
  <c r="AG1600" i="1"/>
  <c r="AE1600" i="1"/>
  <c r="AA1600" i="1"/>
  <c r="Z1600" i="1"/>
  <c r="U1600" i="1"/>
  <c r="T1600" i="1"/>
  <c r="S1600" i="1"/>
  <c r="Q1600" i="1"/>
  <c r="R1600" i="1" s="1"/>
  <c r="AF1600" i="1" s="1"/>
  <c r="O1600" i="1"/>
  <c r="AD1600" i="1" s="1"/>
  <c r="AI1600" i="1" s="1"/>
  <c r="M1600" i="1"/>
  <c r="K1600" i="1"/>
  <c r="V1600" i="1" s="1"/>
  <c r="AI1599" i="1"/>
  <c r="AH1599" i="1"/>
  <c r="AE1599" i="1"/>
  <c r="AD1599" i="1"/>
  <c r="AA1599" i="1"/>
  <c r="Z1599" i="1"/>
  <c r="AG1599" i="1" s="1"/>
  <c r="U1599" i="1"/>
  <c r="T1599" i="1"/>
  <c r="S1599" i="1"/>
  <c r="R1599" i="1"/>
  <c r="AF1599" i="1" s="1"/>
  <c r="Q1599" i="1"/>
  <c r="O1599" i="1"/>
  <c r="M1599" i="1"/>
  <c r="K1599" i="1"/>
  <c r="V1599" i="1" s="1"/>
  <c r="AH1598" i="1"/>
  <c r="AE1598" i="1"/>
  <c r="AA1598" i="1"/>
  <c r="Z1598" i="1"/>
  <c r="AG1598" i="1" s="1"/>
  <c r="U1598" i="1"/>
  <c r="T1598" i="1"/>
  <c r="S1598" i="1"/>
  <c r="R1598" i="1"/>
  <c r="AF1598" i="1" s="1"/>
  <c r="Q1598" i="1"/>
  <c r="O1598" i="1"/>
  <c r="AD1598" i="1" s="1"/>
  <c r="M1598" i="1"/>
  <c r="K1598" i="1"/>
  <c r="V1598" i="1" s="1"/>
  <c r="AH1597" i="1"/>
  <c r="AF1597" i="1"/>
  <c r="AE1597" i="1"/>
  <c r="AA1597" i="1"/>
  <c r="Z1597" i="1"/>
  <c r="AG1597" i="1" s="1"/>
  <c r="U1597" i="1"/>
  <c r="T1597" i="1"/>
  <c r="S1597" i="1"/>
  <c r="Q1597" i="1"/>
  <c r="R1597" i="1" s="1"/>
  <c r="O1597" i="1"/>
  <c r="AD1597" i="1" s="1"/>
  <c r="AI1597" i="1" s="1"/>
  <c r="M1597" i="1"/>
  <c r="K1597" i="1"/>
  <c r="V1597" i="1" s="1"/>
  <c r="AH1596" i="1"/>
  <c r="AG1596" i="1"/>
  <c r="AE1596" i="1"/>
  <c r="AA1596" i="1"/>
  <c r="Z1596" i="1"/>
  <c r="U1596" i="1"/>
  <c r="T1596" i="1"/>
  <c r="S1596" i="1"/>
  <c r="Q1596" i="1"/>
  <c r="R1596" i="1" s="1"/>
  <c r="AF1596" i="1" s="1"/>
  <c r="O1596" i="1"/>
  <c r="AD1596" i="1" s="1"/>
  <c r="AI1596" i="1" s="1"/>
  <c r="M1596" i="1"/>
  <c r="K1596" i="1"/>
  <c r="V1596" i="1" s="1"/>
  <c r="AI1595" i="1"/>
  <c r="AH1595" i="1"/>
  <c r="AE1595" i="1"/>
  <c r="AD1595" i="1"/>
  <c r="AA1595" i="1"/>
  <c r="Z1595" i="1"/>
  <c r="AG1595" i="1" s="1"/>
  <c r="U1595" i="1"/>
  <c r="T1595" i="1"/>
  <c r="S1595" i="1"/>
  <c r="R1595" i="1"/>
  <c r="AF1595" i="1" s="1"/>
  <c r="Q1595" i="1"/>
  <c r="O1595" i="1"/>
  <c r="M1595" i="1"/>
  <c r="K1595" i="1"/>
  <c r="V1595" i="1" s="1"/>
  <c r="AH1594" i="1"/>
  <c r="AE1594" i="1"/>
  <c r="AA1594" i="1"/>
  <c r="Z1594" i="1"/>
  <c r="AG1594" i="1" s="1"/>
  <c r="V1594" i="1"/>
  <c r="U1594" i="1"/>
  <c r="T1594" i="1"/>
  <c r="S1594" i="1"/>
  <c r="R1594" i="1"/>
  <c r="AF1594" i="1" s="1"/>
  <c r="O1594" i="1"/>
  <c r="AD1594" i="1" s="1"/>
  <c r="AI1594" i="1" s="1"/>
  <c r="M1594" i="1"/>
  <c r="AH1593" i="1"/>
  <c r="AE1593" i="1"/>
  <c r="AA1593" i="1"/>
  <c r="Z1593" i="1"/>
  <c r="AG1593" i="1" s="1"/>
  <c r="V1593" i="1"/>
  <c r="U1593" i="1"/>
  <c r="T1593" i="1"/>
  <c r="S1593" i="1"/>
  <c r="R1593" i="1"/>
  <c r="AF1593" i="1" s="1"/>
  <c r="O1593" i="1"/>
  <c r="AD1593" i="1" s="1"/>
  <c r="AI1593" i="1" s="1"/>
  <c r="M1593" i="1"/>
  <c r="K1593" i="1"/>
  <c r="AH1592" i="1"/>
  <c r="AE1592" i="1"/>
  <c r="AA1592" i="1"/>
  <c r="Z1592" i="1"/>
  <c r="AG1592" i="1" s="1"/>
  <c r="V1592" i="1"/>
  <c r="U1592" i="1"/>
  <c r="T1592" i="1"/>
  <c r="S1592" i="1"/>
  <c r="R1592" i="1"/>
  <c r="AF1592" i="1" s="1"/>
  <c r="O1592" i="1"/>
  <c r="AD1592" i="1" s="1"/>
  <c r="AI1592" i="1" s="1"/>
  <c r="M1592" i="1"/>
  <c r="K1592" i="1"/>
  <c r="AI1591" i="1"/>
  <c r="AH1591" i="1"/>
  <c r="AE1591" i="1"/>
  <c r="AA1591" i="1"/>
  <c r="Z1591" i="1"/>
  <c r="AG1591" i="1" s="1"/>
  <c r="V1591" i="1"/>
  <c r="U1591" i="1"/>
  <c r="T1591" i="1"/>
  <c r="S1591" i="1"/>
  <c r="R1591" i="1"/>
  <c r="AF1591" i="1" s="1"/>
  <c r="O1591" i="1"/>
  <c r="AD1591" i="1" s="1"/>
  <c r="M1591" i="1"/>
  <c r="K1591" i="1"/>
  <c r="AH1590" i="1"/>
  <c r="AE1590" i="1"/>
  <c r="AA1590" i="1"/>
  <c r="Z1590" i="1"/>
  <c r="AG1590" i="1" s="1"/>
  <c r="V1590" i="1"/>
  <c r="U1590" i="1"/>
  <c r="T1590" i="1"/>
  <c r="S1590" i="1"/>
  <c r="R1590" i="1"/>
  <c r="AF1590" i="1" s="1"/>
  <c r="O1590" i="1"/>
  <c r="AD1590" i="1" s="1"/>
  <c r="M1590" i="1"/>
  <c r="K1590" i="1"/>
  <c r="AI1589" i="1"/>
  <c r="AH1589" i="1"/>
  <c r="AE1589" i="1"/>
  <c r="AA1589" i="1"/>
  <c r="Z1589" i="1"/>
  <c r="AG1589" i="1" s="1"/>
  <c r="V1589" i="1"/>
  <c r="U1589" i="1"/>
  <c r="T1589" i="1"/>
  <c r="S1589" i="1"/>
  <c r="R1589" i="1"/>
  <c r="AF1589" i="1" s="1"/>
  <c r="O1589" i="1"/>
  <c r="AD1589" i="1" s="1"/>
  <c r="M1589" i="1"/>
  <c r="K1589" i="1"/>
  <c r="AH1588" i="1"/>
  <c r="AE1588" i="1"/>
  <c r="AD1588" i="1"/>
  <c r="AI1588" i="1" s="1"/>
  <c r="AA1588" i="1"/>
  <c r="Z1588" i="1"/>
  <c r="AG1588" i="1" s="1"/>
  <c r="U1588" i="1"/>
  <c r="T1588" i="1"/>
  <c r="S1588" i="1"/>
  <c r="R1588" i="1"/>
  <c r="AF1588" i="1" s="1"/>
  <c r="Q1588" i="1"/>
  <c r="O1588" i="1"/>
  <c r="M1588" i="1"/>
  <c r="K1588" i="1"/>
  <c r="V1588" i="1" s="1"/>
  <c r="AH1587" i="1"/>
  <c r="AE1587" i="1"/>
  <c r="AA1587" i="1"/>
  <c r="Z1587" i="1"/>
  <c r="AG1587" i="1" s="1"/>
  <c r="U1587" i="1"/>
  <c r="T1587" i="1"/>
  <c r="S1587" i="1"/>
  <c r="R1587" i="1"/>
  <c r="AF1587" i="1" s="1"/>
  <c r="Q1587" i="1"/>
  <c r="O1587" i="1"/>
  <c r="AD1587" i="1" s="1"/>
  <c r="AI1587" i="1" s="1"/>
  <c r="M1587" i="1"/>
  <c r="K1587" i="1"/>
  <c r="V1587" i="1" s="1"/>
  <c r="AH1586" i="1"/>
  <c r="AE1586" i="1"/>
  <c r="AA1586" i="1"/>
  <c r="Z1586" i="1"/>
  <c r="AG1586" i="1" s="1"/>
  <c r="U1586" i="1"/>
  <c r="T1586" i="1"/>
  <c r="S1586" i="1"/>
  <c r="Q1586" i="1"/>
  <c r="R1586" i="1" s="1"/>
  <c r="AF1586" i="1" s="1"/>
  <c r="O1586" i="1"/>
  <c r="AD1586" i="1" s="1"/>
  <c r="M1586" i="1"/>
  <c r="K1586" i="1"/>
  <c r="V1586" i="1" s="1"/>
  <c r="AH1585" i="1"/>
  <c r="AG1585" i="1"/>
  <c r="AE1585" i="1"/>
  <c r="AD1585" i="1"/>
  <c r="AI1585" i="1" s="1"/>
  <c r="AA1585" i="1"/>
  <c r="Z1585" i="1"/>
  <c r="U1585" i="1"/>
  <c r="T1585" i="1"/>
  <c r="S1585" i="1"/>
  <c r="Q1585" i="1"/>
  <c r="R1585" i="1" s="1"/>
  <c r="AF1585" i="1" s="1"/>
  <c r="O1585" i="1"/>
  <c r="M1585" i="1"/>
  <c r="K1585" i="1"/>
  <c r="V1585" i="1" s="1"/>
  <c r="AH1584" i="1"/>
  <c r="AE1584" i="1"/>
  <c r="AD1584" i="1"/>
  <c r="AA1584" i="1"/>
  <c r="Z1584" i="1"/>
  <c r="AG1584" i="1" s="1"/>
  <c r="U1584" i="1"/>
  <c r="T1584" i="1"/>
  <c r="S1584" i="1"/>
  <c r="R1584" i="1"/>
  <c r="AF1584" i="1" s="1"/>
  <c r="Q1584" i="1"/>
  <c r="O1584" i="1"/>
  <c r="M1584" i="1"/>
  <c r="K1584" i="1"/>
  <c r="V1584" i="1" s="1"/>
  <c r="AH1583" i="1"/>
  <c r="AE1583" i="1"/>
  <c r="AA1583" i="1"/>
  <c r="Z1583" i="1"/>
  <c r="AG1583" i="1" s="1"/>
  <c r="U1583" i="1"/>
  <c r="T1583" i="1"/>
  <c r="S1583" i="1"/>
  <c r="R1583" i="1"/>
  <c r="AF1583" i="1" s="1"/>
  <c r="Q1583" i="1"/>
  <c r="O1583" i="1"/>
  <c r="AD1583" i="1" s="1"/>
  <c r="M1583" i="1"/>
  <c r="K1583" i="1"/>
  <c r="V1583" i="1" s="1"/>
  <c r="AH1582" i="1"/>
  <c r="AE1582" i="1"/>
  <c r="AA1582" i="1"/>
  <c r="Z1582" i="1"/>
  <c r="AG1582" i="1" s="1"/>
  <c r="U1582" i="1"/>
  <c r="T1582" i="1"/>
  <c r="S1582" i="1"/>
  <c r="Q1582" i="1"/>
  <c r="R1582" i="1" s="1"/>
  <c r="AF1582" i="1" s="1"/>
  <c r="O1582" i="1"/>
  <c r="AD1582" i="1" s="1"/>
  <c r="M1582" i="1"/>
  <c r="K1582" i="1"/>
  <c r="V1582" i="1" s="1"/>
  <c r="AH1581" i="1"/>
  <c r="AG1581" i="1"/>
  <c r="AE1581" i="1"/>
  <c r="AA1581" i="1"/>
  <c r="Z1581" i="1"/>
  <c r="V1581" i="1"/>
  <c r="U1581" i="1"/>
  <c r="T1581" i="1"/>
  <c r="S1581" i="1"/>
  <c r="R1581" i="1"/>
  <c r="AF1581" i="1" s="1"/>
  <c r="O1581" i="1"/>
  <c r="AD1581" i="1" s="1"/>
  <c r="AI1581" i="1" s="1"/>
  <c r="M1581" i="1"/>
  <c r="K1581" i="1"/>
  <c r="AH1580" i="1"/>
  <c r="AG1580" i="1"/>
  <c r="AE1580" i="1"/>
  <c r="AA1580" i="1"/>
  <c r="Z1580" i="1"/>
  <c r="V1580" i="1"/>
  <c r="U1580" i="1"/>
  <c r="T1580" i="1"/>
  <c r="S1580" i="1"/>
  <c r="R1580" i="1"/>
  <c r="AF1580" i="1" s="1"/>
  <c r="O1580" i="1"/>
  <c r="AD1580" i="1" s="1"/>
  <c r="AI1580" i="1" s="1"/>
  <c r="M1580" i="1"/>
  <c r="K1580" i="1"/>
  <c r="AH1579" i="1"/>
  <c r="AG1579" i="1"/>
  <c r="AE1579" i="1"/>
  <c r="AA1579" i="1"/>
  <c r="Z1579" i="1"/>
  <c r="V1579" i="1"/>
  <c r="U1579" i="1"/>
  <c r="T1579" i="1"/>
  <c r="S1579" i="1"/>
  <c r="R1579" i="1"/>
  <c r="AF1579" i="1" s="1"/>
  <c r="O1579" i="1"/>
  <c r="AD1579" i="1" s="1"/>
  <c r="AI1579" i="1" s="1"/>
  <c r="M1579" i="1"/>
  <c r="K1579" i="1"/>
  <c r="AH1578" i="1"/>
  <c r="AG1578" i="1"/>
  <c r="AE1578" i="1"/>
  <c r="AA1578" i="1"/>
  <c r="Z1578" i="1"/>
  <c r="V1578" i="1"/>
  <c r="U1578" i="1"/>
  <c r="T1578" i="1"/>
  <c r="S1578" i="1"/>
  <c r="R1578" i="1"/>
  <c r="AF1578" i="1" s="1"/>
  <c r="O1578" i="1"/>
  <c r="AD1578" i="1" s="1"/>
  <c r="AI1578" i="1" s="1"/>
  <c r="M1578" i="1"/>
  <c r="K1578" i="1"/>
  <c r="AH1577" i="1"/>
  <c r="AG1577" i="1"/>
  <c r="AE1577" i="1"/>
  <c r="AA1577" i="1"/>
  <c r="Z1577" i="1"/>
  <c r="V1577" i="1"/>
  <c r="U1577" i="1"/>
  <c r="T1577" i="1"/>
  <c r="S1577" i="1"/>
  <c r="R1577" i="1"/>
  <c r="AF1577" i="1" s="1"/>
  <c r="O1577" i="1"/>
  <c r="AD1577" i="1" s="1"/>
  <c r="AI1577" i="1" s="1"/>
  <c r="M1577" i="1"/>
  <c r="K1577" i="1"/>
  <c r="AH1576" i="1"/>
  <c r="AG1576" i="1"/>
  <c r="AE1576" i="1"/>
  <c r="AA1576" i="1"/>
  <c r="Z1576" i="1"/>
  <c r="V1576" i="1"/>
  <c r="U1576" i="1"/>
  <c r="T1576" i="1"/>
  <c r="S1576" i="1"/>
  <c r="R1576" i="1"/>
  <c r="AF1576" i="1" s="1"/>
  <c r="O1576" i="1"/>
  <c r="AD1576" i="1" s="1"/>
  <c r="AI1576" i="1" s="1"/>
  <c r="M1576" i="1"/>
  <c r="K1576" i="1"/>
  <c r="AH1575" i="1"/>
  <c r="AG1575" i="1"/>
  <c r="AE1575" i="1"/>
  <c r="AA1575" i="1"/>
  <c r="Z1575" i="1"/>
  <c r="U1575" i="1"/>
  <c r="T1575" i="1"/>
  <c r="S1575" i="1"/>
  <c r="R1575" i="1"/>
  <c r="AF1575" i="1" s="1"/>
  <c r="Q1575" i="1"/>
  <c r="O1575" i="1"/>
  <c r="AD1575" i="1" s="1"/>
  <c r="AI1575" i="1" s="1"/>
  <c r="M1575" i="1"/>
  <c r="K1575" i="1"/>
  <c r="V1575" i="1" s="1"/>
  <c r="AH1574" i="1"/>
  <c r="AF1574" i="1"/>
  <c r="AE1574" i="1"/>
  <c r="AD1574" i="1"/>
  <c r="AA1574" i="1"/>
  <c r="Z1574" i="1"/>
  <c r="AG1574" i="1" s="1"/>
  <c r="U1574" i="1"/>
  <c r="T1574" i="1"/>
  <c r="S1574" i="1"/>
  <c r="R1574" i="1"/>
  <c r="Q1574" i="1"/>
  <c r="O1574" i="1"/>
  <c r="M1574" i="1"/>
  <c r="K1574" i="1"/>
  <c r="V1574" i="1" s="1"/>
  <c r="AH1573" i="1"/>
  <c r="AE1573" i="1"/>
  <c r="AA1573" i="1"/>
  <c r="Z1573" i="1"/>
  <c r="AG1573" i="1" s="1"/>
  <c r="U1573" i="1"/>
  <c r="T1573" i="1"/>
  <c r="S1573" i="1"/>
  <c r="R1573" i="1"/>
  <c r="AF1573" i="1" s="1"/>
  <c r="Q1573" i="1"/>
  <c r="O1573" i="1"/>
  <c r="AD1573" i="1" s="1"/>
  <c r="M1573" i="1"/>
  <c r="K1573" i="1"/>
  <c r="V1573" i="1" s="1"/>
  <c r="AH1572" i="1"/>
  <c r="AG1572" i="1"/>
  <c r="AF1572" i="1"/>
  <c r="AE1572" i="1"/>
  <c r="AA1572" i="1"/>
  <c r="Z1572" i="1"/>
  <c r="V1572" i="1"/>
  <c r="U1572" i="1"/>
  <c r="T1572" i="1"/>
  <c r="S1572" i="1"/>
  <c r="R1572" i="1"/>
  <c r="O1572" i="1"/>
  <c r="AD1572" i="1" s="1"/>
  <c r="AI1572" i="1" s="1"/>
  <c r="M1572" i="1"/>
  <c r="AH1571" i="1"/>
  <c r="AE1571" i="1"/>
  <c r="AA1571" i="1"/>
  <c r="Z1571" i="1"/>
  <c r="AG1571" i="1" s="1"/>
  <c r="V1571" i="1"/>
  <c r="U1571" i="1"/>
  <c r="T1571" i="1"/>
  <c r="S1571" i="1"/>
  <c r="R1571" i="1"/>
  <c r="AF1571" i="1" s="1"/>
  <c r="O1571" i="1"/>
  <c r="AD1571" i="1" s="1"/>
  <c r="M1571" i="1"/>
  <c r="K1571" i="1"/>
  <c r="AH1570" i="1"/>
  <c r="AE1570" i="1"/>
  <c r="AA1570" i="1"/>
  <c r="Z1570" i="1"/>
  <c r="AG1570" i="1" s="1"/>
  <c r="U1570" i="1"/>
  <c r="T1570" i="1"/>
  <c r="S1570" i="1"/>
  <c r="R1570" i="1"/>
  <c r="AF1570" i="1" s="1"/>
  <c r="O1570" i="1"/>
  <c r="AD1570" i="1" s="1"/>
  <c r="AI1570" i="1" s="1"/>
  <c r="M1570" i="1"/>
  <c r="K1570" i="1"/>
  <c r="V1570" i="1" s="1"/>
  <c r="AH1569" i="1"/>
  <c r="AE1569" i="1"/>
  <c r="AA1569" i="1"/>
  <c r="Z1569" i="1"/>
  <c r="AG1569" i="1" s="1"/>
  <c r="U1569" i="1"/>
  <c r="T1569" i="1"/>
  <c r="S1569" i="1"/>
  <c r="R1569" i="1"/>
  <c r="AF1569" i="1" s="1"/>
  <c r="O1569" i="1"/>
  <c r="AD1569" i="1" s="1"/>
  <c r="AI1569" i="1" s="1"/>
  <c r="M1569" i="1"/>
  <c r="K1569" i="1"/>
  <c r="V1569" i="1" s="1"/>
  <c r="AH1568" i="1"/>
  <c r="AG1568" i="1"/>
  <c r="AE1568" i="1"/>
  <c r="AI1568" i="1" s="1"/>
  <c r="AA1568" i="1"/>
  <c r="Z1568" i="1"/>
  <c r="U1568" i="1"/>
  <c r="T1568" i="1"/>
  <c r="S1568" i="1"/>
  <c r="R1568" i="1"/>
  <c r="AF1568" i="1" s="1"/>
  <c r="Q1568" i="1"/>
  <c r="O1568" i="1"/>
  <c r="AD1568" i="1" s="1"/>
  <c r="M1568" i="1"/>
  <c r="K1568" i="1"/>
  <c r="V1568" i="1" s="1"/>
  <c r="AH1567" i="1"/>
  <c r="AF1567" i="1"/>
  <c r="AE1567" i="1"/>
  <c r="AA1567" i="1"/>
  <c r="Z1567" i="1"/>
  <c r="AG1567" i="1" s="1"/>
  <c r="U1567" i="1"/>
  <c r="T1567" i="1"/>
  <c r="S1567" i="1"/>
  <c r="Q1567" i="1"/>
  <c r="R1567" i="1" s="1"/>
  <c r="O1567" i="1"/>
  <c r="AD1567" i="1" s="1"/>
  <c r="AI1567" i="1" s="1"/>
  <c r="M1567" i="1"/>
  <c r="K1567" i="1"/>
  <c r="V1567" i="1" s="1"/>
  <c r="AH1566" i="1"/>
  <c r="AG1566" i="1"/>
  <c r="AE1566" i="1"/>
  <c r="AD1566" i="1"/>
  <c r="AI1566" i="1" s="1"/>
  <c r="AA1566" i="1"/>
  <c r="Z1566" i="1"/>
  <c r="U1566" i="1"/>
  <c r="T1566" i="1"/>
  <c r="S1566" i="1"/>
  <c r="Q1566" i="1"/>
  <c r="R1566" i="1" s="1"/>
  <c r="AF1566" i="1" s="1"/>
  <c r="O1566" i="1"/>
  <c r="M1566" i="1"/>
  <c r="K1566" i="1"/>
  <c r="V1566" i="1" s="1"/>
  <c r="AH1565" i="1"/>
  <c r="AE1565" i="1"/>
  <c r="AD1565" i="1"/>
  <c r="AI1565" i="1" s="1"/>
  <c r="AA1565" i="1"/>
  <c r="Z1565" i="1"/>
  <c r="AG1565" i="1" s="1"/>
  <c r="U1565" i="1"/>
  <c r="T1565" i="1"/>
  <c r="S1565" i="1"/>
  <c r="Q1565" i="1"/>
  <c r="R1565" i="1" s="1"/>
  <c r="AF1565" i="1" s="1"/>
  <c r="O1565" i="1"/>
  <c r="M1565" i="1"/>
  <c r="K1565" i="1"/>
  <c r="V1565" i="1" s="1"/>
  <c r="AH1564" i="1"/>
  <c r="AE1564" i="1"/>
  <c r="AI1564" i="1" s="1"/>
  <c r="AA1564" i="1"/>
  <c r="Z1564" i="1"/>
  <c r="AG1564" i="1" s="1"/>
  <c r="U1564" i="1"/>
  <c r="T1564" i="1"/>
  <c r="S1564" i="1"/>
  <c r="R1564" i="1"/>
  <c r="AF1564" i="1" s="1"/>
  <c r="Q1564" i="1"/>
  <c r="O1564" i="1"/>
  <c r="AD1564" i="1" s="1"/>
  <c r="M1564" i="1"/>
  <c r="K1564" i="1"/>
  <c r="V1564" i="1" s="1"/>
  <c r="AH1563" i="1"/>
  <c r="AG1563" i="1"/>
  <c r="AE1563" i="1"/>
  <c r="AD1563" i="1"/>
  <c r="AA1563" i="1"/>
  <c r="Z1563" i="1"/>
  <c r="U1563" i="1"/>
  <c r="T1563" i="1"/>
  <c r="S1563" i="1"/>
  <c r="Q1563" i="1"/>
  <c r="R1563" i="1" s="1"/>
  <c r="AF1563" i="1" s="1"/>
  <c r="O1563" i="1"/>
  <c r="M1563" i="1"/>
  <c r="K1563" i="1"/>
  <c r="V1563" i="1" s="1"/>
  <c r="AH1562" i="1"/>
  <c r="AE1562" i="1"/>
  <c r="AA1562" i="1"/>
  <c r="Z1562" i="1"/>
  <c r="AG1562" i="1" s="1"/>
  <c r="V1562" i="1"/>
  <c r="U1562" i="1"/>
  <c r="T1562" i="1"/>
  <c r="S1562" i="1"/>
  <c r="R1562" i="1"/>
  <c r="AF1562" i="1" s="1"/>
  <c r="O1562" i="1"/>
  <c r="AD1562" i="1" s="1"/>
  <c r="M1562" i="1"/>
  <c r="AI1561" i="1"/>
  <c r="AH1561" i="1"/>
  <c r="AG1561" i="1"/>
  <c r="AE1561" i="1"/>
  <c r="AD1561" i="1"/>
  <c r="AA1561" i="1"/>
  <c r="Z1561" i="1"/>
  <c r="U1561" i="1"/>
  <c r="T1561" i="1"/>
  <c r="S1561" i="1"/>
  <c r="R1561" i="1"/>
  <c r="AF1561" i="1" s="1"/>
  <c r="Q1561" i="1"/>
  <c r="O1561" i="1"/>
  <c r="M1561" i="1"/>
  <c r="K1561" i="1"/>
  <c r="V1561" i="1" s="1"/>
  <c r="AH1560" i="1"/>
  <c r="AF1560" i="1"/>
  <c r="AE1560" i="1"/>
  <c r="AI1560" i="1" s="1"/>
  <c r="AD1560" i="1"/>
  <c r="AA1560" i="1"/>
  <c r="Z1560" i="1"/>
  <c r="AG1560" i="1" s="1"/>
  <c r="U1560" i="1"/>
  <c r="T1560" i="1"/>
  <c r="S1560" i="1"/>
  <c r="R1560" i="1"/>
  <c r="Q1560" i="1"/>
  <c r="O1560" i="1"/>
  <c r="M1560" i="1"/>
  <c r="K1560" i="1"/>
  <c r="V1560" i="1" s="1"/>
  <c r="AH1559" i="1"/>
  <c r="AG1559" i="1"/>
  <c r="AF1559" i="1"/>
  <c r="AE1559" i="1"/>
  <c r="AA1559" i="1"/>
  <c r="Z1559" i="1"/>
  <c r="U1559" i="1"/>
  <c r="T1559" i="1"/>
  <c r="S1559" i="1"/>
  <c r="R1559" i="1"/>
  <c r="Q1559" i="1"/>
  <c r="O1559" i="1"/>
  <c r="AD1559" i="1" s="1"/>
  <c r="M1559" i="1"/>
  <c r="K1559" i="1"/>
  <c r="V1559" i="1" s="1"/>
  <c r="AH1558" i="1"/>
  <c r="AG1558" i="1"/>
  <c r="AE1558" i="1"/>
  <c r="AD1558" i="1"/>
  <c r="AA1558" i="1"/>
  <c r="Z1558" i="1"/>
  <c r="U1558" i="1"/>
  <c r="T1558" i="1"/>
  <c r="S1558" i="1"/>
  <c r="Q1558" i="1"/>
  <c r="R1558" i="1" s="1"/>
  <c r="AF1558" i="1" s="1"/>
  <c r="O1558" i="1"/>
  <c r="M1558" i="1"/>
  <c r="K1558" i="1"/>
  <c r="V1558" i="1" s="1"/>
  <c r="AH1557" i="1"/>
  <c r="AG1557" i="1"/>
  <c r="AE1557" i="1"/>
  <c r="AD1557" i="1"/>
  <c r="AA1557" i="1"/>
  <c r="Z1557" i="1"/>
  <c r="U1557" i="1"/>
  <c r="T1557" i="1"/>
  <c r="S1557" i="1"/>
  <c r="R1557" i="1"/>
  <c r="AF1557" i="1" s="1"/>
  <c r="Q1557" i="1"/>
  <c r="O1557" i="1"/>
  <c r="M1557" i="1"/>
  <c r="K1557" i="1"/>
  <c r="V1557" i="1" s="1"/>
  <c r="AH1556" i="1"/>
  <c r="AF1556" i="1"/>
  <c r="AE1556" i="1"/>
  <c r="AI1556" i="1" s="1"/>
  <c r="AD1556" i="1"/>
  <c r="AA1556" i="1"/>
  <c r="Z1556" i="1"/>
  <c r="AG1556" i="1" s="1"/>
  <c r="U1556" i="1"/>
  <c r="T1556" i="1"/>
  <c r="S1556" i="1"/>
  <c r="R1556" i="1"/>
  <c r="Q1556" i="1"/>
  <c r="O1556" i="1"/>
  <c r="M1556" i="1"/>
  <c r="K1556" i="1"/>
  <c r="V1556" i="1" s="1"/>
  <c r="AH1555" i="1"/>
  <c r="AG1555" i="1"/>
  <c r="AF1555" i="1"/>
  <c r="AE1555" i="1"/>
  <c r="AA1555" i="1"/>
  <c r="Z1555" i="1"/>
  <c r="U1555" i="1"/>
  <c r="T1555" i="1"/>
  <c r="S1555" i="1"/>
  <c r="R1555" i="1"/>
  <c r="Q1555" i="1"/>
  <c r="O1555" i="1"/>
  <c r="AD1555" i="1" s="1"/>
  <c r="M1555" i="1"/>
  <c r="K1555" i="1"/>
  <c r="V1555" i="1" s="1"/>
  <c r="AH1554" i="1"/>
  <c r="AG1554" i="1"/>
  <c r="AE1554" i="1"/>
  <c r="AD1554" i="1"/>
  <c r="AI1554" i="1" s="1"/>
  <c r="AA1554" i="1"/>
  <c r="Z1554" i="1"/>
  <c r="U1554" i="1"/>
  <c r="T1554" i="1"/>
  <c r="S1554" i="1"/>
  <c r="Q1554" i="1"/>
  <c r="R1554" i="1" s="1"/>
  <c r="AF1554" i="1" s="1"/>
  <c r="O1554" i="1"/>
  <c r="M1554" i="1"/>
  <c r="K1554" i="1"/>
  <c r="V1554" i="1" s="1"/>
  <c r="AI1553" i="1"/>
  <c r="AH1553" i="1"/>
  <c r="AG1553" i="1"/>
  <c r="AE1553" i="1"/>
  <c r="AD1553" i="1"/>
  <c r="AA1553" i="1"/>
  <c r="Z1553" i="1"/>
  <c r="U1553" i="1"/>
  <c r="T1553" i="1"/>
  <c r="S1553" i="1"/>
  <c r="R1553" i="1"/>
  <c r="AF1553" i="1" s="1"/>
  <c r="Q1553" i="1"/>
  <c r="O1553" i="1"/>
  <c r="M1553" i="1"/>
  <c r="K1553" i="1"/>
  <c r="V1553" i="1" s="1"/>
  <c r="AH1552" i="1"/>
  <c r="AF1552" i="1"/>
  <c r="AE1552" i="1"/>
  <c r="AA1552" i="1"/>
  <c r="Z1552" i="1"/>
  <c r="AG1552" i="1" s="1"/>
  <c r="V1552" i="1"/>
  <c r="U1552" i="1"/>
  <c r="T1552" i="1"/>
  <c r="S1552" i="1"/>
  <c r="R1552" i="1"/>
  <c r="O1552" i="1"/>
  <c r="AD1552" i="1" s="1"/>
  <c r="AI1552" i="1" s="1"/>
  <c r="M1552" i="1"/>
  <c r="AI1551" i="1"/>
  <c r="AH1551" i="1"/>
  <c r="AG1551" i="1"/>
  <c r="AE1551" i="1"/>
  <c r="AD1551" i="1"/>
  <c r="AA1551" i="1"/>
  <c r="Z1551" i="1"/>
  <c r="U1551" i="1"/>
  <c r="T1551" i="1"/>
  <c r="S1551" i="1"/>
  <c r="R1551" i="1"/>
  <c r="AF1551" i="1" s="1"/>
  <c r="Q1551" i="1"/>
  <c r="O1551" i="1"/>
  <c r="M1551" i="1"/>
  <c r="K1551" i="1"/>
  <c r="V1551" i="1" s="1"/>
  <c r="AH1550" i="1"/>
  <c r="AF1550" i="1"/>
  <c r="AE1550" i="1"/>
  <c r="AI1550" i="1" s="1"/>
  <c r="AD1550" i="1"/>
  <c r="AA1550" i="1"/>
  <c r="Z1550" i="1"/>
  <c r="AG1550" i="1" s="1"/>
  <c r="U1550" i="1"/>
  <c r="T1550" i="1"/>
  <c r="S1550" i="1"/>
  <c r="R1550" i="1"/>
  <c r="Q1550" i="1"/>
  <c r="O1550" i="1"/>
  <c r="M1550" i="1"/>
  <c r="K1550" i="1"/>
  <c r="V1550" i="1" s="1"/>
  <c r="AH1549" i="1"/>
  <c r="AG1549" i="1"/>
  <c r="AF1549" i="1"/>
  <c r="AE1549" i="1"/>
  <c r="AA1549" i="1"/>
  <c r="Z1549" i="1"/>
  <c r="U1549" i="1"/>
  <c r="T1549" i="1"/>
  <c r="S1549" i="1"/>
  <c r="R1549" i="1"/>
  <c r="Q1549" i="1"/>
  <c r="O1549" i="1"/>
  <c r="AD1549" i="1" s="1"/>
  <c r="AI1549" i="1" s="1"/>
  <c r="M1549" i="1"/>
  <c r="K1549" i="1"/>
  <c r="V1549" i="1" s="1"/>
  <c r="AH1548" i="1"/>
  <c r="AG1548" i="1"/>
  <c r="AE1548" i="1"/>
  <c r="AD1548" i="1"/>
  <c r="AA1548" i="1"/>
  <c r="Z1548" i="1"/>
  <c r="U1548" i="1"/>
  <c r="T1548" i="1"/>
  <c r="S1548" i="1"/>
  <c r="Q1548" i="1"/>
  <c r="R1548" i="1" s="1"/>
  <c r="AF1548" i="1" s="1"/>
  <c r="O1548" i="1"/>
  <c r="M1548" i="1"/>
  <c r="K1548" i="1"/>
  <c r="V1548" i="1" s="1"/>
  <c r="AI1547" i="1"/>
  <c r="AH1547" i="1"/>
  <c r="AG1547" i="1"/>
  <c r="AE1547" i="1"/>
  <c r="AD1547" i="1"/>
  <c r="AA1547" i="1"/>
  <c r="Z1547" i="1"/>
  <c r="U1547" i="1"/>
  <c r="T1547" i="1"/>
  <c r="S1547" i="1"/>
  <c r="R1547" i="1"/>
  <c r="AF1547" i="1" s="1"/>
  <c r="Q1547" i="1"/>
  <c r="O1547" i="1"/>
  <c r="M1547" i="1"/>
  <c r="K1547" i="1"/>
  <c r="V1547" i="1" s="1"/>
  <c r="AH1546" i="1"/>
  <c r="AF1546" i="1"/>
  <c r="AE1546" i="1"/>
  <c r="AD1546" i="1"/>
  <c r="AA1546" i="1"/>
  <c r="Z1546" i="1"/>
  <c r="AG1546" i="1" s="1"/>
  <c r="U1546" i="1"/>
  <c r="T1546" i="1"/>
  <c r="S1546" i="1"/>
  <c r="R1546" i="1"/>
  <c r="Q1546" i="1"/>
  <c r="O1546" i="1"/>
  <c r="M1546" i="1"/>
  <c r="K1546" i="1"/>
  <c r="V1546" i="1" s="1"/>
  <c r="AH1545" i="1"/>
  <c r="AG1545" i="1"/>
  <c r="AF1545" i="1"/>
  <c r="AE1545" i="1"/>
  <c r="AA1545" i="1"/>
  <c r="Z1545" i="1"/>
  <c r="U1545" i="1"/>
  <c r="T1545" i="1"/>
  <c r="S1545" i="1"/>
  <c r="R1545" i="1"/>
  <c r="Q1545" i="1"/>
  <c r="O1545" i="1"/>
  <c r="AD1545" i="1" s="1"/>
  <c r="AI1545" i="1" s="1"/>
  <c r="M1545" i="1"/>
  <c r="K1545" i="1"/>
  <c r="V1545" i="1" s="1"/>
  <c r="AH1544" i="1"/>
  <c r="AG1544" i="1"/>
  <c r="AE1544" i="1"/>
  <c r="AD1544" i="1"/>
  <c r="AA1544" i="1"/>
  <c r="Z1544" i="1"/>
  <c r="U1544" i="1"/>
  <c r="T1544" i="1"/>
  <c r="S1544" i="1"/>
  <c r="Q1544" i="1"/>
  <c r="R1544" i="1" s="1"/>
  <c r="AF1544" i="1" s="1"/>
  <c r="O1544" i="1"/>
  <c r="M1544" i="1"/>
  <c r="K1544" i="1"/>
  <c r="V1544" i="1" s="1"/>
  <c r="AI1543" i="1"/>
  <c r="AH1543" i="1"/>
  <c r="AG1543" i="1"/>
  <c r="AE1543" i="1"/>
  <c r="AD1543" i="1"/>
  <c r="AA1543" i="1"/>
  <c r="Z1543" i="1"/>
  <c r="U1543" i="1"/>
  <c r="T1543" i="1"/>
  <c r="S1543" i="1"/>
  <c r="R1543" i="1"/>
  <c r="AF1543" i="1" s="1"/>
  <c r="Q1543" i="1"/>
  <c r="O1543" i="1"/>
  <c r="M1543" i="1"/>
  <c r="K1543" i="1"/>
  <c r="V1543" i="1" s="1"/>
  <c r="AH1542" i="1"/>
  <c r="AF1542" i="1"/>
  <c r="AE1542" i="1"/>
  <c r="AA1542" i="1"/>
  <c r="Z1542" i="1"/>
  <c r="AG1542" i="1" s="1"/>
  <c r="V1542" i="1"/>
  <c r="U1542" i="1"/>
  <c r="T1542" i="1"/>
  <c r="S1542" i="1"/>
  <c r="R1542" i="1"/>
  <c r="O1542" i="1"/>
  <c r="AD1542" i="1" s="1"/>
  <c r="M1542" i="1"/>
  <c r="AI1541" i="1"/>
  <c r="AH1541" i="1"/>
  <c r="AG1541" i="1"/>
  <c r="AE1541" i="1"/>
  <c r="AD1541" i="1"/>
  <c r="AA1541" i="1"/>
  <c r="Z1541" i="1"/>
  <c r="U1541" i="1"/>
  <c r="T1541" i="1"/>
  <c r="S1541" i="1"/>
  <c r="R1541" i="1"/>
  <c r="AF1541" i="1" s="1"/>
  <c r="Q1541" i="1"/>
  <c r="O1541" i="1"/>
  <c r="M1541" i="1"/>
  <c r="K1541" i="1"/>
  <c r="V1541" i="1" s="1"/>
  <c r="AH1540" i="1"/>
  <c r="AF1540" i="1"/>
  <c r="AE1540" i="1"/>
  <c r="AI1540" i="1" s="1"/>
  <c r="AD1540" i="1"/>
  <c r="AA1540" i="1"/>
  <c r="Z1540" i="1"/>
  <c r="AG1540" i="1" s="1"/>
  <c r="U1540" i="1"/>
  <c r="T1540" i="1"/>
  <c r="S1540" i="1"/>
  <c r="R1540" i="1"/>
  <c r="Q1540" i="1"/>
  <c r="O1540" i="1"/>
  <c r="M1540" i="1"/>
  <c r="K1540" i="1"/>
  <c r="V1540" i="1" s="1"/>
  <c r="AH1539" i="1"/>
  <c r="AG1539" i="1"/>
  <c r="AF1539" i="1"/>
  <c r="AE1539" i="1"/>
  <c r="AA1539" i="1"/>
  <c r="Z1539" i="1"/>
  <c r="U1539" i="1"/>
  <c r="T1539" i="1"/>
  <c r="S1539" i="1"/>
  <c r="R1539" i="1"/>
  <c r="Q1539" i="1"/>
  <c r="O1539" i="1"/>
  <c r="AD1539" i="1" s="1"/>
  <c r="M1539" i="1"/>
  <c r="K1539" i="1"/>
  <c r="V1539" i="1" s="1"/>
  <c r="AH1538" i="1"/>
  <c r="AG1538" i="1"/>
  <c r="AE1538" i="1"/>
  <c r="AD1538" i="1"/>
  <c r="AA1538" i="1"/>
  <c r="Z1538" i="1"/>
  <c r="U1538" i="1"/>
  <c r="T1538" i="1"/>
  <c r="S1538" i="1"/>
  <c r="Q1538" i="1"/>
  <c r="R1538" i="1" s="1"/>
  <c r="AF1538" i="1" s="1"/>
  <c r="O1538" i="1"/>
  <c r="M1538" i="1"/>
  <c r="K1538" i="1"/>
  <c r="V1538" i="1" s="1"/>
  <c r="AH1537" i="1"/>
  <c r="AG1537" i="1"/>
  <c r="AE1537" i="1"/>
  <c r="AD1537" i="1"/>
  <c r="AA1537" i="1"/>
  <c r="Z1537" i="1"/>
  <c r="U1537" i="1"/>
  <c r="T1537" i="1"/>
  <c r="S1537" i="1"/>
  <c r="R1537" i="1"/>
  <c r="AF1537" i="1" s="1"/>
  <c r="Q1537" i="1"/>
  <c r="O1537" i="1"/>
  <c r="M1537" i="1"/>
  <c r="K1537" i="1"/>
  <c r="V1537" i="1" s="1"/>
  <c r="AH1536" i="1"/>
  <c r="AF1536" i="1"/>
  <c r="AE1536" i="1"/>
  <c r="AI1536" i="1" s="1"/>
  <c r="AD1536" i="1"/>
  <c r="AA1536" i="1"/>
  <c r="Z1536" i="1"/>
  <c r="AG1536" i="1" s="1"/>
  <c r="U1536" i="1"/>
  <c r="T1536" i="1"/>
  <c r="S1536" i="1"/>
  <c r="R1536" i="1"/>
  <c r="Q1536" i="1"/>
  <c r="O1536" i="1"/>
  <c r="M1536" i="1"/>
  <c r="K1536" i="1"/>
  <c r="V1536" i="1" s="1"/>
  <c r="AH1535" i="1"/>
  <c r="AG1535" i="1"/>
  <c r="AF1535" i="1"/>
  <c r="AE1535" i="1"/>
  <c r="AA1535" i="1"/>
  <c r="Z1535" i="1"/>
  <c r="U1535" i="1"/>
  <c r="T1535" i="1"/>
  <c r="S1535" i="1"/>
  <c r="R1535" i="1"/>
  <c r="Q1535" i="1"/>
  <c r="O1535" i="1"/>
  <c r="AD1535" i="1" s="1"/>
  <c r="M1535" i="1"/>
  <c r="K1535" i="1"/>
  <c r="V1535" i="1" s="1"/>
  <c r="AH1534" i="1"/>
  <c r="AG1534" i="1"/>
  <c r="AE1534" i="1"/>
  <c r="AD1534" i="1"/>
  <c r="AI1534" i="1" s="1"/>
  <c r="AA1534" i="1"/>
  <c r="Z1534" i="1"/>
  <c r="U1534" i="1"/>
  <c r="T1534" i="1"/>
  <c r="S1534" i="1"/>
  <c r="Q1534" i="1"/>
  <c r="R1534" i="1" s="1"/>
  <c r="AF1534" i="1" s="1"/>
  <c r="O1534" i="1"/>
  <c r="M1534" i="1"/>
  <c r="K1534" i="1"/>
  <c r="V1534" i="1" s="1"/>
  <c r="AI1533" i="1"/>
  <c r="AH1533" i="1"/>
  <c r="AG1533" i="1"/>
  <c r="AE1533" i="1"/>
  <c r="AD1533" i="1"/>
  <c r="AA1533" i="1"/>
  <c r="Z1533" i="1"/>
  <c r="U1533" i="1"/>
  <c r="T1533" i="1"/>
  <c r="S1533" i="1"/>
  <c r="R1533" i="1"/>
  <c r="AF1533" i="1" s="1"/>
  <c r="Q1533" i="1"/>
  <c r="O1533" i="1"/>
  <c r="M1533" i="1"/>
  <c r="K1533" i="1"/>
  <c r="V1533" i="1" s="1"/>
  <c r="AH1532" i="1"/>
  <c r="AG1532" i="1"/>
  <c r="AF1532" i="1"/>
  <c r="AE1532" i="1"/>
  <c r="AA1532" i="1"/>
  <c r="U1532" i="1"/>
  <c r="T1532" i="1"/>
  <c r="S1532" i="1"/>
  <c r="R1532" i="1"/>
  <c r="Q1532" i="1"/>
  <c r="O1532" i="1"/>
  <c r="AD1532" i="1" s="1"/>
  <c r="M1532" i="1"/>
  <c r="K1532" i="1"/>
  <c r="V1532" i="1" s="1"/>
  <c r="AH1531" i="1"/>
  <c r="AG1531" i="1"/>
  <c r="AF1531" i="1"/>
  <c r="AE1531" i="1"/>
  <c r="AA1531" i="1"/>
  <c r="U1531" i="1"/>
  <c r="T1531" i="1"/>
  <c r="S1531" i="1"/>
  <c r="R1531" i="1"/>
  <c r="Q1531" i="1"/>
  <c r="O1531" i="1"/>
  <c r="AD1531" i="1" s="1"/>
  <c r="AI1531" i="1" s="1"/>
  <c r="M1531" i="1"/>
  <c r="K1531" i="1"/>
  <c r="V1531" i="1" s="1"/>
  <c r="AH1530" i="1"/>
  <c r="AF1530" i="1"/>
  <c r="AE1530" i="1"/>
  <c r="AI1530" i="1" s="1"/>
  <c r="AD1530" i="1"/>
  <c r="AA1530" i="1"/>
  <c r="Z1530" i="1"/>
  <c r="AG1530" i="1" s="1"/>
  <c r="U1530" i="1"/>
  <c r="T1530" i="1"/>
  <c r="S1530" i="1"/>
  <c r="R1530" i="1"/>
  <c r="Q1530" i="1"/>
  <c r="O1530" i="1"/>
  <c r="M1530" i="1"/>
  <c r="K1530" i="1"/>
  <c r="V1530" i="1" s="1"/>
  <c r="AH1529" i="1"/>
  <c r="AG1529" i="1"/>
  <c r="AF1529" i="1"/>
  <c r="AE1529" i="1"/>
  <c r="AA1529" i="1"/>
  <c r="Z1529" i="1"/>
  <c r="U1529" i="1"/>
  <c r="T1529" i="1"/>
  <c r="S1529" i="1"/>
  <c r="R1529" i="1"/>
  <c r="Q1529" i="1"/>
  <c r="O1529" i="1"/>
  <c r="AD1529" i="1" s="1"/>
  <c r="AI1529" i="1" s="1"/>
  <c r="M1529" i="1"/>
  <c r="K1529" i="1"/>
  <c r="V1529" i="1" s="1"/>
  <c r="AH1528" i="1"/>
  <c r="AG1528" i="1"/>
  <c r="AE1528" i="1"/>
  <c r="AD1528" i="1"/>
  <c r="AA1528" i="1"/>
  <c r="Z1528" i="1"/>
  <c r="U1528" i="1"/>
  <c r="T1528" i="1"/>
  <c r="S1528" i="1"/>
  <c r="Q1528" i="1"/>
  <c r="R1528" i="1" s="1"/>
  <c r="AF1528" i="1" s="1"/>
  <c r="O1528" i="1"/>
  <c r="M1528" i="1"/>
  <c r="K1528" i="1"/>
  <c r="V1528" i="1" s="1"/>
  <c r="AI1527" i="1"/>
  <c r="AH1527" i="1"/>
  <c r="AG1527" i="1"/>
  <c r="AE1527" i="1"/>
  <c r="AD1527" i="1"/>
  <c r="AA1527" i="1"/>
  <c r="Z1527" i="1"/>
  <c r="U1527" i="1"/>
  <c r="T1527" i="1"/>
  <c r="S1527" i="1"/>
  <c r="R1527" i="1"/>
  <c r="AF1527" i="1" s="1"/>
  <c r="Q1527" i="1"/>
  <c r="O1527" i="1"/>
  <c r="M1527" i="1"/>
  <c r="K1527" i="1"/>
  <c r="V1527" i="1" s="1"/>
  <c r="AH1526" i="1"/>
  <c r="AF1526" i="1"/>
  <c r="AE1526" i="1"/>
  <c r="AA1526" i="1"/>
  <c r="Z1526" i="1"/>
  <c r="AG1526" i="1" s="1"/>
  <c r="V1526" i="1"/>
  <c r="U1526" i="1"/>
  <c r="T1526" i="1"/>
  <c r="S1526" i="1"/>
  <c r="R1526" i="1"/>
  <c r="O1526" i="1"/>
  <c r="AD1526" i="1" s="1"/>
  <c r="M1526" i="1"/>
  <c r="AI1525" i="1"/>
  <c r="AH1525" i="1"/>
  <c r="AG1525" i="1"/>
  <c r="AE1525" i="1"/>
  <c r="AA1525" i="1"/>
  <c r="Z1525" i="1"/>
  <c r="V1525" i="1"/>
  <c r="U1525" i="1"/>
  <c r="T1525" i="1"/>
  <c r="S1525" i="1"/>
  <c r="R1525" i="1"/>
  <c r="AF1525" i="1" s="1"/>
  <c r="O1525" i="1"/>
  <c r="AD1525" i="1" s="1"/>
  <c r="M1525" i="1"/>
  <c r="K1525" i="1"/>
  <c r="AH1524" i="1"/>
  <c r="AG1524" i="1"/>
  <c r="AE1524" i="1"/>
  <c r="AD1524" i="1"/>
  <c r="AA1524" i="1"/>
  <c r="Z1524" i="1"/>
  <c r="U1524" i="1"/>
  <c r="T1524" i="1"/>
  <c r="S1524" i="1"/>
  <c r="R1524" i="1"/>
  <c r="AF1524" i="1" s="1"/>
  <c r="Q1524" i="1"/>
  <c r="O1524" i="1"/>
  <c r="M1524" i="1"/>
  <c r="K1524" i="1"/>
  <c r="V1524" i="1" s="1"/>
  <c r="AH1523" i="1"/>
  <c r="AF1523" i="1"/>
  <c r="AE1523" i="1"/>
  <c r="AI1523" i="1" s="1"/>
  <c r="AD1523" i="1"/>
  <c r="AA1523" i="1"/>
  <c r="Z1523" i="1"/>
  <c r="AG1523" i="1" s="1"/>
  <c r="U1523" i="1"/>
  <c r="T1523" i="1"/>
  <c r="S1523" i="1"/>
  <c r="R1523" i="1"/>
  <c r="Q1523" i="1"/>
  <c r="O1523" i="1"/>
  <c r="M1523" i="1"/>
  <c r="K1523" i="1"/>
  <c r="V1523" i="1" s="1"/>
  <c r="AH1522" i="1"/>
  <c r="AG1522" i="1"/>
  <c r="AF1522" i="1"/>
  <c r="AE1522" i="1"/>
  <c r="AA1522" i="1"/>
  <c r="Z1522" i="1"/>
  <c r="U1522" i="1"/>
  <c r="T1522" i="1"/>
  <c r="S1522" i="1"/>
  <c r="R1522" i="1"/>
  <c r="O1522" i="1"/>
  <c r="AD1522" i="1" s="1"/>
  <c r="M1522" i="1"/>
  <c r="K1522" i="1"/>
  <c r="V1522" i="1" s="1"/>
  <c r="AH1521" i="1"/>
  <c r="AG1521" i="1"/>
  <c r="AF1521" i="1"/>
  <c r="AE1521" i="1"/>
  <c r="AA1521" i="1"/>
  <c r="Z1521" i="1"/>
  <c r="U1521" i="1"/>
  <c r="T1521" i="1"/>
  <c r="S1521" i="1"/>
  <c r="R1521" i="1"/>
  <c r="O1521" i="1"/>
  <c r="AD1521" i="1" s="1"/>
  <c r="AI1521" i="1" s="1"/>
  <c r="M1521" i="1"/>
  <c r="K1521" i="1"/>
  <c r="V1521" i="1" s="1"/>
  <c r="AH1520" i="1"/>
  <c r="AG1520" i="1"/>
  <c r="AF1520" i="1"/>
  <c r="AE1520" i="1"/>
  <c r="AA1520" i="1"/>
  <c r="Z1520" i="1"/>
  <c r="U1520" i="1"/>
  <c r="T1520" i="1"/>
  <c r="S1520" i="1"/>
  <c r="R1520" i="1"/>
  <c r="Q1520" i="1"/>
  <c r="O1520" i="1"/>
  <c r="AD1520" i="1" s="1"/>
  <c r="AI1520" i="1" s="1"/>
  <c r="M1520" i="1"/>
  <c r="K1520" i="1"/>
  <c r="V1520" i="1" s="1"/>
  <c r="AH1519" i="1"/>
  <c r="AG1519" i="1"/>
  <c r="AF1519" i="1"/>
  <c r="AE1519" i="1"/>
  <c r="AD1519" i="1"/>
  <c r="AI1519" i="1" s="1"/>
  <c r="AA1519" i="1"/>
  <c r="Z1519" i="1"/>
  <c r="U1519" i="1"/>
  <c r="T1519" i="1"/>
  <c r="S1519" i="1"/>
  <c r="R1519" i="1"/>
  <c r="O1519" i="1"/>
  <c r="M1519" i="1"/>
  <c r="K1519" i="1"/>
  <c r="V1519" i="1" s="1"/>
  <c r="AH1518" i="1"/>
  <c r="AG1518" i="1"/>
  <c r="AF1518" i="1"/>
  <c r="AE1518" i="1"/>
  <c r="AA1518" i="1"/>
  <c r="Z1518" i="1"/>
  <c r="U1518" i="1"/>
  <c r="T1518" i="1"/>
  <c r="S1518" i="1"/>
  <c r="R1518" i="1"/>
  <c r="O1518" i="1"/>
  <c r="AD1518" i="1" s="1"/>
  <c r="AI1518" i="1" s="1"/>
  <c r="M1518" i="1"/>
  <c r="K1518" i="1"/>
  <c r="V1518" i="1" s="1"/>
  <c r="AH1517" i="1"/>
  <c r="AG1517" i="1"/>
  <c r="AF1517" i="1"/>
  <c r="AE1517" i="1"/>
  <c r="AD1517" i="1"/>
  <c r="AI1517" i="1" s="1"/>
  <c r="AA1517" i="1"/>
  <c r="Z1517" i="1"/>
  <c r="U1517" i="1"/>
  <c r="T1517" i="1"/>
  <c r="S1517" i="1"/>
  <c r="R1517" i="1"/>
  <c r="O1517" i="1"/>
  <c r="M1517" i="1"/>
  <c r="K1517" i="1"/>
  <c r="V1517" i="1" s="1"/>
  <c r="AH1516" i="1"/>
  <c r="AG1516" i="1"/>
  <c r="AE1516" i="1"/>
  <c r="AD1516" i="1"/>
  <c r="AI1516" i="1" s="1"/>
  <c r="AA1516" i="1"/>
  <c r="Z1516" i="1"/>
  <c r="U1516" i="1"/>
  <c r="T1516" i="1"/>
  <c r="S1516" i="1"/>
  <c r="Q1516" i="1"/>
  <c r="R1516" i="1" s="1"/>
  <c r="AF1516" i="1" s="1"/>
  <c r="O1516" i="1"/>
  <c r="M1516" i="1"/>
  <c r="K1516" i="1"/>
  <c r="V1516" i="1" s="1"/>
  <c r="AH1515" i="1"/>
  <c r="AE1515" i="1"/>
  <c r="AD1515" i="1"/>
  <c r="AA1515" i="1"/>
  <c r="Z1515" i="1"/>
  <c r="AG1515" i="1" s="1"/>
  <c r="U1515" i="1"/>
  <c r="T1515" i="1"/>
  <c r="S1515" i="1"/>
  <c r="R1515" i="1"/>
  <c r="AF1515" i="1" s="1"/>
  <c r="Q1515" i="1"/>
  <c r="O1515" i="1"/>
  <c r="M1515" i="1"/>
  <c r="K1515" i="1"/>
  <c r="V1515" i="1" s="1"/>
  <c r="AH1514" i="1"/>
  <c r="AF1514" i="1"/>
  <c r="AE1514" i="1"/>
  <c r="AA1514" i="1"/>
  <c r="Z1514" i="1"/>
  <c r="AG1514" i="1" s="1"/>
  <c r="U1514" i="1"/>
  <c r="T1514" i="1"/>
  <c r="S1514" i="1"/>
  <c r="R1514" i="1"/>
  <c r="Q1514" i="1"/>
  <c r="O1514" i="1"/>
  <c r="AD1514" i="1" s="1"/>
  <c r="AI1514" i="1" s="1"/>
  <c r="M1514" i="1"/>
  <c r="K1514" i="1"/>
  <c r="V1514" i="1" s="1"/>
  <c r="AH1513" i="1"/>
  <c r="AG1513" i="1"/>
  <c r="AE1513" i="1"/>
  <c r="AA1513" i="1"/>
  <c r="Z1513" i="1"/>
  <c r="U1513" i="1"/>
  <c r="T1513" i="1"/>
  <c r="S1513" i="1"/>
  <c r="Q1513" i="1"/>
  <c r="R1513" i="1" s="1"/>
  <c r="AF1513" i="1" s="1"/>
  <c r="O1513" i="1"/>
  <c r="AD1513" i="1" s="1"/>
  <c r="AI1513" i="1" s="1"/>
  <c r="M1513" i="1"/>
  <c r="K1513" i="1"/>
  <c r="V1513" i="1" s="1"/>
  <c r="AH1512" i="1"/>
  <c r="AG1512" i="1"/>
  <c r="AE1512" i="1"/>
  <c r="AD1512" i="1"/>
  <c r="AA1512" i="1"/>
  <c r="Z1512" i="1"/>
  <c r="U1512" i="1"/>
  <c r="T1512" i="1"/>
  <c r="S1512" i="1"/>
  <c r="Q1512" i="1"/>
  <c r="R1512" i="1" s="1"/>
  <c r="AF1512" i="1" s="1"/>
  <c r="O1512" i="1"/>
  <c r="M1512" i="1"/>
  <c r="K1512" i="1"/>
  <c r="V1512" i="1" s="1"/>
  <c r="AH1511" i="1"/>
  <c r="AE1511" i="1"/>
  <c r="AD1511" i="1"/>
  <c r="AA1511" i="1"/>
  <c r="Z1511" i="1"/>
  <c r="AG1511" i="1" s="1"/>
  <c r="AI1511" i="1" s="1"/>
  <c r="U1511" i="1"/>
  <c r="T1511" i="1"/>
  <c r="S1511" i="1"/>
  <c r="R1511" i="1"/>
  <c r="AF1511" i="1" s="1"/>
  <c r="Q1511" i="1"/>
  <c r="O1511" i="1"/>
  <c r="M1511" i="1"/>
  <c r="K1511" i="1"/>
  <c r="V1511" i="1" s="1"/>
  <c r="AH1510" i="1"/>
  <c r="AF1510" i="1"/>
  <c r="AE1510" i="1"/>
  <c r="AA1510" i="1"/>
  <c r="Z1510" i="1"/>
  <c r="AG1510" i="1" s="1"/>
  <c r="V1510" i="1"/>
  <c r="U1510" i="1"/>
  <c r="T1510" i="1"/>
  <c r="S1510" i="1"/>
  <c r="R1510" i="1"/>
  <c r="O1510" i="1"/>
  <c r="AD1510" i="1" s="1"/>
  <c r="AI1510" i="1" s="1"/>
  <c r="M1510" i="1"/>
  <c r="AH1509" i="1"/>
  <c r="AE1509" i="1"/>
  <c r="AD1509" i="1"/>
  <c r="AA1509" i="1"/>
  <c r="Z1509" i="1"/>
  <c r="AG1509" i="1" s="1"/>
  <c r="U1509" i="1"/>
  <c r="T1509" i="1"/>
  <c r="S1509" i="1"/>
  <c r="R1509" i="1"/>
  <c r="AF1509" i="1" s="1"/>
  <c r="Q1509" i="1"/>
  <c r="O1509" i="1"/>
  <c r="M1509" i="1"/>
  <c r="K1509" i="1"/>
  <c r="V1509" i="1" s="1"/>
  <c r="AH1508" i="1"/>
  <c r="AF1508" i="1"/>
  <c r="AE1508" i="1"/>
  <c r="AA1508" i="1"/>
  <c r="Z1508" i="1"/>
  <c r="AG1508" i="1" s="1"/>
  <c r="U1508" i="1"/>
  <c r="T1508" i="1"/>
  <c r="S1508" i="1"/>
  <c r="R1508" i="1"/>
  <c r="Q1508" i="1"/>
  <c r="O1508" i="1"/>
  <c r="AD1508" i="1" s="1"/>
  <c r="AI1508" i="1" s="1"/>
  <c r="M1508" i="1"/>
  <c r="K1508" i="1"/>
  <c r="V1508" i="1" s="1"/>
  <c r="AH1507" i="1"/>
  <c r="AG1507" i="1"/>
  <c r="AF1507" i="1"/>
  <c r="AE1507" i="1"/>
  <c r="AA1507" i="1"/>
  <c r="Z1507" i="1"/>
  <c r="U1507" i="1"/>
  <c r="T1507" i="1"/>
  <c r="S1507" i="1"/>
  <c r="R1507" i="1"/>
  <c r="Q1507" i="1"/>
  <c r="O1507" i="1"/>
  <c r="AD1507" i="1" s="1"/>
  <c r="M1507" i="1"/>
  <c r="K1507" i="1"/>
  <c r="V1507" i="1" s="1"/>
  <c r="AH1506" i="1"/>
  <c r="AG1506" i="1"/>
  <c r="AE1506" i="1"/>
  <c r="AD1506" i="1"/>
  <c r="AA1506" i="1"/>
  <c r="Z1506" i="1"/>
  <c r="U1506" i="1"/>
  <c r="T1506" i="1"/>
  <c r="S1506" i="1"/>
  <c r="Q1506" i="1"/>
  <c r="R1506" i="1" s="1"/>
  <c r="AF1506" i="1" s="1"/>
  <c r="O1506" i="1"/>
  <c r="M1506" i="1"/>
  <c r="K1506" i="1"/>
  <c r="V1506" i="1" s="1"/>
  <c r="AH1505" i="1"/>
  <c r="AE1505" i="1"/>
  <c r="AI1505" i="1" s="1"/>
  <c r="AD1505" i="1"/>
  <c r="AA1505" i="1"/>
  <c r="Z1505" i="1"/>
  <c r="AG1505" i="1" s="1"/>
  <c r="U1505" i="1"/>
  <c r="T1505" i="1"/>
  <c r="S1505" i="1"/>
  <c r="R1505" i="1"/>
  <c r="AF1505" i="1" s="1"/>
  <c r="Q1505" i="1"/>
  <c r="O1505" i="1"/>
  <c r="M1505" i="1"/>
  <c r="K1505" i="1"/>
  <c r="V1505" i="1" s="1"/>
  <c r="AH1504" i="1"/>
  <c r="AF1504" i="1"/>
  <c r="AE1504" i="1"/>
  <c r="AA1504" i="1"/>
  <c r="Z1504" i="1"/>
  <c r="AG1504" i="1" s="1"/>
  <c r="U1504" i="1"/>
  <c r="T1504" i="1"/>
  <c r="S1504" i="1"/>
  <c r="R1504" i="1"/>
  <c r="Q1504" i="1"/>
  <c r="O1504" i="1"/>
  <c r="AD1504" i="1" s="1"/>
  <c r="M1504" i="1"/>
  <c r="K1504" i="1"/>
  <c r="V1504" i="1" s="1"/>
  <c r="AH1503" i="1"/>
  <c r="AG1503" i="1"/>
  <c r="AE1503" i="1"/>
  <c r="AA1503" i="1"/>
  <c r="Z1503" i="1"/>
  <c r="U1503" i="1"/>
  <c r="T1503" i="1"/>
  <c r="S1503" i="1"/>
  <c r="Q1503" i="1"/>
  <c r="R1503" i="1" s="1"/>
  <c r="AF1503" i="1" s="1"/>
  <c r="O1503" i="1"/>
  <c r="AD1503" i="1" s="1"/>
  <c r="AI1503" i="1" s="1"/>
  <c r="M1503" i="1"/>
  <c r="K1503" i="1"/>
  <c r="V1503" i="1" s="1"/>
  <c r="AH1502" i="1"/>
  <c r="AG1502" i="1"/>
  <c r="AE1502" i="1"/>
  <c r="AD1502" i="1"/>
  <c r="AI1502" i="1" s="1"/>
  <c r="AA1502" i="1"/>
  <c r="Z1502" i="1"/>
  <c r="U1502" i="1"/>
  <c r="T1502" i="1"/>
  <c r="S1502" i="1"/>
  <c r="Q1502" i="1"/>
  <c r="R1502" i="1" s="1"/>
  <c r="AF1502" i="1" s="1"/>
  <c r="O1502" i="1"/>
  <c r="M1502" i="1"/>
  <c r="K1502" i="1"/>
  <c r="V1502" i="1" s="1"/>
  <c r="AH1501" i="1"/>
  <c r="AE1501" i="1"/>
  <c r="AD1501" i="1"/>
  <c r="AA1501" i="1"/>
  <c r="Z1501" i="1"/>
  <c r="AG1501" i="1" s="1"/>
  <c r="U1501" i="1"/>
  <c r="T1501" i="1"/>
  <c r="S1501" i="1"/>
  <c r="R1501" i="1"/>
  <c r="AF1501" i="1" s="1"/>
  <c r="Q1501" i="1"/>
  <c r="O1501" i="1"/>
  <c r="M1501" i="1"/>
  <c r="K1501" i="1"/>
  <c r="V1501" i="1" s="1"/>
  <c r="AH1500" i="1"/>
  <c r="AF1500" i="1"/>
  <c r="AE1500" i="1"/>
  <c r="AA1500" i="1"/>
  <c r="Z1500" i="1"/>
  <c r="AG1500" i="1" s="1"/>
  <c r="U1500" i="1"/>
  <c r="T1500" i="1"/>
  <c r="S1500" i="1"/>
  <c r="R1500" i="1"/>
  <c r="Q1500" i="1"/>
  <c r="O1500" i="1"/>
  <c r="AD1500" i="1" s="1"/>
  <c r="AI1500" i="1" s="1"/>
  <c r="M1500" i="1"/>
  <c r="K1500" i="1"/>
  <c r="V1500" i="1" s="1"/>
  <c r="AH1499" i="1"/>
  <c r="AG1499" i="1"/>
  <c r="AF1499" i="1"/>
  <c r="AE1499" i="1"/>
  <c r="AA1499" i="1"/>
  <c r="Z1499" i="1"/>
  <c r="U1499" i="1"/>
  <c r="T1499" i="1"/>
  <c r="S1499" i="1"/>
  <c r="R1499" i="1"/>
  <c r="Q1499" i="1"/>
  <c r="O1499" i="1"/>
  <c r="AD1499" i="1" s="1"/>
  <c r="M1499" i="1"/>
  <c r="K1499" i="1"/>
  <c r="V1499" i="1" s="1"/>
  <c r="AH1498" i="1"/>
  <c r="AG1498" i="1"/>
  <c r="AE1498" i="1"/>
  <c r="AD1498" i="1"/>
  <c r="AA1498" i="1"/>
  <c r="Z1498" i="1"/>
  <c r="U1498" i="1"/>
  <c r="T1498" i="1"/>
  <c r="S1498" i="1"/>
  <c r="Q1498" i="1"/>
  <c r="R1498" i="1" s="1"/>
  <c r="AF1498" i="1" s="1"/>
  <c r="O1498" i="1"/>
  <c r="M1498" i="1"/>
  <c r="K1498" i="1"/>
  <c r="V1498" i="1" s="1"/>
  <c r="AH1497" i="1"/>
  <c r="AE1497" i="1"/>
  <c r="AI1497" i="1" s="1"/>
  <c r="AD1497" i="1"/>
  <c r="AA1497" i="1"/>
  <c r="Z1497" i="1"/>
  <c r="AG1497" i="1" s="1"/>
  <c r="U1497" i="1"/>
  <c r="T1497" i="1"/>
  <c r="S1497" i="1"/>
  <c r="R1497" i="1"/>
  <c r="AF1497" i="1" s="1"/>
  <c r="Q1497" i="1"/>
  <c r="O1497" i="1"/>
  <c r="M1497" i="1"/>
  <c r="K1497" i="1"/>
  <c r="V1497" i="1" s="1"/>
  <c r="AH1496" i="1"/>
  <c r="AF1496" i="1"/>
  <c r="AE1496" i="1"/>
  <c r="AA1496" i="1"/>
  <c r="Z1496" i="1"/>
  <c r="AG1496" i="1" s="1"/>
  <c r="U1496" i="1"/>
  <c r="T1496" i="1"/>
  <c r="S1496" i="1"/>
  <c r="R1496" i="1"/>
  <c r="Q1496" i="1"/>
  <c r="O1496" i="1"/>
  <c r="AD1496" i="1" s="1"/>
  <c r="M1496" i="1"/>
  <c r="K1496" i="1"/>
  <c r="V1496" i="1" s="1"/>
  <c r="AH1495" i="1"/>
  <c r="AG1495" i="1"/>
  <c r="AE1495" i="1"/>
  <c r="AA1495" i="1"/>
  <c r="Z1495" i="1"/>
  <c r="U1495" i="1"/>
  <c r="T1495" i="1"/>
  <c r="S1495" i="1"/>
  <c r="Q1495" i="1"/>
  <c r="R1495" i="1" s="1"/>
  <c r="AF1495" i="1" s="1"/>
  <c r="O1495" i="1"/>
  <c r="AD1495" i="1" s="1"/>
  <c r="AI1495" i="1" s="1"/>
  <c r="M1495" i="1"/>
  <c r="K1495" i="1"/>
  <c r="V1495" i="1" s="1"/>
  <c r="AH1494" i="1"/>
  <c r="AG1494" i="1"/>
  <c r="AE1494" i="1"/>
  <c r="AD1494" i="1"/>
  <c r="AI1494" i="1" s="1"/>
  <c r="AA1494" i="1"/>
  <c r="U1494" i="1"/>
  <c r="T1494" i="1"/>
  <c r="S1494" i="1"/>
  <c r="Q1494" i="1"/>
  <c r="R1494" i="1" s="1"/>
  <c r="AF1494" i="1" s="1"/>
  <c r="O1494" i="1"/>
  <c r="M1494" i="1"/>
  <c r="K1494" i="1"/>
  <c r="V1494" i="1" s="1"/>
  <c r="AH1493" i="1"/>
  <c r="AG1493" i="1"/>
  <c r="AE1493" i="1"/>
  <c r="AD1493" i="1"/>
  <c r="AI1493" i="1" s="1"/>
  <c r="AA1493" i="1"/>
  <c r="U1493" i="1"/>
  <c r="T1493" i="1"/>
  <c r="S1493" i="1"/>
  <c r="Q1493" i="1"/>
  <c r="R1493" i="1" s="1"/>
  <c r="AF1493" i="1" s="1"/>
  <c r="O1493" i="1"/>
  <c r="M1493" i="1"/>
  <c r="K1493" i="1"/>
  <c r="V1493" i="1" s="1"/>
  <c r="AH1492" i="1"/>
  <c r="AG1492" i="1"/>
  <c r="AE1492" i="1"/>
  <c r="AD1492" i="1"/>
  <c r="AI1492" i="1" s="1"/>
  <c r="AA1492" i="1"/>
  <c r="Z1492" i="1"/>
  <c r="U1492" i="1"/>
  <c r="T1492" i="1"/>
  <c r="S1492" i="1"/>
  <c r="Q1492" i="1"/>
  <c r="R1492" i="1" s="1"/>
  <c r="AF1492" i="1" s="1"/>
  <c r="O1492" i="1"/>
  <c r="M1492" i="1"/>
  <c r="K1492" i="1"/>
  <c r="V1492" i="1" s="1"/>
  <c r="AH1491" i="1"/>
  <c r="AE1491" i="1"/>
  <c r="AD1491" i="1"/>
  <c r="AA1491" i="1"/>
  <c r="Z1491" i="1"/>
  <c r="AG1491" i="1" s="1"/>
  <c r="U1491" i="1"/>
  <c r="T1491" i="1"/>
  <c r="S1491" i="1"/>
  <c r="R1491" i="1"/>
  <c r="AF1491" i="1" s="1"/>
  <c r="Q1491" i="1"/>
  <c r="O1491" i="1"/>
  <c r="M1491" i="1"/>
  <c r="K1491" i="1"/>
  <c r="V1491" i="1" s="1"/>
  <c r="AH1490" i="1"/>
  <c r="AF1490" i="1"/>
  <c r="AE1490" i="1"/>
  <c r="AA1490" i="1"/>
  <c r="Z1490" i="1"/>
  <c r="AG1490" i="1" s="1"/>
  <c r="U1490" i="1"/>
  <c r="T1490" i="1"/>
  <c r="S1490" i="1"/>
  <c r="R1490" i="1"/>
  <c r="Q1490" i="1"/>
  <c r="O1490" i="1"/>
  <c r="AD1490" i="1" s="1"/>
  <c r="AI1490" i="1" s="1"/>
  <c r="M1490" i="1"/>
  <c r="K1490" i="1"/>
  <c r="V1490" i="1" s="1"/>
  <c r="AH1489" i="1"/>
  <c r="AG1489" i="1"/>
  <c r="AE1489" i="1"/>
  <c r="AA1489" i="1"/>
  <c r="Z1489" i="1"/>
  <c r="U1489" i="1"/>
  <c r="T1489" i="1"/>
  <c r="S1489" i="1"/>
  <c r="Q1489" i="1"/>
  <c r="R1489" i="1" s="1"/>
  <c r="AF1489" i="1" s="1"/>
  <c r="O1489" i="1"/>
  <c r="AD1489" i="1" s="1"/>
  <c r="AI1489" i="1" s="1"/>
  <c r="M1489" i="1"/>
  <c r="K1489" i="1"/>
  <c r="V1489" i="1" s="1"/>
  <c r="AH1488" i="1"/>
  <c r="AG1488" i="1"/>
  <c r="AE1488" i="1"/>
  <c r="AD1488" i="1"/>
  <c r="AA1488" i="1"/>
  <c r="Z1488" i="1"/>
  <c r="U1488" i="1"/>
  <c r="T1488" i="1"/>
  <c r="S1488" i="1"/>
  <c r="Q1488" i="1"/>
  <c r="R1488" i="1" s="1"/>
  <c r="AF1488" i="1" s="1"/>
  <c r="O1488" i="1"/>
  <c r="M1488" i="1"/>
  <c r="K1488" i="1"/>
  <c r="V1488" i="1" s="1"/>
  <c r="AH1487" i="1"/>
  <c r="AE1487" i="1"/>
  <c r="AD1487" i="1"/>
  <c r="AA1487" i="1"/>
  <c r="Z1487" i="1"/>
  <c r="AG1487" i="1" s="1"/>
  <c r="AI1487" i="1" s="1"/>
  <c r="U1487" i="1"/>
  <c r="T1487" i="1"/>
  <c r="S1487" i="1"/>
  <c r="R1487" i="1"/>
  <c r="AF1487" i="1" s="1"/>
  <c r="Q1487" i="1"/>
  <c r="O1487" i="1"/>
  <c r="M1487" i="1"/>
  <c r="K1487" i="1"/>
  <c r="V1487" i="1" s="1"/>
  <c r="AH1486" i="1"/>
  <c r="AF1486" i="1"/>
  <c r="AE1486" i="1"/>
  <c r="AA1486" i="1"/>
  <c r="Z1486" i="1"/>
  <c r="AG1486" i="1" s="1"/>
  <c r="U1486" i="1"/>
  <c r="T1486" i="1"/>
  <c r="S1486" i="1"/>
  <c r="R1486" i="1"/>
  <c r="Q1486" i="1"/>
  <c r="O1486" i="1"/>
  <c r="AD1486" i="1" s="1"/>
  <c r="AI1486" i="1" s="1"/>
  <c r="M1486" i="1"/>
  <c r="K1486" i="1"/>
  <c r="V1486" i="1" s="1"/>
  <c r="AH1485" i="1"/>
  <c r="AG1485" i="1"/>
  <c r="AE1485" i="1"/>
  <c r="AA1485" i="1"/>
  <c r="U1485" i="1"/>
  <c r="T1485" i="1"/>
  <c r="S1485" i="1"/>
  <c r="R1485" i="1"/>
  <c r="AF1485" i="1" s="1"/>
  <c r="Q1485" i="1"/>
  <c r="O1485" i="1"/>
  <c r="AD1485" i="1" s="1"/>
  <c r="AI1485" i="1" s="1"/>
  <c r="M1485" i="1"/>
  <c r="K1485" i="1"/>
  <c r="V1485" i="1" s="1"/>
  <c r="AH1484" i="1"/>
  <c r="AG1484" i="1"/>
  <c r="AE1484" i="1"/>
  <c r="AA1484" i="1"/>
  <c r="U1484" i="1"/>
  <c r="T1484" i="1"/>
  <c r="S1484" i="1"/>
  <c r="R1484" i="1"/>
  <c r="AF1484" i="1" s="1"/>
  <c r="Q1484" i="1"/>
  <c r="O1484" i="1"/>
  <c r="AD1484" i="1" s="1"/>
  <c r="AI1484" i="1" s="1"/>
  <c r="M1484" i="1"/>
  <c r="K1484" i="1"/>
  <c r="V1484" i="1" s="1"/>
  <c r="AH1483" i="1"/>
  <c r="AG1483" i="1"/>
  <c r="AE1483" i="1"/>
  <c r="AA1483" i="1"/>
  <c r="Z1483" i="1"/>
  <c r="U1483" i="1"/>
  <c r="T1483" i="1"/>
  <c r="S1483" i="1"/>
  <c r="Q1483" i="1"/>
  <c r="R1483" i="1" s="1"/>
  <c r="AF1483" i="1" s="1"/>
  <c r="O1483" i="1"/>
  <c r="AD1483" i="1" s="1"/>
  <c r="AI1483" i="1" s="1"/>
  <c r="M1483" i="1"/>
  <c r="K1483" i="1"/>
  <c r="V1483" i="1" s="1"/>
  <c r="AH1482" i="1"/>
  <c r="AG1482" i="1"/>
  <c r="AE1482" i="1"/>
  <c r="AD1482" i="1"/>
  <c r="AA1482" i="1"/>
  <c r="Z1482" i="1"/>
  <c r="U1482" i="1"/>
  <c r="T1482" i="1"/>
  <c r="S1482" i="1"/>
  <c r="R1482" i="1"/>
  <c r="AF1482" i="1" s="1"/>
  <c r="O1482" i="1"/>
  <c r="M1482" i="1"/>
  <c r="K1482" i="1"/>
  <c r="V1482" i="1" s="1"/>
  <c r="AH1481" i="1"/>
  <c r="AG1481" i="1"/>
  <c r="AE1481" i="1"/>
  <c r="AD1481" i="1"/>
  <c r="AA1481" i="1"/>
  <c r="Z1481" i="1"/>
  <c r="U1481" i="1"/>
  <c r="T1481" i="1"/>
  <c r="S1481" i="1"/>
  <c r="R1481" i="1"/>
  <c r="AF1481" i="1" s="1"/>
  <c r="O1481" i="1"/>
  <c r="M1481" i="1"/>
  <c r="K1481" i="1"/>
  <c r="V1481" i="1" s="1"/>
  <c r="AH1480" i="1"/>
  <c r="AG1480" i="1"/>
  <c r="AE1480" i="1"/>
  <c r="AD1480" i="1"/>
  <c r="AI1480" i="1" s="1"/>
  <c r="AA1480" i="1"/>
  <c r="Z1480" i="1"/>
  <c r="U1480" i="1"/>
  <c r="T1480" i="1"/>
  <c r="S1480" i="1"/>
  <c r="R1480" i="1"/>
  <c r="AF1480" i="1" s="1"/>
  <c r="O1480" i="1"/>
  <c r="M1480" i="1"/>
  <c r="K1480" i="1"/>
  <c r="V1480" i="1" s="1"/>
  <c r="AH1479" i="1"/>
  <c r="AG1479" i="1"/>
  <c r="AE1479" i="1"/>
  <c r="AD1479" i="1"/>
  <c r="AA1479" i="1"/>
  <c r="Z1479" i="1"/>
  <c r="U1479" i="1"/>
  <c r="T1479" i="1"/>
  <c r="S1479" i="1"/>
  <c r="Q1479" i="1"/>
  <c r="R1479" i="1" s="1"/>
  <c r="AF1479" i="1" s="1"/>
  <c r="O1479" i="1"/>
  <c r="M1479" i="1"/>
  <c r="K1479" i="1"/>
  <c r="V1479" i="1" s="1"/>
  <c r="AH1478" i="1"/>
  <c r="AE1478" i="1"/>
  <c r="AD1478" i="1"/>
  <c r="AA1478" i="1"/>
  <c r="Z1478" i="1"/>
  <c r="AG1478" i="1" s="1"/>
  <c r="AI1478" i="1" s="1"/>
  <c r="U1478" i="1"/>
  <c r="T1478" i="1"/>
  <c r="S1478" i="1"/>
  <c r="R1478" i="1"/>
  <c r="AF1478" i="1" s="1"/>
  <c r="Q1478" i="1"/>
  <c r="O1478" i="1"/>
  <c r="M1478" i="1"/>
  <c r="K1478" i="1"/>
  <c r="V1478" i="1" s="1"/>
  <c r="AH1477" i="1"/>
  <c r="AF1477" i="1"/>
  <c r="AE1477" i="1"/>
  <c r="AA1477" i="1"/>
  <c r="Z1477" i="1"/>
  <c r="AG1477" i="1" s="1"/>
  <c r="U1477" i="1"/>
  <c r="T1477" i="1"/>
  <c r="S1477" i="1"/>
  <c r="R1477" i="1"/>
  <c r="Q1477" i="1"/>
  <c r="O1477" i="1"/>
  <c r="AD1477" i="1" s="1"/>
  <c r="AI1477" i="1" s="1"/>
  <c r="M1477" i="1"/>
  <c r="K1477" i="1"/>
  <c r="V1477" i="1" s="1"/>
  <c r="AH1476" i="1"/>
  <c r="AG1476" i="1"/>
  <c r="AE1476" i="1"/>
  <c r="AA1476" i="1"/>
  <c r="Z1476" i="1"/>
  <c r="U1476" i="1"/>
  <c r="T1476" i="1"/>
  <c r="S1476" i="1"/>
  <c r="Q1476" i="1"/>
  <c r="R1476" i="1" s="1"/>
  <c r="AF1476" i="1" s="1"/>
  <c r="O1476" i="1"/>
  <c r="AD1476" i="1" s="1"/>
  <c r="AI1476" i="1" s="1"/>
  <c r="M1476" i="1"/>
  <c r="K1476" i="1"/>
  <c r="V1476" i="1" s="1"/>
  <c r="AH1475" i="1"/>
  <c r="AG1475" i="1"/>
  <c r="AE1475" i="1"/>
  <c r="AD1475" i="1"/>
  <c r="AA1475" i="1"/>
  <c r="Z1475" i="1"/>
  <c r="U1475" i="1"/>
  <c r="T1475" i="1"/>
  <c r="S1475" i="1"/>
  <c r="Q1475" i="1"/>
  <c r="R1475" i="1" s="1"/>
  <c r="AF1475" i="1" s="1"/>
  <c r="O1475" i="1"/>
  <c r="M1475" i="1"/>
  <c r="K1475" i="1"/>
  <c r="V1475" i="1" s="1"/>
  <c r="AI1474" i="1"/>
  <c r="AH1474" i="1"/>
  <c r="AE1474" i="1"/>
  <c r="AD1474" i="1"/>
  <c r="AA1474" i="1"/>
  <c r="Z1474" i="1"/>
  <c r="AG1474" i="1" s="1"/>
  <c r="U1474" i="1"/>
  <c r="T1474" i="1"/>
  <c r="S1474" i="1"/>
  <c r="R1474" i="1"/>
  <c r="AF1474" i="1" s="1"/>
  <c r="Q1474" i="1"/>
  <c r="O1474" i="1"/>
  <c r="M1474" i="1"/>
  <c r="K1474" i="1"/>
  <c r="V1474" i="1" s="1"/>
  <c r="AH1473" i="1"/>
  <c r="AF1473" i="1"/>
  <c r="AE1473" i="1"/>
  <c r="AA1473" i="1"/>
  <c r="Z1473" i="1"/>
  <c r="AG1473" i="1" s="1"/>
  <c r="U1473" i="1"/>
  <c r="T1473" i="1"/>
  <c r="S1473" i="1"/>
  <c r="R1473" i="1"/>
  <c r="Q1473" i="1"/>
  <c r="O1473" i="1"/>
  <c r="AD1473" i="1" s="1"/>
  <c r="M1473" i="1"/>
  <c r="K1473" i="1"/>
  <c r="V1473" i="1" s="1"/>
  <c r="AH1472" i="1"/>
  <c r="AG1472" i="1"/>
  <c r="AE1472" i="1"/>
  <c r="AA1472" i="1"/>
  <c r="Z1472" i="1"/>
  <c r="U1472" i="1"/>
  <c r="T1472" i="1"/>
  <c r="S1472" i="1"/>
  <c r="Q1472" i="1"/>
  <c r="R1472" i="1" s="1"/>
  <c r="AF1472" i="1" s="1"/>
  <c r="O1472" i="1"/>
  <c r="AD1472" i="1" s="1"/>
  <c r="M1472" i="1"/>
  <c r="K1472" i="1"/>
  <c r="V1472" i="1" s="1"/>
  <c r="AH1471" i="1"/>
  <c r="AG1471" i="1"/>
  <c r="AE1471" i="1"/>
  <c r="AD1471" i="1"/>
  <c r="AA1471" i="1"/>
  <c r="Z1471" i="1"/>
  <c r="U1471" i="1"/>
  <c r="T1471" i="1"/>
  <c r="S1471" i="1"/>
  <c r="Q1471" i="1"/>
  <c r="R1471" i="1" s="1"/>
  <c r="AF1471" i="1" s="1"/>
  <c r="O1471" i="1"/>
  <c r="M1471" i="1"/>
  <c r="K1471" i="1"/>
  <c r="V1471" i="1" s="1"/>
  <c r="AH1470" i="1"/>
  <c r="AE1470" i="1"/>
  <c r="AA1470" i="1"/>
  <c r="Z1470" i="1"/>
  <c r="AG1470" i="1" s="1"/>
  <c r="V1470" i="1"/>
  <c r="U1470" i="1"/>
  <c r="T1470" i="1"/>
  <c r="S1470" i="1"/>
  <c r="R1470" i="1"/>
  <c r="AF1470" i="1" s="1"/>
  <c r="O1470" i="1"/>
  <c r="AD1470" i="1" s="1"/>
  <c r="AI1470" i="1" s="1"/>
  <c r="K1470" i="1"/>
  <c r="AH1469" i="1"/>
  <c r="AG1469" i="1"/>
  <c r="AE1469" i="1"/>
  <c r="AD1469" i="1"/>
  <c r="AI1469" i="1" s="1"/>
  <c r="AA1469" i="1"/>
  <c r="Z1469" i="1"/>
  <c r="U1469" i="1"/>
  <c r="T1469" i="1"/>
  <c r="S1469" i="1"/>
  <c r="R1469" i="1"/>
  <c r="AF1469" i="1" s="1"/>
  <c r="O1469" i="1"/>
  <c r="K1469" i="1"/>
  <c r="V1469" i="1" s="1"/>
  <c r="AH1468" i="1"/>
  <c r="AG1468" i="1"/>
  <c r="AF1468" i="1"/>
  <c r="AE1468" i="1"/>
  <c r="AA1468" i="1"/>
  <c r="Z1468" i="1"/>
  <c r="U1468" i="1"/>
  <c r="T1468" i="1"/>
  <c r="S1468" i="1"/>
  <c r="R1468" i="1"/>
  <c r="O1468" i="1"/>
  <c r="AD1468" i="1" s="1"/>
  <c r="AI1468" i="1" s="1"/>
  <c r="K1468" i="1"/>
  <c r="V1468" i="1" s="1"/>
  <c r="AH1467" i="1"/>
  <c r="AF1467" i="1"/>
  <c r="AE1467" i="1"/>
  <c r="AA1467" i="1"/>
  <c r="Z1467" i="1"/>
  <c r="AG1467" i="1" s="1"/>
  <c r="U1467" i="1"/>
  <c r="T1467" i="1"/>
  <c r="S1467" i="1"/>
  <c r="R1467" i="1"/>
  <c r="Q1467" i="1"/>
  <c r="O1467" i="1"/>
  <c r="AD1467" i="1" s="1"/>
  <c r="AI1467" i="1" s="1"/>
  <c r="K1467" i="1"/>
  <c r="V1467" i="1" s="1"/>
  <c r="AH1466" i="1"/>
  <c r="AF1466" i="1"/>
  <c r="AE1466" i="1"/>
  <c r="AA1466" i="1"/>
  <c r="Z1466" i="1"/>
  <c r="AG1466" i="1" s="1"/>
  <c r="U1466" i="1"/>
  <c r="T1466" i="1"/>
  <c r="S1466" i="1"/>
  <c r="R1466" i="1"/>
  <c r="Q1466" i="1"/>
  <c r="O1466" i="1"/>
  <c r="AD1466" i="1" s="1"/>
  <c r="AI1466" i="1" s="1"/>
  <c r="K1466" i="1"/>
  <c r="V1466" i="1" s="1"/>
  <c r="AH1465" i="1"/>
  <c r="AF1465" i="1"/>
  <c r="AE1465" i="1"/>
  <c r="AA1465" i="1"/>
  <c r="Z1465" i="1"/>
  <c r="AG1465" i="1" s="1"/>
  <c r="U1465" i="1"/>
  <c r="T1465" i="1"/>
  <c r="S1465" i="1"/>
  <c r="R1465" i="1"/>
  <c r="Q1465" i="1"/>
  <c r="O1465" i="1"/>
  <c r="AD1465" i="1" s="1"/>
  <c r="AI1465" i="1" s="1"/>
  <c r="K1465" i="1"/>
  <c r="V1465" i="1" s="1"/>
  <c r="AH1464" i="1"/>
  <c r="AF1464" i="1"/>
  <c r="AE1464" i="1"/>
  <c r="AA1464" i="1"/>
  <c r="Z1464" i="1"/>
  <c r="AG1464" i="1" s="1"/>
  <c r="V1464" i="1"/>
  <c r="U1464" i="1"/>
  <c r="T1464" i="1"/>
  <c r="S1464" i="1"/>
  <c r="R1464" i="1"/>
  <c r="O1464" i="1"/>
  <c r="AD1464" i="1" s="1"/>
  <c r="AI1464" i="1" s="1"/>
  <c r="AH1463" i="1"/>
  <c r="AG1463" i="1"/>
  <c r="AE1463" i="1"/>
  <c r="AD1463" i="1"/>
  <c r="AA1463" i="1"/>
  <c r="Z1463" i="1"/>
  <c r="U1463" i="1"/>
  <c r="T1463" i="1"/>
  <c r="S1463" i="1"/>
  <c r="Q1463" i="1"/>
  <c r="R1463" i="1" s="1"/>
  <c r="AF1463" i="1" s="1"/>
  <c r="O1463" i="1"/>
  <c r="K1463" i="1"/>
  <c r="V1463" i="1" s="1"/>
  <c r="AH1462" i="1"/>
  <c r="AG1462" i="1"/>
  <c r="AE1462" i="1"/>
  <c r="AD1462" i="1"/>
  <c r="AA1462" i="1"/>
  <c r="Z1462" i="1"/>
  <c r="U1462" i="1"/>
  <c r="T1462" i="1"/>
  <c r="S1462" i="1"/>
  <c r="Q1462" i="1"/>
  <c r="R1462" i="1" s="1"/>
  <c r="AF1462" i="1" s="1"/>
  <c r="O1462" i="1"/>
  <c r="K1462" i="1"/>
  <c r="V1462" i="1" s="1"/>
  <c r="AH1461" i="1"/>
  <c r="AG1461" i="1"/>
  <c r="AE1461" i="1"/>
  <c r="AD1461" i="1"/>
  <c r="AA1461" i="1"/>
  <c r="Z1461" i="1"/>
  <c r="U1461" i="1"/>
  <c r="T1461" i="1"/>
  <c r="S1461" i="1"/>
  <c r="Q1461" i="1"/>
  <c r="R1461" i="1" s="1"/>
  <c r="AF1461" i="1" s="1"/>
  <c r="O1461" i="1"/>
  <c r="K1461" i="1"/>
  <c r="V1461" i="1" s="1"/>
  <c r="AH1460" i="1"/>
  <c r="AG1460" i="1"/>
  <c r="AE1460" i="1"/>
  <c r="AD1460" i="1"/>
  <c r="AA1460" i="1"/>
  <c r="Z1460" i="1"/>
  <c r="U1460" i="1"/>
  <c r="T1460" i="1"/>
  <c r="S1460" i="1"/>
  <c r="R1460" i="1"/>
  <c r="AF1460" i="1" s="1"/>
  <c r="O1460" i="1"/>
  <c r="K1460" i="1"/>
  <c r="V1460" i="1" s="1"/>
  <c r="AH1459" i="1"/>
  <c r="AG1459" i="1"/>
  <c r="AF1459" i="1"/>
  <c r="AE1459" i="1"/>
  <c r="AA1459" i="1"/>
  <c r="Z1459" i="1"/>
  <c r="U1459" i="1"/>
  <c r="T1459" i="1"/>
  <c r="S1459" i="1"/>
  <c r="R1459" i="1"/>
  <c r="O1459" i="1"/>
  <c r="AD1459" i="1" s="1"/>
  <c r="K1459" i="1"/>
  <c r="V1459" i="1" s="1"/>
  <c r="AH1458" i="1"/>
  <c r="AF1458" i="1"/>
  <c r="AE1458" i="1"/>
  <c r="AA1458" i="1"/>
  <c r="Z1458" i="1"/>
  <c r="AG1458" i="1" s="1"/>
  <c r="V1458" i="1"/>
  <c r="U1458" i="1"/>
  <c r="T1458" i="1"/>
  <c r="S1458" i="1"/>
  <c r="R1458" i="1"/>
  <c r="O1458" i="1"/>
  <c r="AD1458" i="1" s="1"/>
  <c r="K1458" i="1"/>
  <c r="AH1457" i="1"/>
  <c r="AE1457" i="1"/>
  <c r="AA1457" i="1"/>
  <c r="Z1457" i="1"/>
  <c r="AG1457" i="1" s="1"/>
  <c r="AI1457" i="1" s="1"/>
  <c r="V1457" i="1"/>
  <c r="U1457" i="1"/>
  <c r="T1457" i="1"/>
  <c r="S1457" i="1"/>
  <c r="R1457" i="1"/>
  <c r="AF1457" i="1" s="1"/>
  <c r="O1457" i="1"/>
  <c r="AD1457" i="1" s="1"/>
  <c r="K1457" i="1"/>
  <c r="AH1456" i="1"/>
  <c r="AG1456" i="1"/>
  <c r="AE1456" i="1"/>
  <c r="AD1456" i="1"/>
  <c r="AA1456" i="1"/>
  <c r="Z1456" i="1"/>
  <c r="U1456" i="1"/>
  <c r="T1456" i="1"/>
  <c r="S1456" i="1"/>
  <c r="R1456" i="1"/>
  <c r="AF1456" i="1" s="1"/>
  <c r="O1456" i="1"/>
  <c r="K1456" i="1"/>
  <c r="V1456" i="1" s="1"/>
  <c r="AH1455" i="1"/>
  <c r="AG1455" i="1"/>
  <c r="AF1455" i="1"/>
  <c r="AE1455" i="1"/>
  <c r="AA1455" i="1"/>
  <c r="Z1455" i="1"/>
  <c r="U1455" i="1"/>
  <c r="T1455" i="1"/>
  <c r="S1455" i="1"/>
  <c r="R1455" i="1"/>
  <c r="O1455" i="1"/>
  <c r="AD1455" i="1" s="1"/>
  <c r="K1455" i="1"/>
  <c r="V1455" i="1" s="1"/>
  <c r="AH1454" i="1"/>
  <c r="AF1454" i="1"/>
  <c r="AE1454" i="1"/>
  <c r="AA1454" i="1"/>
  <c r="Z1454" i="1"/>
  <c r="AG1454" i="1" s="1"/>
  <c r="U1454" i="1"/>
  <c r="T1454" i="1"/>
  <c r="S1454" i="1"/>
  <c r="R1454" i="1"/>
  <c r="Q1454" i="1"/>
  <c r="O1454" i="1"/>
  <c r="AD1454" i="1" s="1"/>
  <c r="K1454" i="1"/>
  <c r="V1454" i="1" s="1"/>
  <c r="AH1453" i="1"/>
  <c r="AF1453" i="1"/>
  <c r="AE1453" i="1"/>
  <c r="AA1453" i="1"/>
  <c r="Z1453" i="1"/>
  <c r="AG1453" i="1" s="1"/>
  <c r="U1453" i="1"/>
  <c r="T1453" i="1"/>
  <c r="S1453" i="1"/>
  <c r="R1453" i="1"/>
  <c r="Q1453" i="1"/>
  <c r="O1453" i="1"/>
  <c r="AD1453" i="1" s="1"/>
  <c r="K1453" i="1"/>
  <c r="V1453" i="1" s="1"/>
  <c r="AH1452" i="1"/>
  <c r="AF1452" i="1"/>
  <c r="AE1452" i="1"/>
  <c r="AA1452" i="1"/>
  <c r="Z1452" i="1"/>
  <c r="AG1452" i="1" s="1"/>
  <c r="U1452" i="1"/>
  <c r="T1452" i="1"/>
  <c r="S1452" i="1"/>
  <c r="R1452" i="1"/>
  <c r="Q1452" i="1"/>
  <c r="O1452" i="1"/>
  <c r="AD1452" i="1" s="1"/>
  <c r="K1452" i="1"/>
  <c r="V1452" i="1" s="1"/>
  <c r="AH1451" i="1"/>
  <c r="AF1451" i="1"/>
  <c r="AE1451" i="1"/>
  <c r="AA1451" i="1"/>
  <c r="Z1451" i="1"/>
  <c r="AG1451" i="1" s="1"/>
  <c r="V1451" i="1"/>
  <c r="U1451" i="1"/>
  <c r="T1451" i="1"/>
  <c r="S1451" i="1"/>
  <c r="R1451" i="1"/>
  <c r="O1451" i="1"/>
  <c r="AD1451" i="1" s="1"/>
  <c r="AH1450" i="1"/>
  <c r="AG1450" i="1"/>
  <c r="AE1450" i="1"/>
  <c r="AD1450" i="1"/>
  <c r="AA1450" i="1"/>
  <c r="Z1450" i="1"/>
  <c r="U1450" i="1"/>
  <c r="T1450" i="1"/>
  <c r="S1450" i="1"/>
  <c r="R1450" i="1"/>
  <c r="AF1450" i="1" s="1"/>
  <c r="O1450" i="1"/>
  <c r="K1450" i="1"/>
  <c r="V1450" i="1" s="1"/>
  <c r="AH1449" i="1"/>
  <c r="AG1449" i="1"/>
  <c r="AF1449" i="1"/>
  <c r="AE1449" i="1"/>
  <c r="AA1449" i="1"/>
  <c r="Z1449" i="1"/>
  <c r="U1449" i="1"/>
  <c r="T1449" i="1"/>
  <c r="S1449" i="1"/>
  <c r="R1449" i="1"/>
  <c r="O1449" i="1"/>
  <c r="AD1449" i="1" s="1"/>
  <c r="K1449" i="1"/>
  <c r="V1449" i="1" s="1"/>
  <c r="AH1448" i="1"/>
  <c r="AF1448" i="1"/>
  <c r="AE1448" i="1"/>
  <c r="AA1448" i="1"/>
  <c r="Z1448" i="1"/>
  <c r="AG1448" i="1" s="1"/>
  <c r="V1448" i="1"/>
  <c r="U1448" i="1"/>
  <c r="T1448" i="1"/>
  <c r="S1448" i="1"/>
  <c r="R1448" i="1"/>
  <c r="O1448" i="1"/>
  <c r="AD1448" i="1" s="1"/>
  <c r="K1448" i="1"/>
  <c r="AI1447" i="1"/>
  <c r="AH1447" i="1"/>
  <c r="AG1447" i="1"/>
  <c r="AE1447" i="1"/>
  <c r="AD1447" i="1"/>
  <c r="AA1447" i="1"/>
  <c r="Z1447" i="1"/>
  <c r="V1447" i="1"/>
  <c r="U1447" i="1"/>
  <c r="T1447" i="1"/>
  <c r="S1447" i="1"/>
  <c r="R1447" i="1"/>
  <c r="AF1447" i="1" s="1"/>
  <c r="Q1447" i="1"/>
  <c r="O1447" i="1"/>
  <c r="K1447" i="1"/>
  <c r="AH1446" i="1"/>
  <c r="AE1446" i="1"/>
  <c r="AD1446" i="1"/>
  <c r="AA1446" i="1"/>
  <c r="Z1446" i="1"/>
  <c r="AG1446" i="1" s="1"/>
  <c r="V1446" i="1"/>
  <c r="U1446" i="1"/>
  <c r="T1446" i="1"/>
  <c r="S1446" i="1"/>
  <c r="R1446" i="1"/>
  <c r="AF1446" i="1" s="1"/>
  <c r="Q1446" i="1"/>
  <c r="O1446" i="1"/>
  <c r="K1446" i="1"/>
  <c r="AI1445" i="1"/>
  <c r="AH1445" i="1"/>
  <c r="AE1445" i="1"/>
  <c r="AD1445" i="1"/>
  <c r="AA1445" i="1"/>
  <c r="Z1445" i="1"/>
  <c r="AG1445" i="1" s="1"/>
  <c r="V1445" i="1"/>
  <c r="U1445" i="1"/>
  <c r="T1445" i="1"/>
  <c r="S1445" i="1"/>
  <c r="R1445" i="1"/>
  <c r="AF1445" i="1" s="1"/>
  <c r="Q1445" i="1"/>
  <c r="O1445" i="1"/>
  <c r="K1445" i="1"/>
  <c r="AH1444" i="1"/>
  <c r="AE1444" i="1"/>
  <c r="AA1444" i="1"/>
  <c r="Z1444" i="1"/>
  <c r="AG1444" i="1" s="1"/>
  <c r="V1444" i="1"/>
  <c r="U1444" i="1"/>
  <c r="T1444" i="1"/>
  <c r="S1444" i="1"/>
  <c r="R1444" i="1"/>
  <c r="AF1444" i="1" s="1"/>
  <c r="O1444" i="1"/>
  <c r="AD1444" i="1" s="1"/>
  <c r="AI1444" i="1" s="1"/>
  <c r="AH1443" i="1"/>
  <c r="AG1443" i="1"/>
  <c r="AE1443" i="1"/>
  <c r="AA1443" i="1"/>
  <c r="Z1443" i="1"/>
  <c r="U1443" i="1"/>
  <c r="T1443" i="1"/>
  <c r="S1443" i="1"/>
  <c r="Q1443" i="1"/>
  <c r="R1443" i="1" s="1"/>
  <c r="AF1443" i="1" s="1"/>
  <c r="O1443" i="1"/>
  <c r="AD1443" i="1" s="1"/>
  <c r="AI1443" i="1" s="1"/>
  <c r="K1443" i="1"/>
  <c r="V1443" i="1" s="1"/>
  <c r="AH1442" i="1"/>
  <c r="AG1442" i="1"/>
  <c r="AF1442" i="1"/>
  <c r="AE1442" i="1"/>
  <c r="AA1442" i="1"/>
  <c r="Z1442" i="1"/>
  <c r="U1442" i="1"/>
  <c r="T1442" i="1"/>
  <c r="S1442" i="1"/>
  <c r="R1442" i="1"/>
  <c r="Q1442" i="1"/>
  <c r="O1442" i="1"/>
  <c r="AD1442" i="1" s="1"/>
  <c r="AI1442" i="1" s="1"/>
  <c r="K1442" i="1"/>
  <c r="V1442" i="1" s="1"/>
  <c r="AH1441" i="1"/>
  <c r="AG1441" i="1"/>
  <c r="AF1441" i="1"/>
  <c r="AE1441" i="1"/>
  <c r="AA1441" i="1"/>
  <c r="Z1441" i="1"/>
  <c r="U1441" i="1"/>
  <c r="T1441" i="1"/>
  <c r="S1441" i="1"/>
  <c r="R1441" i="1"/>
  <c r="Q1441" i="1"/>
  <c r="O1441" i="1"/>
  <c r="AD1441" i="1" s="1"/>
  <c r="AI1441" i="1" s="1"/>
  <c r="K1441" i="1"/>
  <c r="V1441" i="1" s="1"/>
  <c r="AH1440" i="1"/>
  <c r="AG1440" i="1"/>
  <c r="AE1440" i="1"/>
  <c r="AA1440" i="1"/>
  <c r="Z1440" i="1"/>
  <c r="U1440" i="1"/>
  <c r="T1440" i="1"/>
  <c r="S1440" i="1"/>
  <c r="Q1440" i="1"/>
  <c r="R1440" i="1" s="1"/>
  <c r="AF1440" i="1" s="1"/>
  <c r="O1440" i="1"/>
  <c r="AD1440" i="1" s="1"/>
  <c r="AI1440" i="1" s="1"/>
  <c r="K1440" i="1"/>
  <c r="V1440" i="1" s="1"/>
  <c r="AH1439" i="1"/>
  <c r="AG1439" i="1"/>
  <c r="AE1439" i="1"/>
  <c r="AA1439" i="1"/>
  <c r="Z1439" i="1"/>
  <c r="U1439" i="1"/>
  <c r="T1439" i="1"/>
  <c r="S1439" i="1"/>
  <c r="Q1439" i="1"/>
  <c r="R1439" i="1" s="1"/>
  <c r="AF1439" i="1" s="1"/>
  <c r="O1439" i="1"/>
  <c r="AD1439" i="1" s="1"/>
  <c r="AI1439" i="1" s="1"/>
  <c r="K1439" i="1"/>
  <c r="V1439" i="1" s="1"/>
  <c r="AH1438" i="1"/>
  <c r="AG1438" i="1"/>
  <c r="AE1438" i="1"/>
  <c r="AA1438" i="1"/>
  <c r="Z1438" i="1"/>
  <c r="U1438" i="1"/>
  <c r="T1438" i="1"/>
  <c r="S1438" i="1"/>
  <c r="Q1438" i="1"/>
  <c r="R1438" i="1" s="1"/>
  <c r="AF1438" i="1" s="1"/>
  <c r="O1438" i="1"/>
  <c r="AD1438" i="1" s="1"/>
  <c r="K1438" i="1"/>
  <c r="V1438" i="1" s="1"/>
  <c r="AH1437" i="1"/>
  <c r="AG1437" i="1"/>
  <c r="AE1437" i="1"/>
  <c r="AA1437" i="1"/>
  <c r="Z1437" i="1"/>
  <c r="U1437" i="1"/>
  <c r="T1437" i="1"/>
  <c r="S1437" i="1"/>
  <c r="Q1437" i="1"/>
  <c r="R1437" i="1" s="1"/>
  <c r="AF1437" i="1" s="1"/>
  <c r="O1437" i="1"/>
  <c r="AD1437" i="1" s="1"/>
  <c r="AI1437" i="1" s="1"/>
  <c r="K1437" i="1"/>
  <c r="V1437" i="1" s="1"/>
  <c r="AH1436" i="1"/>
  <c r="AG1436" i="1"/>
  <c r="AF1436" i="1"/>
  <c r="AE1436" i="1"/>
  <c r="AA1436" i="1"/>
  <c r="Z1436" i="1"/>
  <c r="U1436" i="1"/>
  <c r="T1436" i="1"/>
  <c r="S1436" i="1"/>
  <c r="R1436" i="1"/>
  <c r="Q1436" i="1"/>
  <c r="O1436" i="1"/>
  <c r="AD1436" i="1" s="1"/>
  <c r="K1436" i="1"/>
  <c r="V1436" i="1" s="1"/>
  <c r="AH1435" i="1"/>
  <c r="AG1435" i="1"/>
  <c r="AF1435" i="1"/>
  <c r="AE1435" i="1"/>
  <c r="AA1435" i="1"/>
  <c r="Z1435" i="1"/>
  <c r="U1435" i="1"/>
  <c r="T1435" i="1"/>
  <c r="S1435" i="1"/>
  <c r="R1435" i="1"/>
  <c r="Q1435" i="1"/>
  <c r="O1435" i="1"/>
  <c r="AD1435" i="1" s="1"/>
  <c r="K1435" i="1"/>
  <c r="V1435" i="1" s="1"/>
  <c r="AH1434" i="1"/>
  <c r="AG1434" i="1"/>
  <c r="AF1434" i="1"/>
  <c r="AE1434" i="1"/>
  <c r="AA1434" i="1"/>
  <c r="Z1434" i="1"/>
  <c r="V1434" i="1"/>
  <c r="U1434" i="1"/>
  <c r="T1434" i="1"/>
  <c r="S1434" i="1"/>
  <c r="R1434" i="1"/>
  <c r="O1434" i="1"/>
  <c r="AD1434" i="1" s="1"/>
  <c r="AI1434" i="1" s="1"/>
  <c r="AI1433" i="1"/>
  <c r="AH1433" i="1"/>
  <c r="AE1433" i="1"/>
  <c r="AD1433" i="1"/>
  <c r="AA1433" i="1"/>
  <c r="Z1433" i="1"/>
  <c r="AG1433" i="1" s="1"/>
  <c r="V1433" i="1"/>
  <c r="U1433" i="1"/>
  <c r="T1433" i="1"/>
  <c r="S1433" i="1"/>
  <c r="R1433" i="1"/>
  <c r="AF1433" i="1" s="1"/>
  <c r="Q1433" i="1"/>
  <c r="O1433" i="1"/>
  <c r="K1433" i="1"/>
  <c r="AH1432" i="1"/>
  <c r="AE1432" i="1"/>
  <c r="AD1432" i="1"/>
  <c r="AA1432" i="1"/>
  <c r="Z1432" i="1"/>
  <c r="AG1432" i="1" s="1"/>
  <c r="V1432" i="1"/>
  <c r="U1432" i="1"/>
  <c r="T1432" i="1"/>
  <c r="S1432" i="1"/>
  <c r="R1432" i="1"/>
  <c r="AF1432" i="1" s="1"/>
  <c r="Q1432" i="1"/>
  <c r="O1432" i="1"/>
  <c r="K1432" i="1"/>
  <c r="AI1431" i="1"/>
  <c r="AH1431" i="1"/>
  <c r="AE1431" i="1"/>
  <c r="AD1431" i="1"/>
  <c r="AA1431" i="1"/>
  <c r="Z1431" i="1"/>
  <c r="AG1431" i="1" s="1"/>
  <c r="V1431" i="1"/>
  <c r="U1431" i="1"/>
  <c r="T1431" i="1"/>
  <c r="S1431" i="1"/>
  <c r="R1431" i="1"/>
  <c r="AF1431" i="1" s="1"/>
  <c r="Q1431" i="1"/>
  <c r="O1431" i="1"/>
  <c r="K1431" i="1"/>
  <c r="AH1430" i="1"/>
  <c r="AE1430" i="1"/>
  <c r="AD1430" i="1"/>
  <c r="AA1430" i="1"/>
  <c r="Z1430" i="1"/>
  <c r="AG1430" i="1" s="1"/>
  <c r="V1430" i="1"/>
  <c r="U1430" i="1"/>
  <c r="T1430" i="1"/>
  <c r="S1430" i="1"/>
  <c r="R1430" i="1"/>
  <c r="AF1430" i="1" s="1"/>
  <c r="Q1430" i="1"/>
  <c r="O1430" i="1"/>
  <c r="K1430" i="1"/>
  <c r="AI1429" i="1"/>
  <c r="AH1429" i="1"/>
  <c r="AE1429" i="1"/>
  <c r="AD1429" i="1"/>
  <c r="AA1429" i="1"/>
  <c r="Z1429" i="1"/>
  <c r="AG1429" i="1" s="1"/>
  <c r="V1429" i="1"/>
  <c r="U1429" i="1"/>
  <c r="T1429" i="1"/>
  <c r="S1429" i="1"/>
  <c r="R1429" i="1"/>
  <c r="AF1429" i="1" s="1"/>
  <c r="Q1429" i="1"/>
  <c r="O1429" i="1"/>
  <c r="K1429" i="1"/>
  <c r="AH1428" i="1"/>
  <c r="AE1428" i="1"/>
  <c r="AD1428" i="1"/>
  <c r="AA1428" i="1"/>
  <c r="Z1428" i="1"/>
  <c r="AG1428" i="1" s="1"/>
  <c r="V1428" i="1"/>
  <c r="U1428" i="1"/>
  <c r="T1428" i="1"/>
  <c r="S1428" i="1"/>
  <c r="R1428" i="1"/>
  <c r="AF1428" i="1" s="1"/>
  <c r="Q1428" i="1"/>
  <c r="O1428" i="1"/>
  <c r="K1428" i="1"/>
  <c r="AI1427" i="1"/>
  <c r="AH1427" i="1"/>
  <c r="AE1427" i="1"/>
  <c r="AD1427" i="1"/>
  <c r="AA1427" i="1"/>
  <c r="Z1427" i="1"/>
  <c r="AG1427" i="1" s="1"/>
  <c r="V1427" i="1"/>
  <c r="U1427" i="1"/>
  <c r="T1427" i="1"/>
  <c r="S1427" i="1"/>
  <c r="R1427" i="1"/>
  <c r="AF1427" i="1" s="1"/>
  <c r="Q1427" i="1"/>
  <c r="O1427" i="1"/>
  <c r="K1427" i="1"/>
  <c r="AH1426" i="1"/>
  <c r="AE1426" i="1"/>
  <c r="AD1426" i="1"/>
  <c r="AA1426" i="1"/>
  <c r="Z1426" i="1"/>
  <c r="AG1426" i="1" s="1"/>
  <c r="V1426" i="1"/>
  <c r="U1426" i="1"/>
  <c r="T1426" i="1"/>
  <c r="S1426" i="1"/>
  <c r="R1426" i="1"/>
  <c r="AF1426" i="1" s="1"/>
  <c r="Q1426" i="1"/>
  <c r="O1426" i="1"/>
  <c r="K1426" i="1"/>
  <c r="AI1425" i="1"/>
  <c r="AH1425" i="1"/>
  <c r="AE1425" i="1"/>
  <c r="AD1425" i="1"/>
  <c r="AA1425" i="1"/>
  <c r="Z1425" i="1"/>
  <c r="AG1425" i="1" s="1"/>
  <c r="V1425" i="1"/>
  <c r="U1425" i="1"/>
  <c r="T1425" i="1"/>
  <c r="S1425" i="1"/>
  <c r="R1425" i="1"/>
  <c r="AF1425" i="1" s="1"/>
  <c r="Q1425" i="1"/>
  <c r="O1425" i="1"/>
  <c r="K1425" i="1"/>
  <c r="AH1424" i="1"/>
  <c r="AE1424" i="1"/>
  <c r="AA1424" i="1"/>
  <c r="Z1424" i="1"/>
  <c r="AG1424" i="1" s="1"/>
  <c r="V1424" i="1"/>
  <c r="U1424" i="1"/>
  <c r="T1424" i="1"/>
  <c r="S1424" i="1"/>
  <c r="R1424" i="1"/>
  <c r="AF1424" i="1" s="1"/>
  <c r="O1424" i="1"/>
  <c r="AD1424" i="1" s="1"/>
  <c r="AI1424" i="1" s="1"/>
  <c r="K1424" i="1"/>
  <c r="AH1423" i="1"/>
  <c r="AG1423" i="1"/>
  <c r="AE1423" i="1"/>
  <c r="AA1423" i="1"/>
  <c r="Z1423" i="1"/>
  <c r="U1423" i="1"/>
  <c r="T1423" i="1"/>
  <c r="S1423" i="1"/>
  <c r="R1423" i="1"/>
  <c r="AF1423" i="1" s="1"/>
  <c r="O1423" i="1"/>
  <c r="AD1423" i="1" s="1"/>
  <c r="AI1423" i="1" s="1"/>
  <c r="K1423" i="1"/>
  <c r="V1423" i="1" s="1"/>
  <c r="AH1422" i="1"/>
  <c r="AG1422" i="1"/>
  <c r="AF1422" i="1"/>
  <c r="AE1422" i="1"/>
  <c r="AA1422" i="1"/>
  <c r="Z1422" i="1"/>
  <c r="U1422" i="1"/>
  <c r="T1422" i="1"/>
  <c r="S1422" i="1"/>
  <c r="R1422" i="1"/>
  <c r="O1422" i="1"/>
  <c r="AD1422" i="1" s="1"/>
  <c r="AI1422" i="1" s="1"/>
  <c r="K1422" i="1"/>
  <c r="V1422" i="1" s="1"/>
  <c r="AH1421" i="1"/>
  <c r="AG1421" i="1"/>
  <c r="AF1421" i="1"/>
  <c r="AE1421" i="1"/>
  <c r="V1421" i="1"/>
  <c r="U1421" i="1"/>
  <c r="T1421" i="1"/>
  <c r="S1421" i="1"/>
  <c r="R1421" i="1"/>
  <c r="O1421" i="1"/>
  <c r="AD1421" i="1" s="1"/>
  <c r="AH1420" i="1"/>
  <c r="AG1420" i="1"/>
  <c r="AF1420" i="1"/>
  <c r="AE1420" i="1"/>
  <c r="V1420" i="1"/>
  <c r="U1420" i="1"/>
  <c r="T1420" i="1"/>
  <c r="S1420" i="1"/>
  <c r="R1420" i="1"/>
  <c r="O1420" i="1"/>
  <c r="AD1420" i="1" s="1"/>
  <c r="AH1419" i="1"/>
  <c r="AF1419" i="1"/>
  <c r="AE1419" i="1"/>
  <c r="AA1419" i="1"/>
  <c r="Z1419" i="1"/>
  <c r="AG1419" i="1" s="1"/>
  <c r="V1419" i="1"/>
  <c r="U1419" i="1"/>
  <c r="T1419" i="1"/>
  <c r="S1419" i="1"/>
  <c r="R1419" i="1"/>
  <c r="O1419" i="1"/>
  <c r="AD1419" i="1" s="1"/>
  <c r="AI1419" i="1" s="1"/>
  <c r="AH1418" i="1"/>
  <c r="AG1418" i="1"/>
  <c r="AE1418" i="1"/>
  <c r="AD1418" i="1"/>
  <c r="AI1418" i="1" s="1"/>
  <c r="AA1418" i="1"/>
  <c r="Z1418" i="1"/>
  <c r="V1418" i="1"/>
  <c r="U1418" i="1"/>
  <c r="T1418" i="1"/>
  <c r="S1418" i="1"/>
  <c r="Q1418" i="1"/>
  <c r="R1418" i="1" s="1"/>
  <c r="AF1418" i="1" s="1"/>
  <c r="O1418" i="1"/>
  <c r="K1418" i="1"/>
  <c r="AH1417" i="1"/>
  <c r="AG1417" i="1"/>
  <c r="AE1417" i="1"/>
  <c r="AD1417" i="1"/>
  <c r="AA1417" i="1"/>
  <c r="Z1417" i="1"/>
  <c r="V1417" i="1"/>
  <c r="U1417" i="1"/>
  <c r="T1417" i="1"/>
  <c r="S1417" i="1"/>
  <c r="Q1417" i="1"/>
  <c r="R1417" i="1" s="1"/>
  <c r="AF1417" i="1" s="1"/>
  <c r="O1417" i="1"/>
  <c r="K1417" i="1"/>
  <c r="AH1416" i="1"/>
  <c r="AG1416" i="1"/>
  <c r="AE1416" i="1"/>
  <c r="AD1416" i="1"/>
  <c r="AA1416" i="1"/>
  <c r="Z1416" i="1"/>
  <c r="V1416" i="1"/>
  <c r="U1416" i="1"/>
  <c r="T1416" i="1"/>
  <c r="S1416" i="1"/>
  <c r="Q1416" i="1"/>
  <c r="R1416" i="1" s="1"/>
  <c r="AF1416" i="1" s="1"/>
  <c r="O1416" i="1"/>
  <c r="K1416" i="1"/>
  <c r="AH1415" i="1"/>
  <c r="AG1415" i="1"/>
  <c r="AE1415" i="1"/>
  <c r="AD1415" i="1"/>
  <c r="AA1415" i="1"/>
  <c r="Z1415" i="1"/>
  <c r="V1415" i="1"/>
  <c r="U1415" i="1"/>
  <c r="T1415" i="1"/>
  <c r="S1415" i="1"/>
  <c r="Q1415" i="1"/>
  <c r="R1415" i="1" s="1"/>
  <c r="AF1415" i="1" s="1"/>
  <c r="O1415" i="1"/>
  <c r="K1415" i="1"/>
  <c r="AH1414" i="1"/>
  <c r="AG1414" i="1"/>
  <c r="AE1414" i="1"/>
  <c r="AD1414" i="1"/>
  <c r="AI1414" i="1" s="1"/>
  <c r="AA1414" i="1"/>
  <c r="Z1414" i="1"/>
  <c r="U1414" i="1"/>
  <c r="T1414" i="1"/>
  <c r="S1414" i="1"/>
  <c r="Q1414" i="1"/>
  <c r="R1414" i="1" s="1"/>
  <c r="AF1414" i="1" s="1"/>
  <c r="O1414" i="1"/>
  <c r="K1414" i="1"/>
  <c r="V1414" i="1" s="1"/>
  <c r="AH1413" i="1"/>
  <c r="AG1413" i="1"/>
  <c r="AE1413" i="1"/>
  <c r="AD1413" i="1"/>
  <c r="AI1413" i="1" s="1"/>
  <c r="AA1413" i="1"/>
  <c r="Z1413" i="1"/>
  <c r="U1413" i="1"/>
  <c r="T1413" i="1"/>
  <c r="S1413" i="1"/>
  <c r="Q1413" i="1"/>
  <c r="R1413" i="1" s="1"/>
  <c r="AF1413" i="1" s="1"/>
  <c r="O1413" i="1"/>
  <c r="K1413" i="1"/>
  <c r="V1413" i="1" s="1"/>
  <c r="AH1412" i="1"/>
  <c r="AG1412" i="1"/>
  <c r="AE1412" i="1"/>
  <c r="AA1412" i="1"/>
  <c r="Z1412" i="1"/>
  <c r="V1412" i="1"/>
  <c r="U1412" i="1"/>
  <c r="T1412" i="1"/>
  <c r="S1412" i="1"/>
  <c r="R1412" i="1"/>
  <c r="AF1412" i="1" s="1"/>
  <c r="O1412" i="1"/>
  <c r="AD1412" i="1" s="1"/>
  <c r="AI1412" i="1" s="1"/>
  <c r="AH1411" i="1"/>
  <c r="AF1411" i="1"/>
  <c r="AE1411" i="1"/>
  <c r="AA1411" i="1"/>
  <c r="Z1411" i="1"/>
  <c r="AG1411" i="1" s="1"/>
  <c r="U1411" i="1"/>
  <c r="T1411" i="1"/>
  <c r="S1411" i="1"/>
  <c r="R1411" i="1"/>
  <c r="Q1411" i="1"/>
  <c r="O1411" i="1"/>
  <c r="AD1411" i="1" s="1"/>
  <c r="AI1411" i="1" s="1"/>
  <c r="K1411" i="1"/>
  <c r="V1411" i="1" s="1"/>
  <c r="AH1410" i="1"/>
  <c r="AF1410" i="1"/>
  <c r="AE1410" i="1"/>
  <c r="AA1410" i="1"/>
  <c r="Z1410" i="1"/>
  <c r="AG1410" i="1" s="1"/>
  <c r="U1410" i="1"/>
  <c r="T1410" i="1"/>
  <c r="S1410" i="1"/>
  <c r="R1410" i="1"/>
  <c r="Q1410" i="1"/>
  <c r="O1410" i="1"/>
  <c r="AD1410" i="1" s="1"/>
  <c r="AI1410" i="1" s="1"/>
  <c r="K1410" i="1"/>
  <c r="V1410" i="1" s="1"/>
  <c r="AH1409" i="1"/>
  <c r="AF1409" i="1"/>
  <c r="AE1409" i="1"/>
  <c r="AA1409" i="1"/>
  <c r="Z1409" i="1"/>
  <c r="AG1409" i="1" s="1"/>
  <c r="U1409" i="1"/>
  <c r="T1409" i="1"/>
  <c r="S1409" i="1"/>
  <c r="R1409" i="1"/>
  <c r="Q1409" i="1"/>
  <c r="O1409" i="1"/>
  <c r="AD1409" i="1" s="1"/>
  <c r="AI1409" i="1" s="1"/>
  <c r="K1409" i="1"/>
  <c r="V1409" i="1" s="1"/>
  <c r="AH1408" i="1"/>
  <c r="AF1408" i="1"/>
  <c r="AE1408" i="1"/>
  <c r="AA1408" i="1"/>
  <c r="Z1408" i="1"/>
  <c r="AG1408" i="1" s="1"/>
  <c r="V1408" i="1"/>
  <c r="U1408" i="1"/>
  <c r="T1408" i="1"/>
  <c r="S1408" i="1"/>
  <c r="R1408" i="1"/>
  <c r="O1408" i="1"/>
  <c r="AD1408" i="1" s="1"/>
  <c r="AI1408" i="1" s="1"/>
  <c r="AH1407" i="1"/>
  <c r="AG1407" i="1"/>
  <c r="AE1407" i="1"/>
  <c r="AD1407" i="1"/>
  <c r="AA1407" i="1"/>
  <c r="Z1407" i="1"/>
  <c r="U1407" i="1"/>
  <c r="T1407" i="1"/>
  <c r="S1407" i="1"/>
  <c r="Q1407" i="1"/>
  <c r="R1407" i="1" s="1"/>
  <c r="AF1407" i="1" s="1"/>
  <c r="O1407" i="1"/>
  <c r="K1407" i="1"/>
  <c r="V1407" i="1" s="1"/>
  <c r="AH1406" i="1"/>
  <c r="AG1406" i="1"/>
  <c r="AE1406" i="1"/>
  <c r="AD1406" i="1"/>
  <c r="AA1406" i="1"/>
  <c r="Z1406" i="1"/>
  <c r="U1406" i="1"/>
  <c r="T1406" i="1"/>
  <c r="S1406" i="1"/>
  <c r="Q1406" i="1"/>
  <c r="R1406" i="1" s="1"/>
  <c r="AF1406" i="1" s="1"/>
  <c r="O1406" i="1"/>
  <c r="K1406" i="1"/>
  <c r="V1406" i="1" s="1"/>
  <c r="AH1405" i="1"/>
  <c r="AG1405" i="1"/>
  <c r="AE1405" i="1"/>
  <c r="AD1405" i="1"/>
  <c r="AA1405" i="1"/>
  <c r="Z1405" i="1"/>
  <c r="U1405" i="1"/>
  <c r="T1405" i="1"/>
  <c r="S1405" i="1"/>
  <c r="Q1405" i="1"/>
  <c r="R1405" i="1" s="1"/>
  <c r="AF1405" i="1" s="1"/>
  <c r="O1405" i="1"/>
  <c r="K1405" i="1"/>
  <c r="V1405" i="1" s="1"/>
  <c r="AH1404" i="1"/>
  <c r="AG1404" i="1"/>
  <c r="AE1404" i="1"/>
  <c r="AD1404" i="1"/>
  <c r="AA1404" i="1"/>
  <c r="Z1404" i="1"/>
  <c r="U1404" i="1"/>
  <c r="T1404" i="1"/>
  <c r="S1404" i="1"/>
  <c r="Q1404" i="1"/>
  <c r="R1404" i="1" s="1"/>
  <c r="AF1404" i="1" s="1"/>
  <c r="O1404" i="1"/>
  <c r="K1404" i="1"/>
  <c r="V1404" i="1" s="1"/>
  <c r="AH1403" i="1"/>
  <c r="AG1403" i="1"/>
  <c r="AE1403" i="1"/>
  <c r="AD1403" i="1"/>
  <c r="AA1403" i="1"/>
  <c r="Z1403" i="1"/>
  <c r="U1403" i="1"/>
  <c r="T1403" i="1"/>
  <c r="S1403" i="1"/>
  <c r="R1403" i="1"/>
  <c r="AF1403" i="1" s="1"/>
  <c r="O1403" i="1"/>
  <c r="K1403" i="1"/>
  <c r="V1403" i="1" s="1"/>
  <c r="AH1402" i="1"/>
  <c r="AG1402" i="1"/>
  <c r="AE1402" i="1"/>
  <c r="AA1402" i="1"/>
  <c r="Z1402" i="1"/>
  <c r="U1402" i="1"/>
  <c r="T1402" i="1"/>
  <c r="S1402" i="1"/>
  <c r="Q1402" i="1"/>
  <c r="R1402" i="1" s="1"/>
  <c r="AF1402" i="1" s="1"/>
  <c r="O1402" i="1"/>
  <c r="AD1402" i="1" s="1"/>
  <c r="K1402" i="1"/>
  <c r="V1402" i="1" s="1"/>
  <c r="AH1401" i="1"/>
  <c r="AG1401" i="1"/>
  <c r="AE1401" i="1"/>
  <c r="AA1401" i="1"/>
  <c r="Z1401" i="1"/>
  <c r="U1401" i="1"/>
  <c r="T1401" i="1"/>
  <c r="S1401" i="1"/>
  <c r="Q1401" i="1"/>
  <c r="R1401" i="1" s="1"/>
  <c r="AF1401" i="1" s="1"/>
  <c r="O1401" i="1"/>
  <c r="AD1401" i="1" s="1"/>
  <c r="AI1401" i="1" s="1"/>
  <c r="K1401" i="1"/>
  <c r="V1401" i="1" s="1"/>
  <c r="AH1400" i="1"/>
  <c r="AG1400" i="1"/>
  <c r="AE1400" i="1"/>
  <c r="AA1400" i="1"/>
  <c r="Z1400" i="1"/>
  <c r="U1400" i="1"/>
  <c r="T1400" i="1"/>
  <c r="S1400" i="1"/>
  <c r="Q1400" i="1"/>
  <c r="R1400" i="1" s="1"/>
  <c r="AF1400" i="1" s="1"/>
  <c r="O1400" i="1"/>
  <c r="AD1400" i="1" s="1"/>
  <c r="AI1400" i="1" s="1"/>
  <c r="K1400" i="1"/>
  <c r="V1400" i="1" s="1"/>
  <c r="AH1399" i="1"/>
  <c r="AG1399" i="1"/>
  <c r="AE1399" i="1"/>
  <c r="AA1399" i="1"/>
  <c r="Z1399" i="1"/>
  <c r="U1399" i="1"/>
  <c r="T1399" i="1"/>
  <c r="S1399" i="1"/>
  <c r="Q1399" i="1"/>
  <c r="R1399" i="1" s="1"/>
  <c r="AF1399" i="1" s="1"/>
  <c r="O1399" i="1"/>
  <c r="AD1399" i="1" s="1"/>
  <c r="AI1399" i="1" s="1"/>
  <c r="K1399" i="1"/>
  <c r="V1399" i="1" s="1"/>
  <c r="AH1398" i="1"/>
  <c r="AG1398" i="1"/>
  <c r="AE1398" i="1"/>
  <c r="AA1398" i="1"/>
  <c r="Z1398" i="1"/>
  <c r="U1398" i="1"/>
  <c r="T1398" i="1"/>
  <c r="S1398" i="1"/>
  <c r="Q1398" i="1"/>
  <c r="R1398" i="1" s="1"/>
  <c r="AF1398" i="1" s="1"/>
  <c r="O1398" i="1"/>
  <c r="AD1398" i="1" s="1"/>
  <c r="K1398" i="1"/>
  <c r="V1398" i="1" s="1"/>
  <c r="AH1397" i="1"/>
  <c r="AG1397" i="1"/>
  <c r="AF1397" i="1"/>
  <c r="AE1397" i="1"/>
  <c r="AA1397" i="1"/>
  <c r="Z1397" i="1"/>
  <c r="U1397" i="1"/>
  <c r="T1397" i="1"/>
  <c r="S1397" i="1"/>
  <c r="R1397" i="1"/>
  <c r="Q1397" i="1"/>
  <c r="O1397" i="1"/>
  <c r="AD1397" i="1" s="1"/>
  <c r="K1397" i="1"/>
  <c r="V1397" i="1" s="1"/>
  <c r="AH1396" i="1"/>
  <c r="AG1396" i="1"/>
  <c r="AF1396" i="1"/>
  <c r="AE1396" i="1"/>
  <c r="AA1396" i="1"/>
  <c r="Z1396" i="1"/>
  <c r="U1396" i="1"/>
  <c r="T1396" i="1"/>
  <c r="S1396" i="1"/>
  <c r="R1396" i="1"/>
  <c r="Q1396" i="1"/>
  <c r="O1396" i="1"/>
  <c r="AD1396" i="1" s="1"/>
  <c r="AI1396" i="1" s="1"/>
  <c r="K1396" i="1"/>
  <c r="V1396" i="1" s="1"/>
  <c r="AH1395" i="1"/>
  <c r="AG1395" i="1"/>
  <c r="AF1395" i="1"/>
  <c r="AE1395" i="1"/>
  <c r="AA1395" i="1"/>
  <c r="Z1395" i="1"/>
  <c r="V1395" i="1"/>
  <c r="U1395" i="1"/>
  <c r="T1395" i="1"/>
  <c r="S1395" i="1"/>
  <c r="R1395" i="1"/>
  <c r="O1395" i="1"/>
  <c r="AD1395" i="1" s="1"/>
  <c r="AI1395" i="1" s="1"/>
  <c r="AH1394" i="1"/>
  <c r="AG1394" i="1"/>
  <c r="AE1394" i="1"/>
  <c r="AD1394" i="1"/>
  <c r="AA1394" i="1"/>
  <c r="Z1394" i="1"/>
  <c r="V1394" i="1"/>
  <c r="U1394" i="1"/>
  <c r="T1394" i="1"/>
  <c r="S1394" i="1"/>
  <c r="R1394" i="1"/>
  <c r="AF1394" i="1" s="1"/>
  <c r="Q1394" i="1"/>
  <c r="O1394" i="1"/>
  <c r="K1394" i="1"/>
  <c r="AI1393" i="1"/>
  <c r="AH1393" i="1"/>
  <c r="AG1393" i="1"/>
  <c r="AE1393" i="1"/>
  <c r="AD1393" i="1"/>
  <c r="AA1393" i="1"/>
  <c r="Z1393" i="1"/>
  <c r="V1393" i="1"/>
  <c r="U1393" i="1"/>
  <c r="T1393" i="1"/>
  <c r="S1393" i="1"/>
  <c r="R1393" i="1"/>
  <c r="AF1393" i="1" s="1"/>
  <c r="Q1393" i="1"/>
  <c r="O1393" i="1"/>
  <c r="K1393" i="1"/>
  <c r="AI1392" i="1"/>
  <c r="AH1392" i="1"/>
  <c r="AG1392" i="1"/>
  <c r="AE1392" i="1"/>
  <c r="AD1392" i="1"/>
  <c r="AA1392" i="1"/>
  <c r="Z1392" i="1"/>
  <c r="V1392" i="1"/>
  <c r="U1392" i="1"/>
  <c r="T1392" i="1"/>
  <c r="S1392" i="1"/>
  <c r="R1392" i="1"/>
  <c r="AF1392" i="1" s="1"/>
  <c r="Q1392" i="1"/>
  <c r="O1392" i="1"/>
  <c r="K1392" i="1"/>
  <c r="AH1391" i="1"/>
  <c r="AG1391" i="1"/>
  <c r="AE1391" i="1"/>
  <c r="AA1391" i="1"/>
  <c r="Z1391" i="1"/>
  <c r="V1391" i="1"/>
  <c r="U1391" i="1"/>
  <c r="T1391" i="1"/>
  <c r="S1391" i="1"/>
  <c r="R1391" i="1"/>
  <c r="AF1391" i="1" s="1"/>
  <c r="AI1391" i="1" s="1"/>
  <c r="O1391" i="1"/>
  <c r="AD1391" i="1" s="1"/>
  <c r="AH1390" i="1"/>
  <c r="AG1390" i="1"/>
  <c r="AF1390" i="1"/>
  <c r="AE1390" i="1"/>
  <c r="AA1390" i="1"/>
  <c r="Z1390" i="1"/>
  <c r="U1390" i="1"/>
  <c r="T1390" i="1"/>
  <c r="S1390" i="1"/>
  <c r="R1390" i="1"/>
  <c r="Q1390" i="1"/>
  <c r="O1390" i="1"/>
  <c r="AD1390" i="1" s="1"/>
  <c r="K1390" i="1"/>
  <c r="V1390" i="1" s="1"/>
  <c r="AH1389" i="1"/>
  <c r="AG1389" i="1"/>
  <c r="AF1389" i="1"/>
  <c r="AE1389" i="1"/>
  <c r="AA1389" i="1"/>
  <c r="Z1389" i="1"/>
  <c r="U1389" i="1"/>
  <c r="T1389" i="1"/>
  <c r="S1389" i="1"/>
  <c r="R1389" i="1"/>
  <c r="Q1389" i="1"/>
  <c r="O1389" i="1"/>
  <c r="AD1389" i="1" s="1"/>
  <c r="K1389" i="1"/>
  <c r="V1389" i="1" s="1"/>
  <c r="AH1388" i="1"/>
  <c r="AG1388" i="1"/>
  <c r="AF1388" i="1"/>
  <c r="AE1388" i="1"/>
  <c r="AA1388" i="1"/>
  <c r="Z1388" i="1"/>
  <c r="U1388" i="1"/>
  <c r="T1388" i="1"/>
  <c r="S1388" i="1"/>
  <c r="R1388" i="1"/>
  <c r="Q1388" i="1"/>
  <c r="O1388" i="1"/>
  <c r="AD1388" i="1" s="1"/>
  <c r="AI1388" i="1" s="1"/>
  <c r="K1388" i="1"/>
  <c r="V1388" i="1" s="1"/>
  <c r="AH1387" i="1"/>
  <c r="AG1387" i="1"/>
  <c r="AF1387" i="1"/>
  <c r="AE1387" i="1"/>
  <c r="AA1387" i="1"/>
  <c r="Z1387" i="1"/>
  <c r="U1387" i="1"/>
  <c r="T1387" i="1"/>
  <c r="S1387" i="1"/>
  <c r="R1387" i="1"/>
  <c r="O1387" i="1"/>
  <c r="AD1387" i="1" s="1"/>
  <c r="AI1387" i="1" s="1"/>
  <c r="K1387" i="1"/>
  <c r="V1387" i="1" s="1"/>
  <c r="AH1386" i="1"/>
  <c r="AF1386" i="1"/>
  <c r="AE1386" i="1"/>
  <c r="AA1386" i="1"/>
  <c r="Z1386" i="1"/>
  <c r="AG1386" i="1" s="1"/>
  <c r="V1386" i="1"/>
  <c r="U1386" i="1"/>
  <c r="T1386" i="1"/>
  <c r="S1386" i="1"/>
  <c r="R1386" i="1"/>
  <c r="O1386" i="1"/>
  <c r="AD1386" i="1" s="1"/>
  <c r="AI1386" i="1" s="1"/>
  <c r="K1386" i="1"/>
  <c r="AH1385" i="1"/>
  <c r="AG1385" i="1"/>
  <c r="AE1385" i="1"/>
  <c r="AA1385" i="1"/>
  <c r="Z1385" i="1"/>
  <c r="V1385" i="1"/>
  <c r="U1385" i="1"/>
  <c r="T1385" i="1"/>
  <c r="S1385" i="1"/>
  <c r="R1385" i="1"/>
  <c r="AF1385" i="1" s="1"/>
  <c r="O1385" i="1"/>
  <c r="AD1385" i="1" s="1"/>
  <c r="AI1385" i="1" s="1"/>
  <c r="K1385" i="1"/>
  <c r="AH1384" i="1"/>
  <c r="AG1384" i="1"/>
  <c r="AE1384" i="1"/>
  <c r="AD1384" i="1"/>
  <c r="AA1384" i="1"/>
  <c r="Z1384" i="1"/>
  <c r="U1384" i="1"/>
  <c r="T1384" i="1"/>
  <c r="S1384" i="1"/>
  <c r="Q1384" i="1"/>
  <c r="R1384" i="1" s="1"/>
  <c r="AF1384" i="1" s="1"/>
  <c r="O1384" i="1"/>
  <c r="K1384" i="1"/>
  <c r="V1384" i="1" s="1"/>
  <c r="AH1383" i="1"/>
  <c r="AG1383" i="1"/>
  <c r="AE1383" i="1"/>
  <c r="AD1383" i="1"/>
  <c r="AA1383" i="1"/>
  <c r="Z1383" i="1"/>
  <c r="U1383" i="1"/>
  <c r="T1383" i="1"/>
  <c r="S1383" i="1"/>
  <c r="Q1383" i="1"/>
  <c r="R1383" i="1" s="1"/>
  <c r="AF1383" i="1" s="1"/>
  <c r="O1383" i="1"/>
  <c r="K1383" i="1"/>
  <c r="V1383" i="1" s="1"/>
  <c r="AH1382" i="1"/>
  <c r="AG1382" i="1"/>
  <c r="AE1382" i="1"/>
  <c r="AD1382" i="1"/>
  <c r="AA1382" i="1"/>
  <c r="Z1382" i="1"/>
  <c r="U1382" i="1"/>
  <c r="T1382" i="1"/>
  <c r="S1382" i="1"/>
  <c r="Q1382" i="1"/>
  <c r="R1382" i="1" s="1"/>
  <c r="AF1382" i="1" s="1"/>
  <c r="O1382" i="1"/>
  <c r="K1382" i="1"/>
  <c r="V1382" i="1" s="1"/>
  <c r="AH1381" i="1"/>
  <c r="AG1381" i="1"/>
  <c r="AE1381" i="1"/>
  <c r="AD1381" i="1"/>
  <c r="AA1381" i="1"/>
  <c r="Z1381" i="1"/>
  <c r="U1381" i="1"/>
  <c r="T1381" i="1"/>
  <c r="S1381" i="1"/>
  <c r="Q1381" i="1"/>
  <c r="R1381" i="1" s="1"/>
  <c r="AF1381" i="1" s="1"/>
  <c r="O1381" i="1"/>
  <c r="K1381" i="1"/>
  <c r="V1381" i="1" s="1"/>
  <c r="AH1380" i="1"/>
  <c r="AG1380" i="1"/>
  <c r="AE1380" i="1"/>
  <c r="AD1380" i="1"/>
  <c r="AA1380" i="1"/>
  <c r="Z1380" i="1"/>
  <c r="U1380" i="1"/>
  <c r="T1380" i="1"/>
  <c r="S1380" i="1"/>
  <c r="Q1380" i="1"/>
  <c r="R1380" i="1" s="1"/>
  <c r="AF1380" i="1" s="1"/>
  <c r="O1380" i="1"/>
  <c r="K1380" i="1"/>
  <c r="V1380" i="1" s="1"/>
  <c r="AH1379" i="1"/>
  <c r="AG1379" i="1"/>
  <c r="AE1379" i="1"/>
  <c r="AD1379" i="1"/>
  <c r="AA1379" i="1"/>
  <c r="Z1379" i="1"/>
  <c r="U1379" i="1"/>
  <c r="T1379" i="1"/>
  <c r="S1379" i="1"/>
  <c r="Q1379" i="1"/>
  <c r="R1379" i="1" s="1"/>
  <c r="AF1379" i="1" s="1"/>
  <c r="O1379" i="1"/>
  <c r="K1379" i="1"/>
  <c r="V1379" i="1" s="1"/>
  <c r="AH1378" i="1"/>
  <c r="AG1378" i="1"/>
  <c r="AF1378" i="1"/>
  <c r="AE1378" i="1"/>
  <c r="AA1378" i="1"/>
  <c r="Z1378" i="1"/>
  <c r="U1378" i="1"/>
  <c r="T1378" i="1"/>
  <c r="S1378" i="1"/>
  <c r="R1378" i="1"/>
  <c r="O1378" i="1"/>
  <c r="AD1378" i="1" s="1"/>
  <c r="AI1378" i="1" s="1"/>
  <c r="K1378" i="1"/>
  <c r="V1378" i="1" s="1"/>
  <c r="AH1377" i="1"/>
  <c r="AG1377" i="1"/>
  <c r="AF1377" i="1"/>
  <c r="AE1377" i="1"/>
  <c r="AA1377" i="1"/>
  <c r="Z1377" i="1"/>
  <c r="U1377" i="1"/>
  <c r="T1377" i="1"/>
  <c r="S1377" i="1"/>
  <c r="R1377" i="1"/>
  <c r="O1377" i="1"/>
  <c r="AD1377" i="1" s="1"/>
  <c r="K1377" i="1"/>
  <c r="V1377" i="1" s="1"/>
  <c r="AH1376" i="1"/>
  <c r="AF1376" i="1"/>
  <c r="AE1376" i="1"/>
  <c r="AA1376" i="1"/>
  <c r="Z1376" i="1"/>
  <c r="AG1376" i="1" s="1"/>
  <c r="V1376" i="1"/>
  <c r="U1376" i="1"/>
  <c r="T1376" i="1"/>
  <c r="S1376" i="1"/>
  <c r="R1376" i="1"/>
  <c r="O1376" i="1"/>
  <c r="AD1376" i="1" s="1"/>
  <c r="K1376" i="1"/>
  <c r="AI1375" i="1"/>
  <c r="AH1375" i="1"/>
  <c r="AG1375" i="1"/>
  <c r="AE1375" i="1"/>
  <c r="AA1375" i="1"/>
  <c r="Z1375" i="1"/>
  <c r="V1375" i="1"/>
  <c r="U1375" i="1"/>
  <c r="T1375" i="1"/>
  <c r="S1375" i="1"/>
  <c r="R1375" i="1"/>
  <c r="AF1375" i="1" s="1"/>
  <c r="O1375" i="1"/>
  <c r="AD1375" i="1" s="1"/>
  <c r="AH1374" i="1"/>
  <c r="AG1374" i="1"/>
  <c r="AF1374" i="1"/>
  <c r="AE1374" i="1"/>
  <c r="AA1374" i="1"/>
  <c r="Z1374" i="1"/>
  <c r="U1374" i="1"/>
  <c r="T1374" i="1"/>
  <c r="S1374" i="1"/>
  <c r="R1374" i="1"/>
  <c r="Q1374" i="1"/>
  <c r="O1374" i="1"/>
  <c r="AD1374" i="1" s="1"/>
  <c r="K1374" i="1"/>
  <c r="V1374" i="1" s="1"/>
  <c r="AH1373" i="1"/>
  <c r="AG1373" i="1"/>
  <c r="AF1373" i="1"/>
  <c r="AE1373" i="1"/>
  <c r="AA1373" i="1"/>
  <c r="Z1373" i="1"/>
  <c r="U1373" i="1"/>
  <c r="T1373" i="1"/>
  <c r="S1373" i="1"/>
  <c r="R1373" i="1"/>
  <c r="Q1373" i="1"/>
  <c r="O1373" i="1"/>
  <c r="AD1373" i="1" s="1"/>
  <c r="AI1373" i="1" s="1"/>
  <c r="K1373" i="1"/>
  <c r="V1373" i="1" s="1"/>
  <c r="AH1372" i="1"/>
  <c r="AG1372" i="1"/>
  <c r="AF1372" i="1"/>
  <c r="AE1372" i="1"/>
  <c r="AA1372" i="1"/>
  <c r="Z1372" i="1"/>
  <c r="U1372" i="1"/>
  <c r="T1372" i="1"/>
  <c r="S1372" i="1"/>
  <c r="R1372" i="1"/>
  <c r="Q1372" i="1"/>
  <c r="O1372" i="1"/>
  <c r="AD1372" i="1" s="1"/>
  <c r="AI1372" i="1" s="1"/>
  <c r="K1372" i="1"/>
  <c r="V1372" i="1" s="1"/>
  <c r="AH1371" i="1"/>
  <c r="AG1371" i="1"/>
  <c r="AF1371" i="1"/>
  <c r="AE1371" i="1"/>
  <c r="AA1371" i="1"/>
  <c r="Z1371" i="1"/>
  <c r="U1371" i="1"/>
  <c r="T1371" i="1"/>
  <c r="S1371" i="1"/>
  <c r="R1371" i="1"/>
  <c r="Q1371" i="1"/>
  <c r="O1371" i="1"/>
  <c r="AD1371" i="1" s="1"/>
  <c r="K1371" i="1"/>
  <c r="V1371" i="1" s="1"/>
  <c r="AH1370" i="1"/>
  <c r="AG1370" i="1"/>
  <c r="AF1370" i="1"/>
  <c r="AE1370" i="1"/>
  <c r="AA1370" i="1"/>
  <c r="Z1370" i="1"/>
  <c r="U1370" i="1"/>
  <c r="T1370" i="1"/>
  <c r="S1370" i="1"/>
  <c r="R1370" i="1"/>
  <c r="Q1370" i="1"/>
  <c r="O1370" i="1"/>
  <c r="AD1370" i="1" s="1"/>
  <c r="K1370" i="1"/>
  <c r="V1370" i="1" s="1"/>
  <c r="AH1369" i="1"/>
  <c r="AG1369" i="1"/>
  <c r="AF1369" i="1"/>
  <c r="AE1369" i="1"/>
  <c r="AA1369" i="1"/>
  <c r="Z1369" i="1"/>
  <c r="U1369" i="1"/>
  <c r="T1369" i="1"/>
  <c r="S1369" i="1"/>
  <c r="R1369" i="1"/>
  <c r="Q1369" i="1"/>
  <c r="O1369" i="1"/>
  <c r="AD1369" i="1" s="1"/>
  <c r="AI1369" i="1" s="1"/>
  <c r="K1369" i="1"/>
  <c r="V1369" i="1" s="1"/>
  <c r="AH1368" i="1"/>
  <c r="AG1368" i="1"/>
  <c r="AF1368" i="1"/>
  <c r="AE1368" i="1"/>
  <c r="AA1368" i="1"/>
  <c r="Z1368" i="1"/>
  <c r="U1368" i="1"/>
  <c r="T1368" i="1"/>
  <c r="S1368" i="1"/>
  <c r="R1368" i="1"/>
  <c r="Q1368" i="1"/>
  <c r="O1368" i="1"/>
  <c r="AD1368" i="1" s="1"/>
  <c r="AI1368" i="1" s="1"/>
  <c r="K1368" i="1"/>
  <c r="V1368" i="1" s="1"/>
  <c r="AH1367" i="1"/>
  <c r="AG1367" i="1"/>
  <c r="AF1367" i="1"/>
  <c r="AE1367" i="1"/>
  <c r="AA1367" i="1"/>
  <c r="Z1367" i="1"/>
  <c r="U1367" i="1"/>
  <c r="T1367" i="1"/>
  <c r="S1367" i="1"/>
  <c r="R1367" i="1"/>
  <c r="Q1367" i="1"/>
  <c r="O1367" i="1"/>
  <c r="AD1367" i="1" s="1"/>
  <c r="K1367" i="1"/>
  <c r="V1367" i="1" s="1"/>
  <c r="AH1366" i="1"/>
  <c r="AG1366" i="1"/>
  <c r="AF1366" i="1"/>
  <c r="AE1366" i="1"/>
  <c r="AA1366" i="1"/>
  <c r="Z1366" i="1"/>
  <c r="U1366" i="1"/>
  <c r="T1366" i="1"/>
  <c r="S1366" i="1"/>
  <c r="R1366" i="1"/>
  <c r="Q1366" i="1"/>
  <c r="O1366" i="1"/>
  <c r="AD1366" i="1" s="1"/>
  <c r="K1366" i="1"/>
  <c r="V1366" i="1" s="1"/>
  <c r="AH1365" i="1"/>
  <c r="AG1365" i="1"/>
  <c r="AF1365" i="1"/>
  <c r="AE1365" i="1"/>
  <c r="AA1365" i="1"/>
  <c r="Z1365" i="1"/>
  <c r="U1365" i="1"/>
  <c r="T1365" i="1"/>
  <c r="S1365" i="1"/>
  <c r="R1365" i="1"/>
  <c r="Q1365" i="1"/>
  <c r="O1365" i="1"/>
  <c r="AD1365" i="1" s="1"/>
  <c r="AI1365" i="1" s="1"/>
  <c r="K1365" i="1"/>
  <c r="V1365" i="1" s="1"/>
  <c r="AH1364" i="1"/>
  <c r="AG1364" i="1"/>
  <c r="AF1364" i="1"/>
  <c r="AE1364" i="1"/>
  <c r="AA1364" i="1"/>
  <c r="Z1364" i="1"/>
  <c r="U1364" i="1"/>
  <c r="T1364" i="1"/>
  <c r="S1364" i="1"/>
  <c r="R1364" i="1"/>
  <c r="Q1364" i="1"/>
  <c r="O1364" i="1"/>
  <c r="AD1364" i="1" s="1"/>
  <c r="AI1364" i="1" s="1"/>
  <c r="K1364" i="1"/>
  <c r="V1364" i="1" s="1"/>
  <c r="AH1363" i="1"/>
  <c r="AG1363" i="1"/>
  <c r="AF1363" i="1"/>
  <c r="AE1363" i="1"/>
  <c r="AA1363" i="1"/>
  <c r="Z1363" i="1"/>
  <c r="U1363" i="1"/>
  <c r="T1363" i="1"/>
  <c r="S1363" i="1"/>
  <c r="R1363" i="1"/>
  <c r="Q1363" i="1"/>
  <c r="O1363" i="1"/>
  <c r="AD1363" i="1" s="1"/>
  <c r="K1363" i="1"/>
  <c r="V1363" i="1" s="1"/>
  <c r="AH1362" i="1"/>
  <c r="AG1362" i="1"/>
  <c r="AF1362" i="1"/>
  <c r="AE1362" i="1"/>
  <c r="AA1362" i="1"/>
  <c r="Z1362" i="1"/>
  <c r="U1362" i="1"/>
  <c r="T1362" i="1"/>
  <c r="S1362" i="1"/>
  <c r="R1362" i="1"/>
  <c r="O1362" i="1"/>
  <c r="AD1362" i="1" s="1"/>
  <c r="K1362" i="1"/>
  <c r="V1362" i="1" s="1"/>
  <c r="AH1361" i="1"/>
  <c r="AF1361" i="1"/>
  <c r="AE1361" i="1"/>
  <c r="AA1361" i="1"/>
  <c r="Z1361" i="1"/>
  <c r="AG1361" i="1" s="1"/>
  <c r="V1361" i="1"/>
  <c r="U1361" i="1"/>
  <c r="T1361" i="1"/>
  <c r="S1361" i="1"/>
  <c r="R1361" i="1"/>
  <c r="O1361" i="1"/>
  <c r="AD1361" i="1" s="1"/>
  <c r="K1361" i="1"/>
  <c r="AI1360" i="1"/>
  <c r="AH1360" i="1"/>
  <c r="AG1360" i="1"/>
  <c r="AE1360" i="1"/>
  <c r="AA1360" i="1"/>
  <c r="Z1360" i="1"/>
  <c r="V1360" i="1"/>
  <c r="U1360" i="1"/>
  <c r="T1360" i="1"/>
  <c r="S1360" i="1"/>
  <c r="R1360" i="1"/>
  <c r="AF1360" i="1" s="1"/>
  <c r="O1360" i="1"/>
  <c r="AD1360" i="1" s="1"/>
  <c r="K1360" i="1"/>
  <c r="AH1359" i="1"/>
  <c r="AG1359" i="1"/>
  <c r="AE1359" i="1"/>
  <c r="AD1359" i="1"/>
  <c r="AA1359" i="1"/>
  <c r="Z1359" i="1"/>
  <c r="U1359" i="1"/>
  <c r="T1359" i="1"/>
  <c r="S1359" i="1"/>
  <c r="Q1359" i="1"/>
  <c r="R1359" i="1" s="1"/>
  <c r="AF1359" i="1" s="1"/>
  <c r="O1359" i="1"/>
  <c r="K1359" i="1"/>
  <c r="V1359" i="1" s="1"/>
  <c r="AH1358" i="1"/>
  <c r="AG1358" i="1"/>
  <c r="AF1358" i="1"/>
  <c r="AE1358" i="1"/>
  <c r="AD1358" i="1"/>
  <c r="AI1358" i="1" s="1"/>
  <c r="AA1358" i="1"/>
  <c r="Z1358" i="1"/>
  <c r="U1358" i="1"/>
  <c r="T1358" i="1"/>
  <c r="S1358" i="1"/>
  <c r="R1358" i="1"/>
  <c r="O1358" i="1"/>
  <c r="K1358" i="1"/>
  <c r="V1358" i="1" s="1"/>
  <c r="AH1357" i="1"/>
  <c r="AG1357" i="1"/>
  <c r="AF1357" i="1"/>
  <c r="AE1357" i="1"/>
  <c r="AA1357" i="1"/>
  <c r="Z1357" i="1"/>
  <c r="U1357" i="1"/>
  <c r="T1357" i="1"/>
  <c r="S1357" i="1"/>
  <c r="R1357" i="1"/>
  <c r="Q1357" i="1"/>
  <c r="O1357" i="1"/>
  <c r="AD1357" i="1" s="1"/>
  <c r="AI1357" i="1" s="1"/>
  <c r="K1357" i="1"/>
  <c r="V1357" i="1" s="1"/>
  <c r="AH1356" i="1"/>
  <c r="AG1356" i="1"/>
  <c r="AF1356" i="1"/>
  <c r="AE1356" i="1"/>
  <c r="AA1356" i="1"/>
  <c r="Z1356" i="1"/>
  <c r="U1356" i="1"/>
  <c r="T1356" i="1"/>
  <c r="S1356" i="1"/>
  <c r="R1356" i="1"/>
  <c r="Q1356" i="1"/>
  <c r="O1356" i="1"/>
  <c r="AD1356" i="1" s="1"/>
  <c r="K1356" i="1"/>
  <c r="V1356" i="1" s="1"/>
  <c r="AH1355" i="1"/>
  <c r="AG1355" i="1"/>
  <c r="AF1355" i="1"/>
  <c r="AE1355" i="1"/>
  <c r="AA1355" i="1"/>
  <c r="Z1355" i="1"/>
  <c r="U1355" i="1"/>
  <c r="T1355" i="1"/>
  <c r="S1355" i="1"/>
  <c r="R1355" i="1"/>
  <c r="Q1355" i="1"/>
  <c r="O1355" i="1"/>
  <c r="AD1355" i="1" s="1"/>
  <c r="K1355" i="1"/>
  <c r="V1355" i="1" s="1"/>
  <c r="AH1354" i="1"/>
  <c r="AG1354" i="1"/>
  <c r="AF1354" i="1"/>
  <c r="AE1354" i="1"/>
  <c r="AA1354" i="1"/>
  <c r="Z1354" i="1"/>
  <c r="U1354" i="1"/>
  <c r="T1354" i="1"/>
  <c r="S1354" i="1"/>
  <c r="R1354" i="1"/>
  <c r="Q1354" i="1"/>
  <c r="O1354" i="1"/>
  <c r="AD1354" i="1" s="1"/>
  <c r="AI1354" i="1" s="1"/>
  <c r="K1354" i="1"/>
  <c r="V1354" i="1" s="1"/>
  <c r="AH1353" i="1"/>
  <c r="AG1353" i="1"/>
  <c r="AF1353" i="1"/>
  <c r="AE1353" i="1"/>
  <c r="AA1353" i="1"/>
  <c r="Z1353" i="1"/>
  <c r="U1353" i="1"/>
  <c r="T1353" i="1"/>
  <c r="S1353" i="1"/>
  <c r="R1353" i="1"/>
  <c r="Q1353" i="1"/>
  <c r="O1353" i="1"/>
  <c r="AD1353" i="1" s="1"/>
  <c r="AI1353" i="1" s="1"/>
  <c r="K1353" i="1"/>
  <c r="V1353" i="1" s="1"/>
  <c r="AH1352" i="1"/>
  <c r="AG1352" i="1"/>
  <c r="AF1352" i="1"/>
  <c r="AE1352" i="1"/>
  <c r="AA1352" i="1"/>
  <c r="Z1352" i="1"/>
  <c r="U1352" i="1"/>
  <c r="T1352" i="1"/>
  <c r="S1352" i="1"/>
  <c r="R1352" i="1"/>
  <c r="Q1352" i="1"/>
  <c r="O1352" i="1"/>
  <c r="AD1352" i="1" s="1"/>
  <c r="K1352" i="1"/>
  <c r="V1352" i="1" s="1"/>
  <c r="AH1351" i="1"/>
  <c r="AG1351" i="1"/>
  <c r="AF1351" i="1"/>
  <c r="AE1351" i="1"/>
  <c r="AA1351" i="1"/>
  <c r="Z1351" i="1"/>
  <c r="U1351" i="1"/>
  <c r="T1351" i="1"/>
  <c r="S1351" i="1"/>
  <c r="R1351" i="1"/>
  <c r="Q1351" i="1"/>
  <c r="O1351" i="1"/>
  <c r="AD1351" i="1" s="1"/>
  <c r="K1351" i="1"/>
  <c r="V1351" i="1" s="1"/>
  <c r="AH1350" i="1"/>
  <c r="AG1350" i="1"/>
  <c r="AF1350" i="1"/>
  <c r="AE1350" i="1"/>
  <c r="AA1350" i="1"/>
  <c r="Z1350" i="1"/>
  <c r="U1350" i="1"/>
  <c r="T1350" i="1"/>
  <c r="S1350" i="1"/>
  <c r="R1350" i="1"/>
  <c r="Q1350" i="1"/>
  <c r="O1350" i="1"/>
  <c r="AD1350" i="1" s="1"/>
  <c r="AI1350" i="1" s="1"/>
  <c r="K1350" i="1"/>
  <c r="V1350" i="1" s="1"/>
  <c r="AH1349" i="1"/>
  <c r="AG1349" i="1"/>
  <c r="AF1349" i="1"/>
  <c r="AE1349" i="1"/>
  <c r="AA1349" i="1"/>
  <c r="Z1349" i="1"/>
  <c r="U1349" i="1"/>
  <c r="T1349" i="1"/>
  <c r="S1349" i="1"/>
  <c r="R1349" i="1"/>
  <c r="Q1349" i="1"/>
  <c r="O1349" i="1"/>
  <c r="AD1349" i="1" s="1"/>
  <c r="AI1349" i="1" s="1"/>
  <c r="K1349" i="1"/>
  <c r="V1349" i="1" s="1"/>
  <c r="AH1348" i="1"/>
  <c r="AG1348" i="1"/>
  <c r="AF1348" i="1"/>
  <c r="AE1348" i="1"/>
  <c r="AA1348" i="1"/>
  <c r="Z1348" i="1"/>
  <c r="U1348" i="1"/>
  <c r="T1348" i="1"/>
  <c r="S1348" i="1"/>
  <c r="R1348" i="1"/>
  <c r="Q1348" i="1"/>
  <c r="O1348" i="1"/>
  <c r="AD1348" i="1" s="1"/>
  <c r="K1348" i="1"/>
  <c r="V1348" i="1" s="1"/>
  <c r="AH1347" i="1"/>
  <c r="AG1347" i="1"/>
  <c r="AF1347" i="1"/>
  <c r="AE1347" i="1"/>
  <c r="AA1347" i="1"/>
  <c r="Z1347" i="1"/>
  <c r="U1347" i="1"/>
  <c r="T1347" i="1"/>
  <c r="S1347" i="1"/>
  <c r="R1347" i="1"/>
  <c r="Q1347" i="1"/>
  <c r="O1347" i="1"/>
  <c r="AD1347" i="1" s="1"/>
  <c r="K1347" i="1"/>
  <c r="V1347" i="1" s="1"/>
  <c r="AH1346" i="1"/>
  <c r="AG1346" i="1"/>
  <c r="AF1346" i="1"/>
  <c r="AE1346" i="1"/>
  <c r="AA1346" i="1"/>
  <c r="Z1346" i="1"/>
  <c r="U1346" i="1"/>
  <c r="T1346" i="1"/>
  <c r="S1346" i="1"/>
  <c r="R1346" i="1"/>
  <c r="Q1346" i="1"/>
  <c r="O1346" i="1"/>
  <c r="AD1346" i="1" s="1"/>
  <c r="AI1346" i="1" s="1"/>
  <c r="K1346" i="1"/>
  <c r="V1346" i="1" s="1"/>
  <c r="AH1345" i="1"/>
  <c r="AG1345" i="1"/>
  <c r="AF1345" i="1"/>
  <c r="AE1345" i="1"/>
  <c r="AA1345" i="1"/>
  <c r="Z1345" i="1"/>
  <c r="U1345" i="1"/>
  <c r="T1345" i="1"/>
  <c r="S1345" i="1"/>
  <c r="R1345" i="1"/>
  <c r="Q1345" i="1"/>
  <c r="O1345" i="1"/>
  <c r="AD1345" i="1" s="1"/>
  <c r="AI1345" i="1" s="1"/>
  <c r="K1345" i="1"/>
  <c r="V1345" i="1" s="1"/>
  <c r="AH1344" i="1"/>
  <c r="AG1344" i="1"/>
  <c r="AF1344" i="1"/>
  <c r="AE1344" i="1"/>
  <c r="AA1344" i="1"/>
  <c r="Z1344" i="1"/>
  <c r="U1344" i="1"/>
  <c r="T1344" i="1"/>
  <c r="S1344" i="1"/>
  <c r="R1344" i="1"/>
  <c r="Q1344" i="1"/>
  <c r="O1344" i="1"/>
  <c r="AD1344" i="1" s="1"/>
  <c r="K1344" i="1"/>
  <c r="V1344" i="1" s="1"/>
  <c r="AH1343" i="1"/>
  <c r="AG1343" i="1"/>
  <c r="AF1343" i="1"/>
  <c r="AE1343" i="1"/>
  <c r="AA1343" i="1"/>
  <c r="Z1343" i="1"/>
  <c r="U1343" i="1"/>
  <c r="T1343" i="1"/>
  <c r="S1343" i="1"/>
  <c r="R1343" i="1"/>
  <c r="Q1343" i="1"/>
  <c r="O1343" i="1"/>
  <c r="AD1343" i="1" s="1"/>
  <c r="K1343" i="1"/>
  <c r="V1343" i="1" s="1"/>
  <c r="AH1342" i="1"/>
  <c r="AG1342" i="1"/>
  <c r="AF1342" i="1"/>
  <c r="AE1342" i="1"/>
  <c r="AA1342" i="1"/>
  <c r="Z1342" i="1"/>
  <c r="U1342" i="1"/>
  <c r="T1342" i="1"/>
  <c r="S1342" i="1"/>
  <c r="R1342" i="1"/>
  <c r="Q1342" i="1"/>
  <c r="O1342" i="1"/>
  <c r="AD1342" i="1" s="1"/>
  <c r="AI1342" i="1" s="1"/>
  <c r="K1342" i="1"/>
  <c r="V1342" i="1" s="1"/>
  <c r="AH1341" i="1"/>
  <c r="AG1341" i="1"/>
  <c r="AF1341" i="1"/>
  <c r="AE1341" i="1"/>
  <c r="AA1341" i="1"/>
  <c r="Z1341" i="1"/>
  <c r="U1341" i="1"/>
  <c r="T1341" i="1"/>
  <c r="S1341" i="1"/>
  <c r="R1341" i="1"/>
  <c r="Q1341" i="1"/>
  <c r="O1341" i="1"/>
  <c r="AD1341" i="1" s="1"/>
  <c r="AI1341" i="1" s="1"/>
  <c r="K1341" i="1"/>
  <c r="V1341" i="1" s="1"/>
  <c r="AH1340" i="1"/>
  <c r="AG1340" i="1"/>
  <c r="AF1340" i="1"/>
  <c r="AE1340" i="1"/>
  <c r="AA1340" i="1"/>
  <c r="Z1340" i="1"/>
  <c r="U1340" i="1"/>
  <c r="T1340" i="1"/>
  <c r="S1340" i="1"/>
  <c r="R1340" i="1"/>
  <c r="Q1340" i="1"/>
  <c r="O1340" i="1"/>
  <c r="AD1340" i="1" s="1"/>
  <c r="K1340" i="1"/>
  <c r="V1340" i="1" s="1"/>
  <c r="AH1339" i="1"/>
  <c r="AG1339" i="1"/>
  <c r="AF1339" i="1"/>
  <c r="AE1339" i="1"/>
  <c r="AA1339" i="1"/>
  <c r="Z1339" i="1"/>
  <c r="U1339" i="1"/>
  <c r="T1339" i="1"/>
  <c r="S1339" i="1"/>
  <c r="R1339" i="1"/>
  <c r="Q1339" i="1"/>
  <c r="O1339" i="1"/>
  <c r="AD1339" i="1" s="1"/>
  <c r="K1339" i="1"/>
  <c r="V1339" i="1" s="1"/>
  <c r="AH1338" i="1"/>
  <c r="AG1338" i="1"/>
  <c r="AF1338" i="1"/>
  <c r="AE1338" i="1"/>
  <c r="AA1338" i="1"/>
  <c r="Z1338" i="1"/>
  <c r="U1338" i="1"/>
  <c r="T1338" i="1"/>
  <c r="S1338" i="1"/>
  <c r="R1338" i="1"/>
  <c r="Q1338" i="1"/>
  <c r="O1338" i="1"/>
  <c r="AD1338" i="1" s="1"/>
  <c r="AI1338" i="1" s="1"/>
  <c r="K1338" i="1"/>
  <c r="V1338" i="1" s="1"/>
  <c r="AH1337" i="1"/>
  <c r="AG1337" i="1"/>
  <c r="AF1337" i="1"/>
  <c r="AE1337" i="1"/>
  <c r="AA1337" i="1"/>
  <c r="Z1337" i="1"/>
  <c r="U1337" i="1"/>
  <c r="T1337" i="1"/>
  <c r="S1337" i="1"/>
  <c r="R1337" i="1"/>
  <c r="Q1337" i="1"/>
  <c r="O1337" i="1"/>
  <c r="AD1337" i="1" s="1"/>
  <c r="AI1337" i="1" s="1"/>
  <c r="K1337" i="1"/>
  <c r="V1337" i="1" s="1"/>
  <c r="AH1336" i="1"/>
  <c r="AG1336" i="1"/>
  <c r="AF1336" i="1"/>
  <c r="AE1336" i="1"/>
  <c r="AA1336" i="1"/>
  <c r="Z1336" i="1"/>
  <c r="U1336" i="1"/>
  <c r="T1336" i="1"/>
  <c r="S1336" i="1"/>
  <c r="R1336" i="1"/>
  <c r="Q1336" i="1"/>
  <c r="O1336" i="1"/>
  <c r="AD1336" i="1" s="1"/>
  <c r="K1336" i="1"/>
  <c r="V1336" i="1" s="1"/>
  <c r="AH1335" i="1"/>
  <c r="AG1335" i="1"/>
  <c r="AE1335" i="1"/>
  <c r="AA1335" i="1"/>
  <c r="U1335" i="1"/>
  <c r="T1335" i="1"/>
  <c r="S1335" i="1"/>
  <c r="R1335" i="1"/>
  <c r="AF1335" i="1" s="1"/>
  <c r="Q1335" i="1"/>
  <c r="O1335" i="1"/>
  <c r="AD1335" i="1" s="1"/>
  <c r="AI1335" i="1" s="1"/>
  <c r="K1335" i="1"/>
  <c r="V1335" i="1" s="1"/>
  <c r="AH1334" i="1"/>
  <c r="AG1334" i="1"/>
  <c r="AF1334" i="1"/>
  <c r="AE1334" i="1"/>
  <c r="AA1334" i="1"/>
  <c r="V1334" i="1"/>
  <c r="U1334" i="1"/>
  <c r="T1334" i="1"/>
  <c r="S1334" i="1"/>
  <c r="R1334" i="1"/>
  <c r="Q1334" i="1"/>
  <c r="O1334" i="1"/>
  <c r="AD1334" i="1" s="1"/>
  <c r="K1334" i="1"/>
  <c r="AI1333" i="1"/>
  <c r="AH1333" i="1"/>
  <c r="AG1333" i="1"/>
  <c r="AE1333" i="1"/>
  <c r="AD1333" i="1"/>
  <c r="AA1333" i="1"/>
  <c r="Z1333" i="1"/>
  <c r="V1333" i="1"/>
  <c r="U1333" i="1"/>
  <c r="T1333" i="1"/>
  <c r="S1333" i="1"/>
  <c r="R1333" i="1"/>
  <c r="AF1333" i="1" s="1"/>
  <c r="Q1333" i="1"/>
  <c r="O1333" i="1"/>
  <c r="K1333" i="1"/>
  <c r="AH1332" i="1"/>
  <c r="AG1332" i="1"/>
  <c r="AE1332" i="1"/>
  <c r="AI1332" i="1" s="1"/>
  <c r="AD1332" i="1"/>
  <c r="AA1332" i="1"/>
  <c r="Z1332" i="1"/>
  <c r="V1332" i="1"/>
  <c r="U1332" i="1"/>
  <c r="T1332" i="1"/>
  <c r="S1332" i="1"/>
  <c r="R1332" i="1"/>
  <c r="AF1332" i="1" s="1"/>
  <c r="Q1332" i="1"/>
  <c r="O1332" i="1"/>
  <c r="K1332" i="1"/>
  <c r="AH1331" i="1"/>
  <c r="AG1331" i="1"/>
  <c r="AE1331" i="1"/>
  <c r="AD1331" i="1"/>
  <c r="AA1331" i="1"/>
  <c r="Z1331" i="1"/>
  <c r="V1331" i="1"/>
  <c r="U1331" i="1"/>
  <c r="T1331" i="1"/>
  <c r="S1331" i="1"/>
  <c r="R1331" i="1"/>
  <c r="AF1331" i="1" s="1"/>
  <c r="Q1331" i="1"/>
  <c r="O1331" i="1"/>
  <c r="K1331" i="1"/>
  <c r="AI1330" i="1"/>
  <c r="AH1330" i="1"/>
  <c r="AG1330" i="1"/>
  <c r="AE1330" i="1"/>
  <c r="AD1330" i="1"/>
  <c r="AA1330" i="1"/>
  <c r="Z1330" i="1"/>
  <c r="V1330" i="1"/>
  <c r="U1330" i="1"/>
  <c r="T1330" i="1"/>
  <c r="S1330" i="1"/>
  <c r="R1330" i="1"/>
  <c r="AF1330" i="1" s="1"/>
  <c r="Q1330" i="1"/>
  <c r="O1330" i="1"/>
  <c r="K1330" i="1"/>
  <c r="AI1329" i="1"/>
  <c r="AH1329" i="1"/>
  <c r="AG1329" i="1"/>
  <c r="AE1329" i="1"/>
  <c r="AD1329" i="1"/>
  <c r="AA1329" i="1"/>
  <c r="Z1329" i="1"/>
  <c r="V1329" i="1"/>
  <c r="U1329" i="1"/>
  <c r="T1329" i="1"/>
  <c r="S1329" i="1"/>
  <c r="R1329" i="1"/>
  <c r="AF1329" i="1" s="1"/>
  <c r="Q1329" i="1"/>
  <c r="O1329" i="1"/>
  <c r="K1329" i="1"/>
  <c r="AH1328" i="1"/>
  <c r="AG1328" i="1"/>
  <c r="AE1328" i="1"/>
  <c r="AI1328" i="1" s="1"/>
  <c r="AD1328" i="1"/>
  <c r="AA1328" i="1"/>
  <c r="Z1328" i="1"/>
  <c r="V1328" i="1"/>
  <c r="U1328" i="1"/>
  <c r="T1328" i="1"/>
  <c r="S1328" i="1"/>
  <c r="R1328" i="1"/>
  <c r="AF1328" i="1" s="1"/>
  <c r="Q1328" i="1"/>
  <c r="O1328" i="1"/>
  <c r="K1328" i="1"/>
  <c r="AH1327" i="1"/>
  <c r="AG1327" i="1"/>
  <c r="AE1327" i="1"/>
  <c r="AD1327" i="1"/>
  <c r="AA1327" i="1"/>
  <c r="Z1327" i="1"/>
  <c r="V1327" i="1"/>
  <c r="U1327" i="1"/>
  <c r="T1327" i="1"/>
  <c r="S1327" i="1"/>
  <c r="R1327" i="1"/>
  <c r="AF1327" i="1" s="1"/>
  <c r="Q1327" i="1"/>
  <c r="O1327" i="1"/>
  <c r="K1327" i="1"/>
  <c r="AI1326" i="1"/>
  <c r="AH1326" i="1"/>
  <c r="AG1326" i="1"/>
  <c r="AE1326" i="1"/>
  <c r="AD1326" i="1"/>
  <c r="AA1326" i="1"/>
  <c r="Z1326" i="1"/>
  <c r="V1326" i="1"/>
  <c r="U1326" i="1"/>
  <c r="T1326" i="1"/>
  <c r="S1326" i="1"/>
  <c r="R1326" i="1"/>
  <c r="AF1326" i="1" s="1"/>
  <c r="Q1326" i="1"/>
  <c r="O1326" i="1"/>
  <c r="K1326" i="1"/>
  <c r="AI1325" i="1"/>
  <c r="AH1325" i="1"/>
  <c r="AG1325" i="1"/>
  <c r="AE1325" i="1"/>
  <c r="AD1325" i="1"/>
  <c r="AA1325" i="1"/>
  <c r="Z1325" i="1"/>
  <c r="V1325" i="1"/>
  <c r="U1325" i="1"/>
  <c r="T1325" i="1"/>
  <c r="S1325" i="1"/>
  <c r="R1325" i="1"/>
  <c r="AF1325" i="1" s="1"/>
  <c r="Q1325" i="1"/>
  <c r="O1325" i="1"/>
  <c r="K1325" i="1"/>
  <c r="AH1324" i="1"/>
  <c r="AG1324" i="1"/>
  <c r="AE1324" i="1"/>
  <c r="AI1324" i="1" s="1"/>
  <c r="AD1324" i="1"/>
  <c r="AA1324" i="1"/>
  <c r="Z1324" i="1"/>
  <c r="V1324" i="1"/>
  <c r="U1324" i="1"/>
  <c r="T1324" i="1"/>
  <c r="S1324" i="1"/>
  <c r="R1324" i="1"/>
  <c r="AF1324" i="1" s="1"/>
  <c r="Q1324" i="1"/>
  <c r="O1324" i="1"/>
  <c r="K1324" i="1"/>
  <c r="AH1323" i="1"/>
  <c r="AG1323" i="1"/>
  <c r="AE1323" i="1"/>
  <c r="AD1323" i="1"/>
  <c r="AA1323" i="1"/>
  <c r="Z1323" i="1"/>
  <c r="V1323" i="1"/>
  <c r="U1323" i="1"/>
  <c r="T1323" i="1"/>
  <c r="S1323" i="1"/>
  <c r="R1323" i="1"/>
  <c r="AF1323" i="1" s="1"/>
  <c r="Q1323" i="1"/>
  <c r="O1323" i="1"/>
  <c r="K1323" i="1"/>
  <c r="AI1322" i="1"/>
  <c r="AH1322" i="1"/>
  <c r="AG1322" i="1"/>
  <c r="AE1322" i="1"/>
  <c r="AD1322" i="1"/>
  <c r="AA1322" i="1"/>
  <c r="Z1322" i="1"/>
  <c r="V1322" i="1"/>
  <c r="U1322" i="1"/>
  <c r="T1322" i="1"/>
  <c r="S1322" i="1"/>
  <c r="R1322" i="1"/>
  <c r="AF1322" i="1" s="1"/>
  <c r="Q1322" i="1"/>
  <c r="O1322" i="1"/>
  <c r="K1322" i="1"/>
  <c r="AI1321" i="1"/>
  <c r="AH1321" i="1"/>
  <c r="AG1321" i="1"/>
  <c r="AE1321" i="1"/>
  <c r="AD1321" i="1"/>
  <c r="AA1321" i="1"/>
  <c r="Z1321" i="1"/>
  <c r="V1321" i="1"/>
  <c r="U1321" i="1"/>
  <c r="T1321" i="1"/>
  <c r="S1321" i="1"/>
  <c r="R1321" i="1"/>
  <c r="AF1321" i="1" s="1"/>
  <c r="Q1321" i="1"/>
  <c r="O1321" i="1"/>
  <c r="K1321" i="1"/>
  <c r="AH1320" i="1"/>
  <c r="AG1320" i="1"/>
  <c r="AE1320" i="1"/>
  <c r="AI1320" i="1" s="1"/>
  <c r="AD1320" i="1"/>
  <c r="AA1320" i="1"/>
  <c r="Z1320" i="1"/>
  <c r="V1320" i="1"/>
  <c r="U1320" i="1"/>
  <c r="T1320" i="1"/>
  <c r="S1320" i="1"/>
  <c r="R1320" i="1"/>
  <c r="AF1320" i="1" s="1"/>
  <c r="Q1320" i="1"/>
  <c r="O1320" i="1"/>
  <c r="K1320" i="1"/>
  <c r="AH1319" i="1"/>
  <c r="AG1319" i="1"/>
  <c r="AE1319" i="1"/>
  <c r="AD1319" i="1"/>
  <c r="AA1319" i="1"/>
  <c r="Z1319" i="1"/>
  <c r="V1319" i="1"/>
  <c r="U1319" i="1"/>
  <c r="T1319" i="1"/>
  <c r="S1319" i="1"/>
  <c r="R1319" i="1"/>
  <c r="AF1319" i="1" s="1"/>
  <c r="Q1319" i="1"/>
  <c r="O1319" i="1"/>
  <c r="K1319" i="1"/>
  <c r="AI1318" i="1"/>
  <c r="AH1318" i="1"/>
  <c r="AG1318" i="1"/>
  <c r="AE1318" i="1"/>
  <c r="AD1318" i="1"/>
  <c r="AA1318" i="1"/>
  <c r="Z1318" i="1"/>
  <c r="V1318" i="1"/>
  <c r="U1318" i="1"/>
  <c r="T1318" i="1"/>
  <c r="S1318" i="1"/>
  <c r="R1318" i="1"/>
  <c r="AF1318" i="1" s="1"/>
  <c r="Q1318" i="1"/>
  <c r="O1318" i="1"/>
  <c r="K1318" i="1"/>
  <c r="AI1317" i="1"/>
  <c r="AH1317" i="1"/>
  <c r="AG1317" i="1"/>
  <c r="AE1317" i="1"/>
  <c r="AD1317" i="1"/>
  <c r="AA1317" i="1"/>
  <c r="Z1317" i="1"/>
  <c r="V1317" i="1"/>
  <c r="U1317" i="1"/>
  <c r="T1317" i="1"/>
  <c r="S1317" i="1"/>
  <c r="R1317" i="1"/>
  <c r="AF1317" i="1" s="1"/>
  <c r="Q1317" i="1"/>
  <c r="O1317" i="1"/>
  <c r="K1317" i="1"/>
  <c r="AH1316" i="1"/>
  <c r="AG1316" i="1"/>
  <c r="AE1316" i="1"/>
  <c r="AI1316" i="1" s="1"/>
  <c r="AD1316" i="1"/>
  <c r="AA1316" i="1"/>
  <c r="Z1316" i="1"/>
  <c r="V1316" i="1"/>
  <c r="U1316" i="1"/>
  <c r="T1316" i="1"/>
  <c r="S1316" i="1"/>
  <c r="R1316" i="1"/>
  <c r="AF1316" i="1" s="1"/>
  <c r="Q1316" i="1"/>
  <c r="O1316" i="1"/>
  <c r="K1316" i="1"/>
  <c r="AH1315" i="1"/>
  <c r="AG1315" i="1"/>
  <c r="AE1315" i="1"/>
  <c r="AD1315" i="1"/>
  <c r="AA1315" i="1"/>
  <c r="Z1315" i="1"/>
  <c r="V1315" i="1"/>
  <c r="U1315" i="1"/>
  <c r="T1315" i="1"/>
  <c r="S1315" i="1"/>
  <c r="R1315" i="1"/>
  <c r="AF1315" i="1" s="1"/>
  <c r="Q1315" i="1"/>
  <c r="O1315" i="1"/>
  <c r="K1315" i="1"/>
  <c r="AI1314" i="1"/>
  <c r="AH1314" i="1"/>
  <c r="AG1314" i="1"/>
  <c r="AE1314" i="1"/>
  <c r="AD1314" i="1"/>
  <c r="AA1314" i="1"/>
  <c r="Z1314" i="1"/>
  <c r="V1314" i="1"/>
  <c r="U1314" i="1"/>
  <c r="T1314" i="1"/>
  <c r="S1314" i="1"/>
  <c r="R1314" i="1"/>
  <c r="AF1314" i="1" s="1"/>
  <c r="Q1314" i="1"/>
  <c r="O1314" i="1"/>
  <c r="K1314" i="1"/>
  <c r="AI1313" i="1"/>
  <c r="AH1313" i="1"/>
  <c r="AG1313" i="1"/>
  <c r="AE1313" i="1"/>
  <c r="AD1313" i="1"/>
  <c r="AA1313" i="1"/>
  <c r="Z1313" i="1"/>
  <c r="V1313" i="1"/>
  <c r="U1313" i="1"/>
  <c r="T1313" i="1"/>
  <c r="S1313" i="1"/>
  <c r="R1313" i="1"/>
  <c r="AF1313" i="1" s="1"/>
  <c r="Q1313" i="1"/>
  <c r="O1313" i="1"/>
  <c r="K1313" i="1"/>
  <c r="AH1312" i="1"/>
  <c r="AG1312" i="1"/>
  <c r="AE1312" i="1"/>
  <c r="AI1312" i="1" s="1"/>
  <c r="AD1312" i="1"/>
  <c r="AA1312" i="1"/>
  <c r="Z1312" i="1"/>
  <c r="V1312" i="1"/>
  <c r="U1312" i="1"/>
  <c r="T1312" i="1"/>
  <c r="S1312" i="1"/>
  <c r="R1312" i="1"/>
  <c r="AF1312" i="1" s="1"/>
  <c r="Q1312" i="1"/>
  <c r="O1312" i="1"/>
  <c r="K1312" i="1"/>
  <c r="AH1311" i="1"/>
  <c r="AG1311" i="1"/>
  <c r="AE1311" i="1"/>
  <c r="AA1311" i="1"/>
  <c r="Z1311" i="1"/>
  <c r="V1311" i="1"/>
  <c r="U1311" i="1"/>
  <c r="T1311" i="1"/>
  <c r="S1311" i="1"/>
  <c r="R1311" i="1"/>
  <c r="AF1311" i="1" s="1"/>
  <c r="O1311" i="1"/>
  <c r="AD1311" i="1" s="1"/>
  <c r="AI1311" i="1" s="1"/>
  <c r="AH1310" i="1"/>
  <c r="AG1310" i="1"/>
  <c r="AF1310" i="1"/>
  <c r="AE1310" i="1"/>
  <c r="AA1310" i="1"/>
  <c r="Z1310" i="1"/>
  <c r="U1310" i="1"/>
  <c r="T1310" i="1"/>
  <c r="S1310" i="1"/>
  <c r="R1310" i="1"/>
  <c r="Q1310" i="1"/>
  <c r="O1310" i="1"/>
  <c r="AD1310" i="1" s="1"/>
  <c r="AI1310" i="1" s="1"/>
  <c r="K1310" i="1"/>
  <c r="V1310" i="1" s="1"/>
  <c r="AH1309" i="1"/>
  <c r="AG1309" i="1"/>
  <c r="AF1309" i="1"/>
  <c r="AE1309" i="1"/>
  <c r="AA1309" i="1"/>
  <c r="Z1309" i="1"/>
  <c r="U1309" i="1"/>
  <c r="T1309" i="1"/>
  <c r="S1309" i="1"/>
  <c r="R1309" i="1"/>
  <c r="Q1309" i="1"/>
  <c r="O1309" i="1"/>
  <c r="AD1309" i="1" s="1"/>
  <c r="K1309" i="1"/>
  <c r="V1309" i="1" s="1"/>
  <c r="AH1308" i="1"/>
  <c r="AG1308" i="1"/>
  <c r="AF1308" i="1"/>
  <c r="AE1308" i="1"/>
  <c r="AA1308" i="1"/>
  <c r="Z1308" i="1"/>
  <c r="U1308" i="1"/>
  <c r="T1308" i="1"/>
  <c r="S1308" i="1"/>
  <c r="R1308" i="1"/>
  <c r="Q1308" i="1"/>
  <c r="O1308" i="1"/>
  <c r="AD1308" i="1" s="1"/>
  <c r="K1308" i="1"/>
  <c r="V1308" i="1" s="1"/>
  <c r="AH1307" i="1"/>
  <c r="AG1307" i="1"/>
  <c r="AF1307" i="1"/>
  <c r="AE1307" i="1"/>
  <c r="AA1307" i="1"/>
  <c r="Z1307" i="1"/>
  <c r="U1307" i="1"/>
  <c r="T1307" i="1"/>
  <c r="S1307" i="1"/>
  <c r="R1307" i="1"/>
  <c r="Q1307" i="1"/>
  <c r="O1307" i="1"/>
  <c r="AD1307" i="1" s="1"/>
  <c r="AI1307" i="1" s="1"/>
  <c r="K1307" i="1"/>
  <c r="V1307" i="1" s="1"/>
  <c r="AH1306" i="1"/>
  <c r="AG1306" i="1"/>
  <c r="AF1306" i="1"/>
  <c r="AE1306" i="1"/>
  <c r="AA1306" i="1"/>
  <c r="Z1306" i="1"/>
  <c r="U1306" i="1"/>
  <c r="T1306" i="1"/>
  <c r="S1306" i="1"/>
  <c r="R1306" i="1"/>
  <c r="Q1306" i="1"/>
  <c r="O1306" i="1"/>
  <c r="AD1306" i="1" s="1"/>
  <c r="AI1306" i="1" s="1"/>
  <c r="K1306" i="1"/>
  <c r="V1306" i="1" s="1"/>
  <c r="AH1305" i="1"/>
  <c r="AG1305" i="1"/>
  <c r="AF1305" i="1"/>
  <c r="AE1305" i="1"/>
  <c r="AA1305" i="1"/>
  <c r="Z1305" i="1"/>
  <c r="U1305" i="1"/>
  <c r="T1305" i="1"/>
  <c r="S1305" i="1"/>
  <c r="R1305" i="1"/>
  <c r="O1305" i="1"/>
  <c r="AD1305" i="1" s="1"/>
  <c r="AI1305" i="1" s="1"/>
  <c r="K1305" i="1"/>
  <c r="V1305" i="1" s="1"/>
  <c r="AH1304" i="1"/>
  <c r="AG1304" i="1"/>
  <c r="AF1304" i="1"/>
  <c r="AE1304" i="1"/>
  <c r="AA1304" i="1"/>
  <c r="V1304" i="1"/>
  <c r="U1304" i="1"/>
  <c r="T1304" i="1"/>
  <c r="S1304" i="1"/>
  <c r="R1304" i="1"/>
  <c r="Q1304" i="1"/>
  <c r="O1304" i="1"/>
  <c r="AD1304" i="1" s="1"/>
  <c r="K1304" i="1"/>
  <c r="AH1303" i="1"/>
  <c r="AG1303" i="1"/>
  <c r="AE1303" i="1"/>
  <c r="AA1303" i="1"/>
  <c r="U1303" i="1"/>
  <c r="T1303" i="1"/>
  <c r="S1303" i="1"/>
  <c r="Q1303" i="1"/>
  <c r="R1303" i="1" s="1"/>
  <c r="AF1303" i="1" s="1"/>
  <c r="O1303" i="1"/>
  <c r="AD1303" i="1" s="1"/>
  <c r="AI1303" i="1" s="1"/>
  <c r="K1303" i="1"/>
  <c r="V1303" i="1" s="1"/>
  <c r="AH1302" i="1"/>
  <c r="AG1302" i="1"/>
  <c r="AE1302" i="1"/>
  <c r="AD1302" i="1"/>
  <c r="AA1302" i="1"/>
  <c r="Z1302" i="1"/>
  <c r="U1302" i="1"/>
  <c r="T1302" i="1"/>
  <c r="S1302" i="1"/>
  <c r="Q1302" i="1"/>
  <c r="R1302" i="1" s="1"/>
  <c r="AF1302" i="1" s="1"/>
  <c r="O1302" i="1"/>
  <c r="K1302" i="1"/>
  <c r="V1302" i="1" s="1"/>
  <c r="AH1301" i="1"/>
  <c r="AG1301" i="1"/>
  <c r="AF1301" i="1"/>
  <c r="AE1301" i="1"/>
  <c r="AA1301" i="1"/>
  <c r="Z1301" i="1"/>
  <c r="U1301" i="1"/>
  <c r="T1301" i="1"/>
  <c r="S1301" i="1"/>
  <c r="R1301" i="1"/>
  <c r="O1301" i="1"/>
  <c r="AD1301" i="1" s="1"/>
  <c r="AI1301" i="1" s="1"/>
  <c r="K1301" i="1"/>
  <c r="V1301" i="1" s="1"/>
  <c r="AH1300" i="1"/>
  <c r="AG1300" i="1"/>
  <c r="AF1300" i="1"/>
  <c r="AE1300" i="1"/>
  <c r="AA1300" i="1"/>
  <c r="Z1300" i="1"/>
  <c r="U1300" i="1"/>
  <c r="T1300" i="1"/>
  <c r="S1300" i="1"/>
  <c r="R1300" i="1"/>
  <c r="O1300" i="1"/>
  <c r="AD1300" i="1" s="1"/>
  <c r="K1300" i="1"/>
  <c r="V1300" i="1" s="1"/>
  <c r="AH1299" i="1"/>
  <c r="AF1299" i="1"/>
  <c r="AE1299" i="1"/>
  <c r="AA1299" i="1"/>
  <c r="Z1299" i="1"/>
  <c r="AG1299" i="1" s="1"/>
  <c r="V1299" i="1"/>
  <c r="U1299" i="1"/>
  <c r="T1299" i="1"/>
  <c r="S1299" i="1"/>
  <c r="R1299" i="1"/>
  <c r="O1299" i="1"/>
  <c r="AD1299" i="1" s="1"/>
  <c r="K1299" i="1"/>
  <c r="AH1298" i="1"/>
  <c r="AG1298" i="1"/>
  <c r="AE1298" i="1"/>
  <c r="AA1298" i="1"/>
  <c r="U1298" i="1"/>
  <c r="T1298" i="1"/>
  <c r="S1298" i="1"/>
  <c r="Q1298" i="1"/>
  <c r="R1298" i="1" s="1"/>
  <c r="AF1298" i="1" s="1"/>
  <c r="O1298" i="1"/>
  <c r="AD1298" i="1" s="1"/>
  <c r="AI1298" i="1" s="1"/>
  <c r="K1298" i="1"/>
  <c r="V1298" i="1" s="1"/>
  <c r="AH1297" i="1"/>
  <c r="AG1297" i="1"/>
  <c r="AE1297" i="1"/>
  <c r="AA1297" i="1"/>
  <c r="U1297" i="1"/>
  <c r="T1297" i="1"/>
  <c r="S1297" i="1"/>
  <c r="R1297" i="1"/>
  <c r="AF1297" i="1" s="1"/>
  <c r="Q1297" i="1"/>
  <c r="O1297" i="1"/>
  <c r="AD1297" i="1" s="1"/>
  <c r="AI1297" i="1" s="1"/>
  <c r="K1297" i="1"/>
  <c r="V1297" i="1" s="1"/>
  <c r="AH1296" i="1"/>
  <c r="AG1296" i="1"/>
  <c r="AF1296" i="1"/>
  <c r="AE1296" i="1"/>
  <c r="AA1296" i="1"/>
  <c r="Z1296" i="1"/>
  <c r="U1296" i="1"/>
  <c r="T1296" i="1"/>
  <c r="S1296" i="1"/>
  <c r="R1296" i="1"/>
  <c r="Q1296" i="1"/>
  <c r="O1296" i="1"/>
  <c r="AD1296" i="1" s="1"/>
  <c r="K1296" i="1"/>
  <c r="V1296" i="1" s="1"/>
  <c r="AH1295" i="1"/>
  <c r="AG1295" i="1"/>
  <c r="AF1295" i="1"/>
  <c r="AE1295" i="1"/>
  <c r="AA1295" i="1"/>
  <c r="Z1295" i="1"/>
  <c r="U1295" i="1"/>
  <c r="T1295" i="1"/>
  <c r="S1295" i="1"/>
  <c r="R1295" i="1"/>
  <c r="Q1295" i="1"/>
  <c r="O1295" i="1"/>
  <c r="AD1295" i="1" s="1"/>
  <c r="K1295" i="1"/>
  <c r="V1295" i="1" s="1"/>
  <c r="AH1294" i="1"/>
  <c r="AG1294" i="1"/>
  <c r="AF1294" i="1"/>
  <c r="AE1294" i="1"/>
  <c r="AA1294" i="1"/>
  <c r="Z1294" i="1"/>
  <c r="U1294" i="1"/>
  <c r="T1294" i="1"/>
  <c r="S1294" i="1"/>
  <c r="R1294" i="1"/>
  <c r="Q1294" i="1"/>
  <c r="O1294" i="1"/>
  <c r="AD1294" i="1" s="1"/>
  <c r="AI1294" i="1" s="1"/>
  <c r="K1294" i="1"/>
  <c r="V1294" i="1" s="1"/>
  <c r="AH1293" i="1"/>
  <c r="AG1293" i="1"/>
  <c r="AF1293" i="1"/>
  <c r="AE1293" i="1"/>
  <c r="AA1293" i="1"/>
  <c r="Z1293" i="1"/>
  <c r="U1293" i="1"/>
  <c r="T1293" i="1"/>
  <c r="S1293" i="1"/>
  <c r="R1293" i="1"/>
  <c r="Q1293" i="1"/>
  <c r="O1293" i="1"/>
  <c r="AD1293" i="1" s="1"/>
  <c r="AI1293" i="1" s="1"/>
  <c r="K1293" i="1"/>
  <c r="V1293" i="1" s="1"/>
  <c r="AH1292" i="1"/>
  <c r="AG1292" i="1"/>
  <c r="AF1292" i="1"/>
  <c r="AE1292" i="1"/>
  <c r="AA1292" i="1"/>
  <c r="Z1292" i="1"/>
  <c r="U1292" i="1"/>
  <c r="T1292" i="1"/>
  <c r="S1292" i="1"/>
  <c r="R1292" i="1"/>
  <c r="O1292" i="1"/>
  <c r="AD1292" i="1" s="1"/>
  <c r="AI1292" i="1" s="1"/>
  <c r="K1292" i="1"/>
  <c r="V1292" i="1" s="1"/>
  <c r="AH1291" i="1"/>
  <c r="AF1291" i="1"/>
  <c r="AE1291" i="1"/>
  <c r="AA1291" i="1"/>
  <c r="Z1291" i="1"/>
  <c r="AG1291" i="1" s="1"/>
  <c r="V1291" i="1"/>
  <c r="U1291" i="1"/>
  <c r="T1291" i="1"/>
  <c r="S1291" i="1"/>
  <c r="R1291" i="1"/>
  <c r="O1291" i="1"/>
  <c r="AD1291" i="1" s="1"/>
  <c r="AI1291" i="1" s="1"/>
  <c r="K1291" i="1"/>
  <c r="AH1290" i="1"/>
  <c r="AG1290" i="1"/>
  <c r="AE1290" i="1"/>
  <c r="AA1290" i="1"/>
  <c r="Z1290" i="1"/>
  <c r="V1290" i="1"/>
  <c r="U1290" i="1"/>
  <c r="T1290" i="1"/>
  <c r="S1290" i="1"/>
  <c r="R1290" i="1"/>
  <c r="AF1290" i="1" s="1"/>
  <c r="O1290" i="1"/>
  <c r="AD1290" i="1" s="1"/>
  <c r="AI1290" i="1" s="1"/>
  <c r="K1290" i="1"/>
  <c r="AH1289" i="1"/>
  <c r="AG1289" i="1"/>
  <c r="AE1289" i="1"/>
  <c r="AD1289" i="1"/>
  <c r="AA1289" i="1"/>
  <c r="Z1289" i="1"/>
  <c r="U1289" i="1"/>
  <c r="T1289" i="1"/>
  <c r="S1289" i="1"/>
  <c r="Q1289" i="1"/>
  <c r="R1289" i="1" s="1"/>
  <c r="AF1289" i="1" s="1"/>
  <c r="O1289" i="1"/>
  <c r="K1289" i="1"/>
  <c r="V1289" i="1" s="1"/>
  <c r="AH1288" i="1"/>
  <c r="AG1288" i="1"/>
  <c r="AE1288" i="1"/>
  <c r="AD1288" i="1"/>
  <c r="AA1288" i="1"/>
  <c r="Z1288" i="1"/>
  <c r="U1288" i="1"/>
  <c r="T1288" i="1"/>
  <c r="S1288" i="1"/>
  <c r="Q1288" i="1"/>
  <c r="R1288" i="1" s="1"/>
  <c r="AF1288" i="1" s="1"/>
  <c r="O1288" i="1"/>
  <c r="K1288" i="1"/>
  <c r="V1288" i="1" s="1"/>
  <c r="AH1287" i="1"/>
  <c r="AG1287" i="1"/>
  <c r="AE1287" i="1"/>
  <c r="AD1287" i="1"/>
  <c r="AA1287" i="1"/>
  <c r="Z1287" i="1"/>
  <c r="U1287" i="1"/>
  <c r="T1287" i="1"/>
  <c r="S1287" i="1"/>
  <c r="Q1287" i="1"/>
  <c r="R1287" i="1" s="1"/>
  <c r="AF1287" i="1" s="1"/>
  <c r="O1287" i="1"/>
  <c r="K1287" i="1"/>
  <c r="V1287" i="1" s="1"/>
  <c r="AH1286" i="1"/>
  <c r="AG1286" i="1"/>
  <c r="AE1286" i="1"/>
  <c r="AD1286" i="1"/>
  <c r="AA1286" i="1"/>
  <c r="Z1286" i="1"/>
  <c r="U1286" i="1"/>
  <c r="T1286" i="1"/>
  <c r="S1286" i="1"/>
  <c r="Q1286" i="1"/>
  <c r="R1286" i="1" s="1"/>
  <c r="AF1286" i="1" s="1"/>
  <c r="O1286" i="1"/>
  <c r="K1286" i="1"/>
  <c r="V1286" i="1" s="1"/>
  <c r="AH1285" i="1"/>
  <c r="AG1285" i="1"/>
  <c r="AF1285" i="1"/>
  <c r="AE1285" i="1"/>
  <c r="AD1285" i="1"/>
  <c r="AI1285" i="1" s="1"/>
  <c r="AA1285" i="1"/>
  <c r="Z1285" i="1"/>
  <c r="U1285" i="1"/>
  <c r="T1285" i="1"/>
  <c r="S1285" i="1"/>
  <c r="R1285" i="1"/>
  <c r="O1285" i="1"/>
  <c r="K1285" i="1"/>
  <c r="V1285" i="1" s="1"/>
  <c r="AH1284" i="1"/>
  <c r="AG1284" i="1"/>
  <c r="AF1284" i="1"/>
  <c r="AE1284" i="1"/>
  <c r="AA1284" i="1"/>
  <c r="Z1284" i="1"/>
  <c r="U1284" i="1"/>
  <c r="T1284" i="1"/>
  <c r="S1284" i="1"/>
  <c r="R1284" i="1"/>
  <c r="O1284" i="1"/>
  <c r="AD1284" i="1" s="1"/>
  <c r="K1284" i="1"/>
  <c r="V1284" i="1" s="1"/>
  <c r="AH1283" i="1"/>
  <c r="AF1283" i="1"/>
  <c r="AE1283" i="1"/>
  <c r="AD1283" i="1"/>
  <c r="AA1283" i="1"/>
  <c r="Z1283" i="1"/>
  <c r="AG1283" i="1" s="1"/>
  <c r="U1283" i="1"/>
  <c r="T1283" i="1"/>
  <c r="S1283" i="1"/>
  <c r="R1283" i="1"/>
  <c r="Q1283" i="1"/>
  <c r="O1283" i="1"/>
  <c r="K1283" i="1"/>
  <c r="V1283" i="1" s="1"/>
  <c r="AH1282" i="1"/>
  <c r="AF1282" i="1"/>
  <c r="AE1282" i="1"/>
  <c r="AI1282" i="1" s="1"/>
  <c r="AD1282" i="1"/>
  <c r="AA1282" i="1"/>
  <c r="Z1282" i="1"/>
  <c r="AG1282" i="1" s="1"/>
  <c r="U1282" i="1"/>
  <c r="T1282" i="1"/>
  <c r="S1282" i="1"/>
  <c r="R1282" i="1"/>
  <c r="Q1282" i="1"/>
  <c r="O1282" i="1"/>
  <c r="K1282" i="1"/>
  <c r="V1282" i="1" s="1"/>
  <c r="AH1281" i="1"/>
  <c r="AF1281" i="1"/>
  <c r="AE1281" i="1"/>
  <c r="AI1281" i="1" s="1"/>
  <c r="AD1281" i="1"/>
  <c r="AA1281" i="1"/>
  <c r="Z1281" i="1"/>
  <c r="AG1281" i="1" s="1"/>
  <c r="U1281" i="1"/>
  <c r="T1281" i="1"/>
  <c r="S1281" i="1"/>
  <c r="R1281" i="1"/>
  <c r="Q1281" i="1"/>
  <c r="O1281" i="1"/>
  <c r="K1281" i="1"/>
  <c r="V1281" i="1" s="1"/>
  <c r="AH1280" i="1"/>
  <c r="AF1280" i="1"/>
  <c r="AE1280" i="1"/>
  <c r="AD1280" i="1"/>
  <c r="AA1280" i="1"/>
  <c r="Z1280" i="1"/>
  <c r="AG1280" i="1" s="1"/>
  <c r="U1280" i="1"/>
  <c r="T1280" i="1"/>
  <c r="S1280" i="1"/>
  <c r="R1280" i="1"/>
  <c r="Q1280" i="1"/>
  <c r="O1280" i="1"/>
  <c r="K1280" i="1"/>
  <c r="V1280" i="1" s="1"/>
  <c r="AH1279" i="1"/>
  <c r="AF1279" i="1"/>
  <c r="AE1279" i="1"/>
  <c r="AD1279" i="1"/>
  <c r="AA1279" i="1"/>
  <c r="Z1279" i="1"/>
  <c r="AG1279" i="1" s="1"/>
  <c r="U1279" i="1"/>
  <c r="T1279" i="1"/>
  <c r="S1279" i="1"/>
  <c r="R1279" i="1"/>
  <c r="Q1279" i="1"/>
  <c r="O1279" i="1"/>
  <c r="K1279" i="1"/>
  <c r="V1279" i="1" s="1"/>
  <c r="AH1278" i="1"/>
  <c r="AF1278" i="1"/>
  <c r="AE1278" i="1"/>
  <c r="AI1278" i="1" s="1"/>
  <c r="AD1278" i="1"/>
  <c r="AA1278" i="1"/>
  <c r="Z1278" i="1"/>
  <c r="AG1278" i="1" s="1"/>
  <c r="U1278" i="1"/>
  <c r="T1278" i="1"/>
  <c r="S1278" i="1"/>
  <c r="R1278" i="1"/>
  <c r="Q1278" i="1"/>
  <c r="O1278" i="1"/>
  <c r="K1278" i="1"/>
  <c r="V1278" i="1" s="1"/>
  <c r="AH1277" i="1"/>
  <c r="AG1277" i="1"/>
  <c r="AF1277" i="1"/>
  <c r="AE1277" i="1"/>
  <c r="AA1277" i="1"/>
  <c r="V1277" i="1"/>
  <c r="U1277" i="1"/>
  <c r="T1277" i="1"/>
  <c r="S1277" i="1"/>
  <c r="R1277" i="1"/>
  <c r="O1277" i="1"/>
  <c r="AD1277" i="1" s="1"/>
  <c r="AI1277" i="1" s="1"/>
  <c r="K1277" i="1"/>
  <c r="AH1276" i="1"/>
  <c r="AG1276" i="1"/>
  <c r="AE1276" i="1"/>
  <c r="AD1276" i="1"/>
  <c r="AI1276" i="1" s="1"/>
  <c r="AA1276" i="1"/>
  <c r="U1276" i="1"/>
  <c r="T1276" i="1"/>
  <c r="S1276" i="1"/>
  <c r="R1276" i="1"/>
  <c r="AF1276" i="1" s="1"/>
  <c r="O1276" i="1"/>
  <c r="K1276" i="1"/>
  <c r="V1276" i="1" s="1"/>
  <c r="AH1275" i="1"/>
  <c r="AF1275" i="1"/>
  <c r="AE1275" i="1"/>
  <c r="AA1275" i="1"/>
  <c r="Z1275" i="1"/>
  <c r="AG1275" i="1" s="1"/>
  <c r="V1275" i="1"/>
  <c r="U1275" i="1"/>
  <c r="T1275" i="1"/>
  <c r="S1275" i="1"/>
  <c r="R1275" i="1"/>
  <c r="O1275" i="1"/>
  <c r="AD1275" i="1" s="1"/>
  <c r="AI1275" i="1" s="1"/>
  <c r="K1275" i="1"/>
  <c r="AH1274" i="1"/>
  <c r="AG1274" i="1"/>
  <c r="AE1274" i="1"/>
  <c r="AD1274" i="1"/>
  <c r="AA1274" i="1"/>
  <c r="Z1274" i="1"/>
  <c r="V1274" i="1"/>
  <c r="U1274" i="1"/>
  <c r="T1274" i="1"/>
  <c r="S1274" i="1"/>
  <c r="R1274" i="1"/>
  <c r="AF1274" i="1" s="1"/>
  <c r="Q1274" i="1"/>
  <c r="O1274" i="1"/>
  <c r="K1274" i="1"/>
  <c r="AI1273" i="1"/>
  <c r="AH1273" i="1"/>
  <c r="AG1273" i="1"/>
  <c r="AE1273" i="1"/>
  <c r="AD1273" i="1"/>
  <c r="AA1273" i="1"/>
  <c r="Z1273" i="1"/>
  <c r="V1273" i="1"/>
  <c r="U1273" i="1"/>
  <c r="T1273" i="1"/>
  <c r="S1273" i="1"/>
  <c r="R1273" i="1"/>
  <c r="AF1273" i="1" s="1"/>
  <c r="Q1273" i="1"/>
  <c r="O1273" i="1"/>
  <c r="K1273" i="1"/>
  <c r="AI1272" i="1"/>
  <c r="AH1272" i="1"/>
  <c r="AG1272" i="1"/>
  <c r="AE1272" i="1"/>
  <c r="AD1272" i="1"/>
  <c r="AA1272" i="1"/>
  <c r="Z1272" i="1"/>
  <c r="V1272" i="1"/>
  <c r="U1272" i="1"/>
  <c r="T1272" i="1"/>
  <c r="S1272" i="1"/>
  <c r="R1272" i="1"/>
  <c r="AF1272" i="1" s="1"/>
  <c r="Q1272" i="1"/>
  <c r="O1272" i="1"/>
  <c r="K1272" i="1"/>
  <c r="AH1271" i="1"/>
  <c r="AG1271" i="1"/>
  <c r="AE1271" i="1"/>
  <c r="AI1271" i="1" s="1"/>
  <c r="AD1271" i="1"/>
  <c r="AA1271" i="1"/>
  <c r="Z1271" i="1"/>
  <c r="V1271" i="1"/>
  <c r="U1271" i="1"/>
  <c r="T1271" i="1"/>
  <c r="S1271" i="1"/>
  <c r="R1271" i="1"/>
  <c r="AF1271" i="1" s="1"/>
  <c r="Q1271" i="1"/>
  <c r="O1271" i="1"/>
  <c r="K1271" i="1"/>
  <c r="AH1270" i="1"/>
  <c r="AG1270" i="1"/>
  <c r="AE1270" i="1"/>
  <c r="AD1270" i="1"/>
  <c r="AA1270" i="1"/>
  <c r="Z1270" i="1"/>
  <c r="V1270" i="1"/>
  <c r="U1270" i="1"/>
  <c r="T1270" i="1"/>
  <c r="S1270" i="1"/>
  <c r="R1270" i="1"/>
  <c r="AF1270" i="1" s="1"/>
  <c r="Q1270" i="1"/>
  <c r="O1270" i="1"/>
  <c r="K1270" i="1"/>
  <c r="AI1269" i="1"/>
  <c r="AH1269" i="1"/>
  <c r="AG1269" i="1"/>
  <c r="AE1269" i="1"/>
  <c r="AD1269" i="1"/>
  <c r="AA1269" i="1"/>
  <c r="Z1269" i="1"/>
  <c r="V1269" i="1"/>
  <c r="U1269" i="1"/>
  <c r="T1269" i="1"/>
  <c r="S1269" i="1"/>
  <c r="R1269" i="1"/>
  <c r="AF1269" i="1" s="1"/>
  <c r="Q1269" i="1"/>
  <c r="O1269" i="1"/>
  <c r="K1269" i="1"/>
  <c r="AH1268" i="1"/>
  <c r="AG1268" i="1"/>
  <c r="AE1268" i="1"/>
  <c r="AA1268" i="1"/>
  <c r="U1268" i="1"/>
  <c r="T1268" i="1"/>
  <c r="S1268" i="1"/>
  <c r="Q1268" i="1"/>
  <c r="R1268" i="1" s="1"/>
  <c r="AF1268" i="1" s="1"/>
  <c r="O1268" i="1"/>
  <c r="AD1268" i="1" s="1"/>
  <c r="AI1268" i="1" s="1"/>
  <c r="K1268" i="1"/>
  <c r="V1268" i="1" s="1"/>
  <c r="AH1267" i="1"/>
  <c r="AG1267" i="1"/>
  <c r="AE1267" i="1"/>
  <c r="AA1267" i="1"/>
  <c r="U1267" i="1"/>
  <c r="T1267" i="1"/>
  <c r="S1267" i="1"/>
  <c r="R1267" i="1"/>
  <c r="AF1267" i="1" s="1"/>
  <c r="Q1267" i="1"/>
  <c r="O1267" i="1"/>
  <c r="AD1267" i="1" s="1"/>
  <c r="AI1267" i="1" s="1"/>
  <c r="K1267" i="1"/>
  <c r="V1267" i="1" s="1"/>
  <c r="AH1266" i="1"/>
  <c r="AG1266" i="1"/>
  <c r="AF1266" i="1"/>
  <c r="AE1266" i="1"/>
  <c r="AA1266" i="1"/>
  <c r="Z1266" i="1"/>
  <c r="U1266" i="1"/>
  <c r="T1266" i="1"/>
  <c r="S1266" i="1"/>
  <c r="R1266" i="1"/>
  <c r="Q1266" i="1"/>
  <c r="O1266" i="1"/>
  <c r="AD1266" i="1" s="1"/>
  <c r="K1266" i="1"/>
  <c r="V1266" i="1" s="1"/>
  <c r="AH1265" i="1"/>
  <c r="AG1265" i="1"/>
  <c r="AF1265" i="1"/>
  <c r="AE1265" i="1"/>
  <c r="AA1265" i="1"/>
  <c r="Z1265" i="1"/>
  <c r="U1265" i="1"/>
  <c r="T1265" i="1"/>
  <c r="S1265" i="1"/>
  <c r="R1265" i="1"/>
  <c r="Q1265" i="1"/>
  <c r="O1265" i="1"/>
  <c r="AD1265" i="1" s="1"/>
  <c r="K1265" i="1"/>
  <c r="V1265" i="1" s="1"/>
  <c r="AH1264" i="1"/>
  <c r="AG1264" i="1"/>
  <c r="AF1264" i="1"/>
  <c r="AE1264" i="1"/>
  <c r="AA1264" i="1"/>
  <c r="Z1264" i="1"/>
  <c r="U1264" i="1"/>
  <c r="T1264" i="1"/>
  <c r="S1264" i="1"/>
  <c r="R1264" i="1"/>
  <c r="Q1264" i="1"/>
  <c r="O1264" i="1"/>
  <c r="AD1264" i="1" s="1"/>
  <c r="AI1264" i="1" s="1"/>
  <c r="K1264" i="1"/>
  <c r="V1264" i="1" s="1"/>
  <c r="AH1263" i="1"/>
  <c r="AG1263" i="1"/>
  <c r="AF1263" i="1"/>
  <c r="AE1263" i="1"/>
  <c r="AA1263" i="1"/>
  <c r="Z1263" i="1"/>
  <c r="U1263" i="1"/>
  <c r="T1263" i="1"/>
  <c r="S1263" i="1"/>
  <c r="R1263" i="1"/>
  <c r="Q1263" i="1"/>
  <c r="O1263" i="1"/>
  <c r="AD1263" i="1" s="1"/>
  <c r="AI1263" i="1" s="1"/>
  <c r="K1263" i="1"/>
  <c r="V1263" i="1" s="1"/>
  <c r="AH1262" i="1"/>
  <c r="AG1262" i="1"/>
  <c r="AE1262" i="1"/>
  <c r="AA1262" i="1"/>
  <c r="U1262" i="1"/>
  <c r="T1262" i="1"/>
  <c r="S1262" i="1"/>
  <c r="R1262" i="1"/>
  <c r="AF1262" i="1" s="1"/>
  <c r="Q1262" i="1"/>
  <c r="O1262" i="1"/>
  <c r="AD1262" i="1" s="1"/>
  <c r="AI1262" i="1" s="1"/>
  <c r="K1262" i="1"/>
  <c r="V1262" i="1" s="1"/>
  <c r="AH1261" i="1"/>
  <c r="AG1261" i="1"/>
  <c r="AF1261" i="1"/>
  <c r="AE1261" i="1"/>
  <c r="AA1261" i="1"/>
  <c r="V1261" i="1"/>
  <c r="U1261" i="1"/>
  <c r="T1261" i="1"/>
  <c r="S1261" i="1"/>
  <c r="R1261" i="1"/>
  <c r="Q1261" i="1"/>
  <c r="O1261" i="1"/>
  <c r="AD1261" i="1" s="1"/>
  <c r="AI1261" i="1" s="1"/>
  <c r="K1261" i="1"/>
  <c r="AH1260" i="1"/>
  <c r="AG1260" i="1"/>
  <c r="AE1260" i="1"/>
  <c r="AI1260" i="1" s="1"/>
  <c r="AD1260" i="1"/>
  <c r="AA1260" i="1"/>
  <c r="Z1260" i="1"/>
  <c r="V1260" i="1"/>
  <c r="U1260" i="1"/>
  <c r="T1260" i="1"/>
  <c r="S1260" i="1"/>
  <c r="R1260" i="1"/>
  <c r="AF1260" i="1" s="1"/>
  <c r="Q1260" i="1"/>
  <c r="O1260" i="1"/>
  <c r="K1260" i="1"/>
  <c r="AH1259" i="1"/>
  <c r="AG1259" i="1"/>
  <c r="AE1259" i="1"/>
  <c r="AD1259" i="1"/>
  <c r="AA1259" i="1"/>
  <c r="Z1259" i="1"/>
  <c r="V1259" i="1"/>
  <c r="U1259" i="1"/>
  <c r="T1259" i="1"/>
  <c r="S1259" i="1"/>
  <c r="R1259" i="1"/>
  <c r="AF1259" i="1" s="1"/>
  <c r="Q1259" i="1"/>
  <c r="O1259" i="1"/>
  <c r="K1259" i="1"/>
  <c r="AI1258" i="1"/>
  <c r="AH1258" i="1"/>
  <c r="AG1258" i="1"/>
  <c r="AE1258" i="1"/>
  <c r="AD1258" i="1"/>
  <c r="AA1258" i="1"/>
  <c r="Z1258" i="1"/>
  <c r="V1258" i="1"/>
  <c r="U1258" i="1"/>
  <c r="T1258" i="1"/>
  <c r="S1258" i="1"/>
  <c r="R1258" i="1"/>
  <c r="AF1258" i="1" s="1"/>
  <c r="Q1258" i="1"/>
  <c r="O1258" i="1"/>
  <c r="K1258" i="1"/>
  <c r="AI1257" i="1"/>
  <c r="AH1257" i="1"/>
  <c r="AG1257" i="1"/>
  <c r="AE1257" i="1"/>
  <c r="AD1257" i="1"/>
  <c r="AA1257" i="1"/>
  <c r="Z1257" i="1"/>
  <c r="V1257" i="1"/>
  <c r="U1257" i="1"/>
  <c r="T1257" i="1"/>
  <c r="S1257" i="1"/>
  <c r="R1257" i="1"/>
  <c r="AF1257" i="1" s="1"/>
  <c r="Q1257" i="1"/>
  <c r="O1257" i="1"/>
  <c r="K1257" i="1"/>
  <c r="AH1256" i="1"/>
  <c r="AG1256" i="1"/>
  <c r="AE1256" i="1"/>
  <c r="AI1256" i="1" s="1"/>
  <c r="AD1256" i="1"/>
  <c r="AA1256" i="1"/>
  <c r="Z1256" i="1"/>
  <c r="V1256" i="1"/>
  <c r="U1256" i="1"/>
  <c r="T1256" i="1"/>
  <c r="S1256" i="1"/>
  <c r="R1256" i="1"/>
  <c r="AF1256" i="1" s="1"/>
  <c r="Q1256" i="1"/>
  <c r="O1256" i="1"/>
  <c r="K1256" i="1"/>
  <c r="AH1255" i="1"/>
  <c r="AG1255" i="1"/>
  <c r="AE1255" i="1"/>
  <c r="AD1255" i="1"/>
  <c r="AA1255" i="1"/>
  <c r="Z1255" i="1"/>
  <c r="V1255" i="1"/>
  <c r="U1255" i="1"/>
  <c r="T1255" i="1"/>
  <c r="S1255" i="1"/>
  <c r="R1255" i="1"/>
  <c r="AF1255" i="1" s="1"/>
  <c r="Q1255" i="1"/>
  <c r="O1255" i="1"/>
  <c r="K1255" i="1"/>
  <c r="AI1254" i="1"/>
  <c r="AH1254" i="1"/>
  <c r="AG1254" i="1"/>
  <c r="AE1254" i="1"/>
  <c r="AD1254" i="1"/>
  <c r="AA1254" i="1"/>
  <c r="Z1254" i="1"/>
  <c r="V1254" i="1"/>
  <c r="U1254" i="1"/>
  <c r="T1254" i="1"/>
  <c r="S1254" i="1"/>
  <c r="R1254" i="1"/>
  <c r="AF1254" i="1" s="1"/>
  <c r="Q1254" i="1"/>
  <c r="O1254" i="1"/>
  <c r="K1254" i="1"/>
  <c r="AI1253" i="1"/>
  <c r="AH1253" i="1"/>
  <c r="AG1253" i="1"/>
  <c r="AE1253" i="1"/>
  <c r="AA1253" i="1"/>
  <c r="Z1253" i="1"/>
  <c r="V1253" i="1"/>
  <c r="U1253" i="1"/>
  <c r="T1253" i="1"/>
  <c r="S1253" i="1"/>
  <c r="R1253" i="1"/>
  <c r="AF1253" i="1" s="1"/>
  <c r="O1253" i="1"/>
  <c r="AD1253" i="1" s="1"/>
  <c r="AH1252" i="1"/>
  <c r="AG1252" i="1"/>
  <c r="AF1252" i="1"/>
  <c r="AE1252" i="1"/>
  <c r="AA1252" i="1"/>
  <c r="Z1252" i="1"/>
  <c r="U1252" i="1"/>
  <c r="T1252" i="1"/>
  <c r="S1252" i="1"/>
  <c r="R1252" i="1"/>
  <c r="Q1252" i="1"/>
  <c r="O1252" i="1"/>
  <c r="AD1252" i="1" s="1"/>
  <c r="K1252" i="1"/>
  <c r="V1252" i="1" s="1"/>
  <c r="AH1251" i="1"/>
  <c r="AG1251" i="1"/>
  <c r="AF1251" i="1"/>
  <c r="AE1251" i="1"/>
  <c r="AA1251" i="1"/>
  <c r="Z1251" i="1"/>
  <c r="U1251" i="1"/>
  <c r="T1251" i="1"/>
  <c r="S1251" i="1"/>
  <c r="R1251" i="1"/>
  <c r="Q1251" i="1"/>
  <c r="O1251" i="1"/>
  <c r="AD1251" i="1" s="1"/>
  <c r="AI1251" i="1" s="1"/>
  <c r="K1251" i="1"/>
  <c r="V1251" i="1" s="1"/>
  <c r="AH1250" i="1"/>
  <c r="AG1250" i="1"/>
  <c r="AF1250" i="1"/>
  <c r="AE1250" i="1"/>
  <c r="AA1250" i="1"/>
  <c r="Z1250" i="1"/>
  <c r="U1250" i="1"/>
  <c r="T1250" i="1"/>
  <c r="S1250" i="1"/>
  <c r="R1250" i="1"/>
  <c r="Q1250" i="1"/>
  <c r="O1250" i="1"/>
  <c r="AD1250" i="1" s="1"/>
  <c r="AI1250" i="1" s="1"/>
  <c r="K1250" i="1"/>
  <c r="V1250" i="1" s="1"/>
  <c r="AH1249" i="1"/>
  <c r="AG1249" i="1"/>
  <c r="AF1249" i="1"/>
  <c r="AE1249" i="1"/>
  <c r="AA1249" i="1"/>
  <c r="Z1249" i="1"/>
  <c r="V1249" i="1"/>
  <c r="U1249" i="1"/>
  <c r="T1249" i="1"/>
  <c r="S1249" i="1"/>
  <c r="R1249" i="1"/>
  <c r="O1249" i="1"/>
  <c r="AD1249" i="1" s="1"/>
  <c r="AH1248" i="1"/>
  <c r="AG1248" i="1"/>
  <c r="AE1248" i="1"/>
  <c r="AI1248" i="1" s="1"/>
  <c r="AD1248" i="1"/>
  <c r="AA1248" i="1"/>
  <c r="Z1248" i="1"/>
  <c r="V1248" i="1"/>
  <c r="U1248" i="1"/>
  <c r="T1248" i="1"/>
  <c r="S1248" i="1"/>
  <c r="R1248" i="1"/>
  <c r="AF1248" i="1" s="1"/>
  <c r="Q1248" i="1"/>
  <c r="O1248" i="1"/>
  <c r="K1248" i="1"/>
  <c r="AH1247" i="1"/>
  <c r="AG1247" i="1"/>
  <c r="AE1247" i="1"/>
  <c r="AD1247" i="1"/>
  <c r="AA1247" i="1"/>
  <c r="Z1247" i="1"/>
  <c r="V1247" i="1"/>
  <c r="U1247" i="1"/>
  <c r="T1247" i="1"/>
  <c r="S1247" i="1"/>
  <c r="R1247" i="1"/>
  <c r="AF1247" i="1" s="1"/>
  <c r="Q1247" i="1"/>
  <c r="O1247" i="1"/>
  <c r="K1247" i="1"/>
  <c r="AI1246" i="1"/>
  <c r="AH1246" i="1"/>
  <c r="AG1246" i="1"/>
  <c r="AE1246" i="1"/>
  <c r="AD1246" i="1"/>
  <c r="AA1246" i="1"/>
  <c r="Z1246" i="1"/>
  <c r="V1246" i="1"/>
  <c r="U1246" i="1"/>
  <c r="T1246" i="1"/>
  <c r="S1246" i="1"/>
  <c r="R1246" i="1"/>
  <c r="AF1246" i="1" s="1"/>
  <c r="Q1246" i="1"/>
  <c r="O1246" i="1"/>
  <c r="K1246" i="1"/>
  <c r="AI1245" i="1"/>
  <c r="AH1245" i="1"/>
  <c r="AG1245" i="1"/>
  <c r="AE1245" i="1"/>
  <c r="AD1245" i="1"/>
  <c r="AA1245" i="1"/>
  <c r="Z1245" i="1"/>
  <c r="V1245" i="1"/>
  <c r="U1245" i="1"/>
  <c r="T1245" i="1"/>
  <c r="S1245" i="1"/>
  <c r="R1245" i="1"/>
  <c r="AF1245" i="1" s="1"/>
  <c r="Q1245" i="1"/>
  <c r="O1245" i="1"/>
  <c r="K1245" i="1"/>
  <c r="AH1244" i="1"/>
  <c r="AG1244" i="1"/>
  <c r="AE1244" i="1"/>
  <c r="AI1244" i="1" s="1"/>
  <c r="AD1244" i="1"/>
  <c r="AA1244" i="1"/>
  <c r="Z1244" i="1"/>
  <c r="V1244" i="1"/>
  <c r="U1244" i="1"/>
  <c r="T1244" i="1"/>
  <c r="S1244" i="1"/>
  <c r="R1244" i="1"/>
  <c r="AF1244" i="1" s="1"/>
  <c r="Q1244" i="1"/>
  <c r="O1244" i="1"/>
  <c r="K1244" i="1"/>
  <c r="AH1243" i="1"/>
  <c r="AG1243" i="1"/>
  <c r="AE1243" i="1"/>
  <c r="AD1243" i="1"/>
  <c r="AA1243" i="1"/>
  <c r="Z1243" i="1"/>
  <c r="V1243" i="1"/>
  <c r="U1243" i="1"/>
  <c r="T1243" i="1"/>
  <c r="S1243" i="1"/>
  <c r="R1243" i="1"/>
  <c r="AF1243" i="1" s="1"/>
  <c r="Q1243" i="1"/>
  <c r="O1243" i="1"/>
  <c r="K1243" i="1"/>
  <c r="AI1242" i="1"/>
  <c r="AH1242" i="1"/>
  <c r="AG1242" i="1"/>
  <c r="AE1242" i="1"/>
  <c r="AA1242" i="1"/>
  <c r="Z1242" i="1"/>
  <c r="V1242" i="1"/>
  <c r="U1242" i="1"/>
  <c r="T1242" i="1"/>
  <c r="S1242" i="1"/>
  <c r="R1242" i="1"/>
  <c r="AF1242" i="1" s="1"/>
  <c r="O1242" i="1"/>
  <c r="AD1242" i="1" s="1"/>
  <c r="K1242" i="1"/>
  <c r="AH1241" i="1"/>
  <c r="AG1241" i="1"/>
  <c r="AF1241" i="1"/>
  <c r="AE1241" i="1"/>
  <c r="AA1241" i="1"/>
  <c r="Z1241" i="1"/>
  <c r="U1241" i="1"/>
  <c r="T1241" i="1"/>
  <c r="S1241" i="1"/>
  <c r="R1241" i="1"/>
  <c r="O1241" i="1"/>
  <c r="AD1241" i="1" s="1"/>
  <c r="AI1241" i="1" s="1"/>
  <c r="K1241" i="1"/>
  <c r="V1241" i="1" s="1"/>
  <c r="AH1240" i="1"/>
  <c r="AG1240" i="1"/>
  <c r="AF1240" i="1"/>
  <c r="AE1240" i="1"/>
  <c r="AA1240" i="1"/>
  <c r="Z1240" i="1"/>
  <c r="U1240" i="1"/>
  <c r="T1240" i="1"/>
  <c r="S1240" i="1"/>
  <c r="R1240" i="1"/>
  <c r="O1240" i="1"/>
  <c r="AD1240" i="1" s="1"/>
  <c r="AI1240" i="1" s="1"/>
  <c r="K1240" i="1"/>
  <c r="V1240" i="1" s="1"/>
  <c r="AH1239" i="1"/>
  <c r="AF1239" i="1"/>
  <c r="AE1239" i="1"/>
  <c r="AA1239" i="1"/>
  <c r="Z1239" i="1"/>
  <c r="AG1239" i="1" s="1"/>
  <c r="V1239" i="1"/>
  <c r="U1239" i="1"/>
  <c r="T1239" i="1"/>
  <c r="S1239" i="1"/>
  <c r="R1239" i="1"/>
  <c r="O1239" i="1"/>
  <c r="AD1239" i="1" s="1"/>
  <c r="AI1239" i="1" s="1"/>
  <c r="K1239" i="1"/>
  <c r="AH1238" i="1"/>
  <c r="AG1238" i="1"/>
  <c r="AE1238" i="1"/>
  <c r="AA1238" i="1"/>
  <c r="Z1238" i="1"/>
  <c r="V1238" i="1"/>
  <c r="U1238" i="1"/>
  <c r="T1238" i="1"/>
  <c r="S1238" i="1"/>
  <c r="R1238" i="1"/>
  <c r="AF1238" i="1" s="1"/>
  <c r="O1238" i="1"/>
  <c r="AD1238" i="1" s="1"/>
  <c r="K1238" i="1"/>
  <c r="AH1237" i="1"/>
  <c r="AG1237" i="1"/>
  <c r="AE1237" i="1"/>
  <c r="AA1237" i="1"/>
  <c r="Z1237" i="1"/>
  <c r="U1237" i="1"/>
  <c r="T1237" i="1"/>
  <c r="S1237" i="1"/>
  <c r="R1237" i="1"/>
  <c r="AF1237" i="1" s="1"/>
  <c r="O1237" i="1"/>
  <c r="AD1237" i="1" s="1"/>
  <c r="AI1237" i="1" s="1"/>
  <c r="K1237" i="1"/>
  <c r="V1237" i="1" s="1"/>
  <c r="AH1236" i="1"/>
  <c r="AG1236" i="1"/>
  <c r="AF1236" i="1"/>
  <c r="AE1236" i="1"/>
  <c r="AA1236" i="1"/>
  <c r="Z1236" i="1"/>
  <c r="U1236" i="1"/>
  <c r="T1236" i="1"/>
  <c r="S1236" i="1"/>
  <c r="R1236" i="1"/>
  <c r="Q1236" i="1"/>
  <c r="O1236" i="1"/>
  <c r="AD1236" i="1" s="1"/>
  <c r="K1236" i="1"/>
  <c r="V1236" i="1" s="1"/>
  <c r="AH1235" i="1"/>
  <c r="AG1235" i="1"/>
  <c r="AF1235" i="1"/>
  <c r="AE1235" i="1"/>
  <c r="AA1235" i="1"/>
  <c r="Z1235" i="1"/>
  <c r="U1235" i="1"/>
  <c r="T1235" i="1"/>
  <c r="S1235" i="1"/>
  <c r="R1235" i="1"/>
  <c r="Q1235" i="1"/>
  <c r="O1235" i="1"/>
  <c r="AD1235" i="1" s="1"/>
  <c r="AI1235" i="1" s="1"/>
  <c r="K1235" i="1"/>
  <c r="V1235" i="1" s="1"/>
  <c r="AH1234" i="1"/>
  <c r="AG1234" i="1"/>
  <c r="AE1234" i="1"/>
  <c r="AA1234" i="1"/>
  <c r="Z1234" i="1"/>
  <c r="U1234" i="1"/>
  <c r="T1234" i="1"/>
  <c r="S1234" i="1"/>
  <c r="Q1234" i="1"/>
  <c r="R1234" i="1" s="1"/>
  <c r="AF1234" i="1" s="1"/>
  <c r="O1234" i="1"/>
  <c r="AD1234" i="1" s="1"/>
  <c r="K1234" i="1"/>
  <c r="V1234" i="1" s="1"/>
  <c r="AH1233" i="1"/>
  <c r="AG1233" i="1"/>
  <c r="AE1233" i="1"/>
  <c r="AA1233" i="1"/>
  <c r="Z1233" i="1"/>
  <c r="U1233" i="1"/>
  <c r="T1233" i="1"/>
  <c r="S1233" i="1"/>
  <c r="Q1233" i="1"/>
  <c r="R1233" i="1" s="1"/>
  <c r="AF1233" i="1" s="1"/>
  <c r="O1233" i="1"/>
  <c r="AD1233" i="1" s="1"/>
  <c r="K1233" i="1"/>
  <c r="V1233" i="1" s="1"/>
  <c r="AH1232" i="1"/>
  <c r="AG1232" i="1"/>
  <c r="AE1232" i="1"/>
  <c r="AA1232" i="1"/>
  <c r="Z1232" i="1"/>
  <c r="U1232" i="1"/>
  <c r="T1232" i="1"/>
  <c r="S1232" i="1"/>
  <c r="Q1232" i="1"/>
  <c r="R1232" i="1" s="1"/>
  <c r="AF1232" i="1" s="1"/>
  <c r="O1232" i="1"/>
  <c r="AD1232" i="1" s="1"/>
  <c r="AI1232" i="1" s="1"/>
  <c r="K1232" i="1"/>
  <c r="V1232" i="1" s="1"/>
  <c r="AH1231" i="1"/>
  <c r="AG1231" i="1"/>
  <c r="AF1231" i="1"/>
  <c r="AE1231" i="1"/>
  <c r="AA1231" i="1"/>
  <c r="Z1231" i="1"/>
  <c r="U1231" i="1"/>
  <c r="T1231" i="1"/>
  <c r="S1231" i="1"/>
  <c r="R1231" i="1"/>
  <c r="Q1231" i="1"/>
  <c r="O1231" i="1"/>
  <c r="AD1231" i="1" s="1"/>
  <c r="K1231" i="1"/>
  <c r="V1231" i="1" s="1"/>
  <c r="AH1230" i="1"/>
  <c r="AG1230" i="1"/>
  <c r="AF1230" i="1"/>
  <c r="AE1230" i="1"/>
  <c r="AA1230" i="1"/>
  <c r="Z1230" i="1"/>
  <c r="U1230" i="1"/>
  <c r="T1230" i="1"/>
  <c r="S1230" i="1"/>
  <c r="R1230" i="1"/>
  <c r="Q1230" i="1"/>
  <c r="O1230" i="1"/>
  <c r="AD1230" i="1" s="1"/>
  <c r="K1230" i="1"/>
  <c r="V1230" i="1" s="1"/>
  <c r="AH1229" i="1"/>
  <c r="AG1229" i="1"/>
  <c r="AF1229" i="1"/>
  <c r="AE1229" i="1"/>
  <c r="AA1229" i="1"/>
  <c r="Z1229" i="1"/>
  <c r="U1229" i="1"/>
  <c r="T1229" i="1"/>
  <c r="S1229" i="1"/>
  <c r="R1229" i="1"/>
  <c r="Q1229" i="1"/>
  <c r="O1229" i="1"/>
  <c r="AD1229" i="1" s="1"/>
  <c r="AI1229" i="1" s="1"/>
  <c r="K1229" i="1"/>
  <c r="V1229" i="1" s="1"/>
  <c r="AH1228" i="1"/>
  <c r="AG1228" i="1"/>
  <c r="AF1228" i="1"/>
  <c r="AE1228" i="1"/>
  <c r="AA1228" i="1"/>
  <c r="Z1228" i="1"/>
  <c r="U1228" i="1"/>
  <c r="T1228" i="1"/>
  <c r="S1228" i="1"/>
  <c r="R1228" i="1"/>
  <c r="Q1228" i="1"/>
  <c r="O1228" i="1"/>
  <c r="AD1228" i="1" s="1"/>
  <c r="AI1228" i="1" s="1"/>
  <c r="K1228" i="1"/>
  <c r="V1228" i="1" s="1"/>
  <c r="AH1227" i="1"/>
  <c r="AG1227" i="1"/>
  <c r="AE1227" i="1"/>
  <c r="AA1227" i="1"/>
  <c r="U1227" i="1"/>
  <c r="T1227" i="1"/>
  <c r="S1227" i="1"/>
  <c r="R1227" i="1"/>
  <c r="AF1227" i="1" s="1"/>
  <c r="Q1227" i="1"/>
  <c r="O1227" i="1"/>
  <c r="AD1227" i="1" s="1"/>
  <c r="AI1227" i="1" s="1"/>
  <c r="K1227" i="1"/>
  <c r="V1227" i="1" s="1"/>
  <c r="AH1226" i="1"/>
  <c r="AG1226" i="1"/>
  <c r="AF1226" i="1"/>
  <c r="AE1226" i="1"/>
  <c r="AA1226" i="1"/>
  <c r="V1226" i="1"/>
  <c r="U1226" i="1"/>
  <c r="T1226" i="1"/>
  <c r="S1226" i="1"/>
  <c r="R1226" i="1"/>
  <c r="Q1226" i="1"/>
  <c r="O1226" i="1"/>
  <c r="AD1226" i="1" s="1"/>
  <c r="AI1226" i="1" s="1"/>
  <c r="K1226" i="1"/>
  <c r="AH1225" i="1"/>
  <c r="AE1225" i="1"/>
  <c r="AD1225" i="1"/>
  <c r="AA1225" i="1"/>
  <c r="Z1225" i="1"/>
  <c r="AG1225" i="1" s="1"/>
  <c r="V1225" i="1"/>
  <c r="U1225" i="1"/>
  <c r="T1225" i="1"/>
  <c r="S1225" i="1"/>
  <c r="R1225" i="1"/>
  <c r="AF1225" i="1" s="1"/>
  <c r="Q1225" i="1"/>
  <c r="O1225" i="1"/>
  <c r="K1225" i="1"/>
  <c r="AH1224" i="1"/>
  <c r="AE1224" i="1"/>
  <c r="AA1224" i="1"/>
  <c r="Z1224" i="1"/>
  <c r="AG1224" i="1" s="1"/>
  <c r="AI1224" i="1" s="1"/>
  <c r="V1224" i="1"/>
  <c r="U1224" i="1"/>
  <c r="T1224" i="1"/>
  <c r="S1224" i="1"/>
  <c r="R1224" i="1"/>
  <c r="AF1224" i="1" s="1"/>
  <c r="O1224" i="1"/>
  <c r="AD1224" i="1" s="1"/>
  <c r="K1224" i="1"/>
  <c r="AH1223" i="1"/>
  <c r="AG1223" i="1"/>
  <c r="AE1223" i="1"/>
  <c r="AD1223" i="1"/>
  <c r="AA1223" i="1"/>
  <c r="Z1223" i="1"/>
  <c r="U1223" i="1"/>
  <c r="T1223" i="1"/>
  <c r="S1223" i="1"/>
  <c r="R1223" i="1"/>
  <c r="AF1223" i="1" s="1"/>
  <c r="O1223" i="1"/>
  <c r="K1223" i="1"/>
  <c r="V1223" i="1" s="1"/>
  <c r="AH1222" i="1"/>
  <c r="AG1222" i="1"/>
  <c r="AF1222" i="1"/>
  <c r="AE1222" i="1"/>
  <c r="AA1222" i="1"/>
  <c r="Z1222" i="1"/>
  <c r="U1222" i="1"/>
  <c r="T1222" i="1"/>
  <c r="S1222" i="1"/>
  <c r="R1222" i="1"/>
  <c r="O1222" i="1"/>
  <c r="AD1222" i="1" s="1"/>
  <c r="K1222" i="1"/>
  <c r="V1222" i="1" s="1"/>
  <c r="AH1221" i="1"/>
  <c r="AF1221" i="1"/>
  <c r="AE1221" i="1"/>
  <c r="AA1221" i="1"/>
  <c r="Z1221" i="1"/>
  <c r="AG1221" i="1" s="1"/>
  <c r="U1221" i="1"/>
  <c r="T1221" i="1"/>
  <c r="S1221" i="1"/>
  <c r="R1221" i="1"/>
  <c r="Q1221" i="1"/>
  <c r="O1221" i="1"/>
  <c r="AD1221" i="1" s="1"/>
  <c r="K1221" i="1"/>
  <c r="V1221" i="1" s="1"/>
  <c r="AH1220" i="1"/>
  <c r="AF1220" i="1"/>
  <c r="AE1220" i="1"/>
  <c r="AA1220" i="1"/>
  <c r="Z1220" i="1"/>
  <c r="AG1220" i="1" s="1"/>
  <c r="U1220" i="1"/>
  <c r="T1220" i="1"/>
  <c r="S1220" i="1"/>
  <c r="R1220" i="1"/>
  <c r="Q1220" i="1"/>
  <c r="O1220" i="1"/>
  <c r="AD1220" i="1" s="1"/>
  <c r="K1220" i="1"/>
  <c r="V1220" i="1" s="1"/>
  <c r="AH1219" i="1"/>
  <c r="AF1219" i="1"/>
  <c r="AE1219" i="1"/>
  <c r="AA1219" i="1"/>
  <c r="Z1219" i="1"/>
  <c r="AG1219" i="1" s="1"/>
  <c r="U1219" i="1"/>
  <c r="T1219" i="1"/>
  <c r="S1219" i="1"/>
  <c r="R1219" i="1"/>
  <c r="Q1219" i="1"/>
  <c r="O1219" i="1"/>
  <c r="AD1219" i="1" s="1"/>
  <c r="K1219" i="1"/>
  <c r="V1219" i="1" s="1"/>
  <c r="AH1218" i="1"/>
  <c r="AF1218" i="1"/>
  <c r="AE1218" i="1"/>
  <c r="AA1218" i="1"/>
  <c r="Z1218" i="1"/>
  <c r="AG1218" i="1" s="1"/>
  <c r="U1218" i="1"/>
  <c r="T1218" i="1"/>
  <c r="S1218" i="1"/>
  <c r="R1218" i="1"/>
  <c r="Q1218" i="1"/>
  <c r="O1218" i="1"/>
  <c r="AD1218" i="1" s="1"/>
  <c r="K1218" i="1"/>
  <c r="V1218" i="1" s="1"/>
  <c r="AH1217" i="1"/>
  <c r="AF1217" i="1"/>
  <c r="AE1217" i="1"/>
  <c r="AA1217" i="1"/>
  <c r="Z1217" i="1"/>
  <c r="AG1217" i="1" s="1"/>
  <c r="U1217" i="1"/>
  <c r="T1217" i="1"/>
  <c r="S1217" i="1"/>
  <c r="R1217" i="1"/>
  <c r="Q1217" i="1"/>
  <c r="O1217" i="1"/>
  <c r="AD1217" i="1" s="1"/>
  <c r="K1217" i="1"/>
  <c r="V1217" i="1" s="1"/>
  <c r="AH1216" i="1"/>
  <c r="AF1216" i="1"/>
  <c r="AE1216" i="1"/>
  <c r="AA1216" i="1"/>
  <c r="Z1216" i="1"/>
  <c r="AG1216" i="1" s="1"/>
  <c r="U1216" i="1"/>
  <c r="T1216" i="1"/>
  <c r="S1216" i="1"/>
  <c r="R1216" i="1"/>
  <c r="Q1216" i="1"/>
  <c r="O1216" i="1"/>
  <c r="AD1216" i="1" s="1"/>
  <c r="K1216" i="1"/>
  <c r="V1216" i="1" s="1"/>
  <c r="AH1215" i="1"/>
  <c r="AF1215" i="1"/>
  <c r="AE1215" i="1"/>
  <c r="AA1215" i="1"/>
  <c r="Z1215" i="1"/>
  <c r="AG1215" i="1" s="1"/>
  <c r="U1215" i="1"/>
  <c r="T1215" i="1"/>
  <c r="S1215" i="1"/>
  <c r="R1215" i="1"/>
  <c r="Q1215" i="1"/>
  <c r="O1215" i="1"/>
  <c r="AD1215" i="1" s="1"/>
  <c r="K1215" i="1"/>
  <c r="V1215" i="1" s="1"/>
  <c r="AH1214" i="1"/>
  <c r="AF1214" i="1"/>
  <c r="AE1214" i="1"/>
  <c r="AA1214" i="1"/>
  <c r="Z1214" i="1"/>
  <c r="AG1214" i="1" s="1"/>
  <c r="U1214" i="1"/>
  <c r="T1214" i="1"/>
  <c r="S1214" i="1"/>
  <c r="R1214" i="1"/>
  <c r="Q1214" i="1"/>
  <c r="O1214" i="1"/>
  <c r="AD1214" i="1" s="1"/>
  <c r="K1214" i="1"/>
  <c r="V1214" i="1" s="1"/>
  <c r="AH1213" i="1"/>
  <c r="AF1213" i="1"/>
  <c r="AE1213" i="1"/>
  <c r="AA1213" i="1"/>
  <c r="Z1213" i="1"/>
  <c r="AG1213" i="1" s="1"/>
  <c r="U1213" i="1"/>
  <c r="T1213" i="1"/>
  <c r="S1213" i="1"/>
  <c r="R1213" i="1"/>
  <c r="Q1213" i="1"/>
  <c r="O1213" i="1"/>
  <c r="AD1213" i="1" s="1"/>
  <c r="K1213" i="1"/>
  <c r="V1213" i="1" s="1"/>
  <c r="AH1212" i="1"/>
  <c r="AF1212" i="1"/>
  <c r="AE1212" i="1"/>
  <c r="AA1212" i="1"/>
  <c r="Z1212" i="1"/>
  <c r="AG1212" i="1" s="1"/>
  <c r="U1212" i="1"/>
  <c r="T1212" i="1"/>
  <c r="S1212" i="1"/>
  <c r="R1212" i="1"/>
  <c r="Q1212" i="1"/>
  <c r="O1212" i="1"/>
  <c r="AD1212" i="1" s="1"/>
  <c r="K1212" i="1"/>
  <c r="V1212" i="1" s="1"/>
  <c r="AH1211" i="1"/>
  <c r="AF1211" i="1"/>
  <c r="AE1211" i="1"/>
  <c r="AA1211" i="1"/>
  <c r="Z1211" i="1"/>
  <c r="AG1211" i="1" s="1"/>
  <c r="U1211" i="1"/>
  <c r="T1211" i="1"/>
  <c r="S1211" i="1"/>
  <c r="R1211" i="1"/>
  <c r="Q1211" i="1"/>
  <c r="O1211" i="1"/>
  <c r="AD1211" i="1" s="1"/>
  <c r="K1211" i="1"/>
  <c r="V1211" i="1" s="1"/>
  <c r="AH1210" i="1"/>
  <c r="AF1210" i="1"/>
  <c r="AE1210" i="1"/>
  <c r="AA1210" i="1"/>
  <c r="Z1210" i="1"/>
  <c r="AG1210" i="1" s="1"/>
  <c r="U1210" i="1"/>
  <c r="T1210" i="1"/>
  <c r="S1210" i="1"/>
  <c r="R1210" i="1"/>
  <c r="Q1210" i="1"/>
  <c r="O1210" i="1"/>
  <c r="AD1210" i="1" s="1"/>
  <c r="K1210" i="1"/>
  <c r="V1210" i="1" s="1"/>
  <c r="AH1209" i="1"/>
  <c r="AF1209" i="1"/>
  <c r="AE1209" i="1"/>
  <c r="AA1209" i="1"/>
  <c r="Z1209" i="1"/>
  <c r="AG1209" i="1" s="1"/>
  <c r="V1209" i="1"/>
  <c r="U1209" i="1"/>
  <c r="T1209" i="1"/>
  <c r="S1209" i="1"/>
  <c r="R1209" i="1"/>
  <c r="O1209" i="1"/>
  <c r="AD1209" i="1" s="1"/>
  <c r="K1209" i="1"/>
  <c r="AH1208" i="1"/>
  <c r="AE1208" i="1"/>
  <c r="AA1208" i="1"/>
  <c r="Z1208" i="1"/>
  <c r="AG1208" i="1" s="1"/>
  <c r="AI1208" i="1" s="1"/>
  <c r="V1208" i="1"/>
  <c r="U1208" i="1"/>
  <c r="T1208" i="1"/>
  <c r="S1208" i="1"/>
  <c r="R1208" i="1"/>
  <c r="AF1208" i="1" s="1"/>
  <c r="O1208" i="1"/>
  <c r="AD1208" i="1" s="1"/>
  <c r="K1208" i="1"/>
  <c r="AH1207" i="1"/>
  <c r="AG1207" i="1"/>
  <c r="AE1207" i="1"/>
  <c r="AD1207" i="1"/>
  <c r="AA1207" i="1"/>
  <c r="Z1207" i="1"/>
  <c r="U1207" i="1"/>
  <c r="T1207" i="1"/>
  <c r="S1207" i="1"/>
  <c r="R1207" i="1"/>
  <c r="AF1207" i="1" s="1"/>
  <c r="O1207" i="1"/>
  <c r="K1207" i="1"/>
  <c r="V1207" i="1" s="1"/>
  <c r="AH1206" i="1"/>
  <c r="AG1206" i="1"/>
  <c r="AE1206" i="1"/>
  <c r="AA1206" i="1"/>
  <c r="Z1206" i="1"/>
  <c r="U1206" i="1"/>
  <c r="T1206" i="1"/>
  <c r="S1206" i="1"/>
  <c r="Q1206" i="1"/>
  <c r="R1206" i="1" s="1"/>
  <c r="AF1206" i="1" s="1"/>
  <c r="O1206" i="1"/>
  <c r="AD1206" i="1" s="1"/>
  <c r="K1206" i="1"/>
  <c r="V1206" i="1" s="1"/>
  <c r="AH1205" i="1"/>
  <c r="AG1205" i="1"/>
  <c r="AE1205" i="1"/>
  <c r="AA1205" i="1"/>
  <c r="Z1205" i="1"/>
  <c r="U1205" i="1"/>
  <c r="T1205" i="1"/>
  <c r="S1205" i="1"/>
  <c r="Q1205" i="1"/>
  <c r="R1205" i="1" s="1"/>
  <c r="AF1205" i="1" s="1"/>
  <c r="O1205" i="1"/>
  <c r="AD1205" i="1" s="1"/>
  <c r="AI1205" i="1" s="1"/>
  <c r="K1205" i="1"/>
  <c r="V1205" i="1" s="1"/>
  <c r="AH1204" i="1"/>
  <c r="AG1204" i="1"/>
  <c r="AE1204" i="1"/>
  <c r="AA1204" i="1"/>
  <c r="Z1204" i="1"/>
  <c r="U1204" i="1"/>
  <c r="T1204" i="1"/>
  <c r="S1204" i="1"/>
  <c r="Q1204" i="1"/>
  <c r="R1204" i="1" s="1"/>
  <c r="AF1204" i="1" s="1"/>
  <c r="O1204" i="1"/>
  <c r="AD1204" i="1" s="1"/>
  <c r="AI1204" i="1" s="1"/>
  <c r="K1204" i="1"/>
  <c r="V1204" i="1" s="1"/>
  <c r="AH1203" i="1"/>
  <c r="AG1203" i="1"/>
  <c r="AF1203" i="1"/>
  <c r="AE1203" i="1"/>
  <c r="AA1203" i="1"/>
  <c r="Z1203" i="1"/>
  <c r="U1203" i="1"/>
  <c r="T1203" i="1"/>
  <c r="S1203" i="1"/>
  <c r="R1203" i="1"/>
  <c r="Q1203" i="1"/>
  <c r="O1203" i="1"/>
  <c r="AD1203" i="1" s="1"/>
  <c r="AI1203" i="1" s="1"/>
  <c r="K1203" i="1"/>
  <c r="V1203" i="1" s="1"/>
  <c r="AH1202" i="1"/>
  <c r="AG1202" i="1"/>
  <c r="AF1202" i="1"/>
  <c r="AE1202" i="1"/>
  <c r="AA1202" i="1"/>
  <c r="Z1202" i="1"/>
  <c r="U1202" i="1"/>
  <c r="T1202" i="1"/>
  <c r="S1202" i="1"/>
  <c r="R1202" i="1"/>
  <c r="Q1202" i="1"/>
  <c r="O1202" i="1"/>
  <c r="AD1202" i="1" s="1"/>
  <c r="K1202" i="1"/>
  <c r="V1202" i="1" s="1"/>
  <c r="AH1201" i="1"/>
  <c r="AG1201" i="1"/>
  <c r="AE1201" i="1"/>
  <c r="AA1201" i="1"/>
  <c r="Z1201" i="1"/>
  <c r="U1201" i="1"/>
  <c r="T1201" i="1"/>
  <c r="S1201" i="1"/>
  <c r="Q1201" i="1"/>
  <c r="R1201" i="1" s="1"/>
  <c r="AF1201" i="1" s="1"/>
  <c r="O1201" i="1"/>
  <c r="AD1201" i="1" s="1"/>
  <c r="AI1201" i="1" s="1"/>
  <c r="K1201" i="1"/>
  <c r="V1201" i="1" s="1"/>
  <c r="AH1200" i="1"/>
  <c r="AG1200" i="1"/>
  <c r="AF1200" i="1"/>
  <c r="AE1200" i="1"/>
  <c r="AA1200" i="1"/>
  <c r="Z1200" i="1"/>
  <c r="U1200" i="1"/>
  <c r="T1200" i="1"/>
  <c r="S1200" i="1"/>
  <c r="R1200" i="1"/>
  <c r="O1200" i="1"/>
  <c r="AD1200" i="1" s="1"/>
  <c r="AI1200" i="1" s="1"/>
  <c r="K1200" i="1"/>
  <c r="V1200" i="1" s="1"/>
  <c r="AH1199" i="1"/>
  <c r="AF1199" i="1"/>
  <c r="AE1199" i="1"/>
  <c r="AA1199" i="1"/>
  <c r="Z1199" i="1"/>
  <c r="AG1199" i="1" s="1"/>
  <c r="V1199" i="1"/>
  <c r="U1199" i="1"/>
  <c r="T1199" i="1"/>
  <c r="S1199" i="1"/>
  <c r="R1199" i="1"/>
  <c r="O1199" i="1"/>
  <c r="AD1199" i="1" s="1"/>
  <c r="AI1199" i="1" s="1"/>
  <c r="K1199" i="1"/>
  <c r="AH1198" i="1"/>
  <c r="AE1198" i="1"/>
  <c r="AA1198" i="1"/>
  <c r="Z1198" i="1"/>
  <c r="AG1198" i="1" s="1"/>
  <c r="V1198" i="1"/>
  <c r="U1198" i="1"/>
  <c r="T1198" i="1"/>
  <c r="S1198" i="1"/>
  <c r="R1198" i="1"/>
  <c r="AF1198" i="1" s="1"/>
  <c r="O1198" i="1"/>
  <c r="AD1198" i="1" s="1"/>
  <c r="AI1198" i="1" s="1"/>
  <c r="K1198" i="1"/>
  <c r="AH1197" i="1"/>
  <c r="AG1197" i="1"/>
  <c r="AE1197" i="1"/>
  <c r="AD1197" i="1"/>
  <c r="AA1197" i="1"/>
  <c r="Z1197" i="1"/>
  <c r="U1197" i="1"/>
  <c r="T1197" i="1"/>
  <c r="S1197" i="1"/>
  <c r="Q1197" i="1"/>
  <c r="R1197" i="1" s="1"/>
  <c r="AF1197" i="1" s="1"/>
  <c r="O1197" i="1"/>
  <c r="K1197" i="1"/>
  <c r="V1197" i="1" s="1"/>
  <c r="AH1196" i="1"/>
  <c r="AG1196" i="1"/>
  <c r="AE1196" i="1"/>
  <c r="AD1196" i="1"/>
  <c r="AA1196" i="1"/>
  <c r="Z1196" i="1"/>
  <c r="U1196" i="1"/>
  <c r="T1196" i="1"/>
  <c r="S1196" i="1"/>
  <c r="Q1196" i="1"/>
  <c r="R1196" i="1" s="1"/>
  <c r="AF1196" i="1" s="1"/>
  <c r="O1196" i="1"/>
  <c r="K1196" i="1"/>
  <c r="V1196" i="1" s="1"/>
  <c r="AH1195" i="1"/>
  <c r="AG1195" i="1"/>
  <c r="AE1195" i="1"/>
  <c r="AD1195" i="1"/>
  <c r="AA1195" i="1"/>
  <c r="Z1195" i="1"/>
  <c r="U1195" i="1"/>
  <c r="T1195" i="1"/>
  <c r="S1195" i="1"/>
  <c r="Q1195" i="1"/>
  <c r="R1195" i="1" s="1"/>
  <c r="AF1195" i="1" s="1"/>
  <c r="O1195" i="1"/>
  <c r="K1195" i="1"/>
  <c r="V1195" i="1" s="1"/>
  <c r="AH1194" i="1"/>
  <c r="AG1194" i="1"/>
  <c r="AE1194" i="1"/>
  <c r="AA1194" i="1"/>
  <c r="Z1194" i="1"/>
  <c r="U1194" i="1"/>
  <c r="T1194" i="1"/>
  <c r="S1194" i="1"/>
  <c r="R1194" i="1"/>
  <c r="AF1194" i="1" s="1"/>
  <c r="O1194" i="1"/>
  <c r="AD1194" i="1" s="1"/>
  <c r="AI1194" i="1" s="1"/>
  <c r="K1194" i="1"/>
  <c r="V1194" i="1" s="1"/>
  <c r="H1194" i="1"/>
  <c r="AH1193" i="1"/>
  <c r="AG1193" i="1"/>
  <c r="AE1193" i="1"/>
  <c r="AA1193" i="1"/>
  <c r="Z1193" i="1"/>
  <c r="U1193" i="1"/>
  <c r="T1193" i="1"/>
  <c r="S1193" i="1"/>
  <c r="R1193" i="1"/>
  <c r="AF1193" i="1" s="1"/>
  <c r="O1193" i="1"/>
  <c r="AD1193" i="1" s="1"/>
  <c r="AI1193" i="1" s="1"/>
  <c r="K1193" i="1"/>
  <c r="V1193" i="1" s="1"/>
  <c r="H1193" i="1"/>
  <c r="AH1192" i="1"/>
  <c r="AG1192" i="1"/>
  <c r="AE1192" i="1"/>
  <c r="AD1192" i="1"/>
  <c r="AA1192" i="1"/>
  <c r="Z1192" i="1"/>
  <c r="U1192" i="1"/>
  <c r="T1192" i="1"/>
  <c r="S1192" i="1"/>
  <c r="R1192" i="1"/>
  <c r="AF1192" i="1" s="1"/>
  <c r="O1192" i="1"/>
  <c r="K1192" i="1"/>
  <c r="V1192" i="1" s="1"/>
  <c r="H1192" i="1"/>
  <c r="AH1191" i="1"/>
  <c r="AG1191" i="1"/>
  <c r="AE1191" i="1"/>
  <c r="AD1191" i="1"/>
  <c r="AI1191" i="1" s="1"/>
  <c r="AA1191" i="1"/>
  <c r="Z1191" i="1"/>
  <c r="U1191" i="1"/>
  <c r="T1191" i="1"/>
  <c r="S1191" i="1"/>
  <c r="Q1191" i="1"/>
  <c r="R1191" i="1" s="1"/>
  <c r="AF1191" i="1" s="1"/>
  <c r="O1191" i="1"/>
  <c r="K1191" i="1"/>
  <c r="V1191" i="1" s="1"/>
  <c r="AH1190" i="1"/>
  <c r="AG1190" i="1"/>
  <c r="AE1190" i="1"/>
  <c r="AD1190" i="1"/>
  <c r="AI1190" i="1" s="1"/>
  <c r="AA1190" i="1"/>
  <c r="Z1190" i="1"/>
  <c r="U1190" i="1"/>
  <c r="T1190" i="1"/>
  <c r="S1190" i="1"/>
  <c r="R1190" i="1"/>
  <c r="AF1190" i="1" s="1"/>
  <c r="O1190" i="1"/>
  <c r="K1190" i="1"/>
  <c r="V1190" i="1" s="1"/>
  <c r="AH1189" i="1"/>
  <c r="AG1189" i="1"/>
  <c r="AF1189" i="1"/>
  <c r="AE1189" i="1"/>
  <c r="AA1189" i="1"/>
  <c r="Z1189" i="1"/>
  <c r="U1189" i="1"/>
  <c r="T1189" i="1"/>
  <c r="S1189" i="1"/>
  <c r="R1189" i="1"/>
  <c r="O1189" i="1"/>
  <c r="AD1189" i="1" s="1"/>
  <c r="AI1189" i="1" s="1"/>
  <c r="K1189" i="1"/>
  <c r="V1189" i="1" s="1"/>
  <c r="AH1188" i="1"/>
  <c r="AF1188" i="1"/>
  <c r="AE1188" i="1"/>
  <c r="AA1188" i="1"/>
  <c r="Z1188" i="1"/>
  <c r="AG1188" i="1" s="1"/>
  <c r="U1188" i="1"/>
  <c r="T1188" i="1"/>
  <c r="S1188" i="1"/>
  <c r="R1188" i="1"/>
  <c r="Q1188" i="1"/>
  <c r="O1188" i="1"/>
  <c r="AD1188" i="1" s="1"/>
  <c r="AI1188" i="1" s="1"/>
  <c r="K1188" i="1"/>
  <c r="V1188" i="1" s="1"/>
  <c r="AH1187" i="1"/>
  <c r="AF1187" i="1"/>
  <c r="AE1187" i="1"/>
  <c r="AA1187" i="1"/>
  <c r="Z1187" i="1"/>
  <c r="AG1187" i="1" s="1"/>
  <c r="U1187" i="1"/>
  <c r="T1187" i="1"/>
  <c r="S1187" i="1"/>
  <c r="R1187" i="1"/>
  <c r="Q1187" i="1"/>
  <c r="O1187" i="1"/>
  <c r="AD1187" i="1" s="1"/>
  <c r="AI1187" i="1" s="1"/>
  <c r="K1187" i="1"/>
  <c r="V1187" i="1" s="1"/>
  <c r="AH1186" i="1"/>
  <c r="AF1186" i="1"/>
  <c r="AE1186" i="1"/>
  <c r="AA1186" i="1"/>
  <c r="Z1186" i="1"/>
  <c r="AG1186" i="1" s="1"/>
  <c r="U1186" i="1"/>
  <c r="T1186" i="1"/>
  <c r="S1186" i="1"/>
  <c r="R1186" i="1"/>
  <c r="Q1186" i="1"/>
  <c r="O1186" i="1"/>
  <c r="AD1186" i="1" s="1"/>
  <c r="AI1186" i="1" s="1"/>
  <c r="K1186" i="1"/>
  <c r="V1186" i="1" s="1"/>
  <c r="AH1185" i="1"/>
  <c r="AF1185" i="1"/>
  <c r="AE1185" i="1"/>
  <c r="AA1185" i="1"/>
  <c r="Z1185" i="1"/>
  <c r="AG1185" i="1" s="1"/>
  <c r="U1185" i="1"/>
  <c r="T1185" i="1"/>
  <c r="S1185" i="1"/>
  <c r="R1185" i="1"/>
  <c r="Q1185" i="1"/>
  <c r="O1185" i="1"/>
  <c r="AD1185" i="1" s="1"/>
  <c r="AI1185" i="1" s="1"/>
  <c r="K1185" i="1"/>
  <c r="V1185" i="1" s="1"/>
  <c r="AH1184" i="1"/>
  <c r="AF1184" i="1"/>
  <c r="AE1184" i="1"/>
  <c r="AA1184" i="1"/>
  <c r="Z1184" i="1"/>
  <c r="AG1184" i="1" s="1"/>
  <c r="U1184" i="1"/>
  <c r="T1184" i="1"/>
  <c r="S1184" i="1"/>
  <c r="R1184" i="1"/>
  <c r="Q1184" i="1"/>
  <c r="O1184" i="1"/>
  <c r="AD1184" i="1" s="1"/>
  <c r="AI1184" i="1" s="1"/>
  <c r="K1184" i="1"/>
  <c r="V1184" i="1" s="1"/>
  <c r="AH1183" i="1"/>
  <c r="AF1183" i="1"/>
  <c r="AE1183" i="1"/>
  <c r="AA1183" i="1"/>
  <c r="Z1183" i="1"/>
  <c r="AG1183" i="1" s="1"/>
  <c r="U1183" i="1"/>
  <c r="T1183" i="1"/>
  <c r="S1183" i="1"/>
  <c r="R1183" i="1"/>
  <c r="Q1183" i="1"/>
  <c r="O1183" i="1"/>
  <c r="AD1183" i="1" s="1"/>
  <c r="AI1183" i="1" s="1"/>
  <c r="K1183" i="1"/>
  <c r="V1183" i="1" s="1"/>
  <c r="AH1182" i="1"/>
  <c r="AF1182" i="1"/>
  <c r="AE1182" i="1"/>
  <c r="AA1182" i="1"/>
  <c r="Z1182" i="1"/>
  <c r="AG1182" i="1" s="1"/>
  <c r="U1182" i="1"/>
  <c r="T1182" i="1"/>
  <c r="S1182" i="1"/>
  <c r="R1182" i="1"/>
  <c r="Q1182" i="1"/>
  <c r="O1182" i="1"/>
  <c r="AD1182" i="1" s="1"/>
  <c r="AI1182" i="1" s="1"/>
  <c r="K1182" i="1"/>
  <c r="V1182" i="1" s="1"/>
  <c r="AH1181" i="1"/>
  <c r="AF1181" i="1"/>
  <c r="AE1181" i="1"/>
  <c r="AA1181" i="1"/>
  <c r="Z1181" i="1"/>
  <c r="AG1181" i="1" s="1"/>
  <c r="U1181" i="1"/>
  <c r="T1181" i="1"/>
  <c r="S1181" i="1"/>
  <c r="R1181" i="1"/>
  <c r="Q1181" i="1"/>
  <c r="O1181" i="1"/>
  <c r="AD1181" i="1" s="1"/>
  <c r="AI1181" i="1" s="1"/>
  <c r="K1181" i="1"/>
  <c r="V1181" i="1" s="1"/>
  <c r="AH1180" i="1"/>
  <c r="AF1180" i="1"/>
  <c r="AE1180" i="1"/>
  <c r="AA1180" i="1"/>
  <c r="Z1180" i="1"/>
  <c r="AG1180" i="1" s="1"/>
  <c r="U1180" i="1"/>
  <c r="T1180" i="1"/>
  <c r="S1180" i="1"/>
  <c r="R1180" i="1"/>
  <c r="Q1180" i="1"/>
  <c r="O1180" i="1"/>
  <c r="AD1180" i="1" s="1"/>
  <c r="AI1180" i="1" s="1"/>
  <c r="K1180" i="1"/>
  <c r="V1180" i="1" s="1"/>
  <c r="AH1179" i="1"/>
  <c r="AF1179" i="1"/>
  <c r="AE1179" i="1"/>
  <c r="AA1179" i="1"/>
  <c r="Z1179" i="1"/>
  <c r="AG1179" i="1" s="1"/>
  <c r="U1179" i="1"/>
  <c r="T1179" i="1"/>
  <c r="S1179" i="1"/>
  <c r="R1179" i="1"/>
  <c r="Q1179" i="1"/>
  <c r="O1179" i="1"/>
  <c r="AD1179" i="1" s="1"/>
  <c r="AI1179" i="1" s="1"/>
  <c r="K1179" i="1"/>
  <c r="V1179" i="1" s="1"/>
  <c r="AH1178" i="1"/>
  <c r="AF1178" i="1"/>
  <c r="AE1178" i="1"/>
  <c r="AA1178" i="1"/>
  <c r="Z1178" i="1"/>
  <c r="AG1178" i="1" s="1"/>
  <c r="U1178" i="1"/>
  <c r="T1178" i="1"/>
  <c r="S1178" i="1"/>
  <c r="R1178" i="1"/>
  <c r="Q1178" i="1"/>
  <c r="O1178" i="1"/>
  <c r="AD1178" i="1" s="1"/>
  <c r="AI1178" i="1" s="1"/>
  <c r="K1178" i="1"/>
  <c r="V1178" i="1" s="1"/>
  <c r="AH1177" i="1"/>
  <c r="AF1177" i="1"/>
  <c r="AE1177" i="1"/>
  <c r="AA1177" i="1"/>
  <c r="Z1177" i="1"/>
  <c r="AG1177" i="1" s="1"/>
  <c r="U1177" i="1"/>
  <c r="T1177" i="1"/>
  <c r="S1177" i="1"/>
  <c r="R1177" i="1"/>
  <c r="Q1177" i="1"/>
  <c r="O1177" i="1"/>
  <c r="AD1177" i="1" s="1"/>
  <c r="AI1177" i="1" s="1"/>
  <c r="K1177" i="1"/>
  <c r="V1177" i="1" s="1"/>
  <c r="AH1176" i="1"/>
  <c r="AF1176" i="1"/>
  <c r="AE1176" i="1"/>
  <c r="AA1176" i="1"/>
  <c r="Z1176" i="1"/>
  <c r="AG1176" i="1" s="1"/>
  <c r="V1176" i="1"/>
  <c r="U1176" i="1"/>
  <c r="T1176" i="1"/>
  <c r="S1176" i="1"/>
  <c r="R1176" i="1"/>
  <c r="O1176" i="1"/>
  <c r="AD1176" i="1" s="1"/>
  <c r="AI1176" i="1" s="1"/>
  <c r="AH1175" i="1"/>
  <c r="AG1175" i="1"/>
  <c r="AE1175" i="1"/>
  <c r="AD1175" i="1"/>
  <c r="AA1175" i="1"/>
  <c r="Z1175" i="1"/>
  <c r="U1175" i="1"/>
  <c r="T1175" i="1"/>
  <c r="S1175" i="1"/>
  <c r="Q1175" i="1"/>
  <c r="R1175" i="1" s="1"/>
  <c r="AF1175" i="1" s="1"/>
  <c r="O1175" i="1"/>
  <c r="K1175" i="1"/>
  <c r="V1175" i="1" s="1"/>
  <c r="AH1174" i="1"/>
  <c r="AG1174" i="1"/>
  <c r="AE1174" i="1"/>
  <c r="AD1174" i="1"/>
  <c r="AA1174" i="1"/>
  <c r="Z1174" i="1"/>
  <c r="U1174" i="1"/>
  <c r="T1174" i="1"/>
  <c r="S1174" i="1"/>
  <c r="Q1174" i="1"/>
  <c r="R1174" i="1" s="1"/>
  <c r="AF1174" i="1" s="1"/>
  <c r="O1174" i="1"/>
  <c r="K1174" i="1"/>
  <c r="V1174" i="1" s="1"/>
  <c r="AH1173" i="1"/>
  <c r="AG1173" i="1"/>
  <c r="AE1173" i="1"/>
  <c r="AD1173" i="1"/>
  <c r="AA1173" i="1"/>
  <c r="Z1173" i="1"/>
  <c r="U1173" i="1"/>
  <c r="T1173" i="1"/>
  <c r="S1173" i="1"/>
  <c r="Q1173" i="1"/>
  <c r="R1173" i="1" s="1"/>
  <c r="AF1173" i="1" s="1"/>
  <c r="O1173" i="1"/>
  <c r="K1173" i="1"/>
  <c r="V1173" i="1" s="1"/>
  <c r="AH1172" i="1"/>
  <c r="AG1172" i="1"/>
  <c r="AE1172" i="1"/>
  <c r="AA1172" i="1"/>
  <c r="Z1172" i="1"/>
  <c r="V1172" i="1"/>
  <c r="U1172" i="1"/>
  <c r="T1172" i="1"/>
  <c r="S1172" i="1"/>
  <c r="R1172" i="1"/>
  <c r="AF1172" i="1" s="1"/>
  <c r="O1172" i="1"/>
  <c r="AD1172" i="1" s="1"/>
  <c r="AH1171" i="1"/>
  <c r="AF1171" i="1"/>
  <c r="AE1171" i="1"/>
  <c r="AA1171" i="1"/>
  <c r="Z1171" i="1"/>
  <c r="AG1171" i="1" s="1"/>
  <c r="V1171" i="1"/>
  <c r="U1171" i="1"/>
  <c r="T1171" i="1"/>
  <c r="S1171" i="1"/>
  <c r="R1171" i="1"/>
  <c r="O1171" i="1"/>
  <c r="AD1171" i="1" s="1"/>
  <c r="AH1170" i="1"/>
  <c r="AG1170" i="1"/>
  <c r="AE1170" i="1"/>
  <c r="AD1170" i="1"/>
  <c r="AA1170" i="1"/>
  <c r="Z1170" i="1"/>
  <c r="U1170" i="1"/>
  <c r="T1170" i="1"/>
  <c r="S1170" i="1"/>
  <c r="Q1170" i="1"/>
  <c r="R1170" i="1" s="1"/>
  <c r="AF1170" i="1" s="1"/>
  <c r="O1170" i="1"/>
  <c r="K1170" i="1"/>
  <c r="V1170" i="1" s="1"/>
  <c r="AH1169" i="1"/>
  <c r="AG1169" i="1"/>
  <c r="AE1169" i="1"/>
  <c r="AD1169" i="1"/>
  <c r="AA1169" i="1"/>
  <c r="Z1169" i="1"/>
  <c r="U1169" i="1"/>
  <c r="T1169" i="1"/>
  <c r="S1169" i="1"/>
  <c r="Q1169" i="1"/>
  <c r="R1169" i="1" s="1"/>
  <c r="AF1169" i="1" s="1"/>
  <c r="O1169" i="1"/>
  <c r="K1169" i="1"/>
  <c r="V1169" i="1" s="1"/>
  <c r="AH1168" i="1"/>
  <c r="AG1168" i="1"/>
  <c r="AE1168" i="1"/>
  <c r="AD1168" i="1"/>
  <c r="AA1168" i="1"/>
  <c r="Z1168" i="1"/>
  <c r="U1168" i="1"/>
  <c r="T1168" i="1"/>
  <c r="S1168" i="1"/>
  <c r="Q1168" i="1"/>
  <c r="R1168" i="1" s="1"/>
  <c r="AF1168" i="1" s="1"/>
  <c r="O1168" i="1"/>
  <c r="K1168" i="1"/>
  <c r="V1168" i="1" s="1"/>
  <c r="AH1167" i="1"/>
  <c r="AG1167" i="1"/>
  <c r="AE1167" i="1"/>
  <c r="AD1167" i="1"/>
  <c r="AA1167" i="1"/>
  <c r="Z1167" i="1"/>
  <c r="U1167" i="1"/>
  <c r="T1167" i="1"/>
  <c r="S1167" i="1"/>
  <c r="Q1167" i="1"/>
  <c r="R1167" i="1" s="1"/>
  <c r="AF1167" i="1" s="1"/>
  <c r="O1167" i="1"/>
  <c r="K1167" i="1"/>
  <c r="V1167" i="1" s="1"/>
  <c r="AH1166" i="1"/>
  <c r="AG1166" i="1"/>
  <c r="AE1166" i="1"/>
  <c r="AD1166" i="1"/>
  <c r="AA1166" i="1"/>
  <c r="Z1166" i="1"/>
  <c r="U1166" i="1"/>
  <c r="T1166" i="1"/>
  <c r="S1166" i="1"/>
  <c r="Q1166" i="1"/>
  <c r="R1166" i="1" s="1"/>
  <c r="AF1166" i="1" s="1"/>
  <c r="O1166" i="1"/>
  <c r="K1166" i="1"/>
  <c r="V1166" i="1" s="1"/>
  <c r="AH1165" i="1"/>
  <c r="AG1165" i="1"/>
  <c r="AE1165" i="1"/>
  <c r="AD1165" i="1"/>
  <c r="AA1165" i="1"/>
  <c r="Z1165" i="1"/>
  <c r="U1165" i="1"/>
  <c r="T1165" i="1"/>
  <c r="S1165" i="1"/>
  <c r="Q1165" i="1"/>
  <c r="R1165" i="1" s="1"/>
  <c r="AF1165" i="1" s="1"/>
  <c r="O1165" i="1"/>
  <c r="K1165" i="1"/>
  <c r="V1165" i="1" s="1"/>
  <c r="AH1164" i="1"/>
  <c r="AG1164" i="1"/>
  <c r="AE1164" i="1"/>
  <c r="AA1164" i="1"/>
  <c r="Z1164" i="1"/>
  <c r="U1164" i="1"/>
  <c r="T1164" i="1"/>
  <c r="S1164" i="1"/>
  <c r="R1164" i="1"/>
  <c r="AF1164" i="1" s="1"/>
  <c r="O1164" i="1"/>
  <c r="AD1164" i="1" s="1"/>
  <c r="AI1164" i="1" s="1"/>
  <c r="K1164" i="1"/>
  <c r="V1164" i="1" s="1"/>
  <c r="AH1163" i="1"/>
  <c r="AG1163" i="1"/>
  <c r="AF1163" i="1"/>
  <c r="AE1163" i="1"/>
  <c r="AA1163" i="1"/>
  <c r="Z1163" i="1"/>
  <c r="U1163" i="1"/>
  <c r="T1163" i="1"/>
  <c r="S1163" i="1"/>
  <c r="R1163" i="1"/>
  <c r="O1163" i="1"/>
  <c r="AD1163" i="1" s="1"/>
  <c r="K1163" i="1"/>
  <c r="V1163" i="1" s="1"/>
  <c r="AH1162" i="1"/>
  <c r="AF1162" i="1"/>
  <c r="AE1162" i="1"/>
  <c r="AA1162" i="1"/>
  <c r="Z1162" i="1"/>
  <c r="AG1162" i="1" s="1"/>
  <c r="V1162" i="1"/>
  <c r="U1162" i="1"/>
  <c r="T1162" i="1"/>
  <c r="S1162" i="1"/>
  <c r="R1162" i="1"/>
  <c r="O1162" i="1"/>
  <c r="AD1162" i="1" s="1"/>
  <c r="K1162" i="1"/>
  <c r="AH1161" i="1"/>
  <c r="AG1161" i="1"/>
  <c r="AE1161" i="1"/>
  <c r="AA1161" i="1"/>
  <c r="U1161" i="1"/>
  <c r="T1161" i="1"/>
  <c r="S1161" i="1"/>
  <c r="Q1161" i="1"/>
  <c r="R1161" i="1" s="1"/>
  <c r="AF1161" i="1" s="1"/>
  <c r="O1161" i="1"/>
  <c r="AD1161" i="1" s="1"/>
  <c r="AI1161" i="1" s="1"/>
  <c r="K1161" i="1"/>
  <c r="V1161" i="1" s="1"/>
  <c r="AH1160" i="1"/>
  <c r="AG1160" i="1"/>
  <c r="AE1160" i="1"/>
  <c r="AA1160" i="1"/>
  <c r="U1160" i="1"/>
  <c r="T1160" i="1"/>
  <c r="S1160" i="1"/>
  <c r="R1160" i="1"/>
  <c r="AF1160" i="1" s="1"/>
  <c r="Q1160" i="1"/>
  <c r="O1160" i="1"/>
  <c r="AD1160" i="1" s="1"/>
  <c r="AI1160" i="1" s="1"/>
  <c r="K1160" i="1"/>
  <c r="V1160" i="1" s="1"/>
  <c r="AH1159" i="1"/>
  <c r="AG1159" i="1"/>
  <c r="AE1159" i="1"/>
  <c r="AA1159" i="1"/>
  <c r="Z1159" i="1"/>
  <c r="U1159" i="1"/>
  <c r="T1159" i="1"/>
  <c r="S1159" i="1"/>
  <c r="Q1159" i="1"/>
  <c r="R1159" i="1" s="1"/>
  <c r="AF1159" i="1" s="1"/>
  <c r="O1159" i="1"/>
  <c r="AD1159" i="1" s="1"/>
  <c r="AI1159" i="1" s="1"/>
  <c r="K1159" i="1"/>
  <c r="V1159" i="1" s="1"/>
  <c r="AH1158" i="1"/>
  <c r="AG1158" i="1"/>
  <c r="AE1158" i="1"/>
  <c r="AA1158" i="1"/>
  <c r="Z1158" i="1"/>
  <c r="U1158" i="1"/>
  <c r="T1158" i="1"/>
  <c r="S1158" i="1"/>
  <c r="Q1158" i="1"/>
  <c r="R1158" i="1" s="1"/>
  <c r="AF1158" i="1" s="1"/>
  <c r="O1158" i="1"/>
  <c r="AD1158" i="1" s="1"/>
  <c r="K1158" i="1"/>
  <c r="V1158" i="1" s="1"/>
  <c r="AH1157" i="1"/>
  <c r="AG1157" i="1"/>
  <c r="AE1157" i="1"/>
  <c r="AA1157" i="1"/>
  <c r="Z1157" i="1"/>
  <c r="U1157" i="1"/>
  <c r="T1157" i="1"/>
  <c r="S1157" i="1"/>
  <c r="Q1157" i="1"/>
  <c r="R1157" i="1" s="1"/>
  <c r="AF1157" i="1" s="1"/>
  <c r="O1157" i="1"/>
  <c r="AD1157" i="1" s="1"/>
  <c r="K1157" i="1"/>
  <c r="V1157" i="1" s="1"/>
  <c r="AH1156" i="1"/>
  <c r="AG1156" i="1"/>
  <c r="AE1156" i="1"/>
  <c r="AA1156" i="1"/>
  <c r="Z1156" i="1"/>
  <c r="U1156" i="1"/>
  <c r="T1156" i="1"/>
  <c r="S1156" i="1"/>
  <c r="Q1156" i="1"/>
  <c r="R1156" i="1" s="1"/>
  <c r="AF1156" i="1" s="1"/>
  <c r="O1156" i="1"/>
  <c r="AD1156" i="1" s="1"/>
  <c r="AI1156" i="1" s="1"/>
  <c r="K1156" i="1"/>
  <c r="V1156" i="1" s="1"/>
  <c r="AH1155" i="1"/>
  <c r="AG1155" i="1"/>
  <c r="AF1155" i="1"/>
  <c r="AE1155" i="1"/>
  <c r="AA1155" i="1"/>
  <c r="Z1155" i="1"/>
  <c r="V1155" i="1"/>
  <c r="U1155" i="1"/>
  <c r="T1155" i="1"/>
  <c r="S1155" i="1"/>
  <c r="R1155" i="1"/>
  <c r="O1155" i="1"/>
  <c r="AD1155" i="1" s="1"/>
  <c r="AH1154" i="1"/>
  <c r="AE1154" i="1"/>
  <c r="AA1154" i="1"/>
  <c r="Z1154" i="1"/>
  <c r="AG1154" i="1" s="1"/>
  <c r="V1154" i="1"/>
  <c r="U1154" i="1"/>
  <c r="T1154" i="1"/>
  <c r="S1154" i="1"/>
  <c r="R1154" i="1"/>
  <c r="AF1154" i="1" s="1"/>
  <c r="O1154" i="1"/>
  <c r="AD1154" i="1" s="1"/>
  <c r="AI1154" i="1" s="1"/>
  <c r="K1154" i="1"/>
  <c r="AH1153" i="1"/>
  <c r="AG1153" i="1"/>
  <c r="AE1153" i="1"/>
  <c r="AA1153" i="1"/>
  <c r="Z1153" i="1"/>
  <c r="U1153" i="1"/>
  <c r="T1153" i="1"/>
  <c r="S1153" i="1"/>
  <c r="R1153" i="1"/>
  <c r="AF1153" i="1" s="1"/>
  <c r="O1153" i="1"/>
  <c r="AD1153" i="1" s="1"/>
  <c r="AI1153" i="1" s="1"/>
  <c r="K1153" i="1"/>
  <c r="V1153" i="1" s="1"/>
  <c r="AH1152" i="1"/>
  <c r="AG1152" i="1"/>
  <c r="AF1152" i="1"/>
  <c r="AE1152" i="1"/>
  <c r="AA1152" i="1"/>
  <c r="Z1152" i="1"/>
  <c r="U1152" i="1"/>
  <c r="T1152" i="1"/>
  <c r="S1152" i="1"/>
  <c r="R1152" i="1"/>
  <c r="O1152" i="1"/>
  <c r="AD1152" i="1" s="1"/>
  <c r="AI1152" i="1" s="1"/>
  <c r="K1152" i="1"/>
  <c r="V1152" i="1" s="1"/>
  <c r="AH1151" i="1"/>
  <c r="AF1151" i="1"/>
  <c r="AE1151" i="1"/>
  <c r="AA1151" i="1"/>
  <c r="Z1151" i="1"/>
  <c r="AG1151" i="1" s="1"/>
  <c r="U1151" i="1"/>
  <c r="T1151" i="1"/>
  <c r="S1151" i="1"/>
  <c r="R1151" i="1"/>
  <c r="Q1151" i="1"/>
  <c r="O1151" i="1"/>
  <c r="AD1151" i="1" s="1"/>
  <c r="AI1151" i="1" s="1"/>
  <c r="K1151" i="1"/>
  <c r="V1151" i="1" s="1"/>
  <c r="AH1150" i="1"/>
  <c r="AF1150" i="1"/>
  <c r="AE1150" i="1"/>
  <c r="AA1150" i="1"/>
  <c r="Z1150" i="1"/>
  <c r="AG1150" i="1" s="1"/>
  <c r="U1150" i="1"/>
  <c r="T1150" i="1"/>
  <c r="S1150" i="1"/>
  <c r="R1150" i="1"/>
  <c r="Q1150" i="1"/>
  <c r="O1150" i="1"/>
  <c r="AD1150" i="1" s="1"/>
  <c r="AI1150" i="1" s="1"/>
  <c r="K1150" i="1"/>
  <c r="V1150" i="1" s="1"/>
  <c r="AH1149" i="1"/>
  <c r="AF1149" i="1"/>
  <c r="AE1149" i="1"/>
  <c r="AA1149" i="1"/>
  <c r="Z1149" i="1"/>
  <c r="AG1149" i="1" s="1"/>
  <c r="U1149" i="1"/>
  <c r="T1149" i="1"/>
  <c r="S1149" i="1"/>
  <c r="R1149" i="1"/>
  <c r="Q1149" i="1"/>
  <c r="O1149" i="1"/>
  <c r="AD1149" i="1" s="1"/>
  <c r="AI1149" i="1" s="1"/>
  <c r="K1149" i="1"/>
  <c r="V1149" i="1" s="1"/>
  <c r="AH1148" i="1"/>
  <c r="AG1148" i="1"/>
  <c r="AF1148" i="1"/>
  <c r="AE1148" i="1"/>
  <c r="AA1148" i="1"/>
  <c r="V1148" i="1"/>
  <c r="U1148" i="1"/>
  <c r="T1148" i="1"/>
  <c r="S1148" i="1"/>
  <c r="R1148" i="1"/>
  <c r="Q1148" i="1"/>
  <c r="O1148" i="1"/>
  <c r="AD1148" i="1" s="1"/>
  <c r="K1148" i="1"/>
  <c r="AH1147" i="1"/>
  <c r="AG1147" i="1"/>
  <c r="AE1147" i="1"/>
  <c r="AA1147" i="1"/>
  <c r="V1147" i="1"/>
  <c r="U1147" i="1"/>
  <c r="T1147" i="1"/>
  <c r="S1147" i="1"/>
  <c r="Q1147" i="1"/>
  <c r="R1147" i="1" s="1"/>
  <c r="AF1147" i="1" s="1"/>
  <c r="AI1147" i="1" s="1"/>
  <c r="O1147" i="1"/>
  <c r="AD1147" i="1" s="1"/>
  <c r="K1147" i="1"/>
  <c r="AH1146" i="1"/>
  <c r="AG1146" i="1"/>
  <c r="AE1146" i="1"/>
  <c r="AD1146" i="1"/>
  <c r="AA1146" i="1"/>
  <c r="Z1146" i="1"/>
  <c r="U1146" i="1"/>
  <c r="T1146" i="1"/>
  <c r="S1146" i="1"/>
  <c r="Q1146" i="1"/>
  <c r="R1146" i="1" s="1"/>
  <c r="AF1146" i="1" s="1"/>
  <c r="O1146" i="1"/>
  <c r="K1146" i="1"/>
  <c r="V1146" i="1" s="1"/>
  <c r="AH1145" i="1"/>
  <c r="AG1145" i="1"/>
  <c r="AE1145" i="1"/>
  <c r="AD1145" i="1"/>
  <c r="AA1145" i="1"/>
  <c r="Z1145" i="1"/>
  <c r="U1145" i="1"/>
  <c r="T1145" i="1"/>
  <c r="S1145" i="1"/>
  <c r="Q1145" i="1"/>
  <c r="R1145" i="1" s="1"/>
  <c r="AF1145" i="1" s="1"/>
  <c r="O1145" i="1"/>
  <c r="K1145" i="1"/>
  <c r="V1145" i="1" s="1"/>
  <c r="AH1144" i="1"/>
  <c r="AG1144" i="1"/>
  <c r="AE1144" i="1"/>
  <c r="AD1144" i="1"/>
  <c r="AA1144" i="1"/>
  <c r="Z1144" i="1"/>
  <c r="U1144" i="1"/>
  <c r="T1144" i="1"/>
  <c r="S1144" i="1"/>
  <c r="Q1144" i="1"/>
  <c r="R1144" i="1" s="1"/>
  <c r="AF1144" i="1" s="1"/>
  <c r="O1144" i="1"/>
  <c r="K1144" i="1"/>
  <c r="V1144" i="1" s="1"/>
  <c r="AH1143" i="1"/>
  <c r="AG1143" i="1"/>
  <c r="AE1143" i="1"/>
  <c r="AD1143" i="1"/>
  <c r="AA1143" i="1"/>
  <c r="Z1143" i="1"/>
  <c r="U1143" i="1"/>
  <c r="T1143" i="1"/>
  <c r="S1143" i="1"/>
  <c r="Q1143" i="1"/>
  <c r="R1143" i="1" s="1"/>
  <c r="AF1143" i="1" s="1"/>
  <c r="O1143" i="1"/>
  <c r="K1143" i="1"/>
  <c r="V1143" i="1" s="1"/>
  <c r="AH1142" i="1"/>
  <c r="AG1142" i="1"/>
  <c r="AE1142" i="1"/>
  <c r="AD1142" i="1"/>
  <c r="AA1142" i="1"/>
  <c r="Z1142" i="1"/>
  <c r="U1142" i="1"/>
  <c r="T1142" i="1"/>
  <c r="S1142" i="1"/>
  <c r="Q1142" i="1"/>
  <c r="R1142" i="1" s="1"/>
  <c r="AF1142" i="1" s="1"/>
  <c r="O1142" i="1"/>
  <c r="K1142" i="1"/>
  <c r="V1142" i="1" s="1"/>
  <c r="AH1141" i="1"/>
  <c r="AG1141" i="1"/>
  <c r="AE1141" i="1"/>
  <c r="AD1141" i="1"/>
  <c r="AA1141" i="1"/>
  <c r="Z1141" i="1"/>
  <c r="U1141" i="1"/>
  <c r="T1141" i="1"/>
  <c r="S1141" i="1"/>
  <c r="Q1141" i="1"/>
  <c r="R1141" i="1" s="1"/>
  <c r="AF1141" i="1" s="1"/>
  <c r="O1141" i="1"/>
  <c r="K1141" i="1"/>
  <c r="V1141" i="1" s="1"/>
  <c r="AH1140" i="1"/>
  <c r="AG1140" i="1"/>
  <c r="AE1140" i="1"/>
  <c r="AD1140" i="1"/>
  <c r="AA1140" i="1"/>
  <c r="Z1140" i="1"/>
  <c r="U1140" i="1"/>
  <c r="T1140" i="1"/>
  <c r="S1140" i="1"/>
  <c r="Q1140" i="1"/>
  <c r="R1140" i="1" s="1"/>
  <c r="AF1140" i="1" s="1"/>
  <c r="O1140" i="1"/>
  <c r="K1140" i="1"/>
  <c r="V1140" i="1" s="1"/>
  <c r="AH1139" i="1"/>
  <c r="AG1139" i="1"/>
  <c r="AE1139" i="1"/>
  <c r="AD1139" i="1"/>
  <c r="AA1139" i="1"/>
  <c r="Z1139" i="1"/>
  <c r="U1139" i="1"/>
  <c r="T1139" i="1"/>
  <c r="S1139" i="1"/>
  <c r="Q1139" i="1"/>
  <c r="R1139" i="1" s="1"/>
  <c r="AF1139" i="1" s="1"/>
  <c r="O1139" i="1"/>
  <c r="K1139" i="1"/>
  <c r="V1139" i="1" s="1"/>
  <c r="AH1138" i="1"/>
  <c r="AG1138" i="1"/>
  <c r="AE1138" i="1"/>
  <c r="AD1138" i="1"/>
  <c r="AA1138" i="1"/>
  <c r="Z1138" i="1"/>
  <c r="U1138" i="1"/>
  <c r="T1138" i="1"/>
  <c r="S1138" i="1"/>
  <c r="Q1138" i="1"/>
  <c r="R1138" i="1" s="1"/>
  <c r="AF1138" i="1" s="1"/>
  <c r="O1138" i="1"/>
  <c r="K1138" i="1"/>
  <c r="V1138" i="1" s="1"/>
  <c r="AH1137" i="1"/>
  <c r="AG1137" i="1"/>
  <c r="AE1137" i="1"/>
  <c r="AD1137" i="1"/>
  <c r="AA1137" i="1"/>
  <c r="Z1137" i="1"/>
  <c r="U1137" i="1"/>
  <c r="T1137" i="1"/>
  <c r="S1137" i="1"/>
  <c r="Q1137" i="1"/>
  <c r="R1137" i="1" s="1"/>
  <c r="AF1137" i="1" s="1"/>
  <c r="O1137" i="1"/>
  <c r="K1137" i="1"/>
  <c r="V1137" i="1" s="1"/>
  <c r="AH1136" i="1"/>
  <c r="AG1136" i="1"/>
  <c r="AE1136" i="1"/>
  <c r="AD1136" i="1"/>
  <c r="AA1136" i="1"/>
  <c r="Z1136" i="1"/>
  <c r="U1136" i="1"/>
  <c r="T1136" i="1"/>
  <c r="S1136" i="1"/>
  <c r="Q1136" i="1"/>
  <c r="R1136" i="1" s="1"/>
  <c r="AF1136" i="1" s="1"/>
  <c r="O1136" i="1"/>
  <c r="K1136" i="1"/>
  <c r="V1136" i="1" s="1"/>
  <c r="AH1135" i="1"/>
  <c r="AG1135" i="1"/>
  <c r="AE1135" i="1"/>
  <c r="AA1135" i="1"/>
  <c r="Z1135" i="1"/>
  <c r="U1135" i="1"/>
  <c r="T1135" i="1"/>
  <c r="S1135" i="1"/>
  <c r="Q1135" i="1"/>
  <c r="R1135" i="1" s="1"/>
  <c r="AF1135" i="1" s="1"/>
  <c r="O1135" i="1"/>
  <c r="AD1135" i="1" s="1"/>
  <c r="AI1135" i="1" s="1"/>
  <c r="K1135" i="1"/>
  <c r="V1135" i="1" s="1"/>
  <c r="AH1134" i="1"/>
  <c r="AG1134" i="1"/>
  <c r="AE1134" i="1"/>
  <c r="AA1134" i="1"/>
  <c r="Z1134" i="1"/>
  <c r="U1134" i="1"/>
  <c r="T1134" i="1"/>
  <c r="S1134" i="1"/>
  <c r="Q1134" i="1"/>
  <c r="R1134" i="1" s="1"/>
  <c r="AF1134" i="1" s="1"/>
  <c r="O1134" i="1"/>
  <c r="AD1134" i="1" s="1"/>
  <c r="K1134" i="1"/>
  <c r="V1134" i="1" s="1"/>
  <c r="AH1133" i="1"/>
  <c r="AG1133" i="1"/>
  <c r="AE1133" i="1"/>
  <c r="AA1133" i="1"/>
  <c r="Z1133" i="1"/>
  <c r="U1133" i="1"/>
  <c r="T1133" i="1"/>
  <c r="S1133" i="1"/>
  <c r="Q1133" i="1"/>
  <c r="R1133" i="1" s="1"/>
  <c r="AF1133" i="1" s="1"/>
  <c r="O1133" i="1"/>
  <c r="AD1133" i="1" s="1"/>
  <c r="AI1133" i="1" s="1"/>
  <c r="K1133" i="1"/>
  <c r="V1133" i="1" s="1"/>
  <c r="AH1132" i="1"/>
  <c r="AG1132" i="1"/>
  <c r="AE1132" i="1"/>
  <c r="AA1132" i="1"/>
  <c r="Z1132" i="1"/>
  <c r="U1132" i="1"/>
  <c r="T1132" i="1"/>
  <c r="S1132" i="1"/>
  <c r="Q1132" i="1"/>
  <c r="R1132" i="1" s="1"/>
  <c r="AF1132" i="1" s="1"/>
  <c r="O1132" i="1"/>
  <c r="AD1132" i="1" s="1"/>
  <c r="K1132" i="1"/>
  <c r="V1132" i="1" s="1"/>
  <c r="AH1131" i="1"/>
  <c r="AG1131" i="1"/>
  <c r="AE1131" i="1"/>
  <c r="AD1131" i="1"/>
  <c r="AI1131" i="1" s="1"/>
  <c r="AA1131" i="1"/>
  <c r="Z1131" i="1"/>
  <c r="V1131" i="1"/>
  <c r="U1131" i="1"/>
  <c r="T1131" i="1"/>
  <c r="S1131" i="1"/>
  <c r="Q1131" i="1"/>
  <c r="R1131" i="1" s="1"/>
  <c r="AF1131" i="1" s="1"/>
  <c r="O1131" i="1"/>
  <c r="K1131" i="1"/>
  <c r="AH1130" i="1"/>
  <c r="AG1130" i="1"/>
  <c r="AE1130" i="1"/>
  <c r="AD1130" i="1"/>
  <c r="AA1130" i="1"/>
  <c r="Z1130" i="1"/>
  <c r="V1130" i="1"/>
  <c r="U1130" i="1"/>
  <c r="T1130" i="1"/>
  <c r="S1130" i="1"/>
  <c r="Q1130" i="1"/>
  <c r="R1130" i="1" s="1"/>
  <c r="AF1130" i="1" s="1"/>
  <c r="O1130" i="1"/>
  <c r="K1130" i="1"/>
  <c r="AH1129" i="1"/>
  <c r="AG1129" i="1"/>
  <c r="AE1129" i="1"/>
  <c r="AD1129" i="1"/>
  <c r="AI1129" i="1" s="1"/>
  <c r="AA1129" i="1"/>
  <c r="Z1129" i="1"/>
  <c r="V1129" i="1"/>
  <c r="U1129" i="1"/>
  <c r="T1129" i="1"/>
  <c r="S1129" i="1"/>
  <c r="Q1129" i="1"/>
  <c r="R1129" i="1" s="1"/>
  <c r="AF1129" i="1" s="1"/>
  <c r="O1129" i="1"/>
  <c r="K1129" i="1"/>
  <c r="AH1128" i="1"/>
  <c r="AG1128" i="1"/>
  <c r="AE1128" i="1"/>
  <c r="AD1128" i="1"/>
  <c r="AA1128" i="1"/>
  <c r="Z1128" i="1"/>
  <c r="V1128" i="1"/>
  <c r="U1128" i="1"/>
  <c r="T1128" i="1"/>
  <c r="S1128" i="1"/>
  <c r="Q1128" i="1"/>
  <c r="R1128" i="1" s="1"/>
  <c r="AF1128" i="1" s="1"/>
  <c r="O1128" i="1"/>
  <c r="K1128" i="1"/>
  <c r="AH1127" i="1"/>
  <c r="AG1127" i="1"/>
  <c r="AE1127" i="1"/>
  <c r="AA1127" i="1"/>
  <c r="Z1127" i="1"/>
  <c r="V1127" i="1"/>
  <c r="U1127" i="1"/>
  <c r="T1127" i="1"/>
  <c r="S1127" i="1"/>
  <c r="R1127" i="1"/>
  <c r="AF1127" i="1" s="1"/>
  <c r="O1127" i="1"/>
  <c r="AD1127" i="1" s="1"/>
  <c r="AI1127" i="1" s="1"/>
  <c r="AH1126" i="1"/>
  <c r="AG1126" i="1"/>
  <c r="AE1126" i="1"/>
  <c r="AA1126" i="1"/>
  <c r="V1126" i="1"/>
  <c r="U1126" i="1"/>
  <c r="T1126" i="1"/>
  <c r="S1126" i="1"/>
  <c r="R1126" i="1"/>
  <c r="AF1126" i="1" s="1"/>
  <c r="Q1126" i="1"/>
  <c r="O1126" i="1"/>
  <c r="AD1126" i="1" s="1"/>
  <c r="K1126" i="1"/>
  <c r="AH1125" i="1"/>
  <c r="AG1125" i="1"/>
  <c r="AE1125" i="1"/>
  <c r="AA1125" i="1"/>
  <c r="V1125" i="1"/>
  <c r="U1125" i="1"/>
  <c r="T1125" i="1"/>
  <c r="S1125" i="1"/>
  <c r="Q1125" i="1"/>
  <c r="R1125" i="1" s="1"/>
  <c r="AF1125" i="1" s="1"/>
  <c r="O1125" i="1"/>
  <c r="AD1125" i="1" s="1"/>
  <c r="AI1125" i="1" s="1"/>
  <c r="K1125" i="1"/>
  <c r="AH1124" i="1"/>
  <c r="AG1124" i="1"/>
  <c r="AE1124" i="1"/>
  <c r="AD1124" i="1"/>
  <c r="AA1124" i="1"/>
  <c r="Z1124" i="1"/>
  <c r="V1124" i="1"/>
  <c r="U1124" i="1"/>
  <c r="T1124" i="1"/>
  <c r="S1124" i="1"/>
  <c r="Q1124" i="1"/>
  <c r="R1124" i="1" s="1"/>
  <c r="AF1124" i="1" s="1"/>
  <c r="O1124" i="1"/>
  <c r="K1124" i="1"/>
  <c r="AH1123" i="1"/>
  <c r="AG1123" i="1"/>
  <c r="AE1123" i="1"/>
  <c r="AD1123" i="1"/>
  <c r="AI1123" i="1" s="1"/>
  <c r="AA1123" i="1"/>
  <c r="U1123" i="1"/>
  <c r="T1123" i="1"/>
  <c r="S1123" i="1"/>
  <c r="R1123" i="1"/>
  <c r="AF1123" i="1" s="1"/>
  <c r="O1123" i="1"/>
  <c r="K1123" i="1"/>
  <c r="V1123" i="1" s="1"/>
  <c r="AH1122" i="1"/>
  <c r="AG1122" i="1"/>
  <c r="AF1122" i="1"/>
  <c r="AE1122" i="1"/>
  <c r="AA1122" i="1"/>
  <c r="V1122" i="1"/>
  <c r="U1122" i="1"/>
  <c r="T1122" i="1"/>
  <c r="S1122" i="1"/>
  <c r="R1122" i="1"/>
  <c r="O1122" i="1"/>
  <c r="AD1122" i="1" s="1"/>
  <c r="AI1122" i="1" s="1"/>
  <c r="K1122" i="1"/>
  <c r="AH1121" i="1"/>
  <c r="AG1121" i="1"/>
  <c r="AE1121" i="1"/>
  <c r="AA1121" i="1"/>
  <c r="Z1121" i="1"/>
  <c r="V1121" i="1"/>
  <c r="U1121" i="1"/>
  <c r="T1121" i="1"/>
  <c r="S1121" i="1"/>
  <c r="R1121" i="1"/>
  <c r="AF1121" i="1" s="1"/>
  <c r="O1121" i="1"/>
  <c r="AD1121" i="1" s="1"/>
  <c r="K1121" i="1"/>
  <c r="AH1120" i="1"/>
  <c r="AG1120" i="1"/>
  <c r="AE1120" i="1"/>
  <c r="AD1120" i="1"/>
  <c r="AA1120" i="1"/>
  <c r="U1120" i="1"/>
  <c r="T1120" i="1"/>
  <c r="S1120" i="1"/>
  <c r="R1120" i="1"/>
  <c r="AF1120" i="1" s="1"/>
  <c r="O1120" i="1"/>
  <c r="K1120" i="1"/>
  <c r="V1120" i="1" s="1"/>
  <c r="AH1119" i="1"/>
  <c r="AG1119" i="1"/>
  <c r="AE1119" i="1"/>
  <c r="AA1119" i="1"/>
  <c r="V1119" i="1"/>
  <c r="U1119" i="1"/>
  <c r="T1119" i="1"/>
  <c r="S1119" i="1"/>
  <c r="R1119" i="1"/>
  <c r="AF1119" i="1" s="1"/>
  <c r="O1119" i="1"/>
  <c r="AD1119" i="1" s="1"/>
  <c r="AI1119" i="1" s="1"/>
  <c r="K1119" i="1"/>
  <c r="AH1118" i="1"/>
  <c r="AG1118" i="1"/>
  <c r="AE1118" i="1"/>
  <c r="AA1118" i="1"/>
  <c r="Z1118" i="1"/>
  <c r="U1118" i="1"/>
  <c r="T1118" i="1"/>
  <c r="S1118" i="1"/>
  <c r="Q1118" i="1"/>
  <c r="R1118" i="1" s="1"/>
  <c r="AF1118" i="1" s="1"/>
  <c r="O1118" i="1"/>
  <c r="AD1118" i="1" s="1"/>
  <c r="K1118" i="1"/>
  <c r="V1118" i="1" s="1"/>
  <c r="AH1117" i="1"/>
  <c r="AG1117" i="1"/>
  <c r="AF1117" i="1"/>
  <c r="AE1117" i="1"/>
  <c r="AA1117" i="1"/>
  <c r="Z1117" i="1"/>
  <c r="V1117" i="1"/>
  <c r="U1117" i="1"/>
  <c r="T1117" i="1"/>
  <c r="S1117" i="1"/>
  <c r="R1117" i="1"/>
  <c r="O1117" i="1"/>
  <c r="AD1117" i="1" s="1"/>
  <c r="AI1117" i="1" s="1"/>
  <c r="AH1116" i="1"/>
  <c r="AG1116" i="1"/>
  <c r="AE1116" i="1"/>
  <c r="AI1116" i="1" s="1"/>
  <c r="AA1116" i="1"/>
  <c r="V1116" i="1"/>
  <c r="U1116" i="1"/>
  <c r="T1116" i="1"/>
  <c r="S1116" i="1"/>
  <c r="Q1116" i="1"/>
  <c r="R1116" i="1" s="1"/>
  <c r="AF1116" i="1" s="1"/>
  <c r="O1116" i="1"/>
  <c r="AD1116" i="1" s="1"/>
  <c r="K1116" i="1"/>
  <c r="AH1115" i="1"/>
  <c r="AG1115" i="1"/>
  <c r="AE1115" i="1"/>
  <c r="AD1115" i="1"/>
  <c r="AI1115" i="1" s="1"/>
  <c r="AA1115" i="1"/>
  <c r="U1115" i="1"/>
  <c r="T1115" i="1"/>
  <c r="S1115" i="1"/>
  <c r="Q1115" i="1"/>
  <c r="R1115" i="1" s="1"/>
  <c r="AF1115" i="1" s="1"/>
  <c r="O1115" i="1"/>
  <c r="K1115" i="1"/>
  <c r="V1115" i="1" s="1"/>
  <c r="AH1114" i="1"/>
  <c r="AG1114" i="1"/>
  <c r="AE1114" i="1"/>
  <c r="AA1114" i="1"/>
  <c r="Z1114" i="1"/>
  <c r="U1114" i="1"/>
  <c r="T1114" i="1"/>
  <c r="S1114" i="1"/>
  <c r="Q1114" i="1"/>
  <c r="R1114" i="1" s="1"/>
  <c r="AF1114" i="1" s="1"/>
  <c r="O1114" i="1"/>
  <c r="AD1114" i="1" s="1"/>
  <c r="K1114" i="1"/>
  <c r="V1114" i="1" s="1"/>
  <c r="AH1113" i="1"/>
  <c r="AG1113" i="1"/>
  <c r="AE1113" i="1"/>
  <c r="AA1113" i="1"/>
  <c r="U1113" i="1"/>
  <c r="T1113" i="1"/>
  <c r="S1113" i="1"/>
  <c r="R1113" i="1"/>
  <c r="AF1113" i="1" s="1"/>
  <c r="Q1113" i="1"/>
  <c r="O1113" i="1"/>
  <c r="AD1113" i="1" s="1"/>
  <c r="AI1113" i="1" s="1"/>
  <c r="K1113" i="1"/>
  <c r="V1113" i="1" s="1"/>
  <c r="AH1112" i="1"/>
  <c r="AG1112" i="1"/>
  <c r="AF1112" i="1"/>
  <c r="AE1112" i="1"/>
  <c r="AA1112" i="1"/>
  <c r="V1112" i="1"/>
  <c r="U1112" i="1"/>
  <c r="T1112" i="1"/>
  <c r="S1112" i="1"/>
  <c r="R1112" i="1"/>
  <c r="Q1112" i="1"/>
  <c r="O1112" i="1"/>
  <c r="AD1112" i="1" s="1"/>
  <c r="K1112" i="1"/>
  <c r="AH1111" i="1"/>
  <c r="AE1111" i="1"/>
  <c r="AD1111" i="1"/>
  <c r="AA1111" i="1"/>
  <c r="Z1111" i="1"/>
  <c r="AG1111" i="1" s="1"/>
  <c r="V1111" i="1"/>
  <c r="U1111" i="1"/>
  <c r="T1111" i="1"/>
  <c r="S1111" i="1"/>
  <c r="R1111" i="1"/>
  <c r="AF1111" i="1" s="1"/>
  <c r="Q1111" i="1"/>
  <c r="O1111" i="1"/>
  <c r="K1111" i="1"/>
  <c r="AH1110" i="1"/>
  <c r="AG1110" i="1"/>
  <c r="AE1110" i="1"/>
  <c r="AI1110" i="1" s="1"/>
  <c r="AA1110" i="1"/>
  <c r="V1110" i="1"/>
  <c r="U1110" i="1"/>
  <c r="T1110" i="1"/>
  <c r="S1110" i="1"/>
  <c r="Q1110" i="1"/>
  <c r="R1110" i="1" s="1"/>
  <c r="AF1110" i="1" s="1"/>
  <c r="O1110" i="1"/>
  <c r="AD1110" i="1" s="1"/>
  <c r="K1110" i="1"/>
  <c r="AH1109" i="1"/>
  <c r="AG1109" i="1"/>
  <c r="AE1109" i="1"/>
  <c r="AD1109" i="1"/>
  <c r="AI1109" i="1" s="1"/>
  <c r="AA1109" i="1"/>
  <c r="U1109" i="1"/>
  <c r="T1109" i="1"/>
  <c r="S1109" i="1"/>
  <c r="Q1109" i="1"/>
  <c r="R1109" i="1" s="1"/>
  <c r="AF1109" i="1" s="1"/>
  <c r="O1109" i="1"/>
  <c r="K1109" i="1"/>
  <c r="V1109" i="1" s="1"/>
  <c r="AH1108" i="1"/>
  <c r="AG1108" i="1"/>
  <c r="AE1108" i="1"/>
  <c r="AA1108" i="1"/>
  <c r="Z1108" i="1"/>
  <c r="U1108" i="1"/>
  <c r="T1108" i="1"/>
  <c r="S1108" i="1"/>
  <c r="Q1108" i="1"/>
  <c r="R1108" i="1" s="1"/>
  <c r="AF1108" i="1" s="1"/>
  <c r="O1108" i="1"/>
  <c r="AD1108" i="1" s="1"/>
  <c r="K1108" i="1"/>
  <c r="V1108" i="1" s="1"/>
  <c r="AH1107" i="1"/>
  <c r="AG1107" i="1"/>
  <c r="AE1107" i="1"/>
  <c r="AA1107" i="1"/>
  <c r="U1107" i="1"/>
  <c r="T1107" i="1"/>
  <c r="S1107" i="1"/>
  <c r="R1107" i="1"/>
  <c r="AF1107" i="1" s="1"/>
  <c r="Q1107" i="1"/>
  <c r="O1107" i="1"/>
  <c r="AD1107" i="1" s="1"/>
  <c r="AI1107" i="1" s="1"/>
  <c r="K1107" i="1"/>
  <c r="V1107" i="1" s="1"/>
  <c r="AH1106" i="1"/>
  <c r="AG1106" i="1"/>
  <c r="AF1106" i="1"/>
  <c r="AE1106" i="1"/>
  <c r="AA1106" i="1"/>
  <c r="V1106" i="1"/>
  <c r="U1106" i="1"/>
  <c r="T1106" i="1"/>
  <c r="S1106" i="1"/>
  <c r="R1106" i="1"/>
  <c r="Q1106" i="1"/>
  <c r="O1106" i="1"/>
  <c r="AD1106" i="1" s="1"/>
  <c r="K1106" i="1"/>
  <c r="AH1105" i="1"/>
  <c r="AE1105" i="1"/>
  <c r="AI1105" i="1" s="1"/>
  <c r="AD1105" i="1"/>
  <c r="AA1105" i="1"/>
  <c r="Z1105" i="1"/>
  <c r="AG1105" i="1" s="1"/>
  <c r="V1105" i="1"/>
  <c r="U1105" i="1"/>
  <c r="T1105" i="1"/>
  <c r="S1105" i="1"/>
  <c r="R1105" i="1"/>
  <c r="AF1105" i="1" s="1"/>
  <c r="Q1105" i="1"/>
  <c r="O1105" i="1"/>
  <c r="K1105" i="1"/>
  <c r="AH1104" i="1"/>
  <c r="AG1104" i="1"/>
  <c r="AE1104" i="1"/>
  <c r="AI1104" i="1" s="1"/>
  <c r="AA1104" i="1"/>
  <c r="V1104" i="1"/>
  <c r="U1104" i="1"/>
  <c r="T1104" i="1"/>
  <c r="S1104" i="1"/>
  <c r="Q1104" i="1"/>
  <c r="R1104" i="1" s="1"/>
  <c r="AF1104" i="1" s="1"/>
  <c r="O1104" i="1"/>
  <c r="AD1104" i="1" s="1"/>
  <c r="K1104" i="1"/>
  <c r="AH1103" i="1"/>
  <c r="AG1103" i="1"/>
  <c r="AE1103" i="1"/>
  <c r="AD1103" i="1"/>
  <c r="AI1103" i="1" s="1"/>
  <c r="AA1103" i="1"/>
  <c r="U1103" i="1"/>
  <c r="T1103" i="1"/>
  <c r="S1103" i="1"/>
  <c r="Q1103" i="1"/>
  <c r="R1103" i="1" s="1"/>
  <c r="AF1103" i="1" s="1"/>
  <c r="O1103" i="1"/>
  <c r="K1103" i="1"/>
  <c r="V1103" i="1" s="1"/>
  <c r="AH1102" i="1"/>
  <c r="AG1102" i="1"/>
  <c r="AE1102" i="1"/>
  <c r="AA1102" i="1"/>
  <c r="Z1102" i="1"/>
  <c r="U1102" i="1"/>
  <c r="T1102" i="1"/>
  <c r="S1102" i="1"/>
  <c r="Q1102" i="1"/>
  <c r="R1102" i="1" s="1"/>
  <c r="AF1102" i="1" s="1"/>
  <c r="O1102" i="1"/>
  <c r="AD1102" i="1" s="1"/>
  <c r="K1102" i="1"/>
  <c r="V1102" i="1" s="1"/>
  <c r="AH1101" i="1"/>
  <c r="AG1101" i="1"/>
  <c r="AE1101" i="1"/>
  <c r="AD1101" i="1"/>
  <c r="AA1101" i="1"/>
  <c r="U1101" i="1"/>
  <c r="T1101" i="1"/>
  <c r="S1101" i="1"/>
  <c r="R1101" i="1"/>
  <c r="AF1101" i="1" s="1"/>
  <c r="O1101" i="1"/>
  <c r="K1101" i="1"/>
  <c r="V1101" i="1" s="1"/>
  <c r="AH1100" i="1"/>
  <c r="AG1100" i="1"/>
  <c r="AE1100" i="1"/>
  <c r="AA1100" i="1"/>
  <c r="V1100" i="1"/>
  <c r="U1100" i="1"/>
  <c r="T1100" i="1"/>
  <c r="S1100" i="1"/>
  <c r="Q1100" i="1"/>
  <c r="R1100" i="1" s="1"/>
  <c r="AF1100" i="1" s="1"/>
  <c r="O1100" i="1"/>
  <c r="AD1100" i="1" s="1"/>
  <c r="AI1100" i="1" s="1"/>
  <c r="K1100" i="1"/>
  <c r="AH1099" i="1"/>
  <c r="AG1099" i="1"/>
  <c r="AE1099" i="1"/>
  <c r="AA1099" i="1"/>
  <c r="Z1099" i="1"/>
  <c r="V1099" i="1"/>
  <c r="U1099" i="1"/>
  <c r="T1099" i="1"/>
  <c r="S1099" i="1"/>
  <c r="R1099" i="1"/>
  <c r="AF1099" i="1" s="1"/>
  <c r="O1099" i="1"/>
  <c r="AD1099" i="1" s="1"/>
  <c r="K1099" i="1"/>
  <c r="AH1098" i="1"/>
  <c r="AG1098" i="1"/>
  <c r="AE1098" i="1"/>
  <c r="AD1098" i="1"/>
  <c r="AA1098" i="1"/>
  <c r="U1098" i="1"/>
  <c r="T1098" i="1"/>
  <c r="S1098" i="1"/>
  <c r="R1098" i="1"/>
  <c r="AF1098" i="1" s="1"/>
  <c r="O1098" i="1"/>
  <c r="K1098" i="1"/>
  <c r="V1098" i="1" s="1"/>
  <c r="AH1097" i="1"/>
  <c r="AG1097" i="1"/>
  <c r="AE1097" i="1"/>
  <c r="AA1097" i="1"/>
  <c r="V1097" i="1"/>
  <c r="U1097" i="1"/>
  <c r="T1097" i="1"/>
  <c r="S1097" i="1"/>
  <c r="R1097" i="1"/>
  <c r="AF1097" i="1" s="1"/>
  <c r="O1097" i="1"/>
  <c r="AD1097" i="1" s="1"/>
  <c r="AI1097" i="1" s="1"/>
  <c r="K1097" i="1"/>
  <c r="AH1096" i="1"/>
  <c r="AG1096" i="1"/>
  <c r="AF1096" i="1"/>
  <c r="AE1096" i="1"/>
  <c r="AA1096" i="1"/>
  <c r="Z1096" i="1"/>
  <c r="U1096" i="1"/>
  <c r="T1096" i="1"/>
  <c r="S1096" i="1"/>
  <c r="R1096" i="1"/>
  <c r="O1096" i="1"/>
  <c r="AD1096" i="1" s="1"/>
  <c r="AI1096" i="1" s="1"/>
  <c r="K1096" i="1"/>
  <c r="V1096" i="1" s="1"/>
  <c r="AH1095" i="1"/>
  <c r="AG1095" i="1"/>
  <c r="AF1095" i="1"/>
  <c r="AE1095" i="1"/>
  <c r="AA1095" i="1"/>
  <c r="V1095" i="1"/>
  <c r="U1095" i="1"/>
  <c r="T1095" i="1"/>
  <c r="S1095" i="1"/>
  <c r="R1095" i="1"/>
  <c r="O1095" i="1"/>
  <c r="AD1095" i="1" s="1"/>
  <c r="AI1095" i="1" s="1"/>
  <c r="K1095" i="1"/>
  <c r="AH1094" i="1"/>
  <c r="AG1094" i="1"/>
  <c r="AE1094" i="1"/>
  <c r="AD1094" i="1"/>
  <c r="AA1094" i="1"/>
  <c r="U1094" i="1"/>
  <c r="T1094" i="1"/>
  <c r="S1094" i="1"/>
  <c r="R1094" i="1"/>
  <c r="AF1094" i="1" s="1"/>
  <c r="O1094" i="1"/>
  <c r="K1094" i="1"/>
  <c r="V1094" i="1" s="1"/>
  <c r="AH1093" i="1"/>
  <c r="AF1093" i="1"/>
  <c r="AE1093" i="1"/>
  <c r="AA1093" i="1"/>
  <c r="Z1093" i="1"/>
  <c r="AG1093" i="1" s="1"/>
  <c r="U1093" i="1"/>
  <c r="T1093" i="1"/>
  <c r="S1093" i="1"/>
  <c r="R1093" i="1"/>
  <c r="O1093" i="1"/>
  <c r="AD1093" i="1" s="1"/>
  <c r="AI1093" i="1" s="1"/>
  <c r="K1093" i="1"/>
  <c r="V1093" i="1" s="1"/>
  <c r="AI1092" i="1"/>
  <c r="AH1092" i="1"/>
  <c r="AG1092" i="1"/>
  <c r="AE1092" i="1"/>
  <c r="AA1092" i="1"/>
  <c r="V1092" i="1"/>
  <c r="U1092" i="1"/>
  <c r="T1092" i="1"/>
  <c r="S1092" i="1"/>
  <c r="Q1092" i="1"/>
  <c r="R1092" i="1" s="1"/>
  <c r="AF1092" i="1" s="1"/>
  <c r="O1092" i="1"/>
  <c r="AD1092" i="1" s="1"/>
  <c r="K1092" i="1"/>
  <c r="AH1091" i="1"/>
  <c r="AG1091" i="1"/>
  <c r="AE1091" i="1"/>
  <c r="AA1091" i="1"/>
  <c r="U1091" i="1"/>
  <c r="T1091" i="1"/>
  <c r="S1091" i="1"/>
  <c r="Q1091" i="1"/>
  <c r="R1091" i="1" s="1"/>
  <c r="AF1091" i="1" s="1"/>
  <c r="O1091" i="1"/>
  <c r="AD1091" i="1" s="1"/>
  <c r="AI1091" i="1" s="1"/>
  <c r="K1091" i="1"/>
  <c r="V1091" i="1" s="1"/>
  <c r="AH1090" i="1"/>
  <c r="AG1090" i="1"/>
  <c r="AE1090" i="1"/>
  <c r="AA1090" i="1"/>
  <c r="Z1090" i="1"/>
  <c r="U1090" i="1"/>
  <c r="T1090" i="1"/>
  <c r="S1090" i="1"/>
  <c r="Q1090" i="1"/>
  <c r="R1090" i="1" s="1"/>
  <c r="AF1090" i="1" s="1"/>
  <c r="O1090" i="1"/>
  <c r="AD1090" i="1" s="1"/>
  <c r="AI1090" i="1" s="1"/>
  <c r="K1090" i="1"/>
  <c r="V1090" i="1" s="1"/>
  <c r="AH1089" i="1"/>
  <c r="AG1089" i="1"/>
  <c r="AF1089" i="1"/>
  <c r="AE1089" i="1"/>
  <c r="AA1089" i="1"/>
  <c r="Z1089" i="1"/>
  <c r="U1089" i="1"/>
  <c r="T1089" i="1"/>
  <c r="S1089" i="1"/>
  <c r="R1089" i="1"/>
  <c r="O1089" i="1"/>
  <c r="AD1089" i="1" s="1"/>
  <c r="AI1089" i="1" s="1"/>
  <c r="K1089" i="1"/>
  <c r="V1089" i="1" s="1"/>
  <c r="AH1088" i="1"/>
  <c r="AF1088" i="1"/>
  <c r="AE1088" i="1"/>
  <c r="AA1088" i="1"/>
  <c r="Z1088" i="1"/>
  <c r="AG1088" i="1" s="1"/>
  <c r="U1088" i="1"/>
  <c r="T1088" i="1"/>
  <c r="S1088" i="1"/>
  <c r="R1088" i="1"/>
  <c r="O1088" i="1"/>
  <c r="AD1088" i="1" s="1"/>
  <c r="K1088" i="1"/>
  <c r="V1088" i="1" s="1"/>
  <c r="AH1087" i="1"/>
  <c r="AE1087" i="1"/>
  <c r="AA1087" i="1"/>
  <c r="Z1087" i="1"/>
  <c r="AG1087" i="1" s="1"/>
  <c r="V1087" i="1"/>
  <c r="U1087" i="1"/>
  <c r="T1087" i="1"/>
  <c r="S1087" i="1"/>
  <c r="R1087" i="1"/>
  <c r="AF1087" i="1" s="1"/>
  <c r="AI1087" i="1" s="1"/>
  <c r="O1087" i="1"/>
  <c r="AD1087" i="1" s="1"/>
  <c r="K1087" i="1"/>
  <c r="AH1086" i="1"/>
  <c r="AG1086" i="1"/>
  <c r="AE1086" i="1"/>
  <c r="AD1086" i="1"/>
  <c r="AI1086" i="1" s="1"/>
  <c r="AA1086" i="1"/>
  <c r="U1086" i="1"/>
  <c r="T1086" i="1"/>
  <c r="S1086" i="1"/>
  <c r="Q1086" i="1"/>
  <c r="R1086" i="1" s="1"/>
  <c r="AF1086" i="1" s="1"/>
  <c r="O1086" i="1"/>
  <c r="K1086" i="1"/>
  <c r="V1086" i="1" s="1"/>
  <c r="AH1085" i="1"/>
  <c r="AG1085" i="1"/>
  <c r="AE1085" i="1"/>
  <c r="AA1085" i="1"/>
  <c r="U1085" i="1"/>
  <c r="T1085" i="1"/>
  <c r="S1085" i="1"/>
  <c r="R1085" i="1"/>
  <c r="AF1085" i="1" s="1"/>
  <c r="Q1085" i="1"/>
  <c r="O1085" i="1"/>
  <c r="AD1085" i="1" s="1"/>
  <c r="AI1085" i="1" s="1"/>
  <c r="K1085" i="1"/>
  <c r="V1085" i="1" s="1"/>
  <c r="AH1084" i="1"/>
  <c r="AF1084" i="1"/>
  <c r="AE1084" i="1"/>
  <c r="AA1084" i="1"/>
  <c r="Z1084" i="1"/>
  <c r="AG1084" i="1" s="1"/>
  <c r="U1084" i="1"/>
  <c r="T1084" i="1"/>
  <c r="S1084" i="1"/>
  <c r="R1084" i="1"/>
  <c r="Q1084" i="1"/>
  <c r="O1084" i="1"/>
  <c r="AD1084" i="1" s="1"/>
  <c r="K1084" i="1"/>
  <c r="V1084" i="1" s="1"/>
  <c r="AH1083" i="1"/>
  <c r="AG1083" i="1"/>
  <c r="AE1083" i="1"/>
  <c r="AA1083" i="1"/>
  <c r="V1083" i="1"/>
  <c r="U1083" i="1"/>
  <c r="T1083" i="1"/>
  <c r="S1083" i="1"/>
  <c r="R1083" i="1"/>
  <c r="AF1083" i="1" s="1"/>
  <c r="Q1083" i="1"/>
  <c r="O1083" i="1"/>
  <c r="AD1083" i="1" s="1"/>
  <c r="K1083" i="1"/>
  <c r="AI1082" i="1"/>
  <c r="AH1082" i="1"/>
  <c r="AG1082" i="1"/>
  <c r="AE1082" i="1"/>
  <c r="AA1082" i="1"/>
  <c r="V1082" i="1"/>
  <c r="U1082" i="1"/>
  <c r="T1082" i="1"/>
  <c r="S1082" i="1"/>
  <c r="Q1082" i="1"/>
  <c r="R1082" i="1" s="1"/>
  <c r="AF1082" i="1" s="1"/>
  <c r="O1082" i="1"/>
  <c r="AD1082" i="1" s="1"/>
  <c r="K1082" i="1"/>
  <c r="AH1081" i="1"/>
  <c r="AG1081" i="1"/>
  <c r="AE1081" i="1"/>
  <c r="AD1081" i="1"/>
  <c r="AA1081" i="1"/>
  <c r="Z1081" i="1"/>
  <c r="V1081" i="1"/>
  <c r="U1081" i="1"/>
  <c r="T1081" i="1"/>
  <c r="S1081" i="1"/>
  <c r="Q1081" i="1"/>
  <c r="R1081" i="1" s="1"/>
  <c r="AF1081" i="1" s="1"/>
  <c r="O1081" i="1"/>
  <c r="K1081" i="1"/>
  <c r="AH1080" i="1"/>
  <c r="AG1080" i="1"/>
  <c r="AE1080" i="1"/>
  <c r="AA1080" i="1"/>
  <c r="Z1080" i="1"/>
  <c r="V1080" i="1"/>
  <c r="U1080" i="1"/>
  <c r="T1080" i="1"/>
  <c r="S1080" i="1"/>
  <c r="R1080" i="1"/>
  <c r="AF1080" i="1" s="1"/>
  <c r="O1080" i="1"/>
  <c r="AD1080" i="1" s="1"/>
  <c r="AI1080" i="1" s="1"/>
  <c r="AH1079" i="1"/>
  <c r="AG1079" i="1"/>
  <c r="AE1079" i="1"/>
  <c r="AA1079" i="1"/>
  <c r="V1079" i="1"/>
  <c r="U1079" i="1"/>
  <c r="T1079" i="1"/>
  <c r="S1079" i="1"/>
  <c r="R1079" i="1"/>
  <c r="AF1079" i="1" s="1"/>
  <c r="Q1079" i="1"/>
  <c r="O1079" i="1"/>
  <c r="AD1079" i="1" s="1"/>
  <c r="AI1079" i="1" s="1"/>
  <c r="K1079" i="1"/>
  <c r="AH1078" i="1"/>
  <c r="AG1078" i="1"/>
  <c r="AE1078" i="1"/>
  <c r="AA1078" i="1"/>
  <c r="V1078" i="1"/>
  <c r="U1078" i="1"/>
  <c r="T1078" i="1"/>
  <c r="S1078" i="1"/>
  <c r="Q1078" i="1"/>
  <c r="R1078" i="1" s="1"/>
  <c r="AF1078" i="1" s="1"/>
  <c r="O1078" i="1"/>
  <c r="AD1078" i="1" s="1"/>
  <c r="AI1078" i="1" s="1"/>
  <c r="K1078" i="1"/>
  <c r="AH1077" i="1"/>
  <c r="AG1077" i="1"/>
  <c r="AE1077" i="1"/>
  <c r="AD1077" i="1"/>
  <c r="AA1077" i="1"/>
  <c r="Z1077" i="1"/>
  <c r="V1077" i="1"/>
  <c r="U1077" i="1"/>
  <c r="T1077" i="1"/>
  <c r="S1077" i="1"/>
  <c r="Q1077" i="1"/>
  <c r="R1077" i="1" s="1"/>
  <c r="AF1077" i="1" s="1"/>
  <c r="O1077" i="1"/>
  <c r="K1077" i="1"/>
  <c r="AH1076" i="1"/>
  <c r="AG1076" i="1"/>
  <c r="AE1076" i="1"/>
  <c r="AD1076" i="1"/>
  <c r="AI1076" i="1" s="1"/>
  <c r="AA1076" i="1"/>
  <c r="U1076" i="1"/>
  <c r="T1076" i="1"/>
  <c r="S1076" i="1"/>
  <c r="R1076" i="1"/>
  <c r="AF1076" i="1" s="1"/>
  <c r="O1076" i="1"/>
  <c r="K1076" i="1"/>
  <c r="V1076" i="1" s="1"/>
  <c r="AH1075" i="1"/>
  <c r="AG1075" i="1"/>
  <c r="AF1075" i="1"/>
  <c r="AE1075" i="1"/>
  <c r="AA1075" i="1"/>
  <c r="V1075" i="1"/>
  <c r="U1075" i="1"/>
  <c r="T1075" i="1"/>
  <c r="S1075" i="1"/>
  <c r="R1075" i="1"/>
  <c r="Q1075" i="1"/>
  <c r="O1075" i="1"/>
  <c r="AD1075" i="1" s="1"/>
  <c r="K1075" i="1"/>
  <c r="AH1074" i="1"/>
  <c r="AE1074" i="1"/>
  <c r="AD1074" i="1"/>
  <c r="AA1074" i="1"/>
  <c r="Z1074" i="1"/>
  <c r="AG1074" i="1" s="1"/>
  <c r="V1074" i="1"/>
  <c r="U1074" i="1"/>
  <c r="T1074" i="1"/>
  <c r="S1074" i="1"/>
  <c r="R1074" i="1"/>
  <c r="AF1074" i="1" s="1"/>
  <c r="Q1074" i="1"/>
  <c r="O1074" i="1"/>
  <c r="K1074" i="1"/>
  <c r="AH1073" i="1"/>
  <c r="AG1073" i="1"/>
  <c r="AE1073" i="1"/>
  <c r="AI1073" i="1" s="1"/>
  <c r="AA1073" i="1"/>
  <c r="V1073" i="1"/>
  <c r="U1073" i="1"/>
  <c r="T1073" i="1"/>
  <c r="S1073" i="1"/>
  <c r="Q1073" i="1"/>
  <c r="R1073" i="1" s="1"/>
  <c r="AF1073" i="1" s="1"/>
  <c r="O1073" i="1"/>
  <c r="AD1073" i="1" s="1"/>
  <c r="K1073" i="1"/>
  <c r="AH1072" i="1"/>
  <c r="AG1072" i="1"/>
  <c r="AE1072" i="1"/>
  <c r="AD1072" i="1"/>
  <c r="AI1072" i="1" s="1"/>
  <c r="AA1072" i="1"/>
  <c r="U1072" i="1"/>
  <c r="T1072" i="1"/>
  <c r="S1072" i="1"/>
  <c r="Q1072" i="1"/>
  <c r="R1072" i="1" s="1"/>
  <c r="AF1072" i="1" s="1"/>
  <c r="O1072" i="1"/>
  <c r="K1072" i="1"/>
  <c r="V1072" i="1" s="1"/>
  <c r="AH1071" i="1"/>
  <c r="AG1071" i="1"/>
  <c r="AE1071" i="1"/>
  <c r="AA1071" i="1"/>
  <c r="Z1071" i="1"/>
  <c r="U1071" i="1"/>
  <c r="T1071" i="1"/>
  <c r="S1071" i="1"/>
  <c r="Q1071" i="1"/>
  <c r="R1071" i="1" s="1"/>
  <c r="AF1071" i="1" s="1"/>
  <c r="O1071" i="1"/>
  <c r="AD1071" i="1" s="1"/>
  <c r="K1071" i="1"/>
  <c r="V1071" i="1" s="1"/>
  <c r="AH1070" i="1"/>
  <c r="AG1070" i="1"/>
  <c r="AE1070" i="1"/>
  <c r="AA1070" i="1"/>
  <c r="U1070" i="1"/>
  <c r="T1070" i="1"/>
  <c r="S1070" i="1"/>
  <c r="R1070" i="1"/>
  <c r="AF1070" i="1" s="1"/>
  <c r="Q1070" i="1"/>
  <c r="O1070" i="1"/>
  <c r="AD1070" i="1" s="1"/>
  <c r="AI1070" i="1" s="1"/>
  <c r="K1070" i="1"/>
  <c r="V1070" i="1" s="1"/>
  <c r="AH1069" i="1"/>
  <c r="AG1069" i="1"/>
  <c r="AF1069" i="1"/>
  <c r="AE1069" i="1"/>
  <c r="AA1069" i="1"/>
  <c r="V1069" i="1"/>
  <c r="U1069" i="1"/>
  <c r="T1069" i="1"/>
  <c r="S1069" i="1"/>
  <c r="R1069" i="1"/>
  <c r="Q1069" i="1"/>
  <c r="O1069" i="1"/>
  <c r="AD1069" i="1" s="1"/>
  <c r="K1069" i="1"/>
  <c r="AH1068" i="1"/>
  <c r="AE1068" i="1"/>
  <c r="AI1068" i="1" s="1"/>
  <c r="AD1068" i="1"/>
  <c r="AA1068" i="1"/>
  <c r="Z1068" i="1"/>
  <c r="AG1068" i="1" s="1"/>
  <c r="V1068" i="1"/>
  <c r="U1068" i="1"/>
  <c r="T1068" i="1"/>
  <c r="S1068" i="1"/>
  <c r="R1068" i="1"/>
  <c r="AF1068" i="1" s="1"/>
  <c r="Q1068" i="1"/>
  <c r="O1068" i="1"/>
  <c r="K1068" i="1"/>
  <c r="AH1067" i="1"/>
  <c r="AE1067" i="1"/>
  <c r="AA1067" i="1"/>
  <c r="Z1067" i="1"/>
  <c r="AG1067" i="1" s="1"/>
  <c r="V1067" i="1"/>
  <c r="U1067" i="1"/>
  <c r="T1067" i="1"/>
  <c r="S1067" i="1"/>
  <c r="R1067" i="1"/>
  <c r="AF1067" i="1" s="1"/>
  <c r="AI1067" i="1" s="1"/>
  <c r="O1067" i="1"/>
  <c r="AD1067" i="1" s="1"/>
  <c r="K1067" i="1"/>
  <c r="AH1066" i="1"/>
  <c r="AG1066" i="1"/>
  <c r="AE1066" i="1"/>
  <c r="AA1066" i="1"/>
  <c r="Z1066" i="1"/>
  <c r="V1066" i="1"/>
  <c r="U1066" i="1"/>
  <c r="T1066" i="1"/>
  <c r="S1066" i="1"/>
  <c r="R1066" i="1"/>
  <c r="AF1066" i="1" s="1"/>
  <c r="O1066" i="1"/>
  <c r="AD1066" i="1" s="1"/>
  <c r="AI1066" i="1" s="1"/>
  <c r="K1066" i="1"/>
  <c r="AH1065" i="1"/>
  <c r="AG1065" i="1"/>
  <c r="AF1065" i="1"/>
  <c r="AE1065" i="1"/>
  <c r="AA1065" i="1"/>
  <c r="Z1065" i="1"/>
  <c r="U1065" i="1"/>
  <c r="T1065" i="1"/>
  <c r="S1065" i="1"/>
  <c r="R1065" i="1"/>
  <c r="O1065" i="1"/>
  <c r="AD1065" i="1" s="1"/>
  <c r="AI1065" i="1" s="1"/>
  <c r="K1065" i="1"/>
  <c r="V1065" i="1" s="1"/>
  <c r="AH1064" i="1"/>
  <c r="AG1064" i="1"/>
  <c r="AF1064" i="1"/>
  <c r="AE1064" i="1"/>
  <c r="AA1064" i="1"/>
  <c r="V1064" i="1"/>
  <c r="U1064" i="1"/>
  <c r="T1064" i="1"/>
  <c r="S1064" i="1"/>
  <c r="R1064" i="1"/>
  <c r="Q1064" i="1"/>
  <c r="O1064" i="1"/>
  <c r="AD1064" i="1" s="1"/>
  <c r="K1064" i="1"/>
  <c r="AH1063" i="1"/>
  <c r="AG1063" i="1"/>
  <c r="AE1063" i="1"/>
  <c r="AA1063" i="1"/>
  <c r="V1063" i="1"/>
  <c r="U1063" i="1"/>
  <c r="T1063" i="1"/>
  <c r="S1063" i="1"/>
  <c r="Q1063" i="1"/>
  <c r="R1063" i="1" s="1"/>
  <c r="AF1063" i="1" s="1"/>
  <c r="O1063" i="1"/>
  <c r="AD1063" i="1" s="1"/>
  <c r="K1063" i="1"/>
  <c r="AH1062" i="1"/>
  <c r="AG1062" i="1"/>
  <c r="AE1062" i="1"/>
  <c r="AD1062" i="1"/>
  <c r="AI1062" i="1" s="1"/>
  <c r="AA1062" i="1"/>
  <c r="Z1062" i="1"/>
  <c r="V1062" i="1"/>
  <c r="U1062" i="1"/>
  <c r="T1062" i="1"/>
  <c r="S1062" i="1"/>
  <c r="Q1062" i="1"/>
  <c r="R1062" i="1" s="1"/>
  <c r="AF1062" i="1" s="1"/>
  <c r="O1062" i="1"/>
  <c r="K1062" i="1"/>
  <c r="AH1061" i="1"/>
  <c r="AG1061" i="1"/>
  <c r="AE1061" i="1"/>
  <c r="AD1061" i="1"/>
  <c r="AA1061" i="1"/>
  <c r="U1061" i="1"/>
  <c r="T1061" i="1"/>
  <c r="S1061" i="1"/>
  <c r="R1061" i="1"/>
  <c r="AF1061" i="1" s="1"/>
  <c r="O1061" i="1"/>
  <c r="K1061" i="1"/>
  <c r="V1061" i="1" s="1"/>
  <c r="AH1060" i="1"/>
  <c r="AG1060" i="1"/>
  <c r="AE1060" i="1"/>
  <c r="AA1060" i="1"/>
  <c r="V1060" i="1"/>
  <c r="U1060" i="1"/>
  <c r="T1060" i="1"/>
  <c r="S1060" i="1"/>
  <c r="R1060" i="1"/>
  <c r="AF1060" i="1" s="1"/>
  <c r="O1060" i="1"/>
  <c r="AD1060" i="1" s="1"/>
  <c r="K1060" i="1"/>
  <c r="AH1059" i="1"/>
  <c r="AG1059" i="1"/>
  <c r="AE1059" i="1"/>
  <c r="AA1059" i="1"/>
  <c r="Z1059" i="1"/>
  <c r="V1059" i="1"/>
  <c r="U1059" i="1"/>
  <c r="T1059" i="1"/>
  <c r="S1059" i="1"/>
  <c r="R1059" i="1"/>
  <c r="AF1059" i="1" s="1"/>
  <c r="O1059" i="1"/>
  <c r="AD1059" i="1" s="1"/>
  <c r="AI1059" i="1" s="1"/>
  <c r="K1059" i="1"/>
  <c r="AH1058" i="1"/>
  <c r="AG1058" i="1"/>
  <c r="AE1058" i="1"/>
  <c r="AA1058" i="1"/>
  <c r="U1058" i="1"/>
  <c r="T1058" i="1"/>
  <c r="S1058" i="1"/>
  <c r="R1058" i="1"/>
  <c r="AF1058" i="1" s="1"/>
  <c r="Q1058" i="1"/>
  <c r="O1058" i="1"/>
  <c r="AD1058" i="1" s="1"/>
  <c r="AI1058" i="1" s="1"/>
  <c r="K1058" i="1"/>
  <c r="V1058" i="1" s="1"/>
  <c r="AH1057" i="1"/>
  <c r="AG1057" i="1"/>
  <c r="AE1057" i="1"/>
  <c r="AA1057" i="1"/>
  <c r="V1057" i="1"/>
  <c r="U1057" i="1"/>
  <c r="T1057" i="1"/>
  <c r="S1057" i="1"/>
  <c r="R1057" i="1"/>
  <c r="AF1057" i="1" s="1"/>
  <c r="Q1057" i="1"/>
  <c r="O1057" i="1"/>
  <c r="AD1057" i="1" s="1"/>
  <c r="K1057" i="1"/>
  <c r="AI1056" i="1"/>
  <c r="AH1056" i="1"/>
  <c r="AE1056" i="1"/>
  <c r="AD1056" i="1"/>
  <c r="AA1056" i="1"/>
  <c r="Z1056" i="1"/>
  <c r="AG1056" i="1" s="1"/>
  <c r="V1056" i="1"/>
  <c r="U1056" i="1"/>
  <c r="T1056" i="1"/>
  <c r="S1056" i="1"/>
  <c r="R1056" i="1"/>
  <c r="AF1056" i="1" s="1"/>
  <c r="Q1056" i="1"/>
  <c r="O1056" i="1"/>
  <c r="K1056" i="1"/>
  <c r="AH1055" i="1"/>
  <c r="AG1055" i="1"/>
  <c r="AE1055" i="1"/>
  <c r="AA1055" i="1"/>
  <c r="V1055" i="1"/>
  <c r="U1055" i="1"/>
  <c r="T1055" i="1"/>
  <c r="S1055" i="1"/>
  <c r="Q1055" i="1"/>
  <c r="R1055" i="1" s="1"/>
  <c r="AF1055" i="1" s="1"/>
  <c r="O1055" i="1"/>
  <c r="AD1055" i="1" s="1"/>
  <c r="AI1055" i="1" s="1"/>
  <c r="K1055" i="1"/>
  <c r="AH1054" i="1"/>
  <c r="AG1054" i="1"/>
  <c r="AE1054" i="1"/>
  <c r="AD1054" i="1"/>
  <c r="AA1054" i="1"/>
  <c r="U1054" i="1"/>
  <c r="T1054" i="1"/>
  <c r="S1054" i="1"/>
  <c r="Q1054" i="1"/>
  <c r="R1054" i="1" s="1"/>
  <c r="AF1054" i="1" s="1"/>
  <c r="O1054" i="1"/>
  <c r="K1054" i="1"/>
  <c r="V1054" i="1" s="1"/>
  <c r="AH1053" i="1"/>
  <c r="AG1053" i="1"/>
  <c r="AE1053" i="1"/>
  <c r="AA1053" i="1"/>
  <c r="Z1053" i="1"/>
  <c r="U1053" i="1"/>
  <c r="T1053" i="1"/>
  <c r="S1053" i="1"/>
  <c r="Q1053" i="1"/>
  <c r="R1053" i="1" s="1"/>
  <c r="AF1053" i="1" s="1"/>
  <c r="O1053" i="1"/>
  <c r="AD1053" i="1" s="1"/>
  <c r="AI1053" i="1" s="1"/>
  <c r="K1053" i="1"/>
  <c r="V1053" i="1" s="1"/>
  <c r="AH1052" i="1"/>
  <c r="AG1052" i="1"/>
  <c r="AE1052" i="1"/>
  <c r="AA1052" i="1"/>
  <c r="U1052" i="1"/>
  <c r="T1052" i="1"/>
  <c r="S1052" i="1"/>
  <c r="R1052" i="1"/>
  <c r="AF1052" i="1" s="1"/>
  <c r="Q1052" i="1"/>
  <c r="O1052" i="1"/>
  <c r="AD1052" i="1" s="1"/>
  <c r="AI1052" i="1" s="1"/>
  <c r="K1052" i="1"/>
  <c r="V1052" i="1" s="1"/>
  <c r="AH1051" i="1"/>
  <c r="AG1051" i="1"/>
  <c r="AE1051" i="1"/>
  <c r="AA1051" i="1"/>
  <c r="V1051" i="1"/>
  <c r="U1051" i="1"/>
  <c r="T1051" i="1"/>
  <c r="S1051" i="1"/>
  <c r="R1051" i="1"/>
  <c r="AF1051" i="1" s="1"/>
  <c r="Q1051" i="1"/>
  <c r="O1051" i="1"/>
  <c r="AD1051" i="1" s="1"/>
  <c r="K1051" i="1"/>
  <c r="AI1050" i="1"/>
  <c r="AH1050" i="1"/>
  <c r="AE1050" i="1"/>
  <c r="AD1050" i="1"/>
  <c r="AA1050" i="1"/>
  <c r="Z1050" i="1"/>
  <c r="AG1050" i="1" s="1"/>
  <c r="V1050" i="1"/>
  <c r="U1050" i="1"/>
  <c r="T1050" i="1"/>
  <c r="S1050" i="1"/>
  <c r="R1050" i="1"/>
  <c r="AF1050" i="1" s="1"/>
  <c r="Q1050" i="1"/>
  <c r="O1050" i="1"/>
  <c r="K1050" i="1"/>
  <c r="AH1049" i="1"/>
  <c r="AG1049" i="1"/>
  <c r="AE1049" i="1"/>
  <c r="AA1049" i="1"/>
  <c r="V1049" i="1"/>
  <c r="U1049" i="1"/>
  <c r="T1049" i="1"/>
  <c r="S1049" i="1"/>
  <c r="Q1049" i="1"/>
  <c r="R1049" i="1" s="1"/>
  <c r="AF1049" i="1" s="1"/>
  <c r="O1049" i="1"/>
  <c r="AD1049" i="1" s="1"/>
  <c r="AI1049" i="1" s="1"/>
  <c r="K1049" i="1"/>
  <c r="AH1048" i="1"/>
  <c r="AG1048" i="1"/>
  <c r="AE1048" i="1"/>
  <c r="AD1048" i="1"/>
  <c r="AA1048" i="1"/>
  <c r="U1048" i="1"/>
  <c r="T1048" i="1"/>
  <c r="S1048" i="1"/>
  <c r="Q1048" i="1"/>
  <c r="R1048" i="1" s="1"/>
  <c r="AF1048" i="1" s="1"/>
  <c r="O1048" i="1"/>
  <c r="K1048" i="1"/>
  <c r="V1048" i="1" s="1"/>
  <c r="AH1047" i="1"/>
  <c r="AG1047" i="1"/>
  <c r="AE1047" i="1"/>
  <c r="AA1047" i="1"/>
  <c r="Z1047" i="1"/>
  <c r="U1047" i="1"/>
  <c r="T1047" i="1"/>
  <c r="S1047" i="1"/>
  <c r="Q1047" i="1"/>
  <c r="R1047" i="1" s="1"/>
  <c r="AF1047" i="1" s="1"/>
  <c r="O1047" i="1"/>
  <c r="AD1047" i="1" s="1"/>
  <c r="AI1047" i="1" s="1"/>
  <c r="K1047" i="1"/>
  <c r="V1047" i="1" s="1"/>
  <c r="AH1046" i="1"/>
  <c r="AG1046" i="1"/>
  <c r="AE1046" i="1"/>
  <c r="AA1046" i="1"/>
  <c r="Z1046" i="1"/>
  <c r="U1046" i="1"/>
  <c r="T1046" i="1"/>
  <c r="S1046" i="1"/>
  <c r="Q1046" i="1"/>
  <c r="R1046" i="1" s="1"/>
  <c r="AF1046" i="1" s="1"/>
  <c r="O1046" i="1"/>
  <c r="AD1046" i="1" s="1"/>
  <c r="K1046" i="1"/>
  <c r="V1046" i="1" s="1"/>
  <c r="AH1045" i="1"/>
  <c r="AG1045" i="1"/>
  <c r="AE1045" i="1"/>
  <c r="AA1045" i="1"/>
  <c r="Z1045" i="1"/>
  <c r="U1045" i="1"/>
  <c r="T1045" i="1"/>
  <c r="S1045" i="1"/>
  <c r="Q1045" i="1"/>
  <c r="R1045" i="1" s="1"/>
  <c r="AF1045" i="1" s="1"/>
  <c r="O1045" i="1"/>
  <c r="AD1045" i="1" s="1"/>
  <c r="AI1045" i="1" s="1"/>
  <c r="K1045" i="1"/>
  <c r="V1045" i="1" s="1"/>
  <c r="AH1044" i="1"/>
  <c r="AG1044" i="1"/>
  <c r="AE1044" i="1"/>
  <c r="AA1044" i="1"/>
  <c r="Z1044" i="1"/>
  <c r="U1044" i="1"/>
  <c r="T1044" i="1"/>
  <c r="S1044" i="1"/>
  <c r="Q1044" i="1"/>
  <c r="R1044" i="1" s="1"/>
  <c r="AF1044" i="1" s="1"/>
  <c r="O1044" i="1"/>
  <c r="AD1044" i="1" s="1"/>
  <c r="K1044" i="1"/>
  <c r="V1044" i="1" s="1"/>
  <c r="AH1043" i="1"/>
  <c r="AG1043" i="1"/>
  <c r="AE1043" i="1"/>
  <c r="AD1043" i="1"/>
  <c r="AI1043" i="1" s="1"/>
  <c r="AA1043" i="1"/>
  <c r="U1043" i="1"/>
  <c r="T1043" i="1"/>
  <c r="S1043" i="1"/>
  <c r="R1043" i="1"/>
  <c r="AF1043" i="1" s="1"/>
  <c r="O1043" i="1"/>
  <c r="K1043" i="1"/>
  <c r="V1043" i="1" s="1"/>
  <c r="AI1042" i="1"/>
  <c r="AH1042" i="1"/>
  <c r="AG1042" i="1"/>
  <c r="AE1042" i="1"/>
  <c r="AA1042" i="1"/>
  <c r="V1042" i="1"/>
  <c r="U1042" i="1"/>
  <c r="T1042" i="1"/>
  <c r="S1042" i="1"/>
  <c r="R1042" i="1"/>
  <c r="AF1042" i="1" s="1"/>
  <c r="O1042" i="1"/>
  <c r="AD1042" i="1" s="1"/>
  <c r="K1042" i="1"/>
  <c r="AH1041" i="1"/>
  <c r="AG1041" i="1"/>
  <c r="AF1041" i="1"/>
  <c r="AE1041" i="1"/>
  <c r="AA1041" i="1"/>
  <c r="Z1041" i="1"/>
  <c r="U1041" i="1"/>
  <c r="T1041" i="1"/>
  <c r="S1041" i="1"/>
  <c r="R1041" i="1"/>
  <c r="O1041" i="1"/>
  <c r="AD1041" i="1" s="1"/>
  <c r="AI1041" i="1" s="1"/>
  <c r="K1041" i="1"/>
  <c r="V1041" i="1" s="1"/>
  <c r="AH1040" i="1"/>
  <c r="AG1040" i="1"/>
  <c r="AF1040" i="1"/>
  <c r="AE1040" i="1"/>
  <c r="AA1040" i="1"/>
  <c r="V1040" i="1"/>
  <c r="U1040" i="1"/>
  <c r="T1040" i="1"/>
  <c r="S1040" i="1"/>
  <c r="R1040" i="1"/>
  <c r="O1040" i="1"/>
  <c r="AD1040" i="1" s="1"/>
  <c r="AI1040" i="1" s="1"/>
  <c r="K1040" i="1"/>
  <c r="AH1039" i="1"/>
  <c r="AG1039" i="1"/>
  <c r="AE1039" i="1"/>
  <c r="AD1039" i="1"/>
  <c r="AA1039" i="1"/>
  <c r="U1039" i="1"/>
  <c r="T1039" i="1"/>
  <c r="S1039" i="1"/>
  <c r="R1039" i="1"/>
  <c r="AF1039" i="1" s="1"/>
  <c r="O1039" i="1"/>
  <c r="K1039" i="1"/>
  <c r="V1039" i="1" s="1"/>
  <c r="AH1038" i="1"/>
  <c r="AF1038" i="1"/>
  <c r="AE1038" i="1"/>
  <c r="AA1038" i="1"/>
  <c r="Z1038" i="1"/>
  <c r="AG1038" i="1" s="1"/>
  <c r="U1038" i="1"/>
  <c r="T1038" i="1"/>
  <c r="S1038" i="1"/>
  <c r="R1038" i="1"/>
  <c r="O1038" i="1"/>
  <c r="AD1038" i="1" s="1"/>
  <c r="AI1038" i="1" s="1"/>
  <c r="K1038" i="1"/>
  <c r="V1038" i="1" s="1"/>
  <c r="AH1037" i="1"/>
  <c r="AG1037" i="1"/>
  <c r="AE1037" i="1"/>
  <c r="AA1037" i="1"/>
  <c r="V1037" i="1"/>
  <c r="U1037" i="1"/>
  <c r="T1037" i="1"/>
  <c r="S1037" i="1"/>
  <c r="R1037" i="1"/>
  <c r="AF1037" i="1" s="1"/>
  <c r="O1037" i="1"/>
  <c r="AD1037" i="1" s="1"/>
  <c r="AI1037" i="1" s="1"/>
  <c r="K1037" i="1"/>
  <c r="AH1036" i="1"/>
  <c r="AG1036" i="1"/>
  <c r="AE1036" i="1"/>
  <c r="AA1036" i="1"/>
  <c r="U1036" i="1"/>
  <c r="T1036" i="1"/>
  <c r="S1036" i="1"/>
  <c r="R1036" i="1"/>
  <c r="AF1036" i="1" s="1"/>
  <c r="Q1036" i="1"/>
  <c r="O1036" i="1"/>
  <c r="AD1036" i="1" s="1"/>
  <c r="K1036" i="1"/>
  <c r="V1036" i="1" s="1"/>
  <c r="AH1035" i="1"/>
  <c r="AF1035" i="1"/>
  <c r="AE1035" i="1"/>
  <c r="AA1035" i="1"/>
  <c r="Z1035" i="1"/>
  <c r="AG1035" i="1" s="1"/>
  <c r="U1035" i="1"/>
  <c r="T1035" i="1"/>
  <c r="S1035" i="1"/>
  <c r="R1035" i="1"/>
  <c r="Q1035" i="1"/>
  <c r="O1035" i="1"/>
  <c r="AD1035" i="1" s="1"/>
  <c r="K1035" i="1"/>
  <c r="V1035" i="1" s="1"/>
  <c r="AH1034" i="1"/>
  <c r="AG1034" i="1"/>
  <c r="AE1034" i="1"/>
  <c r="AA1034" i="1"/>
  <c r="V1034" i="1"/>
  <c r="U1034" i="1"/>
  <c r="T1034" i="1"/>
  <c r="S1034" i="1"/>
  <c r="R1034" i="1"/>
  <c r="AF1034" i="1" s="1"/>
  <c r="O1034" i="1"/>
  <c r="AD1034" i="1" s="1"/>
  <c r="K1034" i="1"/>
  <c r="AH1033" i="1"/>
  <c r="AG1033" i="1"/>
  <c r="AE1033" i="1"/>
  <c r="AD1033" i="1"/>
  <c r="AI1033" i="1" s="1"/>
  <c r="AA1033" i="1"/>
  <c r="U1033" i="1"/>
  <c r="T1033" i="1"/>
  <c r="S1033" i="1"/>
  <c r="R1033" i="1"/>
  <c r="AF1033" i="1" s="1"/>
  <c r="O1033" i="1"/>
  <c r="K1033" i="1"/>
  <c r="V1033" i="1" s="1"/>
  <c r="AH1032" i="1"/>
  <c r="AF1032" i="1"/>
  <c r="AE1032" i="1"/>
  <c r="AA1032" i="1"/>
  <c r="Z1032" i="1"/>
  <c r="AG1032" i="1" s="1"/>
  <c r="U1032" i="1"/>
  <c r="T1032" i="1"/>
  <c r="S1032" i="1"/>
  <c r="R1032" i="1"/>
  <c r="O1032" i="1"/>
  <c r="AD1032" i="1" s="1"/>
  <c r="K1032" i="1"/>
  <c r="V1032" i="1" s="1"/>
  <c r="AH1031" i="1"/>
  <c r="AG1031" i="1"/>
  <c r="AE1031" i="1"/>
  <c r="AA1031" i="1"/>
  <c r="V1031" i="1"/>
  <c r="U1031" i="1"/>
  <c r="T1031" i="1"/>
  <c r="S1031" i="1"/>
  <c r="R1031" i="1"/>
  <c r="AF1031" i="1" s="1"/>
  <c r="O1031" i="1"/>
  <c r="AD1031" i="1" s="1"/>
  <c r="K1031" i="1"/>
  <c r="AH1030" i="1"/>
  <c r="AG1030" i="1"/>
  <c r="AE1030" i="1"/>
  <c r="AD1030" i="1"/>
  <c r="AA1030" i="1"/>
  <c r="U1030" i="1"/>
  <c r="T1030" i="1"/>
  <c r="S1030" i="1"/>
  <c r="R1030" i="1"/>
  <c r="AF1030" i="1" s="1"/>
  <c r="O1030" i="1"/>
  <c r="K1030" i="1"/>
  <c r="V1030" i="1" s="1"/>
  <c r="AH1029" i="1"/>
  <c r="AE1029" i="1"/>
  <c r="AA1029" i="1"/>
  <c r="Z1029" i="1"/>
  <c r="AG1029" i="1" s="1"/>
  <c r="V1029" i="1"/>
  <c r="U1029" i="1"/>
  <c r="T1029" i="1"/>
  <c r="S1029" i="1"/>
  <c r="R1029" i="1"/>
  <c r="AF1029" i="1" s="1"/>
  <c r="O1029" i="1"/>
  <c r="AD1029" i="1" s="1"/>
  <c r="AI1029" i="1" s="1"/>
  <c r="K1029" i="1"/>
  <c r="AH1028" i="1"/>
  <c r="AG1028" i="1"/>
  <c r="AE1028" i="1"/>
  <c r="AA1028" i="1"/>
  <c r="Z1028" i="1"/>
  <c r="V1028" i="1"/>
  <c r="U1028" i="1"/>
  <c r="T1028" i="1"/>
  <c r="S1028" i="1"/>
  <c r="R1028" i="1"/>
  <c r="AF1028" i="1" s="1"/>
  <c r="O1028" i="1"/>
  <c r="AD1028" i="1" s="1"/>
  <c r="AI1028" i="1" s="1"/>
  <c r="AH1027" i="1"/>
  <c r="AG1027" i="1"/>
  <c r="AF1027" i="1"/>
  <c r="AE1027" i="1"/>
  <c r="AA1027" i="1"/>
  <c r="V1027" i="1"/>
  <c r="U1027" i="1"/>
  <c r="T1027" i="1"/>
  <c r="S1027" i="1"/>
  <c r="R1027" i="1"/>
  <c r="O1027" i="1"/>
  <c r="AD1027" i="1" s="1"/>
  <c r="AI1027" i="1" s="1"/>
  <c r="K1027" i="1"/>
  <c r="AH1026" i="1"/>
  <c r="AG1026" i="1"/>
  <c r="AE1026" i="1"/>
  <c r="AD1026" i="1"/>
  <c r="AA1026" i="1"/>
  <c r="U1026" i="1"/>
  <c r="T1026" i="1"/>
  <c r="S1026" i="1"/>
  <c r="R1026" i="1"/>
  <c r="AF1026" i="1" s="1"/>
  <c r="O1026" i="1"/>
  <c r="K1026" i="1"/>
  <c r="V1026" i="1" s="1"/>
  <c r="AH1025" i="1"/>
  <c r="AF1025" i="1"/>
  <c r="AE1025" i="1"/>
  <c r="AA1025" i="1"/>
  <c r="Z1025" i="1"/>
  <c r="AG1025" i="1" s="1"/>
  <c r="U1025" i="1"/>
  <c r="T1025" i="1"/>
  <c r="S1025" i="1"/>
  <c r="R1025" i="1"/>
  <c r="O1025" i="1"/>
  <c r="AD1025" i="1" s="1"/>
  <c r="AI1025" i="1" s="1"/>
  <c r="K1025" i="1"/>
  <c r="V1025" i="1" s="1"/>
  <c r="AH1024" i="1"/>
  <c r="AE1024" i="1"/>
  <c r="AA1024" i="1"/>
  <c r="Z1024" i="1"/>
  <c r="AG1024" i="1" s="1"/>
  <c r="AI1024" i="1" s="1"/>
  <c r="V1024" i="1"/>
  <c r="U1024" i="1"/>
  <c r="T1024" i="1"/>
  <c r="S1024" i="1"/>
  <c r="R1024" i="1"/>
  <c r="AF1024" i="1" s="1"/>
  <c r="O1024" i="1"/>
  <c r="AD1024" i="1" s="1"/>
  <c r="K1024" i="1"/>
  <c r="AH1023" i="1"/>
  <c r="AG1023" i="1"/>
  <c r="AE1023" i="1"/>
  <c r="AA1023" i="1"/>
  <c r="Z1023" i="1"/>
  <c r="U1023" i="1"/>
  <c r="T1023" i="1"/>
  <c r="S1023" i="1"/>
  <c r="R1023" i="1"/>
  <c r="AF1023" i="1" s="1"/>
  <c r="O1023" i="1"/>
  <c r="AD1023" i="1" s="1"/>
  <c r="AI1023" i="1" s="1"/>
  <c r="K1023" i="1"/>
  <c r="V1023" i="1" s="1"/>
  <c r="AH1022" i="1"/>
  <c r="AG1022" i="1"/>
  <c r="AF1022" i="1"/>
  <c r="AE1022" i="1"/>
  <c r="AA1022" i="1"/>
  <c r="Z1022" i="1"/>
  <c r="U1022" i="1"/>
  <c r="T1022" i="1"/>
  <c r="S1022" i="1"/>
  <c r="R1022" i="1"/>
  <c r="O1022" i="1"/>
  <c r="AD1022" i="1" s="1"/>
  <c r="AI1022" i="1" s="1"/>
  <c r="K1022" i="1"/>
  <c r="V1022" i="1" s="1"/>
  <c r="AH1021" i="1"/>
  <c r="AG1021" i="1"/>
  <c r="AF1021" i="1"/>
  <c r="AE1021" i="1"/>
  <c r="AA1021" i="1"/>
  <c r="V1021" i="1"/>
  <c r="U1021" i="1"/>
  <c r="T1021" i="1"/>
  <c r="S1021" i="1"/>
  <c r="R1021" i="1"/>
  <c r="Q1021" i="1"/>
  <c r="O1021" i="1"/>
  <c r="AD1021" i="1" s="1"/>
  <c r="K1021" i="1"/>
  <c r="AH1020" i="1"/>
  <c r="AG1020" i="1"/>
  <c r="AE1020" i="1"/>
  <c r="AI1020" i="1" s="1"/>
  <c r="AA1020" i="1"/>
  <c r="V1020" i="1"/>
  <c r="U1020" i="1"/>
  <c r="T1020" i="1"/>
  <c r="S1020" i="1"/>
  <c r="Q1020" i="1"/>
  <c r="R1020" i="1" s="1"/>
  <c r="AF1020" i="1" s="1"/>
  <c r="O1020" i="1"/>
  <c r="AD1020" i="1" s="1"/>
  <c r="K1020" i="1"/>
  <c r="AH1019" i="1"/>
  <c r="AG1019" i="1"/>
  <c r="AE1019" i="1"/>
  <c r="AD1019" i="1"/>
  <c r="AI1019" i="1" s="1"/>
  <c r="AA1019" i="1"/>
  <c r="Z1019" i="1"/>
  <c r="V1019" i="1"/>
  <c r="U1019" i="1"/>
  <c r="T1019" i="1"/>
  <c r="S1019" i="1"/>
  <c r="Q1019" i="1"/>
  <c r="R1019" i="1" s="1"/>
  <c r="AF1019" i="1" s="1"/>
  <c r="O1019" i="1"/>
  <c r="K1019" i="1"/>
  <c r="AH1018" i="1"/>
  <c r="AG1018" i="1"/>
  <c r="AE1018" i="1"/>
  <c r="AA1018" i="1"/>
  <c r="Z1018" i="1"/>
  <c r="V1018" i="1"/>
  <c r="U1018" i="1"/>
  <c r="T1018" i="1"/>
  <c r="S1018" i="1"/>
  <c r="R1018" i="1"/>
  <c r="AF1018" i="1" s="1"/>
  <c r="O1018" i="1"/>
  <c r="AD1018" i="1" s="1"/>
  <c r="AI1018" i="1" s="1"/>
  <c r="AH1017" i="1"/>
  <c r="AG1017" i="1"/>
  <c r="AF1017" i="1"/>
  <c r="AE1017" i="1"/>
  <c r="AA1017" i="1"/>
  <c r="V1017" i="1"/>
  <c r="U1017" i="1"/>
  <c r="T1017" i="1"/>
  <c r="S1017" i="1"/>
  <c r="R1017" i="1"/>
  <c r="Q1017" i="1"/>
  <c r="O1017" i="1"/>
  <c r="AD1017" i="1" s="1"/>
  <c r="K1017" i="1"/>
  <c r="AH1016" i="1"/>
  <c r="AG1016" i="1"/>
  <c r="AE1016" i="1"/>
  <c r="AA1016" i="1"/>
  <c r="V1016" i="1"/>
  <c r="U1016" i="1"/>
  <c r="T1016" i="1"/>
  <c r="S1016" i="1"/>
  <c r="Q1016" i="1"/>
  <c r="R1016" i="1" s="1"/>
  <c r="AF1016" i="1" s="1"/>
  <c r="AI1016" i="1" s="1"/>
  <c r="O1016" i="1"/>
  <c r="AD1016" i="1" s="1"/>
  <c r="K1016" i="1"/>
  <c r="AH1015" i="1"/>
  <c r="AG1015" i="1"/>
  <c r="AE1015" i="1"/>
  <c r="AD1015" i="1"/>
  <c r="AA1015" i="1"/>
  <c r="Z1015" i="1"/>
  <c r="V1015" i="1"/>
  <c r="U1015" i="1"/>
  <c r="T1015" i="1"/>
  <c r="S1015" i="1"/>
  <c r="Q1015" i="1"/>
  <c r="R1015" i="1" s="1"/>
  <c r="AF1015" i="1" s="1"/>
  <c r="O1015" i="1"/>
  <c r="K1015" i="1"/>
  <c r="AH1014" i="1"/>
  <c r="AG1014" i="1"/>
  <c r="AE1014" i="1"/>
  <c r="AD1014" i="1"/>
  <c r="AA1014" i="1"/>
  <c r="U1014" i="1"/>
  <c r="T1014" i="1"/>
  <c r="S1014" i="1"/>
  <c r="R1014" i="1"/>
  <c r="AF1014" i="1" s="1"/>
  <c r="O1014" i="1"/>
  <c r="K1014" i="1"/>
  <c r="V1014" i="1" s="1"/>
  <c r="AH1013" i="1"/>
  <c r="AG1013" i="1"/>
  <c r="AE1013" i="1"/>
  <c r="AA1013" i="1"/>
  <c r="V1013" i="1"/>
  <c r="U1013" i="1"/>
  <c r="T1013" i="1"/>
  <c r="S1013" i="1"/>
  <c r="R1013" i="1"/>
  <c r="AF1013" i="1" s="1"/>
  <c r="Q1013" i="1"/>
  <c r="O1013" i="1"/>
  <c r="AD1013" i="1" s="1"/>
  <c r="K1013" i="1"/>
  <c r="AH1012" i="1"/>
  <c r="AE1012" i="1"/>
  <c r="AA1012" i="1"/>
  <c r="Z1012" i="1"/>
  <c r="AG1012" i="1" s="1"/>
  <c r="AI1012" i="1" s="1"/>
  <c r="V1012" i="1"/>
  <c r="U1012" i="1"/>
  <c r="T1012" i="1"/>
  <c r="S1012" i="1"/>
  <c r="R1012" i="1"/>
  <c r="AF1012" i="1" s="1"/>
  <c r="O1012" i="1"/>
  <c r="AD1012" i="1" s="1"/>
  <c r="K1012" i="1"/>
  <c r="AH1011" i="1"/>
  <c r="AG1011" i="1"/>
  <c r="AE1011" i="1"/>
  <c r="AD1011" i="1"/>
  <c r="AA1011" i="1"/>
  <c r="U1011" i="1"/>
  <c r="T1011" i="1"/>
  <c r="S1011" i="1"/>
  <c r="Q1011" i="1"/>
  <c r="R1011" i="1" s="1"/>
  <c r="AF1011" i="1" s="1"/>
  <c r="O1011" i="1"/>
  <c r="K1011" i="1"/>
  <c r="V1011" i="1" s="1"/>
  <c r="AH1010" i="1"/>
  <c r="AG1010" i="1"/>
  <c r="AE1010" i="1"/>
  <c r="AA1010" i="1"/>
  <c r="U1010" i="1"/>
  <c r="T1010" i="1"/>
  <c r="S1010" i="1"/>
  <c r="R1010" i="1"/>
  <c r="AF1010" i="1" s="1"/>
  <c r="Q1010" i="1"/>
  <c r="O1010" i="1"/>
  <c r="AD1010" i="1" s="1"/>
  <c r="AI1010" i="1" s="1"/>
  <c r="K1010" i="1"/>
  <c r="V1010" i="1" s="1"/>
  <c r="AH1009" i="1"/>
  <c r="AF1009" i="1"/>
  <c r="AE1009" i="1"/>
  <c r="AA1009" i="1"/>
  <c r="Z1009" i="1"/>
  <c r="AG1009" i="1" s="1"/>
  <c r="U1009" i="1"/>
  <c r="T1009" i="1"/>
  <c r="S1009" i="1"/>
  <c r="R1009" i="1"/>
  <c r="Q1009" i="1"/>
  <c r="O1009" i="1"/>
  <c r="AD1009" i="1" s="1"/>
  <c r="AI1009" i="1" s="1"/>
  <c r="K1009" i="1"/>
  <c r="V1009" i="1" s="1"/>
  <c r="AH1008" i="1"/>
  <c r="AF1008" i="1"/>
  <c r="AE1008" i="1"/>
  <c r="AA1008" i="1"/>
  <c r="Z1008" i="1"/>
  <c r="AG1008" i="1" s="1"/>
  <c r="V1008" i="1"/>
  <c r="U1008" i="1"/>
  <c r="T1008" i="1"/>
  <c r="S1008" i="1"/>
  <c r="R1008" i="1"/>
  <c r="O1008" i="1"/>
  <c r="AD1008" i="1" s="1"/>
  <c r="AI1008" i="1" s="1"/>
  <c r="AH1007" i="1"/>
  <c r="AG1007" i="1"/>
  <c r="AE1007" i="1"/>
  <c r="AD1007" i="1"/>
  <c r="AI1007" i="1" s="1"/>
  <c r="AA1007" i="1"/>
  <c r="U1007" i="1"/>
  <c r="T1007" i="1"/>
  <c r="S1007" i="1"/>
  <c r="Q1007" i="1"/>
  <c r="R1007" i="1" s="1"/>
  <c r="AF1007" i="1" s="1"/>
  <c r="O1007" i="1"/>
  <c r="K1007" i="1"/>
  <c r="V1007" i="1" s="1"/>
  <c r="AH1006" i="1"/>
  <c r="AG1006" i="1"/>
  <c r="AE1006" i="1"/>
  <c r="AA1006" i="1"/>
  <c r="U1006" i="1"/>
  <c r="T1006" i="1"/>
  <c r="S1006" i="1"/>
  <c r="R1006" i="1"/>
  <c r="AF1006" i="1" s="1"/>
  <c r="Q1006" i="1"/>
  <c r="O1006" i="1"/>
  <c r="AD1006" i="1" s="1"/>
  <c r="K1006" i="1"/>
  <c r="V1006" i="1" s="1"/>
  <c r="AH1005" i="1"/>
  <c r="AF1005" i="1"/>
  <c r="AE1005" i="1"/>
  <c r="AA1005" i="1"/>
  <c r="Z1005" i="1"/>
  <c r="AG1005" i="1" s="1"/>
  <c r="U1005" i="1"/>
  <c r="T1005" i="1"/>
  <c r="S1005" i="1"/>
  <c r="R1005" i="1"/>
  <c r="Q1005" i="1"/>
  <c r="O1005" i="1"/>
  <c r="AD1005" i="1" s="1"/>
  <c r="K1005" i="1"/>
  <c r="V1005" i="1" s="1"/>
  <c r="AH1004" i="1"/>
  <c r="AG1004" i="1"/>
  <c r="AE1004" i="1"/>
  <c r="AA1004" i="1"/>
  <c r="V1004" i="1"/>
  <c r="U1004" i="1"/>
  <c r="T1004" i="1"/>
  <c r="S1004" i="1"/>
  <c r="R1004" i="1"/>
  <c r="AF1004" i="1" s="1"/>
  <c r="Q1004" i="1"/>
  <c r="O1004" i="1"/>
  <c r="AD1004" i="1" s="1"/>
  <c r="K1004" i="1"/>
  <c r="AI1003" i="1"/>
  <c r="AH1003" i="1"/>
  <c r="AG1003" i="1"/>
  <c r="AE1003" i="1"/>
  <c r="AA1003" i="1"/>
  <c r="V1003" i="1"/>
  <c r="U1003" i="1"/>
  <c r="T1003" i="1"/>
  <c r="S1003" i="1"/>
  <c r="Q1003" i="1"/>
  <c r="R1003" i="1" s="1"/>
  <c r="AF1003" i="1" s="1"/>
  <c r="O1003" i="1"/>
  <c r="AD1003" i="1" s="1"/>
  <c r="K1003" i="1"/>
  <c r="AH1002" i="1"/>
  <c r="AG1002" i="1"/>
  <c r="AE1002" i="1"/>
  <c r="AD1002" i="1"/>
  <c r="AA1002" i="1"/>
  <c r="Z1002" i="1"/>
  <c r="V1002" i="1"/>
  <c r="U1002" i="1"/>
  <c r="T1002" i="1"/>
  <c r="S1002" i="1"/>
  <c r="Q1002" i="1"/>
  <c r="R1002" i="1" s="1"/>
  <c r="AF1002" i="1" s="1"/>
  <c r="O1002" i="1"/>
  <c r="K1002" i="1"/>
  <c r="AH1001" i="1"/>
  <c r="AG1001" i="1"/>
  <c r="AE1001" i="1"/>
  <c r="AD1001" i="1"/>
  <c r="AI1001" i="1" s="1"/>
  <c r="AA1001" i="1"/>
  <c r="U1001" i="1"/>
  <c r="T1001" i="1"/>
  <c r="S1001" i="1"/>
  <c r="R1001" i="1"/>
  <c r="AF1001" i="1" s="1"/>
  <c r="O1001" i="1"/>
  <c r="K1001" i="1"/>
  <c r="V1001" i="1" s="1"/>
  <c r="AH1000" i="1"/>
  <c r="AG1000" i="1"/>
  <c r="AF1000" i="1"/>
  <c r="AE1000" i="1"/>
  <c r="AA1000" i="1"/>
  <c r="V1000" i="1"/>
  <c r="U1000" i="1"/>
  <c r="T1000" i="1"/>
  <c r="S1000" i="1"/>
  <c r="R1000" i="1"/>
  <c r="O1000" i="1"/>
  <c r="AD1000" i="1" s="1"/>
  <c r="AI1000" i="1" s="1"/>
  <c r="K1000" i="1"/>
  <c r="AH999" i="1"/>
  <c r="AG999" i="1"/>
  <c r="AE999" i="1"/>
  <c r="AA999" i="1"/>
  <c r="Z999" i="1"/>
  <c r="V999" i="1"/>
  <c r="U999" i="1"/>
  <c r="T999" i="1"/>
  <c r="S999" i="1"/>
  <c r="R999" i="1"/>
  <c r="AF999" i="1" s="1"/>
  <c r="O999" i="1"/>
  <c r="AD999" i="1" s="1"/>
  <c r="K999" i="1"/>
  <c r="AH998" i="1"/>
  <c r="AG998" i="1"/>
  <c r="AE998" i="1"/>
  <c r="AA998" i="1"/>
  <c r="U998" i="1"/>
  <c r="T998" i="1"/>
  <c r="S998" i="1"/>
  <c r="R998" i="1"/>
  <c r="AF998" i="1" s="1"/>
  <c r="Q998" i="1"/>
  <c r="O998" i="1"/>
  <c r="AD998" i="1" s="1"/>
  <c r="K998" i="1"/>
  <c r="V998" i="1" s="1"/>
  <c r="AH997" i="1"/>
  <c r="AG997" i="1"/>
  <c r="AF997" i="1"/>
  <c r="AE997" i="1"/>
  <c r="AA997" i="1"/>
  <c r="V997" i="1"/>
  <c r="U997" i="1"/>
  <c r="T997" i="1"/>
  <c r="S997" i="1"/>
  <c r="R997" i="1"/>
  <c r="O997" i="1"/>
  <c r="AD997" i="1" s="1"/>
  <c r="AI997" i="1" s="1"/>
  <c r="K997" i="1"/>
  <c r="AH996" i="1"/>
  <c r="AG996" i="1"/>
  <c r="AE996" i="1"/>
  <c r="AD996" i="1"/>
  <c r="AA996" i="1"/>
  <c r="Z996" i="1"/>
  <c r="V996" i="1"/>
  <c r="U996" i="1"/>
  <c r="T996" i="1"/>
  <c r="S996" i="1"/>
  <c r="Q996" i="1"/>
  <c r="R996" i="1" s="1"/>
  <c r="AF996" i="1" s="1"/>
  <c r="O996" i="1"/>
  <c r="K996" i="1"/>
  <c r="AH995" i="1"/>
  <c r="AG995" i="1"/>
  <c r="AE995" i="1"/>
  <c r="AD995" i="1"/>
  <c r="AI995" i="1" s="1"/>
  <c r="AA995" i="1"/>
  <c r="U995" i="1"/>
  <c r="T995" i="1"/>
  <c r="S995" i="1"/>
  <c r="R995" i="1"/>
  <c r="AF995" i="1" s="1"/>
  <c r="O995" i="1"/>
  <c r="K995" i="1"/>
  <c r="V995" i="1" s="1"/>
  <c r="AH994" i="1"/>
  <c r="AG994" i="1"/>
  <c r="AF994" i="1"/>
  <c r="AE994" i="1"/>
  <c r="AA994" i="1"/>
  <c r="V994" i="1"/>
  <c r="U994" i="1"/>
  <c r="T994" i="1"/>
  <c r="S994" i="1"/>
  <c r="R994" i="1"/>
  <c r="O994" i="1"/>
  <c r="AD994" i="1" s="1"/>
  <c r="AI994" i="1" s="1"/>
  <c r="K994" i="1"/>
  <c r="AH993" i="1"/>
  <c r="AG993" i="1"/>
  <c r="AE993" i="1"/>
  <c r="AA993" i="1"/>
  <c r="Z993" i="1"/>
  <c r="V993" i="1"/>
  <c r="U993" i="1"/>
  <c r="T993" i="1"/>
  <c r="S993" i="1"/>
  <c r="R993" i="1"/>
  <c r="AF993" i="1" s="1"/>
  <c r="O993" i="1"/>
  <c r="AD993" i="1" s="1"/>
  <c r="K993" i="1"/>
  <c r="AH992" i="1"/>
  <c r="AG992" i="1"/>
  <c r="AE992" i="1"/>
  <c r="AA992" i="1"/>
  <c r="U992" i="1"/>
  <c r="T992" i="1"/>
  <c r="S992" i="1"/>
  <c r="R992" i="1"/>
  <c r="AF992" i="1" s="1"/>
  <c r="Q992" i="1"/>
  <c r="O992" i="1"/>
  <c r="AD992" i="1" s="1"/>
  <c r="K992" i="1"/>
  <c r="V992" i="1" s="1"/>
  <c r="AH991" i="1"/>
  <c r="AG991" i="1"/>
  <c r="AF991" i="1"/>
  <c r="AE991" i="1"/>
  <c r="AA991" i="1"/>
  <c r="V991" i="1"/>
  <c r="U991" i="1"/>
  <c r="T991" i="1"/>
  <c r="S991" i="1"/>
  <c r="R991" i="1"/>
  <c r="Q991" i="1"/>
  <c r="O991" i="1"/>
  <c r="AD991" i="1" s="1"/>
  <c r="AI991" i="1" s="1"/>
  <c r="K991" i="1"/>
  <c r="AH990" i="1"/>
  <c r="AE990" i="1"/>
  <c r="AA990" i="1"/>
  <c r="Z990" i="1"/>
  <c r="AG990" i="1" s="1"/>
  <c r="V990" i="1"/>
  <c r="U990" i="1"/>
  <c r="T990" i="1"/>
  <c r="S990" i="1"/>
  <c r="R990" i="1"/>
  <c r="AF990" i="1" s="1"/>
  <c r="O990" i="1"/>
  <c r="AD990" i="1" s="1"/>
  <c r="AI990" i="1" s="1"/>
  <c r="K990" i="1"/>
  <c r="AH989" i="1"/>
  <c r="AG989" i="1"/>
  <c r="AE989" i="1"/>
  <c r="AD989" i="1"/>
  <c r="AI989" i="1" s="1"/>
  <c r="AA989" i="1"/>
  <c r="U989" i="1"/>
  <c r="T989" i="1"/>
  <c r="S989" i="1"/>
  <c r="Q989" i="1"/>
  <c r="R989" i="1" s="1"/>
  <c r="AF989" i="1" s="1"/>
  <c r="O989" i="1"/>
  <c r="K989" i="1"/>
  <c r="V989" i="1" s="1"/>
  <c r="AH988" i="1"/>
  <c r="AG988" i="1"/>
  <c r="AE988" i="1"/>
  <c r="AA988" i="1"/>
  <c r="U988" i="1"/>
  <c r="T988" i="1"/>
  <c r="S988" i="1"/>
  <c r="R988" i="1"/>
  <c r="AF988" i="1" s="1"/>
  <c r="Q988" i="1"/>
  <c r="O988" i="1"/>
  <c r="AD988" i="1" s="1"/>
  <c r="K988" i="1"/>
  <c r="V988" i="1" s="1"/>
  <c r="AH987" i="1"/>
  <c r="AF987" i="1"/>
  <c r="AE987" i="1"/>
  <c r="AA987" i="1"/>
  <c r="Z987" i="1"/>
  <c r="AG987" i="1" s="1"/>
  <c r="U987" i="1"/>
  <c r="T987" i="1"/>
  <c r="S987" i="1"/>
  <c r="R987" i="1"/>
  <c r="Q987" i="1"/>
  <c r="O987" i="1"/>
  <c r="AD987" i="1" s="1"/>
  <c r="K987" i="1"/>
  <c r="V987" i="1" s="1"/>
  <c r="AH986" i="1"/>
  <c r="AG986" i="1"/>
  <c r="AE986" i="1"/>
  <c r="AA986" i="1"/>
  <c r="V986" i="1"/>
  <c r="U986" i="1"/>
  <c r="T986" i="1"/>
  <c r="S986" i="1"/>
  <c r="R986" i="1"/>
  <c r="AF986" i="1" s="1"/>
  <c r="Q986" i="1"/>
  <c r="O986" i="1"/>
  <c r="AD986" i="1" s="1"/>
  <c r="K986" i="1"/>
  <c r="AI985" i="1"/>
  <c r="AH985" i="1"/>
  <c r="AG985" i="1"/>
  <c r="AE985" i="1"/>
  <c r="AA985" i="1"/>
  <c r="V985" i="1"/>
  <c r="U985" i="1"/>
  <c r="T985" i="1"/>
  <c r="S985" i="1"/>
  <c r="Q985" i="1"/>
  <c r="R985" i="1" s="1"/>
  <c r="AF985" i="1" s="1"/>
  <c r="O985" i="1"/>
  <c r="AD985" i="1" s="1"/>
  <c r="K985" i="1"/>
  <c r="AH984" i="1"/>
  <c r="AG984" i="1"/>
  <c r="AE984" i="1"/>
  <c r="AA984" i="1"/>
  <c r="Z984" i="1"/>
  <c r="V984" i="1"/>
  <c r="U984" i="1"/>
  <c r="T984" i="1"/>
  <c r="S984" i="1"/>
  <c r="R984" i="1"/>
  <c r="AF984" i="1" s="1"/>
  <c r="O984" i="1"/>
  <c r="AD984" i="1" s="1"/>
  <c r="K984" i="1"/>
  <c r="AH983" i="1"/>
  <c r="AG983" i="1"/>
  <c r="AE983" i="1"/>
  <c r="AA983" i="1"/>
  <c r="U983" i="1"/>
  <c r="T983" i="1"/>
  <c r="S983" i="1"/>
  <c r="R983" i="1"/>
  <c r="AF983" i="1" s="1"/>
  <c r="Q983" i="1"/>
  <c r="O983" i="1"/>
  <c r="AD983" i="1" s="1"/>
  <c r="K983" i="1"/>
  <c r="V983" i="1" s="1"/>
  <c r="AH982" i="1"/>
  <c r="AG982" i="1"/>
  <c r="AF982" i="1"/>
  <c r="AE982" i="1"/>
  <c r="AA982" i="1"/>
  <c r="V982" i="1"/>
  <c r="U982" i="1"/>
  <c r="T982" i="1"/>
  <c r="S982" i="1"/>
  <c r="R982" i="1"/>
  <c r="Q982" i="1"/>
  <c r="O982" i="1"/>
  <c r="AD982" i="1" s="1"/>
  <c r="AI982" i="1" s="1"/>
  <c r="K982" i="1"/>
  <c r="AH981" i="1"/>
  <c r="AE981" i="1"/>
  <c r="AI981" i="1" s="1"/>
  <c r="AD981" i="1"/>
  <c r="AA981" i="1"/>
  <c r="Z981" i="1"/>
  <c r="AG981" i="1" s="1"/>
  <c r="V981" i="1"/>
  <c r="U981" i="1"/>
  <c r="T981" i="1"/>
  <c r="S981" i="1"/>
  <c r="R981" i="1"/>
  <c r="AF981" i="1" s="1"/>
  <c r="Q981" i="1"/>
  <c r="O981" i="1"/>
  <c r="K981" i="1"/>
  <c r="AH980" i="1"/>
  <c r="AG980" i="1"/>
  <c r="AE980" i="1"/>
  <c r="AA980" i="1"/>
  <c r="V980" i="1"/>
  <c r="U980" i="1"/>
  <c r="T980" i="1"/>
  <c r="S980" i="1"/>
  <c r="Q980" i="1"/>
  <c r="R980" i="1" s="1"/>
  <c r="AF980" i="1" s="1"/>
  <c r="AI980" i="1" s="1"/>
  <c r="O980" i="1"/>
  <c r="AD980" i="1" s="1"/>
  <c r="K980" i="1"/>
  <c r="AH979" i="1"/>
  <c r="AG979" i="1"/>
  <c r="AE979" i="1"/>
  <c r="AA979" i="1"/>
  <c r="U979" i="1"/>
  <c r="T979" i="1"/>
  <c r="S979" i="1"/>
  <c r="Q979" i="1"/>
  <c r="R979" i="1" s="1"/>
  <c r="AF979" i="1" s="1"/>
  <c r="O979" i="1"/>
  <c r="AD979" i="1" s="1"/>
  <c r="AI979" i="1" s="1"/>
  <c r="K979" i="1"/>
  <c r="V979" i="1" s="1"/>
  <c r="AH978" i="1"/>
  <c r="AG978" i="1"/>
  <c r="AE978" i="1"/>
  <c r="AA978" i="1"/>
  <c r="Z978" i="1"/>
  <c r="U978" i="1"/>
  <c r="T978" i="1"/>
  <c r="S978" i="1"/>
  <c r="Q978" i="1"/>
  <c r="R978" i="1" s="1"/>
  <c r="AF978" i="1" s="1"/>
  <c r="O978" i="1"/>
  <c r="AD978" i="1" s="1"/>
  <c r="AI978" i="1" s="1"/>
  <c r="K978" i="1"/>
  <c r="V978" i="1" s="1"/>
  <c r="AH977" i="1"/>
  <c r="AG977" i="1"/>
  <c r="AE977" i="1"/>
  <c r="AA977" i="1"/>
  <c r="Z977" i="1"/>
  <c r="V977" i="1"/>
  <c r="U977" i="1"/>
  <c r="T977" i="1"/>
  <c r="S977" i="1"/>
  <c r="R977" i="1"/>
  <c r="AF977" i="1" s="1"/>
  <c r="O977" i="1"/>
  <c r="AD977" i="1" s="1"/>
  <c r="AI977" i="1" s="1"/>
  <c r="AI976" i="1"/>
  <c r="AH976" i="1"/>
  <c r="AG976" i="1"/>
  <c r="AE976" i="1"/>
  <c r="AA976" i="1"/>
  <c r="V976" i="1"/>
  <c r="U976" i="1"/>
  <c r="T976" i="1"/>
  <c r="S976" i="1"/>
  <c r="R976" i="1"/>
  <c r="AF976" i="1" s="1"/>
  <c r="O976" i="1"/>
  <c r="AD976" i="1" s="1"/>
  <c r="K976" i="1"/>
  <c r="AH975" i="1"/>
  <c r="AG975" i="1"/>
  <c r="AE975" i="1"/>
  <c r="AA975" i="1"/>
  <c r="U975" i="1"/>
  <c r="T975" i="1"/>
  <c r="S975" i="1"/>
  <c r="R975" i="1"/>
  <c r="AF975" i="1" s="1"/>
  <c r="O975" i="1"/>
  <c r="AD975" i="1" s="1"/>
  <c r="AI975" i="1" s="1"/>
  <c r="K975" i="1"/>
  <c r="V975" i="1" s="1"/>
  <c r="AH974" i="1"/>
  <c r="AG974" i="1"/>
  <c r="AE974" i="1"/>
  <c r="AA974" i="1"/>
  <c r="Z974" i="1"/>
  <c r="V974" i="1"/>
  <c r="U974" i="1"/>
  <c r="T974" i="1"/>
  <c r="S974" i="1"/>
  <c r="R974" i="1"/>
  <c r="AF974" i="1" s="1"/>
  <c r="Q974" i="1"/>
  <c r="O974" i="1"/>
  <c r="AD974" i="1" s="1"/>
  <c r="K974" i="1"/>
  <c r="AI973" i="1"/>
  <c r="AH973" i="1"/>
  <c r="AG973" i="1"/>
  <c r="AE973" i="1"/>
  <c r="AA973" i="1"/>
  <c r="V973" i="1"/>
  <c r="U973" i="1"/>
  <c r="T973" i="1"/>
  <c r="S973" i="1"/>
  <c r="R973" i="1"/>
  <c r="AF973" i="1" s="1"/>
  <c r="O973" i="1"/>
  <c r="AD973" i="1" s="1"/>
  <c r="K973" i="1"/>
  <c r="AH972" i="1"/>
  <c r="AG972" i="1"/>
  <c r="AE972" i="1"/>
  <c r="AA972" i="1"/>
  <c r="U972" i="1"/>
  <c r="T972" i="1"/>
  <c r="S972" i="1"/>
  <c r="R972" i="1"/>
  <c r="AF972" i="1" s="1"/>
  <c r="O972" i="1"/>
  <c r="AD972" i="1" s="1"/>
  <c r="AI972" i="1" s="1"/>
  <c r="K972" i="1"/>
  <c r="V972" i="1" s="1"/>
  <c r="AH971" i="1"/>
  <c r="AG971" i="1"/>
  <c r="AE971" i="1"/>
  <c r="AA971" i="1"/>
  <c r="Z971" i="1"/>
  <c r="V971" i="1"/>
  <c r="U971" i="1"/>
  <c r="T971" i="1"/>
  <c r="S971" i="1"/>
  <c r="R971" i="1"/>
  <c r="AF971" i="1" s="1"/>
  <c r="AI971" i="1" s="1"/>
  <c r="O971" i="1"/>
  <c r="AD971" i="1" s="1"/>
  <c r="K971" i="1"/>
  <c r="AH970" i="1"/>
  <c r="AG970" i="1"/>
  <c r="AE970" i="1"/>
  <c r="AA970" i="1"/>
  <c r="V970" i="1"/>
  <c r="U970" i="1"/>
  <c r="T970" i="1"/>
  <c r="S970" i="1"/>
  <c r="R970" i="1"/>
  <c r="AF970" i="1" s="1"/>
  <c r="Q970" i="1"/>
  <c r="O970" i="1"/>
  <c r="AD970" i="1" s="1"/>
  <c r="AI970" i="1" s="1"/>
  <c r="K970" i="1"/>
  <c r="AH969" i="1"/>
  <c r="AG969" i="1"/>
  <c r="AE969" i="1"/>
  <c r="AA969" i="1"/>
  <c r="U969" i="1"/>
  <c r="T969" i="1"/>
  <c r="S969" i="1"/>
  <c r="Q969" i="1"/>
  <c r="R969" i="1" s="1"/>
  <c r="AF969" i="1" s="1"/>
  <c r="O969" i="1"/>
  <c r="AD969" i="1" s="1"/>
  <c r="AI969" i="1" s="1"/>
  <c r="K969" i="1"/>
  <c r="V969" i="1" s="1"/>
  <c r="AH968" i="1"/>
  <c r="AE968" i="1"/>
  <c r="AD968" i="1"/>
  <c r="AA968" i="1"/>
  <c r="Z968" i="1"/>
  <c r="AG968" i="1" s="1"/>
  <c r="U968" i="1"/>
  <c r="T968" i="1"/>
  <c r="S968" i="1"/>
  <c r="Q968" i="1"/>
  <c r="R968" i="1" s="1"/>
  <c r="AF968" i="1" s="1"/>
  <c r="O968" i="1"/>
  <c r="K968" i="1"/>
  <c r="V968" i="1" s="1"/>
  <c r="AH967" i="1"/>
  <c r="AG967" i="1"/>
  <c r="AF967" i="1"/>
  <c r="AE967" i="1"/>
  <c r="AA967" i="1"/>
  <c r="V967" i="1"/>
  <c r="U967" i="1"/>
  <c r="T967" i="1"/>
  <c r="S967" i="1"/>
  <c r="R967" i="1"/>
  <c r="Q967" i="1"/>
  <c r="O967" i="1"/>
  <c r="AD967" i="1" s="1"/>
  <c r="K967" i="1"/>
  <c r="AH966" i="1"/>
  <c r="AG966" i="1"/>
  <c r="AE966" i="1"/>
  <c r="AA966" i="1"/>
  <c r="U966" i="1"/>
  <c r="T966" i="1"/>
  <c r="S966" i="1"/>
  <c r="Q966" i="1"/>
  <c r="R966" i="1" s="1"/>
  <c r="AF966" i="1" s="1"/>
  <c r="O966" i="1"/>
  <c r="AD966" i="1" s="1"/>
  <c r="AI966" i="1" s="1"/>
  <c r="K966" i="1"/>
  <c r="V966" i="1" s="1"/>
  <c r="AH965" i="1"/>
  <c r="AE965" i="1"/>
  <c r="AD965" i="1"/>
  <c r="AI965" i="1" s="1"/>
  <c r="AA965" i="1"/>
  <c r="Z965" i="1"/>
  <c r="AG965" i="1" s="1"/>
  <c r="U965" i="1"/>
  <c r="T965" i="1"/>
  <c r="S965" i="1"/>
  <c r="Q965" i="1"/>
  <c r="R965" i="1" s="1"/>
  <c r="AF965" i="1" s="1"/>
  <c r="O965" i="1"/>
  <c r="K965" i="1"/>
  <c r="V965" i="1" s="1"/>
  <c r="AH964" i="1"/>
  <c r="AG964" i="1"/>
  <c r="AE964" i="1"/>
  <c r="AA964" i="1"/>
  <c r="V964" i="1"/>
  <c r="U964" i="1"/>
  <c r="T964" i="1"/>
  <c r="S964" i="1"/>
  <c r="R964" i="1"/>
  <c r="AF964" i="1" s="1"/>
  <c r="Q964" i="1"/>
  <c r="O964" i="1"/>
  <c r="AD964" i="1" s="1"/>
  <c r="AI964" i="1" s="1"/>
  <c r="K964" i="1"/>
  <c r="AH963" i="1"/>
  <c r="AG963" i="1"/>
  <c r="AE963" i="1"/>
  <c r="AA963" i="1"/>
  <c r="U963" i="1"/>
  <c r="T963" i="1"/>
  <c r="S963" i="1"/>
  <c r="Q963" i="1"/>
  <c r="R963" i="1" s="1"/>
  <c r="AF963" i="1" s="1"/>
  <c r="O963" i="1"/>
  <c r="AD963" i="1" s="1"/>
  <c r="K963" i="1"/>
  <c r="V963" i="1" s="1"/>
  <c r="AH962" i="1"/>
  <c r="AE962" i="1"/>
  <c r="AD962" i="1"/>
  <c r="AA962" i="1"/>
  <c r="Z962" i="1"/>
  <c r="AG962" i="1" s="1"/>
  <c r="U962" i="1"/>
  <c r="T962" i="1"/>
  <c r="S962" i="1"/>
  <c r="Q962" i="1"/>
  <c r="R962" i="1" s="1"/>
  <c r="AF962" i="1" s="1"/>
  <c r="O962" i="1"/>
  <c r="K962" i="1"/>
  <c r="V962" i="1" s="1"/>
  <c r="AH961" i="1"/>
  <c r="AG961" i="1"/>
  <c r="AF961" i="1"/>
  <c r="AE961" i="1"/>
  <c r="AA961" i="1"/>
  <c r="V961" i="1"/>
  <c r="U961" i="1"/>
  <c r="T961" i="1"/>
  <c r="S961" i="1"/>
  <c r="R961" i="1"/>
  <c r="Q961" i="1"/>
  <c r="O961" i="1"/>
  <c r="AD961" i="1" s="1"/>
  <c r="AI961" i="1" s="1"/>
  <c r="K961" i="1"/>
  <c r="AH960" i="1"/>
  <c r="AG960" i="1"/>
  <c r="AE960" i="1"/>
  <c r="AA960" i="1"/>
  <c r="U960" i="1"/>
  <c r="T960" i="1"/>
  <c r="S960" i="1"/>
  <c r="Q960" i="1"/>
  <c r="R960" i="1" s="1"/>
  <c r="AF960" i="1" s="1"/>
  <c r="O960" i="1"/>
  <c r="AD960" i="1" s="1"/>
  <c r="AI960" i="1" s="1"/>
  <c r="K960" i="1"/>
  <c r="V960" i="1" s="1"/>
  <c r="AH959" i="1"/>
  <c r="AE959" i="1"/>
  <c r="AD959" i="1"/>
  <c r="AA959" i="1"/>
  <c r="Z959" i="1"/>
  <c r="AG959" i="1" s="1"/>
  <c r="U959" i="1"/>
  <c r="T959" i="1"/>
  <c r="S959" i="1"/>
  <c r="Q959" i="1"/>
  <c r="R959" i="1" s="1"/>
  <c r="AF959" i="1" s="1"/>
  <c r="O959" i="1"/>
  <c r="K959" i="1"/>
  <c r="V959" i="1" s="1"/>
  <c r="AH958" i="1"/>
  <c r="AG958" i="1"/>
  <c r="AE958" i="1"/>
  <c r="AD958" i="1"/>
  <c r="AA958" i="1"/>
  <c r="U958" i="1"/>
  <c r="T958" i="1"/>
  <c r="S958" i="1"/>
  <c r="R958" i="1"/>
  <c r="AF958" i="1" s="1"/>
  <c r="O958" i="1"/>
  <c r="K958" i="1"/>
  <c r="V958" i="1" s="1"/>
  <c r="AH957" i="1"/>
  <c r="AG957" i="1"/>
  <c r="AE957" i="1"/>
  <c r="AD957" i="1"/>
  <c r="AA957" i="1"/>
  <c r="V957" i="1"/>
  <c r="U957" i="1"/>
  <c r="T957" i="1"/>
  <c r="S957" i="1"/>
  <c r="R957" i="1"/>
  <c r="AF957" i="1" s="1"/>
  <c r="O957" i="1"/>
  <c r="K957" i="1"/>
  <c r="AH956" i="1"/>
  <c r="AF956" i="1"/>
  <c r="AE956" i="1"/>
  <c r="AA956" i="1"/>
  <c r="Z956" i="1"/>
  <c r="AG956" i="1" s="1"/>
  <c r="V956" i="1"/>
  <c r="U956" i="1"/>
  <c r="T956" i="1"/>
  <c r="S956" i="1"/>
  <c r="R956" i="1"/>
  <c r="O956" i="1"/>
  <c r="AD956" i="1" s="1"/>
  <c r="K956" i="1"/>
  <c r="AH955" i="1"/>
  <c r="AG955" i="1"/>
  <c r="AE955" i="1"/>
  <c r="AA955" i="1"/>
  <c r="U955" i="1"/>
  <c r="T955" i="1"/>
  <c r="S955" i="1"/>
  <c r="Q955" i="1"/>
  <c r="R955" i="1" s="1"/>
  <c r="AF955" i="1" s="1"/>
  <c r="O955" i="1"/>
  <c r="AD955" i="1" s="1"/>
  <c r="AI955" i="1" s="1"/>
  <c r="K955" i="1"/>
  <c r="V955" i="1" s="1"/>
  <c r="AH954" i="1"/>
  <c r="AG954" i="1"/>
  <c r="AF954" i="1"/>
  <c r="AE954" i="1"/>
  <c r="AA954" i="1"/>
  <c r="V954" i="1"/>
  <c r="U954" i="1"/>
  <c r="T954" i="1"/>
  <c r="S954" i="1"/>
  <c r="R954" i="1"/>
  <c r="Q954" i="1"/>
  <c r="O954" i="1"/>
  <c r="AD954" i="1" s="1"/>
  <c r="K954" i="1"/>
  <c r="AH953" i="1"/>
  <c r="AG953" i="1"/>
  <c r="AE953" i="1"/>
  <c r="AA953" i="1"/>
  <c r="Z953" i="1"/>
  <c r="V953" i="1"/>
  <c r="U953" i="1"/>
  <c r="T953" i="1"/>
  <c r="S953" i="1"/>
  <c r="R953" i="1"/>
  <c r="AF953" i="1" s="1"/>
  <c r="Q953" i="1"/>
  <c r="O953" i="1"/>
  <c r="AD953" i="1" s="1"/>
  <c r="AI953" i="1" s="1"/>
  <c r="K953" i="1"/>
  <c r="AH952" i="1"/>
  <c r="AG952" i="1"/>
  <c r="AE952" i="1"/>
  <c r="AA952" i="1"/>
  <c r="Z952" i="1"/>
  <c r="V952" i="1"/>
  <c r="U952" i="1"/>
  <c r="T952" i="1"/>
  <c r="S952" i="1"/>
  <c r="R952" i="1"/>
  <c r="AF952" i="1" s="1"/>
  <c r="Q952" i="1"/>
  <c r="O952" i="1"/>
  <c r="AD952" i="1" s="1"/>
  <c r="AI952" i="1" s="1"/>
  <c r="K952" i="1"/>
  <c r="AH951" i="1"/>
  <c r="AG951" i="1"/>
  <c r="AE951" i="1"/>
  <c r="AA951" i="1"/>
  <c r="Z951" i="1"/>
  <c r="V951" i="1"/>
  <c r="U951" i="1"/>
  <c r="T951" i="1"/>
  <c r="S951" i="1"/>
  <c r="R951" i="1"/>
  <c r="AF951" i="1" s="1"/>
  <c r="Q951" i="1"/>
  <c r="O951" i="1"/>
  <c r="AD951" i="1" s="1"/>
  <c r="AI951" i="1" s="1"/>
  <c r="K951" i="1"/>
  <c r="AH950" i="1"/>
  <c r="AG950" i="1"/>
  <c r="AE950" i="1"/>
  <c r="AA950" i="1"/>
  <c r="Z950" i="1"/>
  <c r="V950" i="1"/>
  <c r="U950" i="1"/>
  <c r="T950" i="1"/>
  <c r="S950" i="1"/>
  <c r="R950" i="1"/>
  <c r="AF950" i="1" s="1"/>
  <c r="Q950" i="1"/>
  <c r="O950" i="1"/>
  <c r="AD950" i="1" s="1"/>
  <c r="K950" i="1"/>
  <c r="AH949" i="1"/>
  <c r="AG949" i="1"/>
  <c r="AE949" i="1"/>
  <c r="AA949" i="1"/>
  <c r="U949" i="1"/>
  <c r="T949" i="1"/>
  <c r="S949" i="1"/>
  <c r="Q949" i="1"/>
  <c r="R949" i="1" s="1"/>
  <c r="AF949" i="1" s="1"/>
  <c r="O949" i="1"/>
  <c r="AD949" i="1" s="1"/>
  <c r="AI949" i="1" s="1"/>
  <c r="K949" i="1"/>
  <c r="V949" i="1" s="1"/>
  <c r="AH948" i="1"/>
  <c r="AG948" i="1"/>
  <c r="AE948" i="1"/>
  <c r="AA948" i="1"/>
  <c r="V948" i="1"/>
  <c r="U948" i="1"/>
  <c r="T948" i="1"/>
  <c r="S948" i="1"/>
  <c r="R948" i="1"/>
  <c r="AF948" i="1" s="1"/>
  <c r="Q948" i="1"/>
  <c r="O948" i="1"/>
  <c r="AD948" i="1" s="1"/>
  <c r="AI948" i="1" s="1"/>
  <c r="K948" i="1"/>
  <c r="AH947" i="1"/>
  <c r="AG947" i="1"/>
  <c r="AE947" i="1"/>
  <c r="AA947" i="1"/>
  <c r="Z947" i="1"/>
  <c r="V947" i="1"/>
  <c r="U947" i="1"/>
  <c r="T947" i="1"/>
  <c r="S947" i="1"/>
  <c r="R947" i="1"/>
  <c r="AF947" i="1" s="1"/>
  <c r="Q947" i="1"/>
  <c r="O947" i="1"/>
  <c r="AD947" i="1" s="1"/>
  <c r="K947" i="1"/>
  <c r="AH946" i="1"/>
  <c r="AG946" i="1"/>
  <c r="AE946" i="1"/>
  <c r="AA946" i="1"/>
  <c r="U946" i="1"/>
  <c r="T946" i="1"/>
  <c r="S946" i="1"/>
  <c r="Q946" i="1"/>
  <c r="R946" i="1" s="1"/>
  <c r="AF946" i="1" s="1"/>
  <c r="O946" i="1"/>
  <c r="AD946" i="1" s="1"/>
  <c r="AI946" i="1" s="1"/>
  <c r="K946" i="1"/>
  <c r="V946" i="1" s="1"/>
  <c r="AH945" i="1"/>
  <c r="AG945" i="1"/>
  <c r="AF945" i="1"/>
  <c r="AE945" i="1"/>
  <c r="AA945" i="1"/>
  <c r="V945" i="1"/>
  <c r="U945" i="1"/>
  <c r="T945" i="1"/>
  <c r="S945" i="1"/>
  <c r="R945" i="1"/>
  <c r="Q945" i="1"/>
  <c r="O945" i="1"/>
  <c r="AD945" i="1" s="1"/>
  <c r="K945" i="1"/>
  <c r="AH944" i="1"/>
  <c r="AG944" i="1"/>
  <c r="AE944" i="1"/>
  <c r="AA944" i="1"/>
  <c r="Z944" i="1"/>
  <c r="V944" i="1"/>
  <c r="U944" i="1"/>
  <c r="T944" i="1"/>
  <c r="S944" i="1"/>
  <c r="R944" i="1"/>
  <c r="AF944" i="1" s="1"/>
  <c r="Q944" i="1"/>
  <c r="O944" i="1"/>
  <c r="AD944" i="1" s="1"/>
  <c r="AI944" i="1" s="1"/>
  <c r="K944" i="1"/>
  <c r="AH943" i="1"/>
  <c r="AG943" i="1"/>
  <c r="AE943" i="1"/>
  <c r="AA943" i="1"/>
  <c r="V943" i="1"/>
  <c r="U943" i="1"/>
  <c r="T943" i="1"/>
  <c r="S943" i="1"/>
  <c r="Q943" i="1"/>
  <c r="R943" i="1" s="1"/>
  <c r="AF943" i="1" s="1"/>
  <c r="O943" i="1"/>
  <c r="AD943" i="1" s="1"/>
  <c r="K943" i="1"/>
  <c r="AH942" i="1"/>
  <c r="AG942" i="1"/>
  <c r="AE942" i="1"/>
  <c r="AD942" i="1"/>
  <c r="AI942" i="1" s="1"/>
  <c r="AA942" i="1"/>
  <c r="V942" i="1"/>
  <c r="U942" i="1"/>
  <c r="T942" i="1"/>
  <c r="S942" i="1"/>
  <c r="Q942" i="1"/>
  <c r="R942" i="1" s="1"/>
  <c r="AF942" i="1" s="1"/>
  <c r="O942" i="1"/>
  <c r="K942" i="1"/>
  <c r="AH941" i="1"/>
  <c r="AG941" i="1"/>
  <c r="AE941" i="1"/>
  <c r="AA941" i="1"/>
  <c r="Z941" i="1"/>
  <c r="V941" i="1"/>
  <c r="U941" i="1"/>
  <c r="T941" i="1"/>
  <c r="S941" i="1"/>
  <c r="Q941" i="1"/>
  <c r="R941" i="1" s="1"/>
  <c r="AF941" i="1" s="1"/>
  <c r="O941" i="1"/>
  <c r="AD941" i="1" s="1"/>
  <c r="AI941" i="1" s="1"/>
  <c r="K941" i="1"/>
  <c r="AH940" i="1"/>
  <c r="AG940" i="1"/>
  <c r="AE940" i="1"/>
  <c r="AA940" i="1"/>
  <c r="Z940" i="1"/>
  <c r="V940" i="1"/>
  <c r="U940" i="1"/>
  <c r="T940" i="1"/>
  <c r="S940" i="1"/>
  <c r="R940" i="1"/>
  <c r="AF940" i="1" s="1"/>
  <c r="O940" i="1"/>
  <c r="AD940" i="1" s="1"/>
  <c r="AI940" i="1" s="1"/>
  <c r="AH939" i="1"/>
  <c r="AE939" i="1"/>
  <c r="AA939" i="1"/>
  <c r="Z939" i="1"/>
  <c r="AG939" i="1" s="1"/>
  <c r="AI939" i="1" s="1"/>
  <c r="V939" i="1"/>
  <c r="U939" i="1"/>
  <c r="T939" i="1"/>
  <c r="S939" i="1"/>
  <c r="R939" i="1"/>
  <c r="AF939" i="1" s="1"/>
  <c r="O939" i="1"/>
  <c r="AD939" i="1" s="1"/>
  <c r="M939" i="1"/>
  <c r="AH938" i="1"/>
  <c r="AE938" i="1"/>
  <c r="AA938" i="1"/>
  <c r="Z938" i="1"/>
  <c r="AG938" i="1" s="1"/>
  <c r="V938" i="1"/>
  <c r="U938" i="1"/>
  <c r="T938" i="1"/>
  <c r="S938" i="1"/>
  <c r="R938" i="1"/>
  <c r="AF938" i="1" s="1"/>
  <c r="O938" i="1"/>
  <c r="AD938" i="1" s="1"/>
  <c r="M938" i="1"/>
  <c r="AH937" i="1"/>
  <c r="AG937" i="1"/>
  <c r="AE937" i="1"/>
  <c r="AA937" i="1"/>
  <c r="U937" i="1"/>
  <c r="T937" i="1"/>
  <c r="S937" i="1"/>
  <c r="Q937" i="1"/>
  <c r="R937" i="1" s="1"/>
  <c r="AF937" i="1" s="1"/>
  <c r="O937" i="1"/>
  <c r="AD937" i="1" s="1"/>
  <c r="AI937" i="1" s="1"/>
  <c r="M937" i="1"/>
  <c r="K937" i="1"/>
  <c r="V937" i="1" s="1"/>
  <c r="AH936" i="1"/>
  <c r="AG936" i="1"/>
  <c r="AE936" i="1"/>
  <c r="AA936" i="1"/>
  <c r="U936" i="1"/>
  <c r="T936" i="1"/>
  <c r="S936" i="1"/>
  <c r="Q936" i="1"/>
  <c r="R936" i="1" s="1"/>
  <c r="AF936" i="1" s="1"/>
  <c r="O936" i="1"/>
  <c r="AD936" i="1" s="1"/>
  <c r="M936" i="1"/>
  <c r="K936" i="1"/>
  <c r="V936" i="1" s="1"/>
  <c r="AH935" i="1"/>
  <c r="AG935" i="1"/>
  <c r="AE935" i="1"/>
  <c r="AA935" i="1"/>
  <c r="Z935" i="1"/>
  <c r="U935" i="1"/>
  <c r="T935" i="1"/>
  <c r="S935" i="1"/>
  <c r="Q935" i="1"/>
  <c r="R935" i="1" s="1"/>
  <c r="AF935" i="1" s="1"/>
  <c r="O935" i="1"/>
  <c r="AD935" i="1" s="1"/>
  <c r="AI935" i="1" s="1"/>
  <c r="M935" i="1"/>
  <c r="K935" i="1"/>
  <c r="V935" i="1" s="1"/>
  <c r="AH934" i="1"/>
  <c r="AG934" i="1"/>
  <c r="AE934" i="1"/>
  <c r="AA934" i="1"/>
  <c r="U934" i="1"/>
  <c r="T934" i="1"/>
  <c r="S934" i="1"/>
  <c r="Q934" i="1"/>
  <c r="R934" i="1" s="1"/>
  <c r="AF934" i="1" s="1"/>
  <c r="O934" i="1"/>
  <c r="AD934" i="1" s="1"/>
  <c r="AI934" i="1" s="1"/>
  <c r="M934" i="1"/>
  <c r="K934" i="1"/>
  <c r="V934" i="1" s="1"/>
  <c r="AH933" i="1"/>
  <c r="AG933" i="1"/>
  <c r="AE933" i="1"/>
  <c r="AA933" i="1"/>
  <c r="U933" i="1"/>
  <c r="T933" i="1"/>
  <c r="S933" i="1"/>
  <c r="Q933" i="1"/>
  <c r="R933" i="1" s="1"/>
  <c r="AF933" i="1" s="1"/>
  <c r="O933" i="1"/>
  <c r="AD933" i="1" s="1"/>
  <c r="AI933" i="1" s="1"/>
  <c r="M933" i="1"/>
  <c r="K933" i="1"/>
  <c r="V933" i="1" s="1"/>
  <c r="AH932" i="1"/>
  <c r="AE932" i="1"/>
  <c r="AD932" i="1"/>
  <c r="AI932" i="1" s="1"/>
  <c r="AA932" i="1"/>
  <c r="Z932" i="1"/>
  <c r="AG932" i="1" s="1"/>
  <c r="U932" i="1"/>
  <c r="T932" i="1"/>
  <c r="S932" i="1"/>
  <c r="Q932" i="1"/>
  <c r="R932" i="1" s="1"/>
  <c r="AF932" i="1" s="1"/>
  <c r="O932" i="1"/>
  <c r="M932" i="1"/>
  <c r="K932" i="1"/>
  <c r="V932" i="1" s="1"/>
  <c r="AH931" i="1"/>
  <c r="AG931" i="1"/>
  <c r="AE931" i="1"/>
  <c r="AA931" i="1"/>
  <c r="U931" i="1"/>
  <c r="T931" i="1"/>
  <c r="S931" i="1"/>
  <c r="Q931" i="1"/>
  <c r="R931" i="1" s="1"/>
  <c r="AF931" i="1" s="1"/>
  <c r="O931" i="1"/>
  <c r="AD931" i="1" s="1"/>
  <c r="AI931" i="1" s="1"/>
  <c r="M931" i="1"/>
  <c r="K931" i="1"/>
  <c r="V931" i="1" s="1"/>
  <c r="AH930" i="1"/>
  <c r="AG930" i="1"/>
  <c r="AE930" i="1"/>
  <c r="AA930" i="1"/>
  <c r="U930" i="1"/>
  <c r="T930" i="1"/>
  <c r="S930" i="1"/>
  <c r="Q930" i="1"/>
  <c r="R930" i="1" s="1"/>
  <c r="AF930" i="1" s="1"/>
  <c r="O930" i="1"/>
  <c r="AD930" i="1" s="1"/>
  <c r="AI930" i="1" s="1"/>
  <c r="M930" i="1"/>
  <c r="K930" i="1"/>
  <c r="V930" i="1" s="1"/>
  <c r="AH929" i="1"/>
  <c r="AE929" i="1"/>
  <c r="AI929" i="1" s="1"/>
  <c r="AA929" i="1"/>
  <c r="Z929" i="1"/>
  <c r="AG929" i="1" s="1"/>
  <c r="U929" i="1"/>
  <c r="T929" i="1"/>
  <c r="S929" i="1"/>
  <c r="R929" i="1"/>
  <c r="AF929" i="1" s="1"/>
  <c r="Q929" i="1"/>
  <c r="O929" i="1"/>
  <c r="AD929" i="1" s="1"/>
  <c r="M929" i="1"/>
  <c r="K929" i="1"/>
  <c r="V929" i="1" s="1"/>
  <c r="AH928" i="1"/>
  <c r="AG928" i="1"/>
  <c r="AF928" i="1"/>
  <c r="AE928" i="1"/>
  <c r="AA928" i="1"/>
  <c r="U928" i="1"/>
  <c r="T928" i="1"/>
  <c r="S928" i="1"/>
  <c r="R928" i="1"/>
  <c r="Q928" i="1"/>
  <c r="O928" i="1"/>
  <c r="AD928" i="1" s="1"/>
  <c r="AI928" i="1" s="1"/>
  <c r="M928" i="1"/>
  <c r="K928" i="1"/>
  <c r="V928" i="1" s="1"/>
  <c r="AH927" i="1"/>
  <c r="AG927" i="1"/>
  <c r="AF927" i="1"/>
  <c r="AE927" i="1"/>
  <c r="AA927" i="1"/>
  <c r="U927" i="1"/>
  <c r="T927" i="1"/>
  <c r="S927" i="1"/>
  <c r="R927" i="1"/>
  <c r="Q927" i="1"/>
  <c r="O927" i="1"/>
  <c r="AD927" i="1" s="1"/>
  <c r="M927" i="1"/>
  <c r="K927" i="1"/>
  <c r="V927" i="1" s="1"/>
  <c r="AH926" i="1"/>
  <c r="AE926" i="1"/>
  <c r="AA926" i="1"/>
  <c r="Z926" i="1"/>
  <c r="AG926" i="1" s="1"/>
  <c r="U926" i="1"/>
  <c r="T926" i="1"/>
  <c r="S926" i="1"/>
  <c r="Q926" i="1"/>
  <c r="R926" i="1" s="1"/>
  <c r="AF926" i="1" s="1"/>
  <c r="O926" i="1"/>
  <c r="AD926" i="1" s="1"/>
  <c r="M926" i="1"/>
  <c r="K926" i="1"/>
  <c r="V926" i="1" s="1"/>
  <c r="AH925" i="1"/>
  <c r="AG925" i="1"/>
  <c r="AE925" i="1"/>
  <c r="AA925" i="1"/>
  <c r="U925" i="1"/>
  <c r="T925" i="1"/>
  <c r="S925" i="1"/>
  <c r="Q925" i="1"/>
  <c r="R925" i="1" s="1"/>
  <c r="AF925" i="1" s="1"/>
  <c r="O925" i="1"/>
  <c r="AD925" i="1" s="1"/>
  <c r="AI925" i="1" s="1"/>
  <c r="M925" i="1"/>
  <c r="K925" i="1"/>
  <c r="V925" i="1" s="1"/>
  <c r="AH924" i="1"/>
  <c r="AG924" i="1"/>
  <c r="AE924" i="1"/>
  <c r="AA924" i="1"/>
  <c r="U924" i="1"/>
  <c r="T924" i="1"/>
  <c r="S924" i="1"/>
  <c r="Q924" i="1"/>
  <c r="R924" i="1" s="1"/>
  <c r="AF924" i="1" s="1"/>
  <c r="O924" i="1"/>
  <c r="AD924" i="1" s="1"/>
  <c r="M924" i="1"/>
  <c r="K924" i="1"/>
  <c r="V924" i="1" s="1"/>
  <c r="AH923" i="1"/>
  <c r="AG923" i="1"/>
  <c r="AE923" i="1"/>
  <c r="AA923" i="1"/>
  <c r="Z923" i="1"/>
  <c r="U923" i="1"/>
  <c r="T923" i="1"/>
  <c r="S923" i="1"/>
  <c r="Q923" i="1"/>
  <c r="R923" i="1" s="1"/>
  <c r="AF923" i="1" s="1"/>
  <c r="O923" i="1"/>
  <c r="AD923" i="1" s="1"/>
  <c r="AI923" i="1" s="1"/>
  <c r="M923" i="1"/>
  <c r="K923" i="1"/>
  <c r="V923" i="1" s="1"/>
  <c r="AH922" i="1"/>
  <c r="AG922" i="1"/>
  <c r="AE922" i="1"/>
  <c r="AA922" i="1"/>
  <c r="U922" i="1"/>
  <c r="T922" i="1"/>
  <c r="S922" i="1"/>
  <c r="Q922" i="1"/>
  <c r="R922" i="1" s="1"/>
  <c r="AF922" i="1" s="1"/>
  <c r="O922" i="1"/>
  <c r="AD922" i="1" s="1"/>
  <c r="AI922" i="1" s="1"/>
  <c r="M922" i="1"/>
  <c r="K922" i="1"/>
  <c r="V922" i="1" s="1"/>
  <c r="AH921" i="1"/>
  <c r="AG921" i="1"/>
  <c r="AE921" i="1"/>
  <c r="AA921" i="1"/>
  <c r="U921" i="1"/>
  <c r="T921" i="1"/>
  <c r="S921" i="1"/>
  <c r="Q921" i="1"/>
  <c r="R921" i="1" s="1"/>
  <c r="AF921" i="1" s="1"/>
  <c r="O921" i="1"/>
  <c r="AD921" i="1" s="1"/>
  <c r="AI921" i="1" s="1"/>
  <c r="M921" i="1"/>
  <c r="K921" i="1"/>
  <c r="V921" i="1" s="1"/>
  <c r="AH920" i="1"/>
  <c r="AE920" i="1"/>
  <c r="AD920" i="1"/>
  <c r="AI920" i="1" s="1"/>
  <c r="AA920" i="1"/>
  <c r="Z920" i="1"/>
  <c r="AG920" i="1" s="1"/>
  <c r="U920" i="1"/>
  <c r="T920" i="1"/>
  <c r="S920" i="1"/>
  <c r="Q920" i="1"/>
  <c r="R920" i="1" s="1"/>
  <c r="AF920" i="1" s="1"/>
  <c r="O920" i="1"/>
  <c r="M920" i="1"/>
  <c r="K920" i="1"/>
  <c r="V920" i="1" s="1"/>
  <c r="AH919" i="1"/>
  <c r="AG919" i="1"/>
  <c r="AE919" i="1"/>
  <c r="AA919" i="1"/>
  <c r="U919" i="1"/>
  <c r="T919" i="1"/>
  <c r="S919" i="1"/>
  <c r="Q919" i="1"/>
  <c r="R919" i="1" s="1"/>
  <c r="AF919" i="1" s="1"/>
  <c r="O919" i="1"/>
  <c r="AD919" i="1" s="1"/>
  <c r="AI919" i="1" s="1"/>
  <c r="M919" i="1"/>
  <c r="K919" i="1"/>
  <c r="V919" i="1" s="1"/>
  <c r="AH918" i="1"/>
  <c r="AG918" i="1"/>
  <c r="AE918" i="1"/>
  <c r="AA918" i="1"/>
  <c r="U918" i="1"/>
  <c r="T918" i="1"/>
  <c r="S918" i="1"/>
  <c r="Q918" i="1"/>
  <c r="R918" i="1" s="1"/>
  <c r="AF918" i="1" s="1"/>
  <c r="O918" i="1"/>
  <c r="AD918" i="1" s="1"/>
  <c r="AI918" i="1" s="1"/>
  <c r="M918" i="1"/>
  <c r="K918" i="1"/>
  <c r="V918" i="1" s="1"/>
  <c r="AH917" i="1"/>
  <c r="AE917" i="1"/>
  <c r="AI917" i="1" s="1"/>
  <c r="AA917" i="1"/>
  <c r="Z917" i="1"/>
  <c r="AG917" i="1" s="1"/>
  <c r="U917" i="1"/>
  <c r="T917" i="1"/>
  <c r="S917" i="1"/>
  <c r="R917" i="1"/>
  <c r="AF917" i="1" s="1"/>
  <c r="Q917" i="1"/>
  <c r="O917" i="1"/>
  <c r="AD917" i="1" s="1"/>
  <c r="M917" i="1"/>
  <c r="K917" i="1"/>
  <c r="V917" i="1" s="1"/>
  <c r="AH916" i="1"/>
  <c r="AF916" i="1"/>
  <c r="AE916" i="1"/>
  <c r="AA916" i="1"/>
  <c r="Z916" i="1"/>
  <c r="AG916" i="1" s="1"/>
  <c r="V916" i="1"/>
  <c r="U916" i="1"/>
  <c r="T916" i="1"/>
  <c r="S916" i="1"/>
  <c r="R916" i="1"/>
  <c r="O916" i="1"/>
  <c r="AD916" i="1" s="1"/>
  <c r="M916" i="1"/>
  <c r="AH915" i="1"/>
  <c r="AG915" i="1"/>
  <c r="AE915" i="1"/>
  <c r="AA915" i="1"/>
  <c r="U915" i="1"/>
  <c r="T915" i="1"/>
  <c r="S915" i="1"/>
  <c r="Q915" i="1"/>
  <c r="R915" i="1" s="1"/>
  <c r="AF915" i="1" s="1"/>
  <c r="AI915" i="1" s="1"/>
  <c r="O915" i="1"/>
  <c r="AD915" i="1" s="1"/>
  <c r="M915" i="1"/>
  <c r="K915" i="1"/>
  <c r="V915" i="1" s="1"/>
  <c r="AH914" i="1"/>
  <c r="AG914" i="1"/>
  <c r="AE914" i="1"/>
  <c r="AA914" i="1"/>
  <c r="U914" i="1"/>
  <c r="T914" i="1"/>
  <c r="S914" i="1"/>
  <c r="Q914" i="1"/>
  <c r="R914" i="1" s="1"/>
  <c r="AF914" i="1" s="1"/>
  <c r="AI914" i="1" s="1"/>
  <c r="O914" i="1"/>
  <c r="AD914" i="1" s="1"/>
  <c r="M914" i="1"/>
  <c r="K914" i="1"/>
  <c r="V914" i="1" s="1"/>
  <c r="AH913" i="1"/>
  <c r="AE913" i="1"/>
  <c r="AA913" i="1"/>
  <c r="Z913" i="1"/>
  <c r="AG913" i="1" s="1"/>
  <c r="AI913" i="1" s="1"/>
  <c r="U913" i="1"/>
  <c r="T913" i="1"/>
  <c r="S913" i="1"/>
  <c r="R913" i="1"/>
  <c r="AF913" i="1" s="1"/>
  <c r="Q913" i="1"/>
  <c r="O913" i="1"/>
  <c r="AD913" i="1" s="1"/>
  <c r="M913" i="1"/>
  <c r="K913" i="1"/>
  <c r="V913" i="1" s="1"/>
  <c r="AH912" i="1"/>
  <c r="AF912" i="1"/>
  <c r="AE912" i="1"/>
  <c r="AA912" i="1"/>
  <c r="Z912" i="1"/>
  <c r="AG912" i="1" s="1"/>
  <c r="V912" i="1"/>
  <c r="U912" i="1"/>
  <c r="T912" i="1"/>
  <c r="S912" i="1"/>
  <c r="R912" i="1"/>
  <c r="O912" i="1"/>
  <c r="AD912" i="1" s="1"/>
  <c r="AI912" i="1" s="1"/>
  <c r="M912" i="1"/>
  <c r="AH911" i="1"/>
  <c r="AG911" i="1"/>
  <c r="AE911" i="1"/>
  <c r="AA911" i="1"/>
  <c r="U911" i="1"/>
  <c r="T911" i="1"/>
  <c r="S911" i="1"/>
  <c r="Q911" i="1"/>
  <c r="R911" i="1" s="1"/>
  <c r="AF911" i="1" s="1"/>
  <c r="O911" i="1"/>
  <c r="AD911" i="1" s="1"/>
  <c r="AI911" i="1" s="1"/>
  <c r="M911" i="1"/>
  <c r="K911" i="1"/>
  <c r="V911" i="1" s="1"/>
  <c r="AH910" i="1"/>
  <c r="AG910" i="1"/>
  <c r="AE910" i="1"/>
  <c r="AA910" i="1"/>
  <c r="U910" i="1"/>
  <c r="T910" i="1"/>
  <c r="S910" i="1"/>
  <c r="Q910" i="1"/>
  <c r="R910" i="1" s="1"/>
  <c r="AF910" i="1" s="1"/>
  <c r="O910" i="1"/>
  <c r="AD910" i="1" s="1"/>
  <c r="AI910" i="1" s="1"/>
  <c r="M910" i="1"/>
  <c r="K910" i="1"/>
  <c r="V910" i="1" s="1"/>
  <c r="AH909" i="1"/>
  <c r="AE909" i="1"/>
  <c r="AI909" i="1" s="1"/>
  <c r="AA909" i="1"/>
  <c r="Z909" i="1"/>
  <c r="AG909" i="1" s="1"/>
  <c r="U909" i="1"/>
  <c r="T909" i="1"/>
  <c r="S909" i="1"/>
  <c r="R909" i="1"/>
  <c r="AF909" i="1" s="1"/>
  <c r="Q909" i="1"/>
  <c r="O909" i="1"/>
  <c r="AD909" i="1" s="1"/>
  <c r="M909" i="1"/>
  <c r="K909" i="1"/>
  <c r="V909" i="1" s="1"/>
  <c r="AH908" i="1"/>
  <c r="AG908" i="1"/>
  <c r="AF908" i="1"/>
  <c r="AE908" i="1"/>
  <c r="AA908" i="1"/>
  <c r="U908" i="1"/>
  <c r="T908" i="1"/>
  <c r="S908" i="1"/>
  <c r="R908" i="1"/>
  <c r="Q908" i="1"/>
  <c r="O908" i="1"/>
  <c r="AD908" i="1" s="1"/>
  <c r="AI908" i="1" s="1"/>
  <c r="M908" i="1"/>
  <c r="K908" i="1"/>
  <c r="V908" i="1" s="1"/>
  <c r="AH907" i="1"/>
  <c r="AG907" i="1"/>
  <c r="AF907" i="1"/>
  <c r="AE907" i="1"/>
  <c r="AA907" i="1"/>
  <c r="U907" i="1"/>
  <c r="T907" i="1"/>
  <c r="S907" i="1"/>
  <c r="R907" i="1"/>
  <c r="Q907" i="1"/>
  <c r="O907" i="1"/>
  <c r="AD907" i="1" s="1"/>
  <c r="M907" i="1"/>
  <c r="K907" i="1"/>
  <c r="V907" i="1" s="1"/>
  <c r="AH906" i="1"/>
  <c r="AE906" i="1"/>
  <c r="AA906" i="1"/>
  <c r="Z906" i="1"/>
  <c r="AG906" i="1" s="1"/>
  <c r="U906" i="1"/>
  <c r="T906" i="1"/>
  <c r="S906" i="1"/>
  <c r="Q906" i="1"/>
  <c r="R906" i="1" s="1"/>
  <c r="AF906" i="1" s="1"/>
  <c r="O906" i="1"/>
  <c r="AD906" i="1" s="1"/>
  <c r="M906" i="1"/>
  <c r="K906" i="1"/>
  <c r="V906" i="1" s="1"/>
  <c r="AH905" i="1"/>
  <c r="AG905" i="1"/>
  <c r="AE905" i="1"/>
  <c r="AA905" i="1"/>
  <c r="Z905" i="1"/>
  <c r="V905" i="1"/>
  <c r="U905" i="1"/>
  <c r="T905" i="1"/>
  <c r="S905" i="1"/>
  <c r="R905" i="1"/>
  <c r="AF905" i="1" s="1"/>
  <c r="O905" i="1"/>
  <c r="AD905" i="1" s="1"/>
  <c r="AI905" i="1" s="1"/>
  <c r="M905" i="1"/>
  <c r="AH904" i="1"/>
  <c r="AG904" i="1"/>
  <c r="AF904" i="1"/>
  <c r="AE904" i="1"/>
  <c r="AA904" i="1"/>
  <c r="U904" i="1"/>
  <c r="T904" i="1"/>
  <c r="S904" i="1"/>
  <c r="R904" i="1"/>
  <c r="Q904" i="1"/>
  <c r="O904" i="1"/>
  <c r="AD904" i="1" s="1"/>
  <c r="AI904" i="1" s="1"/>
  <c r="M904" i="1"/>
  <c r="K904" i="1"/>
  <c r="V904" i="1" s="1"/>
  <c r="AH903" i="1"/>
  <c r="AG903" i="1"/>
  <c r="AF903" i="1"/>
  <c r="AE903" i="1"/>
  <c r="AA903" i="1"/>
  <c r="U903" i="1"/>
  <c r="T903" i="1"/>
  <c r="S903" i="1"/>
  <c r="R903" i="1"/>
  <c r="Q903" i="1"/>
  <c r="O903" i="1"/>
  <c r="AD903" i="1" s="1"/>
  <c r="M903" i="1"/>
  <c r="K903" i="1"/>
  <c r="V903" i="1" s="1"/>
  <c r="AH902" i="1"/>
  <c r="AE902" i="1"/>
  <c r="AA902" i="1"/>
  <c r="Z902" i="1"/>
  <c r="AG902" i="1" s="1"/>
  <c r="U902" i="1"/>
  <c r="T902" i="1"/>
  <c r="S902" i="1"/>
  <c r="Q902" i="1"/>
  <c r="R902" i="1" s="1"/>
  <c r="AF902" i="1" s="1"/>
  <c r="O902" i="1"/>
  <c r="AD902" i="1" s="1"/>
  <c r="M902" i="1"/>
  <c r="K902" i="1"/>
  <c r="V902" i="1" s="1"/>
  <c r="AH901" i="1"/>
  <c r="AG901" i="1"/>
  <c r="AE901" i="1"/>
  <c r="AA901" i="1"/>
  <c r="U901" i="1"/>
  <c r="T901" i="1"/>
  <c r="S901" i="1"/>
  <c r="Q901" i="1"/>
  <c r="R901" i="1" s="1"/>
  <c r="AF901" i="1" s="1"/>
  <c r="O901" i="1"/>
  <c r="AD901" i="1" s="1"/>
  <c r="AI901" i="1" s="1"/>
  <c r="M901" i="1"/>
  <c r="K901" i="1"/>
  <c r="V901" i="1" s="1"/>
  <c r="AH900" i="1"/>
  <c r="AG900" i="1"/>
  <c r="AE900" i="1"/>
  <c r="AA900" i="1"/>
  <c r="U900" i="1"/>
  <c r="T900" i="1"/>
  <c r="S900" i="1"/>
  <c r="Q900" i="1"/>
  <c r="R900" i="1" s="1"/>
  <c r="AF900" i="1" s="1"/>
  <c r="O900" i="1"/>
  <c r="AD900" i="1" s="1"/>
  <c r="M900" i="1"/>
  <c r="K900" i="1"/>
  <c r="V900" i="1" s="1"/>
  <c r="AH899" i="1"/>
  <c r="AG899" i="1"/>
  <c r="AE899" i="1"/>
  <c r="AA899" i="1"/>
  <c r="Z899" i="1"/>
  <c r="U899" i="1"/>
  <c r="T899" i="1"/>
  <c r="S899" i="1"/>
  <c r="Q899" i="1"/>
  <c r="R899" i="1" s="1"/>
  <c r="AF899" i="1" s="1"/>
  <c r="O899" i="1"/>
  <c r="AD899" i="1" s="1"/>
  <c r="AI899" i="1" s="1"/>
  <c r="M899" i="1"/>
  <c r="K899" i="1"/>
  <c r="V899" i="1" s="1"/>
  <c r="AH898" i="1"/>
  <c r="AG898" i="1"/>
  <c r="AE898" i="1"/>
  <c r="AA898" i="1"/>
  <c r="U898" i="1"/>
  <c r="T898" i="1"/>
  <c r="S898" i="1"/>
  <c r="Q898" i="1"/>
  <c r="R898" i="1" s="1"/>
  <c r="AF898" i="1" s="1"/>
  <c r="O898" i="1"/>
  <c r="AD898" i="1" s="1"/>
  <c r="AI898" i="1" s="1"/>
  <c r="M898" i="1"/>
  <c r="K898" i="1"/>
  <c r="V898" i="1" s="1"/>
  <c r="AH897" i="1"/>
  <c r="AG897" i="1"/>
  <c r="AE897" i="1"/>
  <c r="AA897" i="1"/>
  <c r="U897" i="1"/>
  <c r="T897" i="1"/>
  <c r="S897" i="1"/>
  <c r="Q897" i="1"/>
  <c r="R897" i="1" s="1"/>
  <c r="AF897" i="1" s="1"/>
  <c r="O897" i="1"/>
  <c r="AD897" i="1" s="1"/>
  <c r="AI897" i="1" s="1"/>
  <c r="M897" i="1"/>
  <c r="K897" i="1"/>
  <c r="V897" i="1" s="1"/>
  <c r="AH896" i="1"/>
  <c r="AE896" i="1"/>
  <c r="AD896" i="1"/>
  <c r="AI896" i="1" s="1"/>
  <c r="AA896" i="1"/>
  <c r="Z896" i="1"/>
  <c r="AG896" i="1" s="1"/>
  <c r="U896" i="1"/>
  <c r="T896" i="1"/>
  <c r="S896" i="1"/>
  <c r="Q896" i="1"/>
  <c r="R896" i="1" s="1"/>
  <c r="AF896" i="1" s="1"/>
  <c r="O896" i="1"/>
  <c r="M896" i="1"/>
  <c r="K896" i="1"/>
  <c r="V896" i="1" s="1"/>
  <c r="AH895" i="1"/>
  <c r="AE895" i="1"/>
  <c r="AA895" i="1"/>
  <c r="Z895" i="1"/>
  <c r="AG895" i="1" s="1"/>
  <c r="V895" i="1"/>
  <c r="U895" i="1"/>
  <c r="T895" i="1"/>
  <c r="S895" i="1"/>
  <c r="R895" i="1"/>
  <c r="AF895" i="1" s="1"/>
  <c r="O895" i="1"/>
  <c r="AD895" i="1" s="1"/>
  <c r="AI895" i="1" s="1"/>
  <c r="M895" i="1"/>
  <c r="AH894" i="1"/>
  <c r="AG894" i="1"/>
  <c r="AE894" i="1"/>
  <c r="AA894" i="1"/>
  <c r="U894" i="1"/>
  <c r="T894" i="1"/>
  <c r="S894" i="1"/>
  <c r="Q894" i="1"/>
  <c r="R894" i="1" s="1"/>
  <c r="AF894" i="1" s="1"/>
  <c r="O894" i="1"/>
  <c r="AD894" i="1" s="1"/>
  <c r="AI894" i="1" s="1"/>
  <c r="M894" i="1"/>
  <c r="K894" i="1"/>
  <c r="V894" i="1" s="1"/>
  <c r="AH893" i="1"/>
  <c r="AG893" i="1"/>
  <c r="AE893" i="1"/>
  <c r="AA893" i="1"/>
  <c r="U893" i="1"/>
  <c r="T893" i="1"/>
  <c r="S893" i="1"/>
  <c r="Q893" i="1"/>
  <c r="R893" i="1" s="1"/>
  <c r="AF893" i="1" s="1"/>
  <c r="O893" i="1"/>
  <c r="AD893" i="1" s="1"/>
  <c r="AI893" i="1" s="1"/>
  <c r="M893" i="1"/>
  <c r="K893" i="1"/>
  <c r="V893" i="1" s="1"/>
  <c r="AH892" i="1"/>
  <c r="AE892" i="1"/>
  <c r="AD892" i="1"/>
  <c r="AI892" i="1" s="1"/>
  <c r="AA892" i="1"/>
  <c r="Z892" i="1"/>
  <c r="AG892" i="1" s="1"/>
  <c r="U892" i="1"/>
  <c r="T892" i="1"/>
  <c r="S892" i="1"/>
  <c r="Q892" i="1"/>
  <c r="R892" i="1" s="1"/>
  <c r="AF892" i="1" s="1"/>
  <c r="O892" i="1"/>
  <c r="M892" i="1"/>
  <c r="K892" i="1"/>
  <c r="V892" i="1" s="1"/>
  <c r="AH891" i="1"/>
  <c r="AG891" i="1"/>
  <c r="AE891" i="1"/>
  <c r="AA891" i="1"/>
  <c r="V891" i="1"/>
  <c r="U891" i="1"/>
  <c r="T891" i="1"/>
  <c r="S891" i="1"/>
  <c r="R891" i="1"/>
  <c r="AF891" i="1" s="1"/>
  <c r="O891" i="1"/>
  <c r="AD891" i="1" s="1"/>
  <c r="AI891" i="1" s="1"/>
  <c r="M891" i="1"/>
  <c r="K891" i="1"/>
  <c r="AH890" i="1"/>
  <c r="AG890" i="1"/>
  <c r="AE890" i="1"/>
  <c r="AD890" i="1"/>
  <c r="AA890" i="1"/>
  <c r="V890" i="1"/>
  <c r="U890" i="1"/>
  <c r="T890" i="1"/>
  <c r="S890" i="1"/>
  <c r="R890" i="1"/>
  <c r="AF890" i="1" s="1"/>
  <c r="O890" i="1"/>
  <c r="M890" i="1"/>
  <c r="K890" i="1"/>
  <c r="AH889" i="1"/>
  <c r="AG889" i="1"/>
  <c r="AE889" i="1"/>
  <c r="AA889" i="1"/>
  <c r="Z889" i="1"/>
  <c r="V889" i="1"/>
  <c r="U889" i="1"/>
  <c r="T889" i="1"/>
  <c r="S889" i="1"/>
  <c r="R889" i="1"/>
  <c r="AF889" i="1" s="1"/>
  <c r="O889" i="1"/>
  <c r="AD889" i="1" s="1"/>
  <c r="AI889" i="1" s="1"/>
  <c r="M889" i="1"/>
  <c r="K889" i="1"/>
  <c r="AH888" i="1"/>
  <c r="AG888" i="1"/>
  <c r="AE888" i="1"/>
  <c r="AA888" i="1"/>
  <c r="Z888" i="1"/>
  <c r="U888" i="1"/>
  <c r="T888" i="1"/>
  <c r="S888" i="1"/>
  <c r="Q888" i="1"/>
  <c r="R888" i="1" s="1"/>
  <c r="AF888" i="1" s="1"/>
  <c r="O888" i="1"/>
  <c r="AD888" i="1" s="1"/>
  <c r="AI888" i="1" s="1"/>
  <c r="M888" i="1"/>
  <c r="K888" i="1"/>
  <c r="V888" i="1" s="1"/>
  <c r="AH887" i="1"/>
  <c r="AE887" i="1"/>
  <c r="AD887" i="1"/>
  <c r="AI887" i="1" s="1"/>
  <c r="AA887" i="1"/>
  <c r="Z887" i="1"/>
  <c r="AG887" i="1" s="1"/>
  <c r="U887" i="1"/>
  <c r="T887" i="1"/>
  <c r="S887" i="1"/>
  <c r="Q887" i="1"/>
  <c r="R887" i="1" s="1"/>
  <c r="AF887" i="1" s="1"/>
  <c r="O887" i="1"/>
  <c r="M887" i="1"/>
  <c r="K887" i="1"/>
  <c r="V887" i="1" s="1"/>
  <c r="AH886" i="1"/>
  <c r="AE886" i="1"/>
  <c r="AA886" i="1"/>
  <c r="Z886" i="1"/>
  <c r="AG886" i="1" s="1"/>
  <c r="U886" i="1"/>
  <c r="T886" i="1"/>
  <c r="S886" i="1"/>
  <c r="R886" i="1"/>
  <c r="AF886" i="1" s="1"/>
  <c r="Q886" i="1"/>
  <c r="O886" i="1"/>
  <c r="AD886" i="1" s="1"/>
  <c r="AI886" i="1" s="1"/>
  <c r="M886" i="1"/>
  <c r="K886" i="1"/>
  <c r="V886" i="1" s="1"/>
  <c r="AH885" i="1"/>
  <c r="AG885" i="1"/>
  <c r="AE885" i="1"/>
  <c r="AA885" i="1"/>
  <c r="U885" i="1"/>
  <c r="T885" i="1"/>
  <c r="S885" i="1"/>
  <c r="R885" i="1"/>
  <c r="AF885" i="1" s="1"/>
  <c r="Q885" i="1"/>
  <c r="O885" i="1"/>
  <c r="AD885" i="1" s="1"/>
  <c r="M885" i="1"/>
  <c r="K885" i="1"/>
  <c r="V885" i="1" s="1"/>
  <c r="AH884" i="1"/>
  <c r="AG884" i="1"/>
  <c r="AF884" i="1"/>
  <c r="AE884" i="1"/>
  <c r="AA884" i="1"/>
  <c r="U884" i="1"/>
  <c r="T884" i="1"/>
  <c r="S884" i="1"/>
  <c r="R884" i="1"/>
  <c r="Q884" i="1"/>
  <c r="O884" i="1"/>
  <c r="AD884" i="1" s="1"/>
  <c r="AI884" i="1" s="1"/>
  <c r="M884" i="1"/>
  <c r="K884" i="1"/>
  <c r="V884" i="1" s="1"/>
  <c r="AH883" i="1"/>
  <c r="AF883" i="1"/>
  <c r="AE883" i="1"/>
  <c r="AA883" i="1"/>
  <c r="Z883" i="1"/>
  <c r="AG883" i="1" s="1"/>
  <c r="U883" i="1"/>
  <c r="T883" i="1"/>
  <c r="S883" i="1"/>
  <c r="Q883" i="1"/>
  <c r="R883" i="1" s="1"/>
  <c r="O883" i="1"/>
  <c r="AD883" i="1" s="1"/>
  <c r="AI883" i="1" s="1"/>
  <c r="M883" i="1"/>
  <c r="K883" i="1"/>
  <c r="V883" i="1" s="1"/>
  <c r="AH882" i="1"/>
  <c r="AG882" i="1"/>
  <c r="AE882" i="1"/>
  <c r="AA882" i="1"/>
  <c r="Z882" i="1"/>
  <c r="V882" i="1"/>
  <c r="U882" i="1"/>
  <c r="T882" i="1"/>
  <c r="S882" i="1"/>
  <c r="R882" i="1"/>
  <c r="AF882" i="1" s="1"/>
  <c r="O882" i="1"/>
  <c r="AD882" i="1" s="1"/>
  <c r="M882" i="1"/>
  <c r="AH881" i="1"/>
  <c r="AG881" i="1"/>
  <c r="AE881" i="1"/>
  <c r="AA881" i="1"/>
  <c r="U881" i="1"/>
  <c r="T881" i="1"/>
  <c r="S881" i="1"/>
  <c r="R881" i="1"/>
  <c r="AF881" i="1" s="1"/>
  <c r="Q881" i="1"/>
  <c r="O881" i="1"/>
  <c r="AD881" i="1" s="1"/>
  <c r="M881" i="1"/>
  <c r="K881" i="1"/>
  <c r="V881" i="1" s="1"/>
  <c r="AH880" i="1"/>
  <c r="AG880" i="1"/>
  <c r="AF880" i="1"/>
  <c r="AE880" i="1"/>
  <c r="AA880" i="1"/>
  <c r="U880" i="1"/>
  <c r="T880" i="1"/>
  <c r="S880" i="1"/>
  <c r="R880" i="1"/>
  <c r="Q880" i="1"/>
  <c r="O880" i="1"/>
  <c r="AD880" i="1" s="1"/>
  <c r="AI880" i="1" s="1"/>
  <c r="M880" i="1"/>
  <c r="K880" i="1"/>
  <c r="V880" i="1" s="1"/>
  <c r="AH879" i="1"/>
  <c r="AF879" i="1"/>
  <c r="AE879" i="1"/>
  <c r="AA879" i="1"/>
  <c r="Z879" i="1"/>
  <c r="AG879" i="1" s="1"/>
  <c r="U879" i="1"/>
  <c r="T879" i="1"/>
  <c r="S879" i="1"/>
  <c r="Q879" i="1"/>
  <c r="R879" i="1" s="1"/>
  <c r="O879" i="1"/>
  <c r="AD879" i="1" s="1"/>
  <c r="AI879" i="1" s="1"/>
  <c r="M879" i="1"/>
  <c r="K879" i="1"/>
  <c r="V879" i="1" s="1"/>
  <c r="AH878" i="1"/>
  <c r="AG878" i="1"/>
  <c r="AE878" i="1"/>
  <c r="AD878" i="1"/>
  <c r="AA878" i="1"/>
  <c r="U878" i="1"/>
  <c r="T878" i="1"/>
  <c r="S878" i="1"/>
  <c r="R878" i="1"/>
  <c r="AF878" i="1" s="1"/>
  <c r="O878" i="1"/>
  <c r="M878" i="1"/>
  <c r="K878" i="1"/>
  <c r="V878" i="1" s="1"/>
  <c r="AH877" i="1"/>
  <c r="AG877" i="1"/>
  <c r="AE877" i="1"/>
  <c r="AD877" i="1"/>
  <c r="AA877" i="1"/>
  <c r="V877" i="1"/>
  <c r="U877" i="1"/>
  <c r="T877" i="1"/>
  <c r="S877" i="1"/>
  <c r="R877" i="1"/>
  <c r="AF877" i="1" s="1"/>
  <c r="O877" i="1"/>
  <c r="M877" i="1"/>
  <c r="K877" i="1"/>
  <c r="AH876" i="1"/>
  <c r="AE876" i="1"/>
  <c r="AA876" i="1"/>
  <c r="Z876" i="1"/>
  <c r="AG876" i="1" s="1"/>
  <c r="V876" i="1"/>
  <c r="U876" i="1"/>
  <c r="T876" i="1"/>
  <c r="S876" i="1"/>
  <c r="R876" i="1"/>
  <c r="AF876" i="1" s="1"/>
  <c r="O876" i="1"/>
  <c r="AD876" i="1" s="1"/>
  <c r="AI876" i="1" s="1"/>
  <c r="M876" i="1"/>
  <c r="K876" i="1"/>
  <c r="AH875" i="1"/>
  <c r="AE875" i="1"/>
  <c r="AA875" i="1"/>
  <c r="Z875" i="1"/>
  <c r="AG875" i="1" s="1"/>
  <c r="V875" i="1"/>
  <c r="U875" i="1"/>
  <c r="T875" i="1"/>
  <c r="S875" i="1"/>
  <c r="R875" i="1"/>
  <c r="AF875" i="1" s="1"/>
  <c r="O875" i="1"/>
  <c r="AD875" i="1" s="1"/>
  <c r="AI875" i="1" s="1"/>
  <c r="M875" i="1"/>
  <c r="AH874" i="1"/>
  <c r="AE874" i="1"/>
  <c r="AA874" i="1"/>
  <c r="Z874" i="1"/>
  <c r="AG874" i="1" s="1"/>
  <c r="V874" i="1"/>
  <c r="U874" i="1"/>
  <c r="T874" i="1"/>
  <c r="S874" i="1"/>
  <c r="R874" i="1"/>
  <c r="AF874" i="1" s="1"/>
  <c r="O874" i="1"/>
  <c r="AD874" i="1" s="1"/>
  <c r="AI874" i="1" s="1"/>
  <c r="M874" i="1"/>
  <c r="AH873" i="1"/>
  <c r="AG873" i="1"/>
  <c r="AE873" i="1"/>
  <c r="AD873" i="1"/>
  <c r="AA873" i="1"/>
  <c r="U873" i="1"/>
  <c r="T873" i="1"/>
  <c r="S873" i="1"/>
  <c r="R873" i="1"/>
  <c r="AF873" i="1" s="1"/>
  <c r="O873" i="1"/>
  <c r="M873" i="1"/>
  <c r="K873" i="1"/>
  <c r="V873" i="1" s="1"/>
  <c r="AH872" i="1"/>
  <c r="AG872" i="1"/>
  <c r="AE872" i="1"/>
  <c r="AD872" i="1"/>
  <c r="AA872" i="1"/>
  <c r="V872" i="1"/>
  <c r="U872" i="1"/>
  <c r="T872" i="1"/>
  <c r="S872" i="1"/>
  <c r="R872" i="1"/>
  <c r="AF872" i="1" s="1"/>
  <c r="O872" i="1"/>
  <c r="M872" i="1"/>
  <c r="K872" i="1"/>
  <c r="AH871" i="1"/>
  <c r="AE871" i="1"/>
  <c r="AA871" i="1"/>
  <c r="Z871" i="1"/>
  <c r="AG871" i="1" s="1"/>
  <c r="AI871" i="1" s="1"/>
  <c r="V871" i="1"/>
  <c r="U871" i="1"/>
  <c r="T871" i="1"/>
  <c r="S871" i="1"/>
  <c r="R871" i="1"/>
  <c r="AF871" i="1" s="1"/>
  <c r="O871" i="1"/>
  <c r="AD871" i="1" s="1"/>
  <c r="M871" i="1"/>
  <c r="K871" i="1"/>
  <c r="AH870" i="1"/>
  <c r="AE870" i="1"/>
  <c r="AA870" i="1"/>
  <c r="Z870" i="1"/>
  <c r="AG870" i="1" s="1"/>
  <c r="V870" i="1"/>
  <c r="U870" i="1"/>
  <c r="T870" i="1"/>
  <c r="S870" i="1"/>
  <c r="R870" i="1"/>
  <c r="AF870" i="1" s="1"/>
  <c r="O870" i="1"/>
  <c r="AD870" i="1" s="1"/>
  <c r="AI870" i="1" s="1"/>
  <c r="M870" i="1"/>
  <c r="AH869" i="1"/>
  <c r="AG869" i="1"/>
  <c r="AE869" i="1"/>
  <c r="AD869" i="1"/>
  <c r="AI869" i="1" s="1"/>
  <c r="AA869" i="1"/>
  <c r="V869" i="1"/>
  <c r="U869" i="1"/>
  <c r="T869" i="1"/>
  <c r="S869" i="1"/>
  <c r="R869" i="1"/>
  <c r="AF869" i="1" s="1"/>
  <c r="O869" i="1"/>
  <c r="M869" i="1"/>
  <c r="K869" i="1"/>
  <c r="AH868" i="1"/>
  <c r="AG868" i="1"/>
  <c r="AE868" i="1"/>
  <c r="AD868" i="1"/>
  <c r="AA868" i="1"/>
  <c r="U868" i="1"/>
  <c r="T868" i="1"/>
  <c r="S868" i="1"/>
  <c r="R868" i="1"/>
  <c r="AF868" i="1" s="1"/>
  <c r="O868" i="1"/>
  <c r="M868" i="1"/>
  <c r="K868" i="1"/>
  <c r="V868" i="1" s="1"/>
  <c r="AH867" i="1"/>
  <c r="AF867" i="1"/>
  <c r="AE867" i="1"/>
  <c r="AA867" i="1"/>
  <c r="Z867" i="1"/>
  <c r="AG867" i="1" s="1"/>
  <c r="U867" i="1"/>
  <c r="T867" i="1"/>
  <c r="S867" i="1"/>
  <c r="R867" i="1"/>
  <c r="O867" i="1"/>
  <c r="AD867" i="1" s="1"/>
  <c r="AI867" i="1" s="1"/>
  <c r="M867" i="1"/>
  <c r="K867" i="1"/>
  <c r="V867" i="1" s="1"/>
  <c r="AH866" i="1"/>
  <c r="AG866" i="1"/>
  <c r="AF866" i="1"/>
  <c r="AE866" i="1"/>
  <c r="AA866" i="1"/>
  <c r="U866" i="1"/>
  <c r="T866" i="1"/>
  <c r="S866" i="1"/>
  <c r="R866" i="1"/>
  <c r="Q866" i="1"/>
  <c r="O866" i="1"/>
  <c r="AD866" i="1" s="1"/>
  <c r="M866" i="1"/>
  <c r="K866" i="1"/>
  <c r="V866" i="1" s="1"/>
  <c r="AH865" i="1"/>
  <c r="AG865" i="1"/>
  <c r="AF865" i="1"/>
  <c r="AE865" i="1"/>
  <c r="AA865" i="1"/>
  <c r="U865" i="1"/>
  <c r="T865" i="1"/>
  <c r="S865" i="1"/>
  <c r="R865" i="1"/>
  <c r="Q865" i="1"/>
  <c r="O865" i="1"/>
  <c r="AD865" i="1" s="1"/>
  <c r="AI865" i="1" s="1"/>
  <c r="M865" i="1"/>
  <c r="K865" i="1"/>
  <c r="V865" i="1" s="1"/>
  <c r="AH864" i="1"/>
  <c r="AF864" i="1"/>
  <c r="AE864" i="1"/>
  <c r="AA864" i="1"/>
  <c r="Z864" i="1"/>
  <c r="AG864" i="1" s="1"/>
  <c r="U864" i="1"/>
  <c r="T864" i="1"/>
  <c r="S864" i="1"/>
  <c r="Q864" i="1"/>
  <c r="R864" i="1" s="1"/>
  <c r="O864" i="1"/>
  <c r="AD864" i="1" s="1"/>
  <c r="AI864" i="1" s="1"/>
  <c r="M864" i="1"/>
  <c r="K864" i="1"/>
  <c r="V864" i="1" s="1"/>
  <c r="AH863" i="1"/>
  <c r="AG863" i="1"/>
  <c r="AE863" i="1"/>
  <c r="AA863" i="1"/>
  <c r="U863" i="1"/>
  <c r="T863" i="1"/>
  <c r="S863" i="1"/>
  <c r="Q863" i="1"/>
  <c r="R863" i="1" s="1"/>
  <c r="AF863" i="1" s="1"/>
  <c r="O863" i="1"/>
  <c r="AD863" i="1" s="1"/>
  <c r="M863" i="1"/>
  <c r="K863" i="1"/>
  <c r="V863" i="1" s="1"/>
  <c r="AH862" i="1"/>
  <c r="AG862" i="1"/>
  <c r="AE862" i="1"/>
  <c r="AA862" i="1"/>
  <c r="U862" i="1"/>
  <c r="T862" i="1"/>
  <c r="S862" i="1"/>
  <c r="Q862" i="1"/>
  <c r="R862" i="1" s="1"/>
  <c r="AF862" i="1" s="1"/>
  <c r="O862" i="1"/>
  <c r="AD862" i="1" s="1"/>
  <c r="M862" i="1"/>
  <c r="K862" i="1"/>
  <c r="V862" i="1" s="1"/>
  <c r="AH861" i="1"/>
  <c r="AG861" i="1"/>
  <c r="AE861" i="1"/>
  <c r="AA861" i="1"/>
  <c r="Z861" i="1"/>
  <c r="U861" i="1"/>
  <c r="T861" i="1"/>
  <c r="S861" i="1"/>
  <c r="Q861" i="1"/>
  <c r="R861" i="1" s="1"/>
  <c r="AF861" i="1" s="1"/>
  <c r="O861" i="1"/>
  <c r="AD861" i="1" s="1"/>
  <c r="M861" i="1"/>
  <c r="K861" i="1"/>
  <c r="V861" i="1" s="1"/>
  <c r="AH860" i="1"/>
  <c r="AE860" i="1"/>
  <c r="AA860" i="1"/>
  <c r="Z860" i="1"/>
  <c r="AG860" i="1" s="1"/>
  <c r="V860" i="1"/>
  <c r="U860" i="1"/>
  <c r="T860" i="1"/>
  <c r="S860" i="1"/>
  <c r="R860" i="1"/>
  <c r="AF860" i="1" s="1"/>
  <c r="O860" i="1"/>
  <c r="AD860" i="1" s="1"/>
  <c r="AI860" i="1" s="1"/>
  <c r="M860" i="1"/>
  <c r="AH859" i="1"/>
  <c r="AG859" i="1"/>
  <c r="AE859" i="1"/>
  <c r="AA859" i="1"/>
  <c r="U859" i="1"/>
  <c r="T859" i="1"/>
  <c r="S859" i="1"/>
  <c r="Q859" i="1"/>
  <c r="R859" i="1" s="1"/>
  <c r="AF859" i="1" s="1"/>
  <c r="O859" i="1"/>
  <c r="AD859" i="1" s="1"/>
  <c r="AI859" i="1" s="1"/>
  <c r="M859" i="1"/>
  <c r="K859" i="1"/>
  <c r="V859" i="1" s="1"/>
  <c r="AH858" i="1"/>
  <c r="AG858" i="1"/>
  <c r="AE858" i="1"/>
  <c r="AA858" i="1"/>
  <c r="U858" i="1"/>
  <c r="T858" i="1"/>
  <c r="S858" i="1"/>
  <c r="Q858" i="1"/>
  <c r="R858" i="1" s="1"/>
  <c r="AF858" i="1" s="1"/>
  <c r="O858" i="1"/>
  <c r="AD858" i="1" s="1"/>
  <c r="M858" i="1"/>
  <c r="K858" i="1"/>
  <c r="V858" i="1" s="1"/>
  <c r="AH857" i="1"/>
  <c r="AG857" i="1"/>
  <c r="AE857" i="1"/>
  <c r="AA857" i="1"/>
  <c r="Z857" i="1"/>
  <c r="U857" i="1"/>
  <c r="T857" i="1"/>
  <c r="S857" i="1"/>
  <c r="Q857" i="1"/>
  <c r="R857" i="1" s="1"/>
  <c r="AF857" i="1" s="1"/>
  <c r="O857" i="1"/>
  <c r="AD857" i="1" s="1"/>
  <c r="AI857" i="1" s="1"/>
  <c r="M857" i="1"/>
  <c r="K857" i="1"/>
  <c r="V857" i="1" s="1"/>
  <c r="AH856" i="1"/>
  <c r="AG856" i="1"/>
  <c r="AE856" i="1"/>
  <c r="AA856" i="1"/>
  <c r="U856" i="1"/>
  <c r="T856" i="1"/>
  <c r="S856" i="1"/>
  <c r="Q856" i="1"/>
  <c r="R856" i="1" s="1"/>
  <c r="AF856" i="1" s="1"/>
  <c r="O856" i="1"/>
  <c r="AD856" i="1" s="1"/>
  <c r="AI856" i="1" s="1"/>
  <c r="M856" i="1"/>
  <c r="K856" i="1"/>
  <c r="V856" i="1" s="1"/>
  <c r="AH855" i="1"/>
  <c r="AG855" i="1"/>
  <c r="AE855" i="1"/>
  <c r="AA855" i="1"/>
  <c r="U855" i="1"/>
  <c r="T855" i="1"/>
  <c r="S855" i="1"/>
  <c r="Q855" i="1"/>
  <c r="R855" i="1" s="1"/>
  <c r="AF855" i="1" s="1"/>
  <c r="O855" i="1"/>
  <c r="AD855" i="1" s="1"/>
  <c r="AI855" i="1" s="1"/>
  <c r="M855" i="1"/>
  <c r="K855" i="1"/>
  <c r="V855" i="1" s="1"/>
  <c r="AH854" i="1"/>
  <c r="AG854" i="1"/>
  <c r="AE854" i="1"/>
  <c r="AD854" i="1"/>
  <c r="AA854" i="1"/>
  <c r="Z854" i="1"/>
  <c r="U854" i="1"/>
  <c r="T854" i="1"/>
  <c r="S854" i="1"/>
  <c r="Q854" i="1"/>
  <c r="R854" i="1" s="1"/>
  <c r="AF854" i="1" s="1"/>
  <c r="O854" i="1"/>
  <c r="M854" i="1"/>
  <c r="K854" i="1"/>
  <c r="V854" i="1" s="1"/>
  <c r="AH853" i="1"/>
  <c r="AE853" i="1"/>
  <c r="AA853" i="1"/>
  <c r="Z853" i="1"/>
  <c r="AG853" i="1" s="1"/>
  <c r="V853" i="1"/>
  <c r="U853" i="1"/>
  <c r="T853" i="1"/>
  <c r="S853" i="1"/>
  <c r="R853" i="1"/>
  <c r="AF853" i="1" s="1"/>
  <c r="AI853" i="1" s="1"/>
  <c r="O853" i="1"/>
  <c r="AD853" i="1" s="1"/>
  <c r="M853" i="1"/>
  <c r="AH852" i="1"/>
  <c r="AG852" i="1"/>
  <c r="AE852" i="1"/>
  <c r="AA852" i="1"/>
  <c r="U852" i="1"/>
  <c r="T852" i="1"/>
  <c r="S852" i="1"/>
  <c r="Q852" i="1"/>
  <c r="R852" i="1" s="1"/>
  <c r="AF852" i="1" s="1"/>
  <c r="O852" i="1"/>
  <c r="AD852" i="1" s="1"/>
  <c r="AI852" i="1" s="1"/>
  <c r="M852" i="1"/>
  <c r="K852" i="1"/>
  <c r="V852" i="1" s="1"/>
  <c r="AH851" i="1"/>
  <c r="AG851" i="1"/>
  <c r="AE851" i="1"/>
  <c r="AA851" i="1"/>
  <c r="U851" i="1"/>
  <c r="T851" i="1"/>
  <c r="S851" i="1"/>
  <c r="Q851" i="1"/>
  <c r="R851" i="1" s="1"/>
  <c r="AF851" i="1" s="1"/>
  <c r="O851" i="1"/>
  <c r="AD851" i="1" s="1"/>
  <c r="AI851" i="1" s="1"/>
  <c r="M851" i="1"/>
  <c r="K851" i="1"/>
  <c r="V851" i="1" s="1"/>
  <c r="AH850" i="1"/>
  <c r="AG850" i="1"/>
  <c r="AE850" i="1"/>
  <c r="AA850" i="1"/>
  <c r="Z850" i="1"/>
  <c r="V850" i="1"/>
  <c r="U850" i="1"/>
  <c r="T850" i="1"/>
  <c r="S850" i="1"/>
  <c r="R850" i="1"/>
  <c r="AF850" i="1" s="1"/>
  <c r="O850" i="1"/>
  <c r="AD850" i="1" s="1"/>
  <c r="AI850" i="1" s="1"/>
  <c r="M850" i="1"/>
  <c r="K850" i="1"/>
  <c r="AH849" i="1"/>
  <c r="AG849" i="1"/>
  <c r="AE849" i="1"/>
  <c r="AA849" i="1"/>
  <c r="Z849" i="1"/>
  <c r="V849" i="1"/>
  <c r="U849" i="1"/>
  <c r="T849" i="1"/>
  <c r="S849" i="1"/>
  <c r="R849" i="1"/>
  <c r="AF849" i="1" s="1"/>
  <c r="O849" i="1"/>
  <c r="AD849" i="1" s="1"/>
  <c r="AI849" i="1" s="1"/>
  <c r="M849" i="1"/>
  <c r="AH848" i="1"/>
  <c r="AG848" i="1"/>
  <c r="AE848" i="1"/>
  <c r="AA848" i="1"/>
  <c r="U848" i="1"/>
  <c r="T848" i="1"/>
  <c r="S848" i="1"/>
  <c r="R848" i="1"/>
  <c r="AF848" i="1" s="1"/>
  <c r="Q848" i="1"/>
  <c r="O848" i="1"/>
  <c r="AD848" i="1" s="1"/>
  <c r="AI848" i="1" s="1"/>
  <c r="M848" i="1"/>
  <c r="K848" i="1"/>
  <c r="V848" i="1" s="1"/>
  <c r="AH847" i="1"/>
  <c r="AG847" i="1"/>
  <c r="AE847" i="1"/>
  <c r="AA847" i="1"/>
  <c r="U847" i="1"/>
  <c r="T847" i="1"/>
  <c r="S847" i="1"/>
  <c r="R847" i="1"/>
  <c r="AF847" i="1" s="1"/>
  <c r="Q847" i="1"/>
  <c r="O847" i="1"/>
  <c r="AD847" i="1" s="1"/>
  <c r="AI847" i="1" s="1"/>
  <c r="M847" i="1"/>
  <c r="K847" i="1"/>
  <c r="V847" i="1" s="1"/>
  <c r="AH846" i="1"/>
  <c r="AG846" i="1"/>
  <c r="AE846" i="1"/>
  <c r="AA846" i="1"/>
  <c r="Z846" i="1"/>
  <c r="U846" i="1"/>
  <c r="T846" i="1"/>
  <c r="S846" i="1"/>
  <c r="Q846" i="1"/>
  <c r="R846" i="1" s="1"/>
  <c r="AF846" i="1" s="1"/>
  <c r="O846" i="1"/>
  <c r="AD846" i="1" s="1"/>
  <c r="AI846" i="1" s="1"/>
  <c r="M846" i="1"/>
  <c r="K846" i="1"/>
  <c r="V846" i="1" s="1"/>
  <c r="AH845" i="1"/>
  <c r="AG845" i="1"/>
  <c r="AE845" i="1"/>
  <c r="AA845" i="1"/>
  <c r="U845" i="1"/>
  <c r="T845" i="1"/>
  <c r="S845" i="1"/>
  <c r="Q845" i="1"/>
  <c r="R845" i="1" s="1"/>
  <c r="AF845" i="1" s="1"/>
  <c r="O845" i="1"/>
  <c r="AD845" i="1" s="1"/>
  <c r="AI845" i="1" s="1"/>
  <c r="M845" i="1"/>
  <c r="K845" i="1"/>
  <c r="V845" i="1" s="1"/>
  <c r="AH844" i="1"/>
  <c r="AG844" i="1"/>
  <c r="AE844" i="1"/>
  <c r="AA844" i="1"/>
  <c r="U844" i="1"/>
  <c r="T844" i="1"/>
  <c r="S844" i="1"/>
  <c r="Q844" i="1"/>
  <c r="R844" i="1" s="1"/>
  <c r="AF844" i="1" s="1"/>
  <c r="O844" i="1"/>
  <c r="AD844" i="1" s="1"/>
  <c r="AI844" i="1" s="1"/>
  <c r="M844" i="1"/>
  <c r="K844" i="1"/>
  <c r="V844" i="1" s="1"/>
  <c r="AH843" i="1"/>
  <c r="AG843" i="1"/>
  <c r="AE843" i="1"/>
  <c r="AD843" i="1"/>
  <c r="AA843" i="1"/>
  <c r="Z843" i="1"/>
  <c r="U843" i="1"/>
  <c r="T843" i="1"/>
  <c r="S843" i="1"/>
  <c r="Q843" i="1"/>
  <c r="R843" i="1" s="1"/>
  <c r="AF843" i="1" s="1"/>
  <c r="O843" i="1"/>
  <c r="M843" i="1"/>
  <c r="K843" i="1"/>
  <c r="V843" i="1" s="1"/>
  <c r="AH842" i="1"/>
  <c r="AE842" i="1"/>
  <c r="AA842" i="1"/>
  <c r="Z842" i="1"/>
  <c r="AG842" i="1" s="1"/>
  <c r="V842" i="1"/>
  <c r="U842" i="1"/>
  <c r="T842" i="1"/>
  <c r="S842" i="1"/>
  <c r="R842" i="1"/>
  <c r="AF842" i="1" s="1"/>
  <c r="AI842" i="1" s="1"/>
  <c r="O842" i="1"/>
  <c r="AD842" i="1" s="1"/>
  <c r="M842" i="1"/>
  <c r="AH841" i="1"/>
  <c r="AG841" i="1"/>
  <c r="AE841" i="1"/>
  <c r="AA841" i="1"/>
  <c r="U841" i="1"/>
  <c r="T841" i="1"/>
  <c r="S841" i="1"/>
  <c r="Q841" i="1"/>
  <c r="R841" i="1" s="1"/>
  <c r="AF841" i="1" s="1"/>
  <c r="O841" i="1"/>
  <c r="AD841" i="1" s="1"/>
  <c r="AI841" i="1" s="1"/>
  <c r="M841" i="1"/>
  <c r="K841" i="1"/>
  <c r="V841" i="1" s="1"/>
  <c r="AH840" i="1"/>
  <c r="AG840" i="1"/>
  <c r="AE840" i="1"/>
  <c r="AA840" i="1"/>
  <c r="U840" i="1"/>
  <c r="T840" i="1"/>
  <c r="S840" i="1"/>
  <c r="Q840" i="1"/>
  <c r="R840" i="1" s="1"/>
  <c r="AF840" i="1" s="1"/>
  <c r="O840" i="1"/>
  <c r="AD840" i="1" s="1"/>
  <c r="AI840" i="1" s="1"/>
  <c r="M840" i="1"/>
  <c r="K840" i="1"/>
  <c r="V840" i="1" s="1"/>
  <c r="AH839" i="1"/>
  <c r="AG839" i="1"/>
  <c r="AE839" i="1"/>
  <c r="AD839" i="1"/>
  <c r="AA839" i="1"/>
  <c r="Z839" i="1"/>
  <c r="U839" i="1"/>
  <c r="T839" i="1"/>
  <c r="S839" i="1"/>
  <c r="Q839" i="1"/>
  <c r="R839" i="1" s="1"/>
  <c r="AF839" i="1" s="1"/>
  <c r="O839" i="1"/>
  <c r="M839" i="1"/>
  <c r="K839" i="1"/>
  <c r="V839" i="1" s="1"/>
  <c r="AH838" i="1"/>
  <c r="AE838" i="1"/>
  <c r="AA838" i="1"/>
  <c r="Z838" i="1"/>
  <c r="AG838" i="1" s="1"/>
  <c r="AI838" i="1" s="1"/>
  <c r="V838" i="1"/>
  <c r="U838" i="1"/>
  <c r="T838" i="1"/>
  <c r="S838" i="1"/>
  <c r="R838" i="1"/>
  <c r="AF838" i="1" s="1"/>
  <c r="O838" i="1"/>
  <c r="AD838" i="1" s="1"/>
  <c r="M838" i="1"/>
  <c r="AH837" i="1"/>
  <c r="AG837" i="1"/>
  <c r="AE837" i="1"/>
  <c r="AD837" i="1"/>
  <c r="AA837" i="1"/>
  <c r="U837" i="1"/>
  <c r="T837" i="1"/>
  <c r="S837" i="1"/>
  <c r="R837" i="1"/>
  <c r="AF837" i="1" s="1"/>
  <c r="O837" i="1"/>
  <c r="M837" i="1"/>
  <c r="K837" i="1"/>
  <c r="V837" i="1" s="1"/>
  <c r="AH836" i="1"/>
  <c r="AG836" i="1"/>
  <c r="AE836" i="1"/>
  <c r="AD836" i="1"/>
  <c r="AA836" i="1"/>
  <c r="U836" i="1"/>
  <c r="T836" i="1"/>
  <c r="S836" i="1"/>
  <c r="R836" i="1"/>
  <c r="AF836" i="1" s="1"/>
  <c r="O836" i="1"/>
  <c r="M836" i="1"/>
  <c r="K836" i="1"/>
  <c r="V836" i="1" s="1"/>
  <c r="AH835" i="1"/>
  <c r="AF835" i="1"/>
  <c r="AE835" i="1"/>
  <c r="AA835" i="1"/>
  <c r="Z835" i="1"/>
  <c r="AG835" i="1" s="1"/>
  <c r="U835" i="1"/>
  <c r="T835" i="1"/>
  <c r="S835" i="1"/>
  <c r="R835" i="1"/>
  <c r="O835" i="1"/>
  <c r="AD835" i="1" s="1"/>
  <c r="M835" i="1"/>
  <c r="K835" i="1"/>
  <c r="V835" i="1" s="1"/>
  <c r="AH834" i="1"/>
  <c r="AG834" i="1"/>
  <c r="AF834" i="1"/>
  <c r="AE834" i="1"/>
  <c r="AA834" i="1"/>
  <c r="Z834" i="1"/>
  <c r="V834" i="1"/>
  <c r="U834" i="1"/>
  <c r="T834" i="1"/>
  <c r="S834" i="1"/>
  <c r="R834" i="1"/>
  <c r="O834" i="1"/>
  <c r="M834" i="1"/>
  <c r="AH833" i="1"/>
  <c r="AG833" i="1"/>
  <c r="AE833" i="1"/>
  <c r="AA833" i="1"/>
  <c r="U833" i="1"/>
  <c r="T833" i="1"/>
  <c r="S833" i="1"/>
  <c r="Q833" i="1"/>
  <c r="R833" i="1" s="1"/>
  <c r="AF833" i="1" s="1"/>
  <c r="O833" i="1"/>
  <c r="AD833" i="1" s="1"/>
  <c r="AI833" i="1" s="1"/>
  <c r="M833" i="1"/>
  <c r="K833" i="1"/>
  <c r="V833" i="1" s="1"/>
  <c r="AH832" i="1"/>
  <c r="AG832" i="1"/>
  <c r="AE832" i="1"/>
  <c r="AA832" i="1"/>
  <c r="U832" i="1"/>
  <c r="T832" i="1"/>
  <c r="S832" i="1"/>
  <c r="Q832" i="1"/>
  <c r="R832" i="1" s="1"/>
  <c r="AF832" i="1" s="1"/>
  <c r="O832" i="1"/>
  <c r="AD832" i="1" s="1"/>
  <c r="AI832" i="1" s="1"/>
  <c r="M832" i="1"/>
  <c r="K832" i="1"/>
  <c r="V832" i="1" s="1"/>
  <c r="AH831" i="1"/>
  <c r="AE831" i="1"/>
  <c r="AI831" i="1" s="1"/>
  <c r="AD831" i="1"/>
  <c r="AA831" i="1"/>
  <c r="Z831" i="1"/>
  <c r="AG831" i="1" s="1"/>
  <c r="U831" i="1"/>
  <c r="T831" i="1"/>
  <c r="S831" i="1"/>
  <c r="R831" i="1"/>
  <c r="AF831" i="1" s="1"/>
  <c r="Q831" i="1"/>
  <c r="O831" i="1"/>
  <c r="M831" i="1"/>
  <c r="K831" i="1"/>
  <c r="V831" i="1" s="1"/>
  <c r="AH830" i="1"/>
  <c r="AF830" i="1"/>
  <c r="AE830" i="1"/>
  <c r="AA830" i="1"/>
  <c r="Z830" i="1"/>
  <c r="AG830" i="1" s="1"/>
  <c r="V830" i="1"/>
  <c r="U830" i="1"/>
  <c r="T830" i="1"/>
  <c r="S830" i="1"/>
  <c r="R830" i="1"/>
  <c r="O830" i="1"/>
  <c r="AD830" i="1" s="1"/>
  <c r="M830" i="1"/>
  <c r="AI829" i="1"/>
  <c r="AH829" i="1"/>
  <c r="AG829" i="1"/>
  <c r="AE829" i="1"/>
  <c r="AA829" i="1"/>
  <c r="V829" i="1"/>
  <c r="U829" i="1"/>
  <c r="T829" i="1"/>
  <c r="S829" i="1"/>
  <c r="R829" i="1"/>
  <c r="AF829" i="1" s="1"/>
  <c r="O829" i="1"/>
  <c r="AD829" i="1" s="1"/>
  <c r="M829" i="1"/>
  <c r="K829" i="1"/>
  <c r="AH828" i="1"/>
  <c r="AG828" i="1"/>
  <c r="AE828" i="1"/>
  <c r="AD828" i="1"/>
  <c r="AI828" i="1" s="1"/>
  <c r="AA828" i="1"/>
  <c r="U828" i="1"/>
  <c r="T828" i="1"/>
  <c r="S828" i="1"/>
  <c r="R828" i="1"/>
  <c r="AF828" i="1" s="1"/>
  <c r="O828" i="1"/>
  <c r="M828" i="1"/>
  <c r="K828" i="1"/>
  <c r="V828" i="1" s="1"/>
  <c r="AH827" i="1"/>
  <c r="AG827" i="1"/>
  <c r="AF827" i="1"/>
  <c r="AE827" i="1"/>
  <c r="AA827" i="1"/>
  <c r="Z827" i="1"/>
  <c r="U827" i="1"/>
  <c r="T827" i="1"/>
  <c r="S827" i="1"/>
  <c r="R827" i="1"/>
  <c r="O827" i="1"/>
  <c r="AD827" i="1" s="1"/>
  <c r="AI827" i="1" s="1"/>
  <c r="M827" i="1"/>
  <c r="K827" i="1"/>
  <c r="V827" i="1" s="1"/>
  <c r="AH826" i="1"/>
  <c r="AG826" i="1"/>
  <c r="AE826" i="1"/>
  <c r="AA826" i="1"/>
  <c r="U826" i="1"/>
  <c r="T826" i="1"/>
  <c r="S826" i="1"/>
  <c r="R826" i="1"/>
  <c r="AF826" i="1" s="1"/>
  <c r="Q826" i="1"/>
  <c r="O826" i="1"/>
  <c r="AD826" i="1" s="1"/>
  <c r="AI826" i="1" s="1"/>
  <c r="M826" i="1"/>
  <c r="K826" i="1"/>
  <c r="V826" i="1" s="1"/>
  <c r="AH825" i="1"/>
  <c r="AG825" i="1"/>
  <c r="AE825" i="1"/>
  <c r="AA825" i="1"/>
  <c r="U825" i="1"/>
  <c r="T825" i="1"/>
  <c r="S825" i="1"/>
  <c r="R825" i="1"/>
  <c r="AF825" i="1" s="1"/>
  <c r="Q825" i="1"/>
  <c r="O825" i="1"/>
  <c r="AD825" i="1" s="1"/>
  <c r="AI825" i="1" s="1"/>
  <c r="M825" i="1"/>
  <c r="K825" i="1"/>
  <c r="V825" i="1" s="1"/>
  <c r="AH824" i="1"/>
  <c r="AG824" i="1"/>
  <c r="AE824" i="1"/>
  <c r="AA824" i="1"/>
  <c r="Z824" i="1"/>
  <c r="U824" i="1"/>
  <c r="T824" i="1"/>
  <c r="S824" i="1"/>
  <c r="Q824" i="1"/>
  <c r="R824" i="1" s="1"/>
  <c r="AF824" i="1" s="1"/>
  <c r="O824" i="1"/>
  <c r="AD824" i="1" s="1"/>
  <c r="AI824" i="1" s="1"/>
  <c r="M824" i="1"/>
  <c r="K824" i="1"/>
  <c r="V824" i="1" s="1"/>
  <c r="AH823" i="1"/>
  <c r="AG823" i="1"/>
  <c r="AE823" i="1"/>
  <c r="AD823" i="1"/>
  <c r="AA823" i="1"/>
  <c r="U823" i="1"/>
  <c r="T823" i="1"/>
  <c r="S823" i="1"/>
  <c r="R823" i="1"/>
  <c r="AF823" i="1" s="1"/>
  <c r="O823" i="1"/>
  <c r="M823" i="1"/>
  <c r="K823" i="1"/>
  <c r="V823" i="1" s="1"/>
  <c r="AH822" i="1"/>
  <c r="AG822" i="1"/>
  <c r="AE822" i="1"/>
  <c r="AD822" i="1"/>
  <c r="AA822" i="1"/>
  <c r="U822" i="1"/>
  <c r="T822" i="1"/>
  <c r="S822" i="1"/>
  <c r="R822" i="1"/>
  <c r="AF822" i="1" s="1"/>
  <c r="O822" i="1"/>
  <c r="M822" i="1"/>
  <c r="K822" i="1"/>
  <c r="V822" i="1" s="1"/>
  <c r="AH821" i="1"/>
  <c r="AF821" i="1"/>
  <c r="AE821" i="1"/>
  <c r="AA821" i="1"/>
  <c r="Z821" i="1"/>
  <c r="AG821" i="1" s="1"/>
  <c r="U821" i="1"/>
  <c r="T821" i="1"/>
  <c r="S821" i="1"/>
  <c r="R821" i="1"/>
  <c r="O821" i="1"/>
  <c r="AD821" i="1" s="1"/>
  <c r="AI821" i="1" s="1"/>
  <c r="M821" i="1"/>
  <c r="K821" i="1"/>
  <c r="V821" i="1" s="1"/>
  <c r="AH820" i="1"/>
  <c r="AF820" i="1"/>
  <c r="AE820" i="1"/>
  <c r="AA820" i="1"/>
  <c r="Z820" i="1"/>
  <c r="AG820" i="1" s="1"/>
  <c r="U820" i="1"/>
  <c r="S820" i="1"/>
  <c r="R820" i="1"/>
  <c r="M820" i="1"/>
  <c r="K820" i="1"/>
  <c r="V820" i="1" s="1"/>
  <c r="H820" i="1"/>
  <c r="O820" i="1" s="1"/>
  <c r="AD820" i="1" s="1"/>
  <c r="AI820" i="1" s="1"/>
  <c r="AH819" i="1"/>
  <c r="AG819" i="1"/>
  <c r="AF819" i="1"/>
  <c r="AE819" i="1"/>
  <c r="AA819" i="1"/>
  <c r="Z819" i="1"/>
  <c r="U819" i="1"/>
  <c r="T819" i="1"/>
  <c r="S819" i="1"/>
  <c r="R819" i="1"/>
  <c r="O819" i="1"/>
  <c r="AD819" i="1" s="1"/>
  <c r="AI819" i="1" s="1"/>
  <c r="M819" i="1"/>
  <c r="K819" i="1"/>
  <c r="V819" i="1" s="1"/>
  <c r="H819" i="1"/>
  <c r="AH818" i="1"/>
  <c r="AG818" i="1"/>
  <c r="AE818" i="1"/>
  <c r="AA818" i="1"/>
  <c r="Z818" i="1"/>
  <c r="V818" i="1"/>
  <c r="U818" i="1"/>
  <c r="T818" i="1"/>
  <c r="S818" i="1"/>
  <c r="R818" i="1"/>
  <c r="AF818" i="1" s="1"/>
  <c r="O818" i="1"/>
  <c r="AD818" i="1" s="1"/>
  <c r="AI818" i="1" s="1"/>
  <c r="M818" i="1"/>
  <c r="K818" i="1"/>
  <c r="H818" i="1"/>
  <c r="AH817" i="1"/>
  <c r="AE817" i="1"/>
  <c r="AA817" i="1"/>
  <c r="Z817" i="1"/>
  <c r="AG817" i="1" s="1"/>
  <c r="V817" i="1"/>
  <c r="U817" i="1"/>
  <c r="T817" i="1"/>
  <c r="S817" i="1"/>
  <c r="R817" i="1"/>
  <c r="AF817" i="1" s="1"/>
  <c r="O817" i="1"/>
  <c r="AD817" i="1" s="1"/>
  <c r="AI817" i="1" s="1"/>
  <c r="M817" i="1"/>
  <c r="AH816" i="1"/>
  <c r="AG816" i="1"/>
  <c r="AE816" i="1"/>
  <c r="AD816" i="1"/>
  <c r="AA816" i="1"/>
  <c r="U816" i="1"/>
  <c r="T816" i="1"/>
  <c r="S816" i="1"/>
  <c r="R816" i="1"/>
  <c r="AF816" i="1" s="1"/>
  <c r="O816" i="1"/>
  <c r="M816" i="1"/>
  <c r="K816" i="1"/>
  <c r="V816" i="1" s="1"/>
  <c r="AH815" i="1"/>
  <c r="AG815" i="1"/>
  <c r="AE815" i="1"/>
  <c r="AD815" i="1"/>
  <c r="AA815" i="1"/>
  <c r="U815" i="1"/>
  <c r="T815" i="1"/>
  <c r="S815" i="1"/>
  <c r="R815" i="1"/>
  <c r="AF815" i="1" s="1"/>
  <c r="O815" i="1"/>
  <c r="M815" i="1"/>
  <c r="K815" i="1"/>
  <c r="V815" i="1" s="1"/>
  <c r="AH814" i="1"/>
  <c r="AF814" i="1"/>
  <c r="AE814" i="1"/>
  <c r="AA814" i="1"/>
  <c r="Z814" i="1"/>
  <c r="AG814" i="1" s="1"/>
  <c r="U814" i="1"/>
  <c r="T814" i="1"/>
  <c r="S814" i="1"/>
  <c r="R814" i="1"/>
  <c r="O814" i="1"/>
  <c r="AD814" i="1" s="1"/>
  <c r="AI814" i="1" s="1"/>
  <c r="M814" i="1"/>
  <c r="K814" i="1"/>
  <c r="V814" i="1" s="1"/>
  <c r="AH813" i="1"/>
  <c r="AG813" i="1"/>
  <c r="AF813" i="1"/>
  <c r="AE813" i="1"/>
  <c r="AA813" i="1"/>
  <c r="U813" i="1"/>
  <c r="T813" i="1"/>
  <c r="S813" i="1"/>
  <c r="R813" i="1"/>
  <c r="Q813" i="1"/>
  <c r="O813" i="1"/>
  <c r="AD813" i="1" s="1"/>
  <c r="M813" i="1"/>
  <c r="K813" i="1"/>
  <c r="V813" i="1" s="1"/>
  <c r="AH812" i="1"/>
  <c r="AG812" i="1"/>
  <c r="AF812" i="1"/>
  <c r="AE812" i="1"/>
  <c r="AA812" i="1"/>
  <c r="U812" i="1"/>
  <c r="T812" i="1"/>
  <c r="S812" i="1"/>
  <c r="R812" i="1"/>
  <c r="Q812" i="1"/>
  <c r="O812" i="1"/>
  <c r="AD812" i="1" s="1"/>
  <c r="AI812" i="1" s="1"/>
  <c r="M812" i="1"/>
  <c r="K812" i="1"/>
  <c r="V812" i="1" s="1"/>
  <c r="AH811" i="1"/>
  <c r="AF811" i="1"/>
  <c r="AE811" i="1"/>
  <c r="AA811" i="1"/>
  <c r="Z811" i="1"/>
  <c r="AG811" i="1" s="1"/>
  <c r="U811" i="1"/>
  <c r="T811" i="1"/>
  <c r="S811" i="1"/>
  <c r="R811" i="1"/>
  <c r="Q811" i="1"/>
  <c r="O811" i="1"/>
  <c r="AD811" i="1" s="1"/>
  <c r="AI811" i="1" s="1"/>
  <c r="M811" i="1"/>
  <c r="K811" i="1"/>
  <c r="V811" i="1" s="1"/>
  <c r="AH810" i="1"/>
  <c r="AG810" i="1"/>
  <c r="AE810" i="1"/>
  <c r="AA810" i="1"/>
  <c r="U810" i="1"/>
  <c r="T810" i="1"/>
  <c r="S810" i="1"/>
  <c r="R810" i="1"/>
  <c r="AF810" i="1" s="1"/>
  <c r="Q810" i="1"/>
  <c r="O810" i="1"/>
  <c r="AD810" i="1" s="1"/>
  <c r="AI810" i="1" s="1"/>
  <c r="M810" i="1"/>
  <c r="K810" i="1"/>
  <c r="V810" i="1" s="1"/>
  <c r="AH809" i="1"/>
  <c r="AG809" i="1"/>
  <c r="AE809" i="1"/>
  <c r="AA809" i="1"/>
  <c r="U809" i="1"/>
  <c r="T809" i="1"/>
  <c r="S809" i="1"/>
  <c r="R809" i="1"/>
  <c r="AF809" i="1" s="1"/>
  <c r="Q809" i="1"/>
  <c r="O809" i="1"/>
  <c r="AD809" i="1" s="1"/>
  <c r="AI809" i="1" s="1"/>
  <c r="M809" i="1"/>
  <c r="K809" i="1"/>
  <c r="V809" i="1" s="1"/>
  <c r="AH808" i="1"/>
  <c r="AG808" i="1"/>
  <c r="AE808" i="1"/>
  <c r="AA808" i="1"/>
  <c r="Z808" i="1"/>
  <c r="U808" i="1"/>
  <c r="T808" i="1"/>
  <c r="S808" i="1"/>
  <c r="Q808" i="1"/>
  <c r="R808" i="1" s="1"/>
  <c r="AF808" i="1" s="1"/>
  <c r="O808" i="1"/>
  <c r="AD808" i="1" s="1"/>
  <c r="AI808" i="1" s="1"/>
  <c r="M808" i="1"/>
  <c r="K808" i="1"/>
  <c r="V808" i="1" s="1"/>
  <c r="AH807" i="1"/>
  <c r="AG807" i="1"/>
  <c r="AE807" i="1"/>
  <c r="AA807" i="1"/>
  <c r="U807" i="1"/>
  <c r="T807" i="1"/>
  <c r="S807" i="1"/>
  <c r="Q807" i="1"/>
  <c r="R807" i="1" s="1"/>
  <c r="AF807" i="1" s="1"/>
  <c r="O807" i="1"/>
  <c r="AD807" i="1" s="1"/>
  <c r="AI807" i="1" s="1"/>
  <c r="M807" i="1"/>
  <c r="K807" i="1"/>
  <c r="V807" i="1" s="1"/>
  <c r="AH806" i="1"/>
  <c r="AG806" i="1"/>
  <c r="AE806" i="1"/>
  <c r="AA806" i="1"/>
  <c r="U806" i="1"/>
  <c r="T806" i="1"/>
  <c r="S806" i="1"/>
  <c r="Q806" i="1"/>
  <c r="R806" i="1" s="1"/>
  <c r="AF806" i="1" s="1"/>
  <c r="O806" i="1"/>
  <c r="AD806" i="1" s="1"/>
  <c r="AI806" i="1" s="1"/>
  <c r="M806" i="1"/>
  <c r="K806" i="1"/>
  <c r="V806" i="1" s="1"/>
  <c r="AH805" i="1"/>
  <c r="AG805" i="1"/>
  <c r="AE805" i="1"/>
  <c r="AD805" i="1"/>
  <c r="AA805" i="1"/>
  <c r="Z805" i="1"/>
  <c r="U805" i="1"/>
  <c r="T805" i="1"/>
  <c r="S805" i="1"/>
  <c r="Q805" i="1"/>
  <c r="R805" i="1" s="1"/>
  <c r="AF805" i="1" s="1"/>
  <c r="O805" i="1"/>
  <c r="M805" i="1"/>
  <c r="K805" i="1"/>
  <c r="V805" i="1" s="1"/>
  <c r="AH804" i="1"/>
  <c r="AE804" i="1"/>
  <c r="AA804" i="1"/>
  <c r="Z804" i="1"/>
  <c r="AG804" i="1" s="1"/>
  <c r="AI804" i="1" s="1"/>
  <c r="V804" i="1"/>
  <c r="U804" i="1"/>
  <c r="T804" i="1"/>
  <c r="S804" i="1"/>
  <c r="R804" i="1"/>
  <c r="AF804" i="1" s="1"/>
  <c r="O804" i="1"/>
  <c r="AD804" i="1" s="1"/>
  <c r="M804" i="1"/>
  <c r="AH803" i="1"/>
  <c r="AG803" i="1"/>
  <c r="AE803" i="1"/>
  <c r="AD803" i="1"/>
  <c r="AA803" i="1"/>
  <c r="U803" i="1"/>
  <c r="T803" i="1"/>
  <c r="S803" i="1"/>
  <c r="Q803" i="1"/>
  <c r="R803" i="1" s="1"/>
  <c r="AF803" i="1" s="1"/>
  <c r="O803" i="1"/>
  <c r="M803" i="1"/>
  <c r="K803" i="1"/>
  <c r="V803" i="1" s="1"/>
  <c r="AH802" i="1"/>
  <c r="AG802" i="1"/>
  <c r="AE802" i="1"/>
  <c r="AD802" i="1"/>
  <c r="AA802" i="1"/>
  <c r="U802" i="1"/>
  <c r="T802" i="1"/>
  <c r="S802" i="1"/>
  <c r="Q802" i="1"/>
  <c r="R802" i="1" s="1"/>
  <c r="AF802" i="1" s="1"/>
  <c r="O802" i="1"/>
  <c r="M802" i="1"/>
  <c r="K802" i="1"/>
  <c r="V802" i="1" s="1"/>
  <c r="AH801" i="1"/>
  <c r="AG801" i="1"/>
  <c r="AE801" i="1"/>
  <c r="AD801" i="1"/>
  <c r="AA801" i="1"/>
  <c r="Z801" i="1"/>
  <c r="U801" i="1"/>
  <c r="T801" i="1"/>
  <c r="S801" i="1"/>
  <c r="Q801" i="1"/>
  <c r="R801" i="1" s="1"/>
  <c r="AF801" i="1" s="1"/>
  <c r="O801" i="1"/>
  <c r="M801" i="1"/>
  <c r="K801" i="1"/>
  <c r="V801" i="1" s="1"/>
  <c r="AH800" i="1"/>
  <c r="AG800" i="1"/>
  <c r="AE800" i="1"/>
  <c r="AA800" i="1"/>
  <c r="U800" i="1"/>
  <c r="T800" i="1"/>
  <c r="S800" i="1"/>
  <c r="R800" i="1"/>
  <c r="AF800" i="1" s="1"/>
  <c r="O800" i="1"/>
  <c r="AD800" i="1" s="1"/>
  <c r="M800" i="1"/>
  <c r="K800" i="1"/>
  <c r="V800" i="1" s="1"/>
  <c r="AH799" i="1"/>
  <c r="AG799" i="1"/>
  <c r="AE799" i="1"/>
  <c r="AD799" i="1"/>
  <c r="AI799" i="1" s="1"/>
  <c r="AA799" i="1"/>
  <c r="U799" i="1"/>
  <c r="T799" i="1"/>
  <c r="S799" i="1"/>
  <c r="R799" i="1"/>
  <c r="AF799" i="1" s="1"/>
  <c r="O799" i="1"/>
  <c r="M799" i="1"/>
  <c r="K799" i="1"/>
  <c r="V799" i="1" s="1"/>
  <c r="AH798" i="1"/>
  <c r="AG798" i="1"/>
  <c r="AF798" i="1"/>
  <c r="AE798" i="1"/>
  <c r="AA798" i="1"/>
  <c r="Z798" i="1"/>
  <c r="U798" i="1"/>
  <c r="T798" i="1"/>
  <c r="S798" i="1"/>
  <c r="R798" i="1"/>
  <c r="O798" i="1"/>
  <c r="AD798" i="1" s="1"/>
  <c r="AI798" i="1" s="1"/>
  <c r="M798" i="1"/>
  <c r="K798" i="1"/>
  <c r="V798" i="1" s="1"/>
  <c r="AH797" i="1"/>
  <c r="AG797" i="1"/>
  <c r="AE797" i="1"/>
  <c r="AA797" i="1"/>
  <c r="U797" i="1"/>
  <c r="T797" i="1"/>
  <c r="S797" i="1"/>
  <c r="R797" i="1"/>
  <c r="AF797" i="1" s="1"/>
  <c r="Q797" i="1"/>
  <c r="O797" i="1"/>
  <c r="AD797" i="1" s="1"/>
  <c r="AI797" i="1" s="1"/>
  <c r="M797" i="1"/>
  <c r="K797" i="1"/>
  <c r="V797" i="1" s="1"/>
  <c r="AH796" i="1"/>
  <c r="AG796" i="1"/>
  <c r="AE796" i="1"/>
  <c r="AA796" i="1"/>
  <c r="U796" i="1"/>
  <c r="T796" i="1"/>
  <c r="S796" i="1"/>
  <c r="R796" i="1"/>
  <c r="AF796" i="1" s="1"/>
  <c r="Q796" i="1"/>
  <c r="O796" i="1"/>
  <c r="AD796" i="1" s="1"/>
  <c r="AI796" i="1" s="1"/>
  <c r="M796" i="1"/>
  <c r="K796" i="1"/>
  <c r="V796" i="1" s="1"/>
  <c r="AH795" i="1"/>
  <c r="AG795" i="1"/>
  <c r="AF795" i="1"/>
  <c r="AE795" i="1"/>
  <c r="AA795" i="1"/>
  <c r="Z795" i="1"/>
  <c r="U795" i="1"/>
  <c r="T795" i="1"/>
  <c r="S795" i="1"/>
  <c r="R795" i="1"/>
  <c r="Q795" i="1"/>
  <c r="O795" i="1"/>
  <c r="AD795" i="1" s="1"/>
  <c r="M795" i="1"/>
  <c r="K795" i="1"/>
  <c r="V795" i="1" s="1"/>
  <c r="AH794" i="1"/>
  <c r="AG794" i="1"/>
  <c r="AE794" i="1"/>
  <c r="AD794" i="1"/>
  <c r="AA794" i="1"/>
  <c r="U794" i="1"/>
  <c r="T794" i="1"/>
  <c r="S794" i="1"/>
  <c r="R794" i="1"/>
  <c r="AF794" i="1" s="1"/>
  <c r="Q794" i="1"/>
  <c r="O794" i="1"/>
  <c r="M794" i="1"/>
  <c r="K794" i="1"/>
  <c r="V794" i="1" s="1"/>
  <c r="AH793" i="1"/>
  <c r="AG793" i="1"/>
  <c r="AE793" i="1"/>
  <c r="AD793" i="1"/>
  <c r="AI793" i="1" s="1"/>
  <c r="AA793" i="1"/>
  <c r="U793" i="1"/>
  <c r="T793" i="1"/>
  <c r="S793" i="1"/>
  <c r="R793" i="1"/>
  <c r="AF793" i="1" s="1"/>
  <c r="Q793" i="1"/>
  <c r="O793" i="1"/>
  <c r="M793" i="1"/>
  <c r="K793" i="1"/>
  <c r="V793" i="1" s="1"/>
  <c r="AH792" i="1"/>
  <c r="AG792" i="1"/>
  <c r="AE792" i="1"/>
  <c r="AD792" i="1"/>
  <c r="AA792" i="1"/>
  <c r="Z792" i="1"/>
  <c r="U792" i="1"/>
  <c r="T792" i="1"/>
  <c r="S792" i="1"/>
  <c r="Q792" i="1"/>
  <c r="R792" i="1" s="1"/>
  <c r="AF792" i="1" s="1"/>
  <c r="O792" i="1"/>
  <c r="M792" i="1"/>
  <c r="K792" i="1"/>
  <c r="V792" i="1" s="1"/>
  <c r="AH791" i="1"/>
  <c r="AG791" i="1"/>
  <c r="AE791" i="1"/>
  <c r="AA791" i="1"/>
  <c r="U791" i="1"/>
  <c r="T791" i="1"/>
  <c r="S791" i="1"/>
  <c r="R791" i="1"/>
  <c r="AF791" i="1" s="1"/>
  <c r="O791" i="1"/>
  <c r="AD791" i="1" s="1"/>
  <c r="AI791" i="1" s="1"/>
  <c r="M791" i="1"/>
  <c r="K791" i="1"/>
  <c r="V791" i="1" s="1"/>
  <c r="AH790" i="1"/>
  <c r="AG790" i="1"/>
  <c r="AE790" i="1"/>
  <c r="AD790" i="1"/>
  <c r="AA790" i="1"/>
  <c r="U790" i="1"/>
  <c r="T790" i="1"/>
  <c r="S790" i="1"/>
  <c r="R790" i="1"/>
  <c r="AF790" i="1" s="1"/>
  <c r="O790" i="1"/>
  <c r="M790" i="1"/>
  <c r="K790" i="1"/>
  <c r="V790" i="1" s="1"/>
  <c r="AH789" i="1"/>
  <c r="AG789" i="1"/>
  <c r="AF789" i="1"/>
  <c r="AE789" i="1"/>
  <c r="AA789" i="1"/>
  <c r="Z789" i="1"/>
  <c r="U789" i="1"/>
  <c r="T789" i="1"/>
  <c r="S789" i="1"/>
  <c r="R789" i="1"/>
  <c r="O789" i="1"/>
  <c r="AD789" i="1" s="1"/>
  <c r="M789" i="1"/>
  <c r="K789" i="1"/>
  <c r="V789" i="1" s="1"/>
  <c r="AH788" i="1"/>
  <c r="AG788" i="1"/>
  <c r="AF788" i="1"/>
  <c r="AE788" i="1"/>
  <c r="AA788" i="1"/>
  <c r="Z788" i="1"/>
  <c r="V788" i="1"/>
  <c r="U788" i="1"/>
  <c r="T788" i="1"/>
  <c r="S788" i="1"/>
  <c r="R788" i="1"/>
  <c r="O788" i="1"/>
  <c r="AD788" i="1" s="1"/>
  <c r="AI788" i="1" s="1"/>
  <c r="M788" i="1"/>
  <c r="AH787" i="1"/>
  <c r="AG787" i="1"/>
  <c r="AF787" i="1"/>
  <c r="AE787" i="1"/>
  <c r="AA787" i="1"/>
  <c r="V787" i="1"/>
  <c r="U787" i="1"/>
  <c r="T787" i="1"/>
  <c r="S787" i="1"/>
  <c r="R787" i="1"/>
  <c r="O787" i="1"/>
  <c r="AD787" i="1" s="1"/>
  <c r="AI787" i="1" s="1"/>
  <c r="M787" i="1"/>
  <c r="K787" i="1"/>
  <c r="AH786" i="1"/>
  <c r="AG786" i="1"/>
  <c r="AE786" i="1"/>
  <c r="AA786" i="1"/>
  <c r="U786" i="1"/>
  <c r="T786" i="1"/>
  <c r="S786" i="1"/>
  <c r="R786" i="1"/>
  <c r="AF786" i="1" s="1"/>
  <c r="O786" i="1"/>
  <c r="AD786" i="1" s="1"/>
  <c r="AI786" i="1" s="1"/>
  <c r="M786" i="1"/>
  <c r="K786" i="1"/>
  <c r="V786" i="1" s="1"/>
  <c r="AH785" i="1"/>
  <c r="AG785" i="1"/>
  <c r="AE785" i="1"/>
  <c r="AA785" i="1"/>
  <c r="Z785" i="1"/>
  <c r="U785" i="1"/>
  <c r="T785" i="1"/>
  <c r="S785" i="1"/>
  <c r="R785" i="1"/>
  <c r="AF785" i="1" s="1"/>
  <c r="O785" i="1"/>
  <c r="AD785" i="1" s="1"/>
  <c r="AI785" i="1" s="1"/>
  <c r="M785" i="1"/>
  <c r="K785" i="1"/>
  <c r="V785" i="1" s="1"/>
  <c r="AH784" i="1"/>
  <c r="AG784" i="1"/>
  <c r="AE784" i="1"/>
  <c r="AD784" i="1"/>
  <c r="AA784" i="1"/>
  <c r="U784" i="1"/>
  <c r="T784" i="1"/>
  <c r="S784" i="1"/>
  <c r="R784" i="1"/>
  <c r="AF784" i="1" s="1"/>
  <c r="Q784" i="1"/>
  <c r="O784" i="1"/>
  <c r="M784" i="1"/>
  <c r="K784" i="1"/>
  <c r="V784" i="1" s="1"/>
  <c r="AH783" i="1"/>
  <c r="AG783" i="1"/>
  <c r="AE783" i="1"/>
  <c r="AD783" i="1"/>
  <c r="AA783" i="1"/>
  <c r="U783" i="1"/>
  <c r="T783" i="1"/>
  <c r="S783" i="1"/>
  <c r="R783" i="1"/>
  <c r="AF783" i="1" s="1"/>
  <c r="Q783" i="1"/>
  <c r="O783" i="1"/>
  <c r="M783" i="1"/>
  <c r="K783" i="1"/>
  <c r="V783" i="1" s="1"/>
  <c r="AH782" i="1"/>
  <c r="AG782" i="1"/>
  <c r="AE782" i="1"/>
  <c r="AD782" i="1"/>
  <c r="AI782" i="1" s="1"/>
  <c r="AA782" i="1"/>
  <c r="Z782" i="1"/>
  <c r="U782" i="1"/>
  <c r="T782" i="1"/>
  <c r="S782" i="1"/>
  <c r="Q782" i="1"/>
  <c r="R782" i="1" s="1"/>
  <c r="AF782" i="1" s="1"/>
  <c r="O782" i="1"/>
  <c r="M782" i="1"/>
  <c r="K782" i="1"/>
  <c r="V782" i="1" s="1"/>
  <c r="AH781" i="1"/>
  <c r="AG781" i="1"/>
  <c r="AE781" i="1"/>
  <c r="AA781" i="1"/>
  <c r="Z781" i="1"/>
  <c r="V781" i="1"/>
  <c r="U781" i="1"/>
  <c r="T781" i="1"/>
  <c r="S781" i="1"/>
  <c r="R781" i="1"/>
  <c r="O781" i="1"/>
  <c r="M781" i="1"/>
  <c r="AH780" i="1"/>
  <c r="AG780" i="1"/>
  <c r="AE780" i="1"/>
  <c r="AD780" i="1"/>
  <c r="AA780" i="1"/>
  <c r="U780" i="1"/>
  <c r="T780" i="1"/>
  <c r="S780" i="1"/>
  <c r="R780" i="1"/>
  <c r="AF780" i="1" s="1"/>
  <c r="Q780" i="1"/>
  <c r="O780" i="1"/>
  <c r="M780" i="1"/>
  <c r="K780" i="1"/>
  <c r="V780" i="1" s="1"/>
  <c r="AH779" i="1"/>
  <c r="AG779" i="1"/>
  <c r="AE779" i="1"/>
  <c r="AD779" i="1"/>
  <c r="AA779" i="1"/>
  <c r="U779" i="1"/>
  <c r="T779" i="1"/>
  <c r="S779" i="1"/>
  <c r="R779" i="1"/>
  <c r="AF779" i="1" s="1"/>
  <c r="Q779" i="1"/>
  <c r="O779" i="1"/>
  <c r="AD781" i="1" s="1"/>
  <c r="M779" i="1"/>
  <c r="K779" i="1"/>
  <c r="V779" i="1" s="1"/>
  <c r="AH778" i="1"/>
  <c r="AG778" i="1"/>
  <c r="AE778" i="1"/>
  <c r="AD778" i="1"/>
  <c r="AI778" i="1" s="1"/>
  <c r="AA778" i="1"/>
  <c r="Z778" i="1"/>
  <c r="U778" i="1"/>
  <c r="T778" i="1"/>
  <c r="S778" i="1"/>
  <c r="Q778" i="1"/>
  <c r="R778" i="1" s="1"/>
  <c r="AF778" i="1" s="1"/>
  <c r="O778" i="1"/>
  <c r="M778" i="1"/>
  <c r="K778" i="1"/>
  <c r="V778" i="1" s="1"/>
  <c r="AA777" i="1"/>
  <c r="Z777" i="1"/>
  <c r="V777" i="1"/>
  <c r="U777" i="1"/>
  <c r="T777" i="1"/>
  <c r="S777" i="1"/>
  <c r="R777" i="1"/>
  <c r="O777" i="1"/>
  <c r="M777" i="1"/>
  <c r="AH776" i="1"/>
  <c r="AG776" i="1"/>
  <c r="AE776" i="1"/>
  <c r="AA776" i="1"/>
  <c r="V776" i="1"/>
  <c r="U776" i="1"/>
  <c r="T776" i="1"/>
  <c r="S776" i="1"/>
  <c r="R776" i="1"/>
  <c r="AF776" i="1" s="1"/>
  <c r="O776" i="1"/>
  <c r="AD776" i="1" s="1"/>
  <c r="M776" i="1"/>
  <c r="K776" i="1"/>
  <c r="AH775" i="1"/>
  <c r="AG775" i="1"/>
  <c r="AE775" i="1"/>
  <c r="AA775" i="1"/>
  <c r="U775" i="1"/>
  <c r="T775" i="1"/>
  <c r="S775" i="1"/>
  <c r="R775" i="1"/>
  <c r="AF775" i="1" s="1"/>
  <c r="AI775" i="1" s="1"/>
  <c r="O775" i="1"/>
  <c r="AD775" i="1" s="1"/>
  <c r="M775" i="1"/>
  <c r="K775" i="1"/>
  <c r="V775" i="1" s="1"/>
  <c r="AH774" i="1"/>
  <c r="AG774" i="1"/>
  <c r="AE774" i="1"/>
  <c r="AD774" i="1"/>
  <c r="AA774" i="1"/>
  <c r="Z774" i="1"/>
  <c r="U774" i="1"/>
  <c r="T774" i="1"/>
  <c r="S774" i="1"/>
  <c r="R774" i="1"/>
  <c r="AF774" i="1" s="1"/>
  <c r="O774" i="1"/>
  <c r="M774" i="1"/>
  <c r="K774" i="1"/>
  <c r="V774" i="1" s="1"/>
  <c r="AH773" i="1"/>
  <c r="AG773" i="1"/>
  <c r="AE773" i="1"/>
  <c r="AD773" i="1"/>
  <c r="AI773" i="1" s="1"/>
  <c r="AA773" i="1"/>
  <c r="U773" i="1"/>
  <c r="T773" i="1"/>
  <c r="S773" i="1"/>
  <c r="Q773" i="1"/>
  <c r="R773" i="1" s="1"/>
  <c r="AF773" i="1" s="1"/>
  <c r="O773" i="1"/>
  <c r="M773" i="1"/>
  <c r="K773" i="1"/>
  <c r="V773" i="1" s="1"/>
  <c r="AH772" i="1"/>
  <c r="AG772" i="1"/>
  <c r="AE772" i="1"/>
  <c r="AD772" i="1"/>
  <c r="AI772" i="1" s="1"/>
  <c r="AA772" i="1"/>
  <c r="U772" i="1"/>
  <c r="T772" i="1"/>
  <c r="S772" i="1"/>
  <c r="Q772" i="1"/>
  <c r="R772" i="1" s="1"/>
  <c r="AF772" i="1" s="1"/>
  <c r="O772" i="1"/>
  <c r="M772" i="1"/>
  <c r="K772" i="1"/>
  <c r="V772" i="1" s="1"/>
  <c r="AH771" i="1"/>
  <c r="AG771" i="1"/>
  <c r="AE771" i="1"/>
  <c r="AD771" i="1"/>
  <c r="AI771" i="1" s="1"/>
  <c r="AA771" i="1"/>
  <c r="Z771" i="1"/>
  <c r="U771" i="1"/>
  <c r="T771" i="1"/>
  <c r="S771" i="1"/>
  <c r="Q771" i="1"/>
  <c r="R771" i="1" s="1"/>
  <c r="AF771" i="1" s="1"/>
  <c r="O771" i="1"/>
  <c r="M771" i="1"/>
  <c r="K771" i="1"/>
  <c r="V771" i="1" s="1"/>
  <c r="AH770" i="1"/>
  <c r="AG770" i="1"/>
  <c r="AE770" i="1"/>
  <c r="AA770" i="1"/>
  <c r="U770" i="1"/>
  <c r="T770" i="1"/>
  <c r="S770" i="1"/>
  <c r="R770" i="1"/>
  <c r="AF770" i="1" s="1"/>
  <c r="O770" i="1"/>
  <c r="AD770" i="1" s="1"/>
  <c r="AI770" i="1" s="1"/>
  <c r="M770" i="1"/>
  <c r="K770" i="1"/>
  <c r="V770" i="1" s="1"/>
  <c r="AH769" i="1"/>
  <c r="AG769" i="1"/>
  <c r="AE769" i="1"/>
  <c r="AD769" i="1"/>
  <c r="AA769" i="1"/>
  <c r="U769" i="1"/>
  <c r="T769" i="1"/>
  <c r="S769" i="1"/>
  <c r="R769" i="1"/>
  <c r="AF769" i="1" s="1"/>
  <c r="O769" i="1"/>
  <c r="M769" i="1"/>
  <c r="K769" i="1"/>
  <c r="V769" i="1" s="1"/>
  <c r="AH768" i="1"/>
  <c r="AG768" i="1"/>
  <c r="AF768" i="1"/>
  <c r="AE768" i="1"/>
  <c r="AA768" i="1"/>
  <c r="Z768" i="1"/>
  <c r="U768" i="1"/>
  <c r="T768" i="1"/>
  <c r="S768" i="1"/>
  <c r="R768" i="1"/>
  <c r="O768" i="1"/>
  <c r="AD768" i="1" s="1"/>
  <c r="AI768" i="1" s="1"/>
  <c r="M768" i="1"/>
  <c r="K768" i="1"/>
  <c r="V768" i="1" s="1"/>
  <c r="AH767" i="1"/>
  <c r="AG767" i="1"/>
  <c r="AE767" i="1"/>
  <c r="AA767" i="1"/>
  <c r="U767" i="1"/>
  <c r="T767" i="1"/>
  <c r="S767" i="1"/>
  <c r="R767" i="1"/>
  <c r="AF767" i="1" s="1"/>
  <c r="O767" i="1"/>
  <c r="AD767" i="1" s="1"/>
  <c r="M767" i="1"/>
  <c r="K767" i="1"/>
  <c r="V767" i="1" s="1"/>
  <c r="AH766" i="1"/>
  <c r="AG766" i="1"/>
  <c r="AF766" i="1"/>
  <c r="AE766" i="1"/>
  <c r="AA766" i="1"/>
  <c r="V766" i="1"/>
  <c r="U766" i="1"/>
  <c r="T766" i="1"/>
  <c r="S766" i="1"/>
  <c r="R766" i="1"/>
  <c r="O766" i="1"/>
  <c r="AD766" i="1" s="1"/>
  <c r="AI766" i="1" s="1"/>
  <c r="M766" i="1"/>
  <c r="K766" i="1"/>
  <c r="AI765" i="1"/>
  <c r="AH765" i="1"/>
  <c r="AG765" i="1"/>
  <c r="AE765" i="1"/>
  <c r="AA765" i="1"/>
  <c r="Z765" i="1"/>
  <c r="V765" i="1"/>
  <c r="U765" i="1"/>
  <c r="T765" i="1"/>
  <c r="S765" i="1"/>
  <c r="R765" i="1"/>
  <c r="AF765" i="1" s="1"/>
  <c r="O765" i="1"/>
  <c r="AD765" i="1" s="1"/>
  <c r="M765" i="1"/>
  <c r="K765" i="1"/>
  <c r="AH764" i="1"/>
  <c r="AG764" i="1"/>
  <c r="AE764" i="1"/>
  <c r="AA764" i="1"/>
  <c r="U764" i="1"/>
  <c r="T764" i="1"/>
  <c r="S764" i="1"/>
  <c r="R764" i="1"/>
  <c r="AF764" i="1" s="1"/>
  <c r="O764" i="1"/>
  <c r="AD764" i="1" s="1"/>
  <c r="AI764" i="1" s="1"/>
  <c r="M764" i="1"/>
  <c r="K764" i="1"/>
  <c r="V764" i="1" s="1"/>
  <c r="AH763" i="1"/>
  <c r="AG763" i="1"/>
  <c r="AE763" i="1"/>
  <c r="AD763" i="1"/>
  <c r="AI763" i="1" s="1"/>
  <c r="AA763" i="1"/>
  <c r="U763" i="1"/>
  <c r="T763" i="1"/>
  <c r="S763" i="1"/>
  <c r="R763" i="1"/>
  <c r="AF763" i="1" s="1"/>
  <c r="O763" i="1"/>
  <c r="M763" i="1"/>
  <c r="K763" i="1"/>
  <c r="V763" i="1" s="1"/>
  <c r="AH762" i="1"/>
  <c r="AG762" i="1"/>
  <c r="AE762" i="1"/>
  <c r="AA762" i="1"/>
  <c r="Z762" i="1"/>
  <c r="U762" i="1"/>
  <c r="T762" i="1"/>
  <c r="S762" i="1"/>
  <c r="R762" i="1"/>
  <c r="AF762" i="1" s="1"/>
  <c r="O762" i="1"/>
  <c r="AD762" i="1" s="1"/>
  <c r="AI762" i="1" s="1"/>
  <c r="M762" i="1"/>
  <c r="K762" i="1"/>
  <c r="V762" i="1" s="1"/>
  <c r="AH761" i="1"/>
  <c r="AG761" i="1"/>
  <c r="AE761" i="1"/>
  <c r="AA761" i="1"/>
  <c r="U761" i="1"/>
  <c r="T761" i="1"/>
  <c r="S761" i="1"/>
  <c r="R761" i="1"/>
  <c r="AF761" i="1" s="1"/>
  <c r="O761" i="1"/>
  <c r="AD761" i="1" s="1"/>
  <c r="M761" i="1"/>
  <c r="K761" i="1"/>
  <c r="V761" i="1" s="1"/>
  <c r="AH760" i="1"/>
  <c r="AG760" i="1"/>
  <c r="AE760" i="1"/>
  <c r="AD760" i="1"/>
  <c r="AI760" i="1" s="1"/>
  <c r="AA760" i="1"/>
  <c r="V760" i="1"/>
  <c r="U760" i="1"/>
  <c r="T760" i="1"/>
  <c r="S760" i="1"/>
  <c r="R760" i="1"/>
  <c r="AF760" i="1" s="1"/>
  <c r="O760" i="1"/>
  <c r="M760" i="1"/>
  <c r="K760" i="1"/>
  <c r="AH759" i="1"/>
  <c r="AG759" i="1"/>
  <c r="AE759" i="1"/>
  <c r="AA759" i="1"/>
  <c r="Z759" i="1"/>
  <c r="V759" i="1"/>
  <c r="U759" i="1"/>
  <c r="T759" i="1"/>
  <c r="S759" i="1"/>
  <c r="R759" i="1"/>
  <c r="AF759" i="1" s="1"/>
  <c r="AI759" i="1" s="1"/>
  <c r="O759" i="1"/>
  <c r="AD759" i="1" s="1"/>
  <c r="M759" i="1"/>
  <c r="K759" i="1"/>
  <c r="AH758" i="1"/>
  <c r="AG758" i="1"/>
  <c r="AE758" i="1"/>
  <c r="AA758" i="1"/>
  <c r="U758" i="1"/>
  <c r="T758" i="1"/>
  <c r="S758" i="1"/>
  <c r="R758" i="1"/>
  <c r="AF758" i="1" s="1"/>
  <c r="AI758" i="1" s="1"/>
  <c r="O758" i="1"/>
  <c r="AD758" i="1" s="1"/>
  <c r="M758" i="1"/>
  <c r="K758" i="1"/>
  <c r="V758" i="1" s="1"/>
  <c r="AH757" i="1"/>
  <c r="AG757" i="1"/>
  <c r="AE757" i="1"/>
  <c r="AD757" i="1"/>
  <c r="AA757" i="1"/>
  <c r="V757" i="1"/>
  <c r="U757" i="1"/>
  <c r="T757" i="1"/>
  <c r="S757" i="1"/>
  <c r="R757" i="1"/>
  <c r="AF757" i="1" s="1"/>
  <c r="O757" i="1"/>
  <c r="M757" i="1"/>
  <c r="K757" i="1"/>
  <c r="AH756" i="1"/>
  <c r="AG756" i="1"/>
  <c r="AE756" i="1"/>
  <c r="AA756" i="1"/>
  <c r="Z756" i="1"/>
  <c r="V756" i="1"/>
  <c r="U756" i="1"/>
  <c r="T756" i="1"/>
  <c r="S756" i="1"/>
  <c r="R756" i="1"/>
  <c r="AF756" i="1" s="1"/>
  <c r="O756" i="1"/>
  <c r="AD756" i="1" s="1"/>
  <c r="AI756" i="1" s="1"/>
  <c r="M756" i="1"/>
  <c r="K756" i="1"/>
  <c r="AH755" i="1"/>
  <c r="AG755" i="1"/>
  <c r="AE755" i="1"/>
  <c r="AA755" i="1"/>
  <c r="U755" i="1"/>
  <c r="T755" i="1"/>
  <c r="S755" i="1"/>
  <c r="R755" i="1"/>
  <c r="AF755" i="1" s="1"/>
  <c r="O755" i="1"/>
  <c r="AD755" i="1" s="1"/>
  <c r="M755" i="1"/>
  <c r="K755" i="1"/>
  <c r="V755" i="1" s="1"/>
  <c r="AH754" i="1"/>
  <c r="AG754" i="1"/>
  <c r="AE754" i="1"/>
  <c r="AD754" i="1"/>
  <c r="AA754" i="1"/>
  <c r="V754" i="1"/>
  <c r="U754" i="1"/>
  <c r="T754" i="1"/>
  <c r="S754" i="1"/>
  <c r="R754" i="1"/>
  <c r="AF754" i="1" s="1"/>
  <c r="O754" i="1"/>
  <c r="M754" i="1"/>
  <c r="K754" i="1"/>
  <c r="AI753" i="1"/>
  <c r="AH753" i="1"/>
  <c r="AG753" i="1"/>
  <c r="AE753" i="1"/>
  <c r="AA753" i="1"/>
  <c r="Z753" i="1"/>
  <c r="V753" i="1"/>
  <c r="U753" i="1"/>
  <c r="T753" i="1"/>
  <c r="S753" i="1"/>
  <c r="R753" i="1"/>
  <c r="AF753" i="1" s="1"/>
  <c r="O753" i="1"/>
  <c r="AD753" i="1" s="1"/>
  <c r="M753" i="1"/>
  <c r="K753" i="1"/>
  <c r="AH752" i="1"/>
  <c r="AG752" i="1"/>
  <c r="AE752" i="1"/>
  <c r="AA752" i="1"/>
  <c r="U752" i="1"/>
  <c r="T752" i="1"/>
  <c r="S752" i="1"/>
  <c r="Q752" i="1"/>
  <c r="R752" i="1" s="1"/>
  <c r="AF752" i="1" s="1"/>
  <c r="O752" i="1"/>
  <c r="AD752" i="1" s="1"/>
  <c r="AI752" i="1" s="1"/>
  <c r="M752" i="1"/>
  <c r="K752" i="1"/>
  <c r="V752" i="1" s="1"/>
  <c r="AH751" i="1"/>
  <c r="AG751" i="1"/>
  <c r="AE751" i="1"/>
  <c r="AA751" i="1"/>
  <c r="U751" i="1"/>
  <c r="T751" i="1"/>
  <c r="S751" i="1"/>
  <c r="Q751" i="1"/>
  <c r="R751" i="1" s="1"/>
  <c r="AF751" i="1" s="1"/>
  <c r="O751" i="1"/>
  <c r="AD751" i="1" s="1"/>
  <c r="M751" i="1"/>
  <c r="K751" i="1"/>
  <c r="V751" i="1" s="1"/>
  <c r="AH750" i="1"/>
  <c r="AG750" i="1"/>
  <c r="AE750" i="1"/>
  <c r="AA750" i="1"/>
  <c r="Z750" i="1"/>
  <c r="U750" i="1"/>
  <c r="T750" i="1"/>
  <c r="S750" i="1"/>
  <c r="R750" i="1"/>
  <c r="AF750" i="1" s="1"/>
  <c r="Q750" i="1"/>
  <c r="O750" i="1"/>
  <c r="AD750" i="1" s="1"/>
  <c r="AI750" i="1" s="1"/>
  <c r="M750" i="1"/>
  <c r="K750" i="1"/>
  <c r="V750" i="1" s="1"/>
  <c r="AH749" i="1"/>
  <c r="AG749" i="1"/>
  <c r="AF749" i="1"/>
  <c r="AE749" i="1"/>
  <c r="AA749" i="1"/>
  <c r="U749" i="1"/>
  <c r="T749" i="1"/>
  <c r="S749" i="1"/>
  <c r="R749" i="1"/>
  <c r="Q749" i="1"/>
  <c r="O749" i="1"/>
  <c r="AD749" i="1" s="1"/>
  <c r="AI749" i="1" s="1"/>
  <c r="M749" i="1"/>
  <c r="K749" i="1"/>
  <c r="V749" i="1" s="1"/>
  <c r="AH748" i="1"/>
  <c r="AG748" i="1"/>
  <c r="AF748" i="1"/>
  <c r="AE748" i="1"/>
  <c r="AA748" i="1"/>
  <c r="U748" i="1"/>
  <c r="T748" i="1"/>
  <c r="S748" i="1"/>
  <c r="R748" i="1"/>
  <c r="Q748" i="1"/>
  <c r="O748" i="1"/>
  <c r="AD748" i="1" s="1"/>
  <c r="M748" i="1"/>
  <c r="K748" i="1"/>
  <c r="V748" i="1" s="1"/>
  <c r="AH747" i="1"/>
  <c r="AE747" i="1"/>
  <c r="AD747" i="1"/>
  <c r="AA747" i="1"/>
  <c r="Z747" i="1"/>
  <c r="AG747" i="1" s="1"/>
  <c r="U747" i="1"/>
  <c r="T747" i="1"/>
  <c r="S747" i="1"/>
  <c r="Q747" i="1"/>
  <c r="R747" i="1" s="1"/>
  <c r="AF747" i="1" s="1"/>
  <c r="O747" i="1"/>
  <c r="M747" i="1"/>
  <c r="K747" i="1"/>
  <c r="V747" i="1" s="1"/>
  <c r="AH746" i="1"/>
  <c r="AG746" i="1"/>
  <c r="AE746" i="1"/>
  <c r="AA746" i="1"/>
  <c r="U746" i="1"/>
  <c r="T746" i="1"/>
  <c r="S746" i="1"/>
  <c r="Q746" i="1"/>
  <c r="R746" i="1" s="1"/>
  <c r="AF746" i="1" s="1"/>
  <c r="O746" i="1"/>
  <c r="AD746" i="1" s="1"/>
  <c r="M746" i="1"/>
  <c r="K746" i="1"/>
  <c r="V746" i="1" s="1"/>
  <c r="AH745" i="1"/>
  <c r="AG745" i="1"/>
  <c r="AE745" i="1"/>
  <c r="AA745" i="1"/>
  <c r="U745" i="1"/>
  <c r="T745" i="1"/>
  <c r="S745" i="1"/>
  <c r="Q745" i="1"/>
  <c r="R745" i="1" s="1"/>
  <c r="AF745" i="1" s="1"/>
  <c r="O745" i="1"/>
  <c r="AD745" i="1" s="1"/>
  <c r="AI745" i="1" s="1"/>
  <c r="M745" i="1"/>
  <c r="K745" i="1"/>
  <c r="V745" i="1" s="1"/>
  <c r="AH744" i="1"/>
  <c r="AG744" i="1"/>
  <c r="AE744" i="1"/>
  <c r="AA744" i="1"/>
  <c r="Z744" i="1"/>
  <c r="U744" i="1"/>
  <c r="T744" i="1"/>
  <c r="S744" i="1"/>
  <c r="R744" i="1"/>
  <c r="AF744" i="1" s="1"/>
  <c r="Q744" i="1"/>
  <c r="O744" i="1"/>
  <c r="AD744" i="1" s="1"/>
  <c r="M744" i="1"/>
  <c r="K744" i="1"/>
  <c r="V744" i="1" s="1"/>
  <c r="AH743" i="1"/>
  <c r="AG743" i="1"/>
  <c r="AE743" i="1"/>
  <c r="AD743" i="1"/>
  <c r="AA743" i="1"/>
  <c r="V743" i="1"/>
  <c r="U743" i="1"/>
  <c r="T743" i="1"/>
  <c r="S743" i="1"/>
  <c r="R743" i="1"/>
  <c r="AF743" i="1" s="1"/>
  <c r="O743" i="1"/>
  <c r="M743" i="1"/>
  <c r="K743" i="1"/>
  <c r="AH742" i="1"/>
  <c r="AG742" i="1"/>
  <c r="AE742" i="1"/>
  <c r="AA742" i="1"/>
  <c r="U742" i="1"/>
  <c r="T742" i="1"/>
  <c r="S742" i="1"/>
  <c r="R742" i="1"/>
  <c r="AF742" i="1" s="1"/>
  <c r="O742" i="1"/>
  <c r="AD742" i="1" s="1"/>
  <c r="M742" i="1"/>
  <c r="K742" i="1"/>
  <c r="V742" i="1" s="1"/>
  <c r="AH741" i="1"/>
  <c r="AF741" i="1"/>
  <c r="AE741" i="1"/>
  <c r="AA741" i="1"/>
  <c r="Z741" i="1"/>
  <c r="AG741" i="1" s="1"/>
  <c r="U741" i="1"/>
  <c r="T741" i="1"/>
  <c r="S741" i="1"/>
  <c r="R741" i="1"/>
  <c r="O741" i="1"/>
  <c r="AD741" i="1" s="1"/>
  <c r="M741" i="1"/>
  <c r="K741" i="1"/>
  <c r="V741" i="1" s="1"/>
  <c r="AH740" i="1"/>
  <c r="AG740" i="1"/>
  <c r="AF740" i="1"/>
  <c r="AE740" i="1"/>
  <c r="AA740" i="1"/>
  <c r="U740" i="1"/>
  <c r="T740" i="1"/>
  <c r="S740" i="1"/>
  <c r="R740" i="1"/>
  <c r="Q740" i="1"/>
  <c r="O740" i="1"/>
  <c r="AD740" i="1" s="1"/>
  <c r="AI740" i="1" s="1"/>
  <c r="M740" i="1"/>
  <c r="K740" i="1"/>
  <c r="V740" i="1" s="1"/>
  <c r="AH739" i="1"/>
  <c r="AG739" i="1"/>
  <c r="AF739" i="1"/>
  <c r="AE739" i="1"/>
  <c r="AA739" i="1"/>
  <c r="U739" i="1"/>
  <c r="T739" i="1"/>
  <c r="S739" i="1"/>
  <c r="R739" i="1"/>
  <c r="Q739" i="1"/>
  <c r="O739" i="1"/>
  <c r="AD739" i="1" s="1"/>
  <c r="M739" i="1"/>
  <c r="K739" i="1"/>
  <c r="V739" i="1" s="1"/>
  <c r="AH738" i="1"/>
  <c r="AE738" i="1"/>
  <c r="AD738" i="1"/>
  <c r="AA738" i="1"/>
  <c r="Z738" i="1"/>
  <c r="AG738" i="1" s="1"/>
  <c r="U738" i="1"/>
  <c r="T738" i="1"/>
  <c r="S738" i="1"/>
  <c r="Q738" i="1"/>
  <c r="R738" i="1" s="1"/>
  <c r="AF738" i="1" s="1"/>
  <c r="O738" i="1"/>
  <c r="M738" i="1"/>
  <c r="K738" i="1"/>
  <c r="V738" i="1" s="1"/>
  <c r="AH737" i="1"/>
  <c r="AG737" i="1"/>
  <c r="AE737" i="1"/>
  <c r="AA737" i="1"/>
  <c r="U737" i="1"/>
  <c r="T737" i="1"/>
  <c r="S737" i="1"/>
  <c r="Q737" i="1"/>
  <c r="R737" i="1" s="1"/>
  <c r="AF737" i="1" s="1"/>
  <c r="O737" i="1"/>
  <c r="AD737" i="1" s="1"/>
  <c r="M737" i="1"/>
  <c r="K737" i="1"/>
  <c r="V737" i="1" s="1"/>
  <c r="AH736" i="1"/>
  <c r="AG736" i="1"/>
  <c r="AE736" i="1"/>
  <c r="AA736" i="1"/>
  <c r="U736" i="1"/>
  <c r="T736" i="1"/>
  <c r="S736" i="1"/>
  <c r="Q736" i="1"/>
  <c r="R736" i="1" s="1"/>
  <c r="AF736" i="1" s="1"/>
  <c r="O736" i="1"/>
  <c r="AD736" i="1" s="1"/>
  <c r="AI736" i="1" s="1"/>
  <c r="M736" i="1"/>
  <c r="K736" i="1"/>
  <c r="V736" i="1" s="1"/>
  <c r="AH735" i="1"/>
  <c r="AG735" i="1"/>
  <c r="AE735" i="1"/>
  <c r="AA735" i="1"/>
  <c r="Z735" i="1"/>
  <c r="U735" i="1"/>
  <c r="T735" i="1"/>
  <c r="S735" i="1"/>
  <c r="R735" i="1"/>
  <c r="AF735" i="1" s="1"/>
  <c r="Q735" i="1"/>
  <c r="O735" i="1"/>
  <c r="AD735" i="1" s="1"/>
  <c r="M735" i="1"/>
  <c r="K735" i="1"/>
  <c r="V735" i="1" s="1"/>
  <c r="AH734" i="1"/>
  <c r="AG734" i="1"/>
  <c r="AE734" i="1"/>
  <c r="AD734" i="1"/>
  <c r="AA734" i="1"/>
  <c r="V734" i="1"/>
  <c r="U734" i="1"/>
  <c r="T734" i="1"/>
  <c r="S734" i="1"/>
  <c r="R734" i="1"/>
  <c r="AF734" i="1" s="1"/>
  <c r="O734" i="1"/>
  <c r="M734" i="1"/>
  <c r="K734" i="1"/>
  <c r="AH733" i="1"/>
  <c r="AG733" i="1"/>
  <c r="AE733" i="1"/>
  <c r="AA733" i="1"/>
  <c r="U733" i="1"/>
  <c r="T733" i="1"/>
  <c r="S733" i="1"/>
  <c r="R733" i="1"/>
  <c r="AF733" i="1" s="1"/>
  <c r="O733" i="1"/>
  <c r="AD733" i="1" s="1"/>
  <c r="M733" i="1"/>
  <c r="K733" i="1"/>
  <c r="V733" i="1" s="1"/>
  <c r="AH732" i="1"/>
  <c r="AF732" i="1"/>
  <c r="AE732" i="1"/>
  <c r="AA732" i="1"/>
  <c r="Z732" i="1"/>
  <c r="AG732" i="1" s="1"/>
  <c r="U732" i="1"/>
  <c r="T732" i="1"/>
  <c r="S732" i="1"/>
  <c r="R732" i="1"/>
  <c r="O732" i="1"/>
  <c r="AD732" i="1" s="1"/>
  <c r="M732" i="1"/>
  <c r="K732" i="1"/>
  <c r="V732" i="1" s="1"/>
  <c r="AH731" i="1"/>
  <c r="AF731" i="1"/>
  <c r="AE731" i="1"/>
  <c r="AA731" i="1"/>
  <c r="Z731" i="1"/>
  <c r="AG731" i="1" s="1"/>
  <c r="V731" i="1"/>
  <c r="U731" i="1"/>
  <c r="T731" i="1"/>
  <c r="S731" i="1"/>
  <c r="R731" i="1"/>
  <c r="O731" i="1"/>
  <c r="AD731" i="1" s="1"/>
  <c r="M731" i="1"/>
  <c r="AH730" i="1"/>
  <c r="AG730" i="1"/>
  <c r="AE730" i="1"/>
  <c r="AA730" i="1"/>
  <c r="U730" i="1"/>
  <c r="T730" i="1"/>
  <c r="S730" i="1"/>
  <c r="R730" i="1"/>
  <c r="AF730" i="1" s="1"/>
  <c r="AI730" i="1" s="1"/>
  <c r="O730" i="1"/>
  <c r="AD730" i="1" s="1"/>
  <c r="M730" i="1"/>
  <c r="K730" i="1"/>
  <c r="V730" i="1" s="1"/>
  <c r="AH729" i="1"/>
  <c r="AG729" i="1"/>
  <c r="AE729" i="1"/>
  <c r="AD729" i="1"/>
  <c r="AA729" i="1"/>
  <c r="V729" i="1"/>
  <c r="U729" i="1"/>
  <c r="T729" i="1"/>
  <c r="S729" i="1"/>
  <c r="R729" i="1"/>
  <c r="AF729" i="1" s="1"/>
  <c r="O729" i="1"/>
  <c r="M729" i="1"/>
  <c r="K729" i="1"/>
  <c r="AH728" i="1"/>
  <c r="AG728" i="1"/>
  <c r="AE728" i="1"/>
  <c r="AA728" i="1"/>
  <c r="Z728" i="1"/>
  <c r="V728" i="1"/>
  <c r="U728" i="1"/>
  <c r="T728" i="1"/>
  <c r="S728" i="1"/>
  <c r="R728" i="1"/>
  <c r="AF728" i="1" s="1"/>
  <c r="O728" i="1"/>
  <c r="AD728" i="1" s="1"/>
  <c r="AI728" i="1" s="1"/>
  <c r="M728" i="1"/>
  <c r="K728" i="1"/>
  <c r="AH727" i="1"/>
  <c r="AG727" i="1"/>
  <c r="AE727" i="1"/>
  <c r="AA727" i="1"/>
  <c r="Z727" i="1"/>
  <c r="V727" i="1"/>
  <c r="U727" i="1"/>
  <c r="T727" i="1"/>
  <c r="S727" i="1"/>
  <c r="R727" i="1"/>
  <c r="AF727" i="1" s="1"/>
  <c r="O727" i="1"/>
  <c r="AD727" i="1" s="1"/>
  <c r="AI727" i="1" s="1"/>
  <c r="M727" i="1"/>
  <c r="AH726" i="1"/>
  <c r="AG726" i="1"/>
  <c r="AE726" i="1"/>
  <c r="AD726" i="1"/>
  <c r="AA726" i="1"/>
  <c r="V726" i="1"/>
  <c r="U726" i="1"/>
  <c r="T726" i="1"/>
  <c r="S726" i="1"/>
  <c r="R726" i="1"/>
  <c r="AF726" i="1" s="1"/>
  <c r="O726" i="1"/>
  <c r="M726" i="1"/>
  <c r="K726" i="1"/>
  <c r="AH725" i="1"/>
  <c r="AG725" i="1"/>
  <c r="AE725" i="1"/>
  <c r="AA725" i="1"/>
  <c r="U725" i="1"/>
  <c r="T725" i="1"/>
  <c r="S725" i="1"/>
  <c r="R725" i="1"/>
  <c r="AF725" i="1" s="1"/>
  <c r="AI725" i="1" s="1"/>
  <c r="O725" i="1"/>
  <c r="AD725" i="1" s="1"/>
  <c r="M725" i="1"/>
  <c r="K725" i="1"/>
  <c r="V725" i="1" s="1"/>
  <c r="AH724" i="1"/>
  <c r="AF724" i="1"/>
  <c r="AE724" i="1"/>
  <c r="AD724" i="1"/>
  <c r="AA724" i="1"/>
  <c r="Z724" i="1"/>
  <c r="AG724" i="1" s="1"/>
  <c r="U724" i="1"/>
  <c r="T724" i="1"/>
  <c r="S724" i="1"/>
  <c r="R724" i="1"/>
  <c r="O724" i="1"/>
  <c r="M724" i="1"/>
  <c r="K724" i="1"/>
  <c r="V724" i="1" s="1"/>
  <c r="AH723" i="1"/>
  <c r="AF723" i="1"/>
  <c r="AE723" i="1"/>
  <c r="AA723" i="1"/>
  <c r="Z723" i="1"/>
  <c r="AG723" i="1" s="1"/>
  <c r="V723" i="1"/>
  <c r="U723" i="1"/>
  <c r="T723" i="1"/>
  <c r="S723" i="1"/>
  <c r="R723" i="1"/>
  <c r="O723" i="1"/>
  <c r="AD723" i="1" s="1"/>
  <c r="AI723" i="1" s="1"/>
  <c r="M723" i="1"/>
  <c r="AH722" i="1"/>
  <c r="AG722" i="1"/>
  <c r="AE722" i="1"/>
  <c r="AA722" i="1"/>
  <c r="U722" i="1"/>
  <c r="T722" i="1"/>
  <c r="S722" i="1"/>
  <c r="Q722" i="1"/>
  <c r="R722" i="1" s="1"/>
  <c r="AF722" i="1" s="1"/>
  <c r="O722" i="1"/>
  <c r="AD722" i="1" s="1"/>
  <c r="M722" i="1"/>
  <c r="K722" i="1"/>
  <c r="V722" i="1" s="1"/>
  <c r="AH721" i="1"/>
  <c r="AG721" i="1"/>
  <c r="AE721" i="1"/>
  <c r="AA721" i="1"/>
  <c r="U721" i="1"/>
  <c r="T721" i="1"/>
  <c r="S721" i="1"/>
  <c r="Q721" i="1"/>
  <c r="R721" i="1" s="1"/>
  <c r="AF721" i="1" s="1"/>
  <c r="O721" i="1"/>
  <c r="AD721" i="1" s="1"/>
  <c r="M721" i="1"/>
  <c r="K721" i="1"/>
  <c r="V721" i="1" s="1"/>
  <c r="AH720" i="1"/>
  <c r="AG720" i="1"/>
  <c r="AE720" i="1"/>
  <c r="AA720" i="1"/>
  <c r="Z720" i="1"/>
  <c r="U720" i="1"/>
  <c r="T720" i="1"/>
  <c r="S720" i="1"/>
  <c r="R720" i="1"/>
  <c r="AF720" i="1" s="1"/>
  <c r="Q720" i="1"/>
  <c r="O720" i="1"/>
  <c r="AD720" i="1" s="1"/>
  <c r="M720" i="1"/>
  <c r="K720" i="1"/>
  <c r="V720" i="1" s="1"/>
  <c r="AH719" i="1"/>
  <c r="AG719" i="1"/>
  <c r="AE719" i="1"/>
  <c r="AD719" i="1"/>
  <c r="AI719" i="1" s="1"/>
  <c r="AA719" i="1"/>
  <c r="V719" i="1"/>
  <c r="U719" i="1"/>
  <c r="T719" i="1"/>
  <c r="S719" i="1"/>
  <c r="R719" i="1"/>
  <c r="AF719" i="1" s="1"/>
  <c r="O719" i="1"/>
  <c r="M719" i="1"/>
  <c r="K719" i="1"/>
  <c r="AH718" i="1"/>
  <c r="AG718" i="1"/>
  <c r="AE718" i="1"/>
  <c r="AA718" i="1"/>
  <c r="U718" i="1"/>
  <c r="T718" i="1"/>
  <c r="S718" i="1"/>
  <c r="R718" i="1"/>
  <c r="AF718" i="1" s="1"/>
  <c r="O718" i="1"/>
  <c r="AD718" i="1" s="1"/>
  <c r="M718" i="1"/>
  <c r="K718" i="1"/>
  <c r="V718" i="1" s="1"/>
  <c r="AH717" i="1"/>
  <c r="AF717" i="1"/>
  <c r="AE717" i="1"/>
  <c r="AA717" i="1"/>
  <c r="Z717" i="1"/>
  <c r="AG717" i="1" s="1"/>
  <c r="U717" i="1"/>
  <c r="T717" i="1"/>
  <c r="S717" i="1"/>
  <c r="R717" i="1"/>
  <c r="O717" i="1"/>
  <c r="AD717" i="1" s="1"/>
  <c r="AI717" i="1" s="1"/>
  <c r="M717" i="1"/>
  <c r="K717" i="1"/>
  <c r="V717" i="1" s="1"/>
  <c r="AH716" i="1"/>
  <c r="AG716" i="1"/>
  <c r="AF716" i="1"/>
  <c r="AE716" i="1"/>
  <c r="AA716" i="1"/>
  <c r="U716" i="1"/>
  <c r="T716" i="1"/>
  <c r="S716" i="1"/>
  <c r="R716" i="1"/>
  <c r="Q716" i="1"/>
  <c r="O716" i="1"/>
  <c r="AD716" i="1" s="1"/>
  <c r="AI716" i="1" s="1"/>
  <c r="M716" i="1"/>
  <c r="K716" i="1"/>
  <c r="V716" i="1" s="1"/>
  <c r="AH715" i="1"/>
  <c r="AG715" i="1"/>
  <c r="AE715" i="1"/>
  <c r="AA715" i="1"/>
  <c r="U715" i="1"/>
  <c r="T715" i="1"/>
  <c r="S715" i="1"/>
  <c r="R715" i="1"/>
  <c r="AF715" i="1" s="1"/>
  <c r="Q715" i="1"/>
  <c r="O715" i="1"/>
  <c r="AD715" i="1" s="1"/>
  <c r="M715" i="1"/>
  <c r="K715" i="1"/>
  <c r="V715" i="1" s="1"/>
  <c r="AH714" i="1"/>
  <c r="AE714" i="1"/>
  <c r="AD714" i="1"/>
  <c r="AA714" i="1"/>
  <c r="Z714" i="1"/>
  <c r="AG714" i="1" s="1"/>
  <c r="U714" i="1"/>
  <c r="T714" i="1"/>
  <c r="S714" i="1"/>
  <c r="Q714" i="1"/>
  <c r="R714" i="1" s="1"/>
  <c r="AF714" i="1" s="1"/>
  <c r="O714" i="1"/>
  <c r="M714" i="1"/>
  <c r="K714" i="1"/>
  <c r="V714" i="1" s="1"/>
  <c r="AH713" i="1"/>
  <c r="AG713" i="1"/>
  <c r="AE713" i="1"/>
  <c r="AA713" i="1"/>
  <c r="U713" i="1"/>
  <c r="T713" i="1"/>
  <c r="S713" i="1"/>
  <c r="Q713" i="1"/>
  <c r="R713" i="1" s="1"/>
  <c r="AF713" i="1" s="1"/>
  <c r="O713" i="1"/>
  <c r="AD713" i="1" s="1"/>
  <c r="M713" i="1"/>
  <c r="K713" i="1"/>
  <c r="V713" i="1" s="1"/>
  <c r="AH712" i="1"/>
  <c r="AG712" i="1"/>
  <c r="AE712" i="1"/>
  <c r="AA712" i="1"/>
  <c r="U712" i="1"/>
  <c r="T712" i="1"/>
  <c r="S712" i="1"/>
  <c r="Q712" i="1"/>
  <c r="R712" i="1" s="1"/>
  <c r="AF712" i="1" s="1"/>
  <c r="O712" i="1"/>
  <c r="AD712" i="1" s="1"/>
  <c r="M712" i="1"/>
  <c r="K712" i="1"/>
  <c r="V712" i="1" s="1"/>
  <c r="AH711" i="1"/>
  <c r="AG711" i="1"/>
  <c r="AE711" i="1"/>
  <c r="AA711" i="1"/>
  <c r="Z711" i="1"/>
  <c r="U711" i="1"/>
  <c r="T711" i="1"/>
  <c r="S711" i="1"/>
  <c r="R711" i="1"/>
  <c r="AF711" i="1" s="1"/>
  <c r="Q711" i="1"/>
  <c r="O711" i="1"/>
  <c r="AD711" i="1" s="1"/>
  <c r="M711" i="1"/>
  <c r="K711" i="1"/>
  <c r="V711" i="1" s="1"/>
  <c r="AH710" i="1"/>
  <c r="AG710" i="1"/>
  <c r="AE710" i="1"/>
  <c r="AD710" i="1"/>
  <c r="AI710" i="1" s="1"/>
  <c r="AA710" i="1"/>
  <c r="U710" i="1"/>
  <c r="T710" i="1"/>
  <c r="S710" i="1"/>
  <c r="R710" i="1"/>
  <c r="AF710" i="1" s="1"/>
  <c r="Q710" i="1"/>
  <c r="O710" i="1"/>
  <c r="M710" i="1"/>
  <c r="K710" i="1"/>
  <c r="V710" i="1" s="1"/>
  <c r="AH709" i="1"/>
  <c r="AG709" i="1"/>
  <c r="AE709" i="1"/>
  <c r="AA709" i="1"/>
  <c r="U709" i="1"/>
  <c r="T709" i="1"/>
  <c r="S709" i="1"/>
  <c r="R709" i="1"/>
  <c r="AF709" i="1" s="1"/>
  <c r="Q709" i="1"/>
  <c r="O709" i="1"/>
  <c r="AD709" i="1" s="1"/>
  <c r="AI709" i="1" s="1"/>
  <c r="M709" i="1"/>
  <c r="K709" i="1"/>
  <c r="V709" i="1" s="1"/>
  <c r="AH708" i="1"/>
  <c r="AE708" i="1"/>
  <c r="AD708" i="1"/>
  <c r="AA708" i="1"/>
  <c r="Z708" i="1"/>
  <c r="AG708" i="1" s="1"/>
  <c r="U708" i="1"/>
  <c r="T708" i="1"/>
  <c r="S708" i="1"/>
  <c r="Q708" i="1"/>
  <c r="R708" i="1" s="1"/>
  <c r="AF708" i="1" s="1"/>
  <c r="O708" i="1"/>
  <c r="M708" i="1"/>
  <c r="K708" i="1"/>
  <c r="V708" i="1" s="1"/>
  <c r="AH707" i="1"/>
  <c r="AG707" i="1"/>
  <c r="AE707" i="1"/>
  <c r="AA707" i="1"/>
  <c r="U707" i="1"/>
  <c r="T707" i="1"/>
  <c r="S707" i="1"/>
  <c r="Q707" i="1"/>
  <c r="R707" i="1" s="1"/>
  <c r="AF707" i="1" s="1"/>
  <c r="O707" i="1"/>
  <c r="AD707" i="1" s="1"/>
  <c r="AI707" i="1" s="1"/>
  <c r="M707" i="1"/>
  <c r="K707" i="1"/>
  <c r="V707" i="1" s="1"/>
  <c r="AH706" i="1"/>
  <c r="AG706" i="1"/>
  <c r="AE706" i="1"/>
  <c r="AA706" i="1"/>
  <c r="U706" i="1"/>
  <c r="T706" i="1"/>
  <c r="S706" i="1"/>
  <c r="Q706" i="1"/>
  <c r="R706" i="1" s="1"/>
  <c r="AF706" i="1" s="1"/>
  <c r="O706" i="1"/>
  <c r="AD706" i="1" s="1"/>
  <c r="AI706" i="1" s="1"/>
  <c r="M706" i="1"/>
  <c r="K706" i="1"/>
  <c r="V706" i="1" s="1"/>
  <c r="AH705" i="1"/>
  <c r="AG705" i="1"/>
  <c r="AE705" i="1"/>
  <c r="AA705" i="1"/>
  <c r="Z705" i="1"/>
  <c r="U705" i="1"/>
  <c r="T705" i="1"/>
  <c r="S705" i="1"/>
  <c r="R705" i="1"/>
  <c r="AF705" i="1" s="1"/>
  <c r="Q705" i="1"/>
  <c r="O705" i="1"/>
  <c r="AD705" i="1" s="1"/>
  <c r="AI705" i="1" s="1"/>
  <c r="M705" i="1"/>
  <c r="K705" i="1"/>
  <c r="V705" i="1" s="1"/>
  <c r="AH704" i="1"/>
  <c r="AG704" i="1"/>
  <c r="AF704" i="1"/>
  <c r="AE704" i="1"/>
  <c r="AA704" i="1"/>
  <c r="U704" i="1"/>
  <c r="T704" i="1"/>
  <c r="S704" i="1"/>
  <c r="R704" i="1"/>
  <c r="Q704" i="1"/>
  <c r="O704" i="1"/>
  <c r="AD704" i="1" s="1"/>
  <c r="M704" i="1"/>
  <c r="K704" i="1"/>
  <c r="V704" i="1" s="1"/>
  <c r="AH703" i="1"/>
  <c r="AG703" i="1"/>
  <c r="AF703" i="1"/>
  <c r="AE703" i="1"/>
  <c r="AA703" i="1"/>
  <c r="U703" i="1"/>
  <c r="T703" i="1"/>
  <c r="S703" i="1"/>
  <c r="R703" i="1"/>
  <c r="Q703" i="1"/>
  <c r="O703" i="1"/>
  <c r="AD703" i="1" s="1"/>
  <c r="AI703" i="1" s="1"/>
  <c r="M703" i="1"/>
  <c r="K703" i="1"/>
  <c r="V703" i="1" s="1"/>
  <c r="AH702" i="1"/>
  <c r="AF702" i="1"/>
  <c r="AE702" i="1"/>
  <c r="AA702" i="1"/>
  <c r="Z702" i="1"/>
  <c r="AG702" i="1" s="1"/>
  <c r="U702" i="1"/>
  <c r="T702" i="1"/>
  <c r="S702" i="1"/>
  <c r="Q702" i="1"/>
  <c r="R702" i="1" s="1"/>
  <c r="O702" i="1"/>
  <c r="AD702" i="1" s="1"/>
  <c r="AI702" i="1" s="1"/>
  <c r="M702" i="1"/>
  <c r="K702" i="1"/>
  <c r="V702" i="1" s="1"/>
  <c r="AH701" i="1"/>
  <c r="AG701" i="1"/>
  <c r="AE701" i="1"/>
  <c r="AA701" i="1"/>
  <c r="U701" i="1"/>
  <c r="T701" i="1"/>
  <c r="S701" i="1"/>
  <c r="Q701" i="1"/>
  <c r="R701" i="1" s="1"/>
  <c r="AF701" i="1" s="1"/>
  <c r="O701" i="1"/>
  <c r="AD701" i="1" s="1"/>
  <c r="M701" i="1"/>
  <c r="K701" i="1"/>
  <c r="V701" i="1" s="1"/>
  <c r="AH700" i="1"/>
  <c r="AG700" i="1"/>
  <c r="AE700" i="1"/>
  <c r="AA700" i="1"/>
  <c r="U700" i="1"/>
  <c r="T700" i="1"/>
  <c r="S700" i="1"/>
  <c r="R700" i="1"/>
  <c r="AF700" i="1" s="1"/>
  <c r="O700" i="1"/>
  <c r="AD700" i="1" s="1"/>
  <c r="M700" i="1"/>
  <c r="K700" i="1"/>
  <c r="V700" i="1" s="1"/>
  <c r="AH699" i="1"/>
  <c r="AF699" i="1"/>
  <c r="AE699" i="1"/>
  <c r="AA699" i="1"/>
  <c r="Z699" i="1"/>
  <c r="AG699" i="1" s="1"/>
  <c r="U699" i="1"/>
  <c r="T699" i="1"/>
  <c r="S699" i="1"/>
  <c r="R699" i="1"/>
  <c r="O699" i="1"/>
  <c r="AD699" i="1" s="1"/>
  <c r="M699" i="1"/>
  <c r="K699" i="1"/>
  <c r="V699" i="1" s="1"/>
  <c r="AH698" i="1"/>
  <c r="AG698" i="1"/>
  <c r="AF698" i="1"/>
  <c r="AE698" i="1"/>
  <c r="AA698" i="1"/>
  <c r="U698" i="1"/>
  <c r="T698" i="1"/>
  <c r="S698" i="1"/>
  <c r="R698" i="1"/>
  <c r="Q698" i="1"/>
  <c r="O698" i="1"/>
  <c r="AD698" i="1" s="1"/>
  <c r="AI698" i="1" s="1"/>
  <c r="M698" i="1"/>
  <c r="K698" i="1"/>
  <c r="V698" i="1" s="1"/>
  <c r="AH697" i="1"/>
  <c r="AG697" i="1"/>
  <c r="AF697" i="1"/>
  <c r="AE697" i="1"/>
  <c r="AA697" i="1"/>
  <c r="U697" i="1"/>
  <c r="T697" i="1"/>
  <c r="S697" i="1"/>
  <c r="R697" i="1"/>
  <c r="Q697" i="1"/>
  <c r="O697" i="1"/>
  <c r="AD697" i="1" s="1"/>
  <c r="M697" i="1"/>
  <c r="K697" i="1"/>
  <c r="V697" i="1" s="1"/>
  <c r="AH696" i="1"/>
  <c r="AE696" i="1"/>
  <c r="AD696" i="1"/>
  <c r="AA696" i="1"/>
  <c r="Z696" i="1"/>
  <c r="AG696" i="1" s="1"/>
  <c r="U696" i="1"/>
  <c r="T696" i="1"/>
  <c r="S696" i="1"/>
  <c r="Q696" i="1"/>
  <c r="R696" i="1" s="1"/>
  <c r="AF696" i="1" s="1"/>
  <c r="O696" i="1"/>
  <c r="M696" i="1"/>
  <c r="K696" i="1"/>
  <c r="V696" i="1" s="1"/>
  <c r="AH695" i="1"/>
  <c r="AG695" i="1"/>
  <c r="AE695" i="1"/>
  <c r="AA695" i="1"/>
  <c r="U695" i="1"/>
  <c r="T695" i="1"/>
  <c r="S695" i="1"/>
  <c r="R695" i="1"/>
  <c r="AF695" i="1" s="1"/>
  <c r="O695" i="1"/>
  <c r="AD695" i="1" s="1"/>
  <c r="M695" i="1"/>
  <c r="K695" i="1"/>
  <c r="V695" i="1" s="1"/>
  <c r="AH694" i="1"/>
  <c r="AG694" i="1"/>
  <c r="AE694" i="1"/>
  <c r="AD694" i="1"/>
  <c r="AA694" i="1"/>
  <c r="V694" i="1"/>
  <c r="U694" i="1"/>
  <c r="T694" i="1"/>
  <c r="S694" i="1"/>
  <c r="R694" i="1"/>
  <c r="AF694" i="1" s="1"/>
  <c r="O694" i="1"/>
  <c r="M694" i="1"/>
  <c r="K694" i="1"/>
  <c r="AH693" i="1"/>
  <c r="AG693" i="1"/>
  <c r="AE693" i="1"/>
  <c r="AA693" i="1"/>
  <c r="Z693" i="1"/>
  <c r="V693" i="1"/>
  <c r="U693" i="1"/>
  <c r="T693" i="1"/>
  <c r="S693" i="1"/>
  <c r="R693" i="1"/>
  <c r="AF693" i="1" s="1"/>
  <c r="AI693" i="1" s="1"/>
  <c r="O693" i="1"/>
  <c r="AD693" i="1" s="1"/>
  <c r="M693" i="1"/>
  <c r="K693" i="1"/>
  <c r="AH692" i="1"/>
  <c r="AG692" i="1"/>
  <c r="AE692" i="1"/>
  <c r="AA692" i="1"/>
  <c r="U692" i="1"/>
  <c r="T692" i="1"/>
  <c r="S692" i="1"/>
  <c r="R692" i="1"/>
  <c r="AF692" i="1" s="1"/>
  <c r="AI692" i="1" s="1"/>
  <c r="O692" i="1"/>
  <c r="AD692" i="1" s="1"/>
  <c r="M692" i="1"/>
  <c r="K692" i="1"/>
  <c r="V692" i="1" s="1"/>
  <c r="AH691" i="1"/>
  <c r="AG691" i="1"/>
  <c r="AE691" i="1"/>
  <c r="AD691" i="1"/>
  <c r="AA691" i="1"/>
  <c r="V691" i="1"/>
  <c r="U691" i="1"/>
  <c r="T691" i="1"/>
  <c r="S691" i="1"/>
  <c r="R691" i="1"/>
  <c r="AF691" i="1" s="1"/>
  <c r="O691" i="1"/>
  <c r="M691" i="1"/>
  <c r="K691" i="1"/>
  <c r="AH690" i="1"/>
  <c r="AG690" i="1"/>
  <c r="AE690" i="1"/>
  <c r="AA690" i="1"/>
  <c r="Z690" i="1"/>
  <c r="V690" i="1"/>
  <c r="U690" i="1"/>
  <c r="T690" i="1"/>
  <c r="S690" i="1"/>
  <c r="R690" i="1"/>
  <c r="AF690" i="1" s="1"/>
  <c r="O690" i="1"/>
  <c r="AD690" i="1" s="1"/>
  <c r="AI690" i="1" s="1"/>
  <c r="M690" i="1"/>
  <c r="K690" i="1"/>
  <c r="AH689" i="1"/>
  <c r="AG689" i="1"/>
  <c r="AE689" i="1"/>
  <c r="AA689" i="1"/>
  <c r="Z689" i="1"/>
  <c r="V689" i="1"/>
  <c r="U689" i="1"/>
  <c r="T689" i="1"/>
  <c r="S689" i="1"/>
  <c r="R689" i="1"/>
  <c r="AF689" i="1" s="1"/>
  <c r="O689" i="1"/>
  <c r="AD689" i="1" s="1"/>
  <c r="AI689" i="1" s="1"/>
  <c r="M689" i="1"/>
  <c r="K689" i="1"/>
  <c r="AH688" i="1"/>
  <c r="AG688" i="1"/>
  <c r="AE688" i="1"/>
  <c r="AA688" i="1"/>
  <c r="Z688" i="1"/>
  <c r="V688" i="1"/>
  <c r="U688" i="1"/>
  <c r="T688" i="1"/>
  <c r="S688" i="1"/>
  <c r="R688" i="1"/>
  <c r="AF688" i="1" s="1"/>
  <c r="O688" i="1"/>
  <c r="AD688" i="1" s="1"/>
  <c r="M688" i="1"/>
  <c r="K688" i="1"/>
  <c r="AH687" i="1"/>
  <c r="AG687" i="1"/>
  <c r="AE687" i="1"/>
  <c r="AA687" i="1"/>
  <c r="Z687" i="1"/>
  <c r="V687" i="1"/>
  <c r="U687" i="1"/>
  <c r="T687" i="1"/>
  <c r="S687" i="1"/>
  <c r="R687" i="1"/>
  <c r="AF687" i="1" s="1"/>
  <c r="O687" i="1"/>
  <c r="AD687" i="1" s="1"/>
  <c r="AI687" i="1" s="1"/>
  <c r="M687" i="1"/>
  <c r="K687" i="1"/>
  <c r="AH686" i="1"/>
  <c r="AG686" i="1"/>
  <c r="AE686" i="1"/>
  <c r="AA686" i="1"/>
  <c r="Z686" i="1"/>
  <c r="U686" i="1"/>
  <c r="T686" i="1"/>
  <c r="S686" i="1"/>
  <c r="R686" i="1"/>
  <c r="AF686" i="1" s="1"/>
  <c r="Q686" i="1"/>
  <c r="O686" i="1"/>
  <c r="AD686" i="1" s="1"/>
  <c r="AI686" i="1" s="1"/>
  <c r="M686" i="1"/>
  <c r="K686" i="1"/>
  <c r="V686" i="1" s="1"/>
  <c r="AH685" i="1"/>
  <c r="AE685" i="1"/>
  <c r="AD685" i="1"/>
  <c r="AI685" i="1" s="1"/>
  <c r="AA685" i="1"/>
  <c r="Z685" i="1"/>
  <c r="AG685" i="1" s="1"/>
  <c r="U685" i="1"/>
  <c r="T685" i="1"/>
  <c r="S685" i="1"/>
  <c r="Q685" i="1"/>
  <c r="R685" i="1" s="1"/>
  <c r="AF685" i="1" s="1"/>
  <c r="O685" i="1"/>
  <c r="M685" i="1"/>
  <c r="K685" i="1"/>
  <c r="V685" i="1" s="1"/>
  <c r="AH684" i="1"/>
  <c r="AG684" i="1"/>
  <c r="AE684" i="1"/>
  <c r="AA684" i="1"/>
  <c r="Z684" i="1"/>
  <c r="U684" i="1"/>
  <c r="T684" i="1"/>
  <c r="S684" i="1"/>
  <c r="R684" i="1"/>
  <c r="AF684" i="1" s="1"/>
  <c r="Q684" i="1"/>
  <c r="O684" i="1"/>
  <c r="AD684" i="1" s="1"/>
  <c r="M684" i="1"/>
  <c r="K684" i="1"/>
  <c r="V684" i="1" s="1"/>
  <c r="AH683" i="1"/>
  <c r="AF683" i="1"/>
  <c r="AE683" i="1"/>
  <c r="AA683" i="1"/>
  <c r="Z683" i="1"/>
  <c r="AG683" i="1" s="1"/>
  <c r="U683" i="1"/>
  <c r="T683" i="1"/>
  <c r="S683" i="1"/>
  <c r="R683" i="1"/>
  <c r="O683" i="1"/>
  <c r="AD683" i="1" s="1"/>
  <c r="AI683" i="1" s="1"/>
  <c r="M683" i="1"/>
  <c r="K683" i="1"/>
  <c r="V683" i="1" s="1"/>
  <c r="AH682" i="1"/>
  <c r="AF682" i="1"/>
  <c r="AE682" i="1"/>
  <c r="AA682" i="1"/>
  <c r="Z682" i="1"/>
  <c r="AG682" i="1" s="1"/>
  <c r="U682" i="1"/>
  <c r="T682" i="1"/>
  <c r="S682" i="1"/>
  <c r="R682" i="1"/>
  <c r="O682" i="1"/>
  <c r="AD682" i="1" s="1"/>
  <c r="AI682" i="1" s="1"/>
  <c r="M682" i="1"/>
  <c r="K682" i="1"/>
  <c r="V682" i="1" s="1"/>
  <c r="AH681" i="1"/>
  <c r="AF681" i="1"/>
  <c r="AE681" i="1"/>
  <c r="AA681" i="1"/>
  <c r="Z681" i="1"/>
  <c r="AG681" i="1" s="1"/>
  <c r="U681" i="1"/>
  <c r="T681" i="1"/>
  <c r="S681" i="1"/>
  <c r="R681" i="1"/>
  <c r="O681" i="1"/>
  <c r="AD681" i="1" s="1"/>
  <c r="AI681" i="1" s="1"/>
  <c r="M681" i="1"/>
  <c r="K681" i="1"/>
  <c r="V681" i="1" s="1"/>
  <c r="AH680" i="1"/>
  <c r="AE680" i="1"/>
  <c r="AD680" i="1"/>
  <c r="AI680" i="1" s="1"/>
  <c r="AA680" i="1"/>
  <c r="Z680" i="1"/>
  <c r="AG680" i="1" s="1"/>
  <c r="U680" i="1"/>
  <c r="T680" i="1"/>
  <c r="S680" i="1"/>
  <c r="Q680" i="1"/>
  <c r="R680" i="1" s="1"/>
  <c r="AF680" i="1" s="1"/>
  <c r="O680" i="1"/>
  <c r="M680" i="1"/>
  <c r="K680" i="1"/>
  <c r="V680" i="1" s="1"/>
  <c r="AH679" i="1"/>
  <c r="AG679" i="1"/>
  <c r="AF679" i="1"/>
  <c r="AE679" i="1"/>
  <c r="AA679" i="1"/>
  <c r="Z679" i="1"/>
  <c r="U679" i="1"/>
  <c r="T679" i="1"/>
  <c r="S679" i="1"/>
  <c r="R679" i="1"/>
  <c r="Q679" i="1"/>
  <c r="O679" i="1"/>
  <c r="AD679" i="1" s="1"/>
  <c r="M679" i="1"/>
  <c r="K679" i="1"/>
  <c r="V679" i="1" s="1"/>
  <c r="AH678" i="1"/>
  <c r="AE678" i="1"/>
  <c r="AD678" i="1"/>
  <c r="AA678" i="1"/>
  <c r="Z678" i="1"/>
  <c r="AG678" i="1" s="1"/>
  <c r="U678" i="1"/>
  <c r="T678" i="1"/>
  <c r="S678" i="1"/>
  <c r="Q678" i="1"/>
  <c r="R678" i="1" s="1"/>
  <c r="AF678" i="1" s="1"/>
  <c r="O678" i="1"/>
  <c r="M678" i="1"/>
  <c r="K678" i="1"/>
  <c r="V678" i="1" s="1"/>
  <c r="AI677" i="1"/>
  <c r="AH677" i="1"/>
  <c r="AG677" i="1"/>
  <c r="AE677" i="1"/>
  <c r="AA677" i="1"/>
  <c r="Z677" i="1"/>
  <c r="V677" i="1"/>
  <c r="U677" i="1"/>
  <c r="T677" i="1"/>
  <c r="S677" i="1"/>
  <c r="R677" i="1"/>
  <c r="AF677" i="1" s="1"/>
  <c r="O677" i="1"/>
  <c r="AD677" i="1" s="1"/>
  <c r="M677" i="1"/>
  <c r="K677" i="1"/>
  <c r="AH676" i="1"/>
  <c r="AG676" i="1"/>
  <c r="AE676" i="1"/>
  <c r="AA676" i="1"/>
  <c r="Z676" i="1"/>
  <c r="V676" i="1"/>
  <c r="U676" i="1"/>
  <c r="T676" i="1"/>
  <c r="S676" i="1"/>
  <c r="R676" i="1"/>
  <c r="AF676" i="1" s="1"/>
  <c r="AI676" i="1" s="1"/>
  <c r="O676" i="1"/>
  <c r="AD676" i="1" s="1"/>
  <c r="M676" i="1"/>
  <c r="K676" i="1"/>
  <c r="AI675" i="1"/>
  <c r="AH675" i="1"/>
  <c r="AG675" i="1"/>
  <c r="AE675" i="1"/>
  <c r="AA675" i="1"/>
  <c r="Z675" i="1"/>
  <c r="V675" i="1"/>
  <c r="U675" i="1"/>
  <c r="T675" i="1"/>
  <c r="S675" i="1"/>
  <c r="R675" i="1"/>
  <c r="AF675" i="1" s="1"/>
  <c r="O675" i="1"/>
  <c r="AD675" i="1" s="1"/>
  <c r="M675" i="1"/>
  <c r="K675" i="1"/>
  <c r="AH674" i="1"/>
  <c r="AG674" i="1"/>
  <c r="AE674" i="1"/>
  <c r="AA674" i="1"/>
  <c r="Z674" i="1"/>
  <c r="V674" i="1"/>
  <c r="U674" i="1"/>
  <c r="T674" i="1"/>
  <c r="S674" i="1"/>
  <c r="R674" i="1"/>
  <c r="AF674" i="1" s="1"/>
  <c r="AI674" i="1" s="1"/>
  <c r="O674" i="1"/>
  <c r="AD674" i="1" s="1"/>
  <c r="M674" i="1"/>
  <c r="K674" i="1"/>
  <c r="AI673" i="1"/>
  <c r="AH673" i="1"/>
  <c r="AG673" i="1"/>
  <c r="AE673" i="1"/>
  <c r="AA673" i="1"/>
  <c r="Z673" i="1"/>
  <c r="V673" i="1"/>
  <c r="U673" i="1"/>
  <c r="T673" i="1"/>
  <c r="S673" i="1"/>
  <c r="R673" i="1"/>
  <c r="AF673" i="1" s="1"/>
  <c r="O673" i="1"/>
  <c r="AD673" i="1" s="1"/>
  <c r="M673" i="1"/>
  <c r="K673" i="1"/>
  <c r="AH672" i="1"/>
  <c r="AG672" i="1"/>
  <c r="AE672" i="1"/>
  <c r="AA672" i="1"/>
  <c r="Z672" i="1"/>
  <c r="V672" i="1"/>
  <c r="U672" i="1"/>
  <c r="T672" i="1"/>
  <c r="S672" i="1"/>
  <c r="R672" i="1"/>
  <c r="AF672" i="1" s="1"/>
  <c r="AI672" i="1" s="1"/>
  <c r="O672" i="1"/>
  <c r="AD672" i="1" s="1"/>
  <c r="M672" i="1"/>
  <c r="K672" i="1"/>
  <c r="AI671" i="1"/>
  <c r="AH671" i="1"/>
  <c r="AG671" i="1"/>
  <c r="AE671" i="1"/>
  <c r="AA671" i="1"/>
  <c r="Z671" i="1"/>
  <c r="U671" i="1"/>
  <c r="T671" i="1"/>
  <c r="S671" i="1"/>
  <c r="R671" i="1"/>
  <c r="AF671" i="1" s="1"/>
  <c r="Q671" i="1"/>
  <c r="O671" i="1"/>
  <c r="AD671" i="1" s="1"/>
  <c r="M671" i="1"/>
  <c r="K671" i="1"/>
  <c r="V671" i="1" s="1"/>
  <c r="AH670" i="1"/>
  <c r="AE670" i="1"/>
  <c r="AD670" i="1"/>
  <c r="AA670" i="1"/>
  <c r="Z670" i="1"/>
  <c r="AG670" i="1" s="1"/>
  <c r="U670" i="1"/>
  <c r="T670" i="1"/>
  <c r="S670" i="1"/>
  <c r="Q670" i="1"/>
  <c r="R670" i="1" s="1"/>
  <c r="AF670" i="1" s="1"/>
  <c r="O670" i="1"/>
  <c r="M670" i="1"/>
  <c r="K670" i="1"/>
  <c r="V670" i="1" s="1"/>
  <c r="AH669" i="1"/>
  <c r="AG669" i="1"/>
  <c r="AE669" i="1"/>
  <c r="AA669" i="1"/>
  <c r="Z669" i="1"/>
  <c r="U669" i="1"/>
  <c r="T669" i="1"/>
  <c r="S669" i="1"/>
  <c r="R669" i="1"/>
  <c r="AF669" i="1" s="1"/>
  <c r="Q669" i="1"/>
  <c r="O669" i="1"/>
  <c r="AD669" i="1" s="1"/>
  <c r="M669" i="1"/>
  <c r="K669" i="1"/>
  <c r="V669" i="1" s="1"/>
  <c r="AH668" i="1"/>
  <c r="AE668" i="1"/>
  <c r="AD668" i="1"/>
  <c r="AA668" i="1"/>
  <c r="Z668" i="1"/>
  <c r="AG668" i="1" s="1"/>
  <c r="U668" i="1"/>
  <c r="T668" i="1"/>
  <c r="S668" i="1"/>
  <c r="O668" i="1"/>
  <c r="N668" i="1"/>
  <c r="V668" i="1" s="1"/>
  <c r="M668" i="1"/>
  <c r="K668" i="1"/>
  <c r="AG667" i="1"/>
  <c r="AE667" i="1"/>
  <c r="AA667" i="1"/>
  <c r="Z667" i="1"/>
  <c r="U667" i="1"/>
  <c r="T667" i="1"/>
  <c r="S667" i="1"/>
  <c r="R667" i="1"/>
  <c r="AF667" i="1" s="1"/>
  <c r="O667" i="1"/>
  <c r="AD667" i="1" s="1"/>
  <c r="AI667" i="1" s="1"/>
  <c r="N667" i="1"/>
  <c r="AH667" i="1" s="1"/>
  <c r="M667" i="1"/>
  <c r="K667" i="1"/>
  <c r="V667" i="1" s="1"/>
  <c r="AH666" i="1"/>
  <c r="AE666" i="1"/>
  <c r="AA666" i="1"/>
  <c r="Z666" i="1"/>
  <c r="AG666" i="1" s="1"/>
  <c r="U666" i="1"/>
  <c r="T666" i="1"/>
  <c r="S666" i="1"/>
  <c r="O666" i="1"/>
  <c r="AD666" i="1" s="1"/>
  <c r="N666" i="1"/>
  <c r="V666" i="1" s="1"/>
  <c r="M666" i="1"/>
  <c r="K666" i="1"/>
  <c r="AH665" i="1"/>
  <c r="AG665" i="1"/>
  <c r="AE665" i="1"/>
  <c r="AA665" i="1"/>
  <c r="Z665" i="1"/>
  <c r="U665" i="1"/>
  <c r="T665" i="1"/>
  <c r="S665" i="1"/>
  <c r="R665" i="1"/>
  <c r="AF665" i="1" s="1"/>
  <c r="Q665" i="1"/>
  <c r="O665" i="1"/>
  <c r="AD665" i="1" s="1"/>
  <c r="M665" i="1"/>
  <c r="K665" i="1"/>
  <c r="V665" i="1" s="1"/>
  <c r="AH664" i="1"/>
  <c r="AE664" i="1"/>
  <c r="AD664" i="1"/>
  <c r="AA664" i="1"/>
  <c r="Z664" i="1"/>
  <c r="AG664" i="1" s="1"/>
  <c r="U664" i="1"/>
  <c r="T664" i="1"/>
  <c r="S664" i="1"/>
  <c r="Q664" i="1"/>
  <c r="R664" i="1" s="1"/>
  <c r="AF664" i="1" s="1"/>
  <c r="O664" i="1"/>
  <c r="M664" i="1"/>
  <c r="K664" i="1"/>
  <c r="V664" i="1" s="1"/>
  <c r="AH663" i="1"/>
  <c r="AG663" i="1"/>
  <c r="AE663" i="1"/>
  <c r="AA663" i="1"/>
  <c r="Z663" i="1"/>
  <c r="U663" i="1"/>
  <c r="T663" i="1"/>
  <c r="S663" i="1"/>
  <c r="R663" i="1"/>
  <c r="AF663" i="1" s="1"/>
  <c r="Q663" i="1"/>
  <c r="O663" i="1"/>
  <c r="AD663" i="1" s="1"/>
  <c r="AI663" i="1" s="1"/>
  <c r="M663" i="1"/>
  <c r="K663" i="1"/>
  <c r="V663" i="1" s="1"/>
  <c r="AH662" i="1"/>
  <c r="AE662" i="1"/>
  <c r="AD662" i="1"/>
  <c r="AA662" i="1"/>
  <c r="Z662" i="1"/>
  <c r="AG662" i="1" s="1"/>
  <c r="U662" i="1"/>
  <c r="T662" i="1"/>
  <c r="S662" i="1"/>
  <c r="Q662" i="1"/>
  <c r="R662" i="1" s="1"/>
  <c r="AF662" i="1" s="1"/>
  <c r="O662" i="1"/>
  <c r="M662" i="1"/>
  <c r="K662" i="1"/>
  <c r="V662" i="1" s="1"/>
  <c r="AH661" i="1"/>
  <c r="AG661" i="1"/>
  <c r="AE661" i="1"/>
  <c r="AA661" i="1"/>
  <c r="Z661" i="1"/>
  <c r="U661" i="1"/>
  <c r="T661" i="1"/>
  <c r="S661" i="1"/>
  <c r="R661" i="1"/>
  <c r="AF661" i="1" s="1"/>
  <c r="Q661" i="1"/>
  <c r="O661" i="1"/>
  <c r="AD661" i="1" s="1"/>
  <c r="M661" i="1"/>
  <c r="K661" i="1"/>
  <c r="V661" i="1" s="1"/>
  <c r="AH660" i="1"/>
  <c r="AE660" i="1"/>
  <c r="AD660" i="1"/>
  <c r="AI660" i="1" s="1"/>
  <c r="AA660" i="1"/>
  <c r="Z660" i="1"/>
  <c r="AG660" i="1" s="1"/>
  <c r="U660" i="1"/>
  <c r="T660" i="1"/>
  <c r="S660" i="1"/>
  <c r="Q660" i="1"/>
  <c r="R660" i="1" s="1"/>
  <c r="AF660" i="1" s="1"/>
  <c r="O660" i="1"/>
  <c r="M660" i="1"/>
  <c r="K660" i="1"/>
  <c r="V660" i="1" s="1"/>
  <c r="AH659" i="1"/>
  <c r="AG659" i="1"/>
  <c r="AE659" i="1"/>
  <c r="AA659" i="1"/>
  <c r="Z659" i="1"/>
  <c r="V659" i="1"/>
  <c r="U659" i="1"/>
  <c r="T659" i="1"/>
  <c r="S659" i="1"/>
  <c r="R659" i="1"/>
  <c r="AF659" i="1" s="1"/>
  <c r="O659" i="1"/>
  <c r="AD659" i="1" s="1"/>
  <c r="AI659" i="1" s="1"/>
  <c r="M659" i="1"/>
  <c r="K659" i="1"/>
  <c r="AI658" i="1"/>
  <c r="AH658" i="1"/>
  <c r="AG658" i="1"/>
  <c r="AE658" i="1"/>
  <c r="AA658" i="1"/>
  <c r="Z658" i="1"/>
  <c r="V658" i="1"/>
  <c r="U658" i="1"/>
  <c r="T658" i="1"/>
  <c r="S658" i="1"/>
  <c r="R658" i="1"/>
  <c r="AF658" i="1" s="1"/>
  <c r="O658" i="1"/>
  <c r="AD658" i="1" s="1"/>
  <c r="M658" i="1"/>
  <c r="K658" i="1"/>
  <c r="AH657" i="1"/>
  <c r="AG657" i="1"/>
  <c r="AE657" i="1"/>
  <c r="AA657" i="1"/>
  <c r="Z657" i="1"/>
  <c r="V657" i="1"/>
  <c r="U657" i="1"/>
  <c r="T657" i="1"/>
  <c r="S657" i="1"/>
  <c r="R657" i="1"/>
  <c r="AF657" i="1" s="1"/>
  <c r="O657" i="1"/>
  <c r="AD657" i="1" s="1"/>
  <c r="AI657" i="1" s="1"/>
  <c r="M657" i="1"/>
  <c r="K657" i="1"/>
  <c r="AH656" i="1"/>
  <c r="AG656" i="1"/>
  <c r="AE656" i="1"/>
  <c r="AA656" i="1"/>
  <c r="Z656" i="1"/>
  <c r="U656" i="1"/>
  <c r="T656" i="1"/>
  <c r="S656" i="1"/>
  <c r="R656" i="1"/>
  <c r="AF656" i="1" s="1"/>
  <c r="Q656" i="1"/>
  <c r="O656" i="1"/>
  <c r="AD656" i="1" s="1"/>
  <c r="AI656" i="1" s="1"/>
  <c r="M656" i="1"/>
  <c r="K656" i="1"/>
  <c r="V656" i="1" s="1"/>
  <c r="AH655" i="1"/>
  <c r="AE655" i="1"/>
  <c r="AD655" i="1"/>
  <c r="AA655" i="1"/>
  <c r="Z655" i="1"/>
  <c r="AG655" i="1" s="1"/>
  <c r="U655" i="1"/>
  <c r="T655" i="1"/>
  <c r="S655" i="1"/>
  <c r="Q655" i="1"/>
  <c r="R655" i="1" s="1"/>
  <c r="AF655" i="1" s="1"/>
  <c r="O655" i="1"/>
  <c r="M655" i="1"/>
  <c r="K655" i="1"/>
  <c r="V655" i="1" s="1"/>
  <c r="AH654" i="1"/>
  <c r="AG654" i="1"/>
  <c r="AE654" i="1"/>
  <c r="AA654" i="1"/>
  <c r="Z654" i="1"/>
  <c r="U654" i="1"/>
  <c r="T654" i="1"/>
  <c r="S654" i="1"/>
  <c r="R654" i="1"/>
  <c r="AF654" i="1" s="1"/>
  <c r="Q654" i="1"/>
  <c r="O654" i="1"/>
  <c r="AD654" i="1" s="1"/>
  <c r="M654" i="1"/>
  <c r="K654" i="1"/>
  <c r="V654" i="1" s="1"/>
  <c r="AH653" i="1"/>
  <c r="AE653" i="1"/>
  <c r="AD653" i="1"/>
  <c r="AA653" i="1"/>
  <c r="Z653" i="1"/>
  <c r="AG653" i="1" s="1"/>
  <c r="U653" i="1"/>
  <c r="T653" i="1"/>
  <c r="S653" i="1"/>
  <c r="Q653" i="1"/>
  <c r="R653" i="1" s="1"/>
  <c r="AF653" i="1" s="1"/>
  <c r="O653" i="1"/>
  <c r="M653" i="1"/>
  <c r="K653" i="1"/>
  <c r="V653" i="1" s="1"/>
  <c r="AI652" i="1"/>
  <c r="AH652" i="1"/>
  <c r="AG652" i="1"/>
  <c r="AE652" i="1"/>
  <c r="AA652" i="1"/>
  <c r="Z652" i="1"/>
  <c r="U652" i="1"/>
  <c r="T652" i="1"/>
  <c r="S652" i="1"/>
  <c r="R652" i="1"/>
  <c r="AF652" i="1" s="1"/>
  <c r="Q652" i="1"/>
  <c r="O652" i="1"/>
  <c r="AD652" i="1" s="1"/>
  <c r="M652" i="1"/>
  <c r="K652" i="1"/>
  <c r="V652" i="1" s="1"/>
  <c r="AH651" i="1"/>
  <c r="AF651" i="1"/>
  <c r="AE651" i="1"/>
  <c r="AA651" i="1"/>
  <c r="Z651" i="1"/>
  <c r="AG651" i="1" s="1"/>
  <c r="U651" i="1"/>
  <c r="T651" i="1"/>
  <c r="S651" i="1"/>
  <c r="Q651" i="1"/>
  <c r="R651" i="1" s="1"/>
  <c r="O651" i="1"/>
  <c r="AD651" i="1" s="1"/>
  <c r="AI651" i="1" s="1"/>
  <c r="M651" i="1"/>
  <c r="K651" i="1"/>
  <c r="V651" i="1" s="1"/>
  <c r="AH650" i="1"/>
  <c r="AG650" i="1"/>
  <c r="AE650" i="1"/>
  <c r="AA650" i="1"/>
  <c r="Z650" i="1"/>
  <c r="U650" i="1"/>
  <c r="T650" i="1"/>
  <c r="S650" i="1"/>
  <c r="R650" i="1"/>
  <c r="AF650" i="1" s="1"/>
  <c r="Q650" i="1"/>
  <c r="O650" i="1"/>
  <c r="AD650" i="1" s="1"/>
  <c r="M650" i="1"/>
  <c r="K650" i="1"/>
  <c r="V650" i="1" s="1"/>
  <c r="AH649" i="1"/>
  <c r="AE649" i="1"/>
  <c r="AD649" i="1"/>
  <c r="AA649" i="1"/>
  <c r="Z649" i="1"/>
  <c r="AG649" i="1" s="1"/>
  <c r="U649" i="1"/>
  <c r="T649" i="1"/>
  <c r="S649" i="1"/>
  <c r="Q649" i="1"/>
  <c r="R649" i="1" s="1"/>
  <c r="AF649" i="1" s="1"/>
  <c r="O649" i="1"/>
  <c r="M649" i="1"/>
  <c r="K649" i="1"/>
  <c r="V649" i="1" s="1"/>
  <c r="AH648" i="1"/>
  <c r="AG648" i="1"/>
  <c r="AE648" i="1"/>
  <c r="AA648" i="1"/>
  <c r="Z648" i="1"/>
  <c r="U648" i="1"/>
  <c r="T648" i="1"/>
  <c r="S648" i="1"/>
  <c r="R648" i="1"/>
  <c r="AF648" i="1" s="1"/>
  <c r="Q648" i="1"/>
  <c r="O648" i="1"/>
  <c r="AD648" i="1" s="1"/>
  <c r="AI648" i="1" s="1"/>
  <c r="M648" i="1"/>
  <c r="K648" i="1"/>
  <c r="V648" i="1" s="1"/>
  <c r="AH647" i="1"/>
  <c r="AF647" i="1"/>
  <c r="AE647" i="1"/>
  <c r="AA647" i="1"/>
  <c r="Z647" i="1"/>
  <c r="AG647" i="1" s="1"/>
  <c r="U647" i="1"/>
  <c r="T647" i="1"/>
  <c r="S647" i="1"/>
  <c r="Q647" i="1"/>
  <c r="R647" i="1" s="1"/>
  <c r="O647" i="1"/>
  <c r="AD647" i="1" s="1"/>
  <c r="AI647" i="1" s="1"/>
  <c r="K647" i="1"/>
  <c r="V647" i="1" s="1"/>
  <c r="AH646" i="1"/>
  <c r="AF646" i="1"/>
  <c r="AE646" i="1"/>
  <c r="AA646" i="1"/>
  <c r="Z646" i="1"/>
  <c r="AG646" i="1" s="1"/>
  <c r="U646" i="1"/>
  <c r="T646" i="1"/>
  <c r="S646" i="1"/>
  <c r="Q646" i="1"/>
  <c r="R646" i="1" s="1"/>
  <c r="O646" i="1"/>
  <c r="AD646" i="1" s="1"/>
  <c r="AI646" i="1" s="1"/>
  <c r="K646" i="1"/>
  <c r="V646" i="1" s="1"/>
  <c r="AH645" i="1"/>
  <c r="AE645" i="1"/>
  <c r="AD645" i="1"/>
  <c r="AI645" i="1" s="1"/>
  <c r="AA645" i="1"/>
  <c r="Z645" i="1"/>
  <c r="AG645" i="1" s="1"/>
  <c r="V645" i="1"/>
  <c r="U645" i="1"/>
  <c r="T645" i="1"/>
  <c r="S645" i="1"/>
  <c r="Q645" i="1"/>
  <c r="R645" i="1" s="1"/>
  <c r="AF645" i="1" s="1"/>
  <c r="O645" i="1"/>
  <c r="K645" i="1"/>
  <c r="AH644" i="1"/>
  <c r="AE644" i="1"/>
  <c r="AD644" i="1"/>
  <c r="AI644" i="1" s="1"/>
  <c r="AA644" i="1"/>
  <c r="Z644" i="1"/>
  <c r="AG644" i="1" s="1"/>
  <c r="V644" i="1"/>
  <c r="U644" i="1"/>
  <c r="T644" i="1"/>
  <c r="S644" i="1"/>
  <c r="Q644" i="1"/>
  <c r="R644" i="1" s="1"/>
  <c r="AF644" i="1" s="1"/>
  <c r="O644" i="1"/>
  <c r="K644" i="1"/>
  <c r="AH643" i="1"/>
  <c r="AE643" i="1"/>
  <c r="AD643" i="1"/>
  <c r="AI643" i="1" s="1"/>
  <c r="AA643" i="1"/>
  <c r="Z643" i="1"/>
  <c r="AG643" i="1" s="1"/>
  <c r="V643" i="1"/>
  <c r="U643" i="1"/>
  <c r="T643" i="1"/>
  <c r="S643" i="1"/>
  <c r="Q643" i="1"/>
  <c r="R643" i="1" s="1"/>
  <c r="AF643" i="1" s="1"/>
  <c r="O643" i="1"/>
  <c r="K643" i="1"/>
  <c r="AH642" i="1"/>
  <c r="AE642" i="1"/>
  <c r="AD642" i="1"/>
  <c r="AI642" i="1" s="1"/>
  <c r="AA642" i="1"/>
  <c r="Z642" i="1"/>
  <c r="AG642" i="1" s="1"/>
  <c r="V642" i="1"/>
  <c r="U642" i="1"/>
  <c r="T642" i="1"/>
  <c r="S642" i="1"/>
  <c r="Q642" i="1"/>
  <c r="R642" i="1" s="1"/>
  <c r="AF642" i="1" s="1"/>
  <c r="O642" i="1"/>
  <c r="K642" i="1"/>
  <c r="AH641" i="1"/>
  <c r="AE641" i="1"/>
  <c r="AA641" i="1"/>
  <c r="Z641" i="1"/>
  <c r="AG641" i="1" s="1"/>
  <c r="V641" i="1"/>
  <c r="U641" i="1"/>
  <c r="T641" i="1"/>
  <c r="S641" i="1"/>
  <c r="R641" i="1"/>
  <c r="AF641" i="1" s="1"/>
  <c r="O641" i="1"/>
  <c r="AD641" i="1" s="1"/>
  <c r="AI641" i="1" s="1"/>
  <c r="K641" i="1"/>
  <c r="AH640" i="1"/>
  <c r="AG640" i="1"/>
  <c r="AE640" i="1"/>
  <c r="AA640" i="1"/>
  <c r="Z640" i="1"/>
  <c r="U640" i="1"/>
  <c r="T640" i="1"/>
  <c r="S640" i="1"/>
  <c r="R640" i="1"/>
  <c r="AF640" i="1" s="1"/>
  <c r="O640" i="1"/>
  <c r="AD640" i="1" s="1"/>
  <c r="AI640" i="1" s="1"/>
  <c r="K640" i="1"/>
  <c r="V640" i="1" s="1"/>
  <c r="AH639" i="1"/>
  <c r="AF639" i="1"/>
  <c r="AE639" i="1"/>
  <c r="AA639" i="1"/>
  <c r="Z639" i="1"/>
  <c r="AG639" i="1" s="1"/>
  <c r="U639" i="1"/>
  <c r="T639" i="1"/>
  <c r="S639" i="1"/>
  <c r="R639" i="1"/>
  <c r="O639" i="1"/>
  <c r="AD639" i="1" s="1"/>
  <c r="K639" i="1"/>
  <c r="V639" i="1" s="1"/>
  <c r="AH638" i="1"/>
  <c r="AE638" i="1"/>
  <c r="AA638" i="1"/>
  <c r="Z638" i="1"/>
  <c r="AG638" i="1" s="1"/>
  <c r="AI638" i="1" s="1"/>
  <c r="V638" i="1"/>
  <c r="U638" i="1"/>
  <c r="T638" i="1"/>
  <c r="S638" i="1"/>
  <c r="R638" i="1"/>
  <c r="AF638" i="1" s="1"/>
  <c r="Q638" i="1"/>
  <c r="O638" i="1"/>
  <c r="AD638" i="1" s="1"/>
  <c r="K638" i="1"/>
  <c r="AH637" i="1"/>
  <c r="AE637" i="1"/>
  <c r="AA637" i="1"/>
  <c r="Z637" i="1"/>
  <c r="AG637" i="1" s="1"/>
  <c r="V637" i="1"/>
  <c r="U637" i="1"/>
  <c r="T637" i="1"/>
  <c r="S637" i="1"/>
  <c r="R637" i="1"/>
  <c r="AF637" i="1" s="1"/>
  <c r="Q637" i="1"/>
  <c r="O637" i="1"/>
  <c r="AD637" i="1" s="1"/>
  <c r="AI637" i="1" s="1"/>
  <c r="K637" i="1"/>
  <c r="AH636" i="1"/>
  <c r="AE636" i="1"/>
  <c r="AA636" i="1"/>
  <c r="Z636" i="1"/>
  <c r="AG636" i="1" s="1"/>
  <c r="V636" i="1"/>
  <c r="U636" i="1"/>
  <c r="T636" i="1"/>
  <c r="S636" i="1"/>
  <c r="R636" i="1"/>
  <c r="AF636" i="1" s="1"/>
  <c r="Q636" i="1"/>
  <c r="O636" i="1"/>
  <c r="AD636" i="1" s="1"/>
  <c r="AI636" i="1" s="1"/>
  <c r="K636" i="1"/>
  <c r="AH635" i="1"/>
  <c r="AE635" i="1"/>
  <c r="AA635" i="1"/>
  <c r="Z635" i="1"/>
  <c r="AG635" i="1" s="1"/>
  <c r="V635" i="1"/>
  <c r="U635" i="1"/>
  <c r="T635" i="1"/>
  <c r="S635" i="1"/>
  <c r="R635" i="1"/>
  <c r="AF635" i="1" s="1"/>
  <c r="AI635" i="1" s="1"/>
  <c r="O635" i="1"/>
  <c r="AD635" i="1" s="1"/>
  <c r="K635" i="1"/>
  <c r="AH634" i="1"/>
  <c r="AE634" i="1"/>
  <c r="AA634" i="1"/>
  <c r="Z634" i="1"/>
  <c r="AG634" i="1" s="1"/>
  <c r="V634" i="1"/>
  <c r="U634" i="1"/>
  <c r="T634" i="1"/>
  <c r="S634" i="1"/>
  <c r="R634" i="1"/>
  <c r="AF634" i="1" s="1"/>
  <c r="O634" i="1"/>
  <c r="AD634" i="1" s="1"/>
  <c r="AI634" i="1" s="1"/>
  <c r="K634" i="1"/>
  <c r="AH633" i="1"/>
  <c r="AG633" i="1"/>
  <c r="AE633" i="1"/>
  <c r="AA633" i="1"/>
  <c r="Z633" i="1"/>
  <c r="V633" i="1"/>
  <c r="U633" i="1"/>
  <c r="T633" i="1"/>
  <c r="S633" i="1"/>
  <c r="Q633" i="1"/>
  <c r="R633" i="1" s="1"/>
  <c r="AF633" i="1" s="1"/>
  <c r="O633" i="1"/>
  <c r="AD633" i="1" s="1"/>
  <c r="K633" i="1"/>
  <c r="AH632" i="1"/>
  <c r="AG632" i="1"/>
  <c r="AE632" i="1"/>
  <c r="AA632" i="1"/>
  <c r="Z632" i="1"/>
  <c r="V632" i="1"/>
  <c r="U632" i="1"/>
  <c r="T632" i="1"/>
  <c r="S632" i="1"/>
  <c r="Q632" i="1"/>
  <c r="R632" i="1" s="1"/>
  <c r="AF632" i="1" s="1"/>
  <c r="O632" i="1"/>
  <c r="AD632" i="1" s="1"/>
  <c r="K632" i="1"/>
  <c r="AH631" i="1"/>
  <c r="AG631" i="1"/>
  <c r="AE631" i="1"/>
  <c r="AA631" i="1"/>
  <c r="Z631" i="1"/>
  <c r="V631" i="1"/>
  <c r="U631" i="1"/>
  <c r="T631" i="1"/>
  <c r="S631" i="1"/>
  <c r="Q631" i="1"/>
  <c r="R631" i="1" s="1"/>
  <c r="AF631" i="1" s="1"/>
  <c r="O631" i="1"/>
  <c r="AD631" i="1" s="1"/>
  <c r="K631" i="1"/>
  <c r="AH630" i="1"/>
  <c r="AG630" i="1"/>
  <c r="AE630" i="1"/>
  <c r="AA630" i="1"/>
  <c r="Z630" i="1"/>
  <c r="V630" i="1"/>
  <c r="U630" i="1"/>
  <c r="T630" i="1"/>
  <c r="S630" i="1"/>
  <c r="Q630" i="1"/>
  <c r="R630" i="1" s="1"/>
  <c r="AF630" i="1" s="1"/>
  <c r="O630" i="1"/>
  <c r="AD630" i="1" s="1"/>
  <c r="K630" i="1"/>
  <c r="AH629" i="1"/>
  <c r="AG629" i="1"/>
  <c r="AE629" i="1"/>
  <c r="AA629" i="1"/>
  <c r="Z629" i="1"/>
  <c r="V629" i="1"/>
  <c r="U629" i="1"/>
  <c r="T629" i="1"/>
  <c r="S629" i="1"/>
  <c r="Q629" i="1"/>
  <c r="R629" i="1" s="1"/>
  <c r="AF629" i="1" s="1"/>
  <c r="O629" i="1"/>
  <c r="AD629" i="1" s="1"/>
  <c r="K629" i="1"/>
  <c r="AH628" i="1"/>
  <c r="AG628" i="1"/>
  <c r="AE628" i="1"/>
  <c r="AA628" i="1"/>
  <c r="Z628" i="1"/>
  <c r="V628" i="1"/>
  <c r="U628" i="1"/>
  <c r="T628" i="1"/>
  <c r="S628" i="1"/>
  <c r="Q628" i="1"/>
  <c r="R628" i="1" s="1"/>
  <c r="AF628" i="1" s="1"/>
  <c r="O628" i="1"/>
  <c r="AD628" i="1" s="1"/>
  <c r="K628" i="1"/>
  <c r="AH627" i="1"/>
  <c r="AG627" i="1"/>
  <c r="AE627" i="1"/>
  <c r="AA627" i="1"/>
  <c r="Z627" i="1"/>
  <c r="V627" i="1"/>
  <c r="U627" i="1"/>
  <c r="T627" i="1"/>
  <c r="S627" i="1"/>
  <c r="Q627" i="1"/>
  <c r="R627" i="1" s="1"/>
  <c r="AF627" i="1" s="1"/>
  <c r="O627" i="1"/>
  <c r="AD627" i="1" s="1"/>
  <c r="K627" i="1"/>
  <c r="AH626" i="1"/>
  <c r="AG626" i="1"/>
  <c r="AE626" i="1"/>
  <c r="AA626" i="1"/>
  <c r="Z626" i="1"/>
  <c r="V626" i="1"/>
  <c r="U626" i="1"/>
  <c r="T626" i="1"/>
  <c r="S626" i="1"/>
  <c r="Q626" i="1"/>
  <c r="R626" i="1" s="1"/>
  <c r="AF626" i="1" s="1"/>
  <c r="O626" i="1"/>
  <c r="AD626" i="1" s="1"/>
  <c r="K626" i="1"/>
  <c r="AH625" i="1"/>
  <c r="AG625" i="1"/>
  <c r="AE625" i="1"/>
  <c r="AA625" i="1"/>
  <c r="Z625" i="1"/>
  <c r="V625" i="1"/>
  <c r="U625" i="1"/>
  <c r="T625" i="1"/>
  <c r="S625" i="1"/>
  <c r="Q625" i="1"/>
  <c r="R625" i="1" s="1"/>
  <c r="AF625" i="1" s="1"/>
  <c r="O625" i="1"/>
  <c r="AD625" i="1" s="1"/>
  <c r="K625" i="1"/>
  <c r="AH624" i="1"/>
  <c r="AG624" i="1"/>
  <c r="AE624" i="1"/>
  <c r="AA624" i="1"/>
  <c r="Z624" i="1"/>
  <c r="V624" i="1"/>
  <c r="U624" i="1"/>
  <c r="T624" i="1"/>
  <c r="S624" i="1"/>
  <c r="Q624" i="1"/>
  <c r="R624" i="1" s="1"/>
  <c r="AF624" i="1" s="1"/>
  <c r="O624" i="1"/>
  <c r="AD624" i="1" s="1"/>
  <c r="K624" i="1"/>
  <c r="AH623" i="1"/>
  <c r="AG623" i="1"/>
  <c r="AE623" i="1"/>
  <c r="AA623" i="1"/>
  <c r="Z623" i="1"/>
  <c r="V623" i="1"/>
  <c r="U623" i="1"/>
  <c r="T623" i="1"/>
  <c r="S623" i="1"/>
  <c r="Q623" i="1"/>
  <c r="R623" i="1" s="1"/>
  <c r="AF623" i="1" s="1"/>
  <c r="O623" i="1"/>
  <c r="AD623" i="1" s="1"/>
  <c r="K623" i="1"/>
  <c r="AH622" i="1"/>
  <c r="AG622" i="1"/>
  <c r="AE622" i="1"/>
  <c r="AA622" i="1"/>
  <c r="Z622" i="1"/>
  <c r="V622" i="1"/>
  <c r="U622" i="1"/>
  <c r="T622" i="1"/>
  <c r="S622" i="1"/>
  <c r="Q622" i="1"/>
  <c r="R622" i="1" s="1"/>
  <c r="AF622" i="1" s="1"/>
  <c r="O622" i="1"/>
  <c r="AD622" i="1" s="1"/>
  <c r="K622" i="1"/>
  <c r="AH621" i="1"/>
  <c r="AG621" i="1"/>
  <c r="AE621" i="1"/>
  <c r="AA621" i="1"/>
  <c r="Z621" i="1"/>
  <c r="V621" i="1"/>
  <c r="U621" i="1"/>
  <c r="T621" i="1"/>
  <c r="S621" i="1"/>
  <c r="Q621" i="1"/>
  <c r="R621" i="1" s="1"/>
  <c r="AF621" i="1" s="1"/>
  <c r="O621" i="1"/>
  <c r="AD621" i="1" s="1"/>
  <c r="K621" i="1"/>
  <c r="AH620" i="1"/>
  <c r="AG620" i="1"/>
  <c r="AE620" i="1"/>
  <c r="AA620" i="1"/>
  <c r="Z620" i="1"/>
  <c r="V620" i="1"/>
  <c r="U620" i="1"/>
  <c r="T620" i="1"/>
  <c r="S620" i="1"/>
  <c r="Q620" i="1"/>
  <c r="R620" i="1" s="1"/>
  <c r="AF620" i="1" s="1"/>
  <c r="O620" i="1"/>
  <c r="AD620" i="1" s="1"/>
  <c r="K620" i="1"/>
  <c r="AH619" i="1"/>
  <c r="AG619" i="1"/>
  <c r="AE619" i="1"/>
  <c r="AA619" i="1"/>
  <c r="Z619" i="1"/>
  <c r="V619" i="1"/>
  <c r="U619" i="1"/>
  <c r="T619" i="1"/>
  <c r="S619" i="1"/>
  <c r="Q619" i="1"/>
  <c r="R619" i="1" s="1"/>
  <c r="AF619" i="1" s="1"/>
  <c r="O619" i="1"/>
  <c r="AD619" i="1" s="1"/>
  <c r="K619" i="1"/>
  <c r="AH618" i="1"/>
  <c r="AG618" i="1"/>
  <c r="AE618" i="1"/>
  <c r="AA618" i="1"/>
  <c r="Z618" i="1"/>
  <c r="V618" i="1"/>
  <c r="U618" i="1"/>
  <c r="T618" i="1"/>
  <c r="S618" i="1"/>
  <c r="Q618" i="1"/>
  <c r="R618" i="1" s="1"/>
  <c r="AF618" i="1" s="1"/>
  <c r="O618" i="1"/>
  <c r="AD618" i="1" s="1"/>
  <c r="K618" i="1"/>
  <c r="AH617" i="1"/>
  <c r="AG617" i="1"/>
  <c r="AE617" i="1"/>
  <c r="AA617" i="1"/>
  <c r="Z617" i="1"/>
  <c r="V617" i="1"/>
  <c r="U617" i="1"/>
  <c r="T617" i="1"/>
  <c r="S617" i="1"/>
  <c r="Q617" i="1"/>
  <c r="R617" i="1" s="1"/>
  <c r="AF617" i="1" s="1"/>
  <c r="O617" i="1"/>
  <c r="AD617" i="1" s="1"/>
  <c r="K617" i="1"/>
  <c r="AH616" i="1"/>
  <c r="AG616" i="1"/>
  <c r="AE616" i="1"/>
  <c r="AA616" i="1"/>
  <c r="Z616" i="1"/>
  <c r="V616" i="1"/>
  <c r="U616" i="1"/>
  <c r="T616" i="1"/>
  <c r="S616" i="1"/>
  <c r="Q616" i="1"/>
  <c r="R616" i="1" s="1"/>
  <c r="AF616" i="1" s="1"/>
  <c r="O616" i="1"/>
  <c r="AD616" i="1" s="1"/>
  <c r="K616" i="1"/>
  <c r="AH615" i="1"/>
  <c r="AG615" i="1"/>
  <c r="AE615" i="1"/>
  <c r="AA615" i="1"/>
  <c r="Z615" i="1"/>
  <c r="V615" i="1"/>
  <c r="U615" i="1"/>
  <c r="T615" i="1"/>
  <c r="S615" i="1"/>
  <c r="Q615" i="1"/>
  <c r="R615" i="1" s="1"/>
  <c r="AF615" i="1" s="1"/>
  <c r="O615" i="1"/>
  <c r="AD615" i="1" s="1"/>
  <c r="K615" i="1"/>
  <c r="AH614" i="1"/>
  <c r="AG614" i="1"/>
  <c r="AE614" i="1"/>
  <c r="AA614" i="1"/>
  <c r="Z614" i="1"/>
  <c r="V614" i="1"/>
  <c r="U614" i="1"/>
  <c r="T614" i="1"/>
  <c r="S614" i="1"/>
  <c r="Q614" i="1"/>
  <c r="R614" i="1" s="1"/>
  <c r="AF614" i="1" s="1"/>
  <c r="O614" i="1"/>
  <c r="AD614" i="1" s="1"/>
  <c r="K614" i="1"/>
  <c r="AH613" i="1"/>
  <c r="AG613" i="1"/>
  <c r="AE613" i="1"/>
  <c r="AA613" i="1"/>
  <c r="Z613" i="1"/>
  <c r="V613" i="1"/>
  <c r="U613" i="1"/>
  <c r="T613" i="1"/>
  <c r="S613" i="1"/>
  <c r="Q613" i="1"/>
  <c r="R613" i="1" s="1"/>
  <c r="AF613" i="1" s="1"/>
  <c r="O613" i="1"/>
  <c r="AD613" i="1" s="1"/>
  <c r="K613" i="1"/>
  <c r="AH612" i="1"/>
  <c r="AG612" i="1"/>
  <c r="AE612" i="1"/>
  <c r="AA612" i="1"/>
  <c r="Z612" i="1"/>
  <c r="V612" i="1"/>
  <c r="U612" i="1"/>
  <c r="T612" i="1"/>
  <c r="S612" i="1"/>
  <c r="Q612" i="1"/>
  <c r="R612" i="1" s="1"/>
  <c r="AF612" i="1" s="1"/>
  <c r="O612" i="1"/>
  <c r="AD612" i="1" s="1"/>
  <c r="K612" i="1"/>
  <c r="AH611" i="1"/>
  <c r="AG611" i="1"/>
  <c r="AE611" i="1"/>
  <c r="AA611" i="1"/>
  <c r="Z611" i="1"/>
  <c r="U611" i="1"/>
  <c r="T611" i="1"/>
  <c r="S611" i="1"/>
  <c r="R611" i="1"/>
  <c r="AF611" i="1" s="1"/>
  <c r="O611" i="1"/>
  <c r="AD611" i="1" s="1"/>
  <c r="AI611" i="1" s="1"/>
  <c r="K611" i="1"/>
  <c r="V611" i="1" s="1"/>
  <c r="AH610" i="1"/>
  <c r="AF610" i="1"/>
  <c r="AE610" i="1"/>
  <c r="AA610" i="1"/>
  <c r="Z610" i="1"/>
  <c r="AG610" i="1" s="1"/>
  <c r="U610" i="1"/>
  <c r="T610" i="1"/>
  <c r="S610" i="1"/>
  <c r="R610" i="1"/>
  <c r="O610" i="1"/>
  <c r="AD610" i="1" s="1"/>
  <c r="AI610" i="1" s="1"/>
  <c r="K610" i="1"/>
  <c r="V610" i="1" s="1"/>
  <c r="AH609" i="1"/>
  <c r="AE609" i="1"/>
  <c r="AA609" i="1"/>
  <c r="Z609" i="1"/>
  <c r="AG609" i="1" s="1"/>
  <c r="V609" i="1"/>
  <c r="U609" i="1"/>
  <c r="T609" i="1"/>
  <c r="S609" i="1"/>
  <c r="R609" i="1"/>
  <c r="AF609" i="1" s="1"/>
  <c r="O609" i="1"/>
  <c r="AD609" i="1" s="1"/>
  <c r="AI609" i="1" s="1"/>
  <c r="K609" i="1"/>
  <c r="AH608" i="1"/>
  <c r="AE608" i="1"/>
  <c r="AA608" i="1"/>
  <c r="Z608" i="1"/>
  <c r="AG608" i="1" s="1"/>
  <c r="V608" i="1"/>
  <c r="U608" i="1"/>
  <c r="T608" i="1"/>
  <c r="S608" i="1"/>
  <c r="R608" i="1"/>
  <c r="AF608" i="1" s="1"/>
  <c r="O608" i="1"/>
  <c r="AD608" i="1" s="1"/>
  <c r="AI608" i="1" s="1"/>
  <c r="K608" i="1"/>
  <c r="AH607" i="1"/>
  <c r="AG607" i="1"/>
  <c r="AE607" i="1"/>
  <c r="AA607" i="1"/>
  <c r="Z607" i="1"/>
  <c r="U607" i="1"/>
  <c r="T607" i="1"/>
  <c r="S607" i="1"/>
  <c r="R607" i="1"/>
  <c r="AF607" i="1" s="1"/>
  <c r="O607" i="1"/>
  <c r="AD607" i="1" s="1"/>
  <c r="K607" i="1"/>
  <c r="V607" i="1" s="1"/>
  <c r="AH606" i="1"/>
  <c r="AF606" i="1"/>
  <c r="AE606" i="1"/>
  <c r="AA606" i="1"/>
  <c r="Z606" i="1"/>
  <c r="AG606" i="1" s="1"/>
  <c r="U606" i="1"/>
  <c r="T606" i="1"/>
  <c r="S606" i="1"/>
  <c r="R606" i="1"/>
  <c r="O606" i="1"/>
  <c r="AD606" i="1" s="1"/>
  <c r="K606" i="1"/>
  <c r="V606" i="1" s="1"/>
  <c r="AH605" i="1"/>
  <c r="AE605" i="1"/>
  <c r="AA605" i="1"/>
  <c r="Z605" i="1"/>
  <c r="AG605" i="1" s="1"/>
  <c r="V605" i="1"/>
  <c r="U605" i="1"/>
  <c r="T605" i="1"/>
  <c r="S605" i="1"/>
  <c r="R605" i="1"/>
  <c r="AF605" i="1" s="1"/>
  <c r="AI605" i="1" s="1"/>
  <c r="O605" i="1"/>
  <c r="AD605" i="1" s="1"/>
  <c r="AH604" i="1"/>
  <c r="AG604" i="1"/>
  <c r="AE604" i="1"/>
  <c r="AA604" i="1"/>
  <c r="Z604" i="1"/>
  <c r="V604" i="1"/>
  <c r="U604" i="1"/>
  <c r="T604" i="1"/>
  <c r="S604" i="1"/>
  <c r="R604" i="1"/>
  <c r="AF604" i="1" s="1"/>
  <c r="O604" i="1"/>
  <c r="AD604" i="1" s="1"/>
  <c r="AI604" i="1" s="1"/>
  <c r="AH603" i="1"/>
  <c r="AE603" i="1"/>
  <c r="AA603" i="1"/>
  <c r="Z603" i="1"/>
  <c r="AG603" i="1" s="1"/>
  <c r="V603" i="1"/>
  <c r="U603" i="1"/>
  <c r="T603" i="1"/>
  <c r="S603" i="1"/>
  <c r="R603" i="1"/>
  <c r="AF603" i="1" s="1"/>
  <c r="O603" i="1"/>
  <c r="AD603" i="1" s="1"/>
  <c r="AI603" i="1" s="1"/>
  <c r="K603" i="1"/>
  <c r="AH602" i="1"/>
  <c r="AE602" i="1"/>
  <c r="AA602" i="1"/>
  <c r="Z602" i="1"/>
  <c r="AG602" i="1" s="1"/>
  <c r="V602" i="1"/>
  <c r="U602" i="1"/>
  <c r="T602" i="1"/>
  <c r="S602" i="1"/>
  <c r="R602" i="1"/>
  <c r="AF602" i="1" s="1"/>
  <c r="O602" i="1"/>
  <c r="AD602" i="1" s="1"/>
  <c r="AI602" i="1" s="1"/>
  <c r="K602" i="1"/>
  <c r="AH601" i="1"/>
  <c r="AG601" i="1"/>
  <c r="AE601" i="1"/>
  <c r="AA601" i="1"/>
  <c r="Z601" i="1"/>
  <c r="U601" i="1"/>
  <c r="T601" i="1"/>
  <c r="S601" i="1"/>
  <c r="R601" i="1"/>
  <c r="AF601" i="1" s="1"/>
  <c r="O601" i="1"/>
  <c r="AD601" i="1" s="1"/>
  <c r="K601" i="1"/>
  <c r="V601" i="1" s="1"/>
  <c r="AH600" i="1"/>
  <c r="AF600" i="1"/>
  <c r="AE600" i="1"/>
  <c r="AA600" i="1"/>
  <c r="Z600" i="1"/>
  <c r="AG600" i="1" s="1"/>
  <c r="V600" i="1"/>
  <c r="U600" i="1"/>
  <c r="T600" i="1"/>
  <c r="S600" i="1"/>
  <c r="R600" i="1"/>
  <c r="O600" i="1"/>
  <c r="AD600" i="1" s="1"/>
  <c r="AH599" i="1"/>
  <c r="AE599" i="1"/>
  <c r="AD599" i="1"/>
  <c r="AA599" i="1"/>
  <c r="Z599" i="1"/>
  <c r="AG599" i="1" s="1"/>
  <c r="V599" i="1"/>
  <c r="U599" i="1"/>
  <c r="T599" i="1"/>
  <c r="S599" i="1"/>
  <c r="Q599" i="1"/>
  <c r="R599" i="1" s="1"/>
  <c r="AF599" i="1" s="1"/>
  <c r="O599" i="1"/>
  <c r="AH598" i="1"/>
  <c r="AG598" i="1"/>
  <c r="AE598" i="1"/>
  <c r="AA598" i="1"/>
  <c r="Z598" i="1"/>
  <c r="V598" i="1"/>
  <c r="U598" i="1"/>
  <c r="T598" i="1"/>
  <c r="S598" i="1"/>
  <c r="R598" i="1"/>
  <c r="AF598" i="1" s="1"/>
  <c r="O598" i="1"/>
  <c r="AD598" i="1" s="1"/>
  <c r="AI598" i="1" s="1"/>
  <c r="AH597" i="1"/>
  <c r="AE597" i="1"/>
  <c r="AA597" i="1"/>
  <c r="Z597" i="1"/>
  <c r="AG597" i="1" s="1"/>
  <c r="V597" i="1"/>
  <c r="U597" i="1"/>
  <c r="T597" i="1"/>
  <c r="S597" i="1"/>
  <c r="R597" i="1"/>
  <c r="AF597" i="1" s="1"/>
  <c r="Q597" i="1"/>
  <c r="O597" i="1"/>
  <c r="AD597" i="1" s="1"/>
  <c r="AI597" i="1" s="1"/>
  <c r="AH596" i="1"/>
  <c r="AE596" i="1"/>
  <c r="AD596" i="1"/>
  <c r="AI596" i="1" s="1"/>
  <c r="AA596" i="1"/>
  <c r="Z596" i="1"/>
  <c r="AG596" i="1" s="1"/>
  <c r="V596" i="1"/>
  <c r="U596" i="1"/>
  <c r="T596" i="1"/>
  <c r="S596" i="1"/>
  <c r="Q596" i="1"/>
  <c r="R596" i="1" s="1"/>
  <c r="AF596" i="1" s="1"/>
  <c r="O596" i="1"/>
  <c r="AH595" i="1"/>
  <c r="AG595" i="1"/>
  <c r="AE595" i="1"/>
  <c r="AA595" i="1"/>
  <c r="Z595" i="1"/>
  <c r="V595" i="1"/>
  <c r="U595" i="1"/>
  <c r="T595" i="1"/>
  <c r="S595" i="1"/>
  <c r="Q595" i="1"/>
  <c r="R595" i="1" s="1"/>
  <c r="AF595" i="1" s="1"/>
  <c r="O595" i="1"/>
  <c r="AD595" i="1" s="1"/>
  <c r="K595" i="1"/>
  <c r="AH594" i="1"/>
  <c r="AG594" i="1"/>
  <c r="AE594" i="1"/>
  <c r="AA594" i="1"/>
  <c r="Z594" i="1"/>
  <c r="V594" i="1"/>
  <c r="U594" i="1"/>
  <c r="T594" i="1"/>
  <c r="S594" i="1"/>
  <c r="R594" i="1"/>
  <c r="AF594" i="1" s="1"/>
  <c r="O594" i="1"/>
  <c r="AD594" i="1" s="1"/>
  <c r="AH593" i="1"/>
  <c r="AE593" i="1"/>
  <c r="AA593" i="1"/>
  <c r="Z593" i="1"/>
  <c r="AG593" i="1" s="1"/>
  <c r="V593" i="1"/>
  <c r="U593" i="1"/>
  <c r="T593" i="1"/>
  <c r="S593" i="1"/>
  <c r="R593" i="1"/>
  <c r="AF593" i="1" s="1"/>
  <c r="AI593" i="1" s="1"/>
  <c r="Q593" i="1"/>
  <c r="O593" i="1"/>
  <c r="AD593" i="1" s="1"/>
  <c r="AH592" i="1"/>
  <c r="AE592" i="1"/>
  <c r="AD592" i="1"/>
  <c r="AA592" i="1"/>
  <c r="Z592" i="1"/>
  <c r="AG592" i="1" s="1"/>
  <c r="V592" i="1"/>
  <c r="U592" i="1"/>
  <c r="T592" i="1"/>
  <c r="S592" i="1"/>
  <c r="Q592" i="1"/>
  <c r="R592" i="1" s="1"/>
  <c r="AF592" i="1" s="1"/>
  <c r="O592" i="1"/>
  <c r="AH591" i="1"/>
  <c r="AG591" i="1"/>
  <c r="AE591" i="1"/>
  <c r="AA591" i="1"/>
  <c r="Z591" i="1"/>
  <c r="V591" i="1"/>
  <c r="U591" i="1"/>
  <c r="T591" i="1"/>
  <c r="S591" i="1"/>
  <c r="Q591" i="1"/>
  <c r="R591" i="1" s="1"/>
  <c r="AF591" i="1" s="1"/>
  <c r="O591" i="1"/>
  <c r="AD591" i="1" s="1"/>
  <c r="AI591" i="1" s="1"/>
  <c r="AH590" i="1"/>
  <c r="AE590" i="1"/>
  <c r="AA590" i="1"/>
  <c r="Z590" i="1"/>
  <c r="AG590" i="1" s="1"/>
  <c r="V590" i="1"/>
  <c r="U590" i="1"/>
  <c r="T590" i="1"/>
  <c r="S590" i="1"/>
  <c r="Q590" i="1"/>
  <c r="R590" i="1" s="1"/>
  <c r="AF590" i="1" s="1"/>
  <c r="O590" i="1"/>
  <c r="AD590" i="1" s="1"/>
  <c r="AH589" i="1"/>
  <c r="AE589" i="1"/>
  <c r="AA589" i="1"/>
  <c r="Z589" i="1"/>
  <c r="AG589" i="1" s="1"/>
  <c r="AI589" i="1" s="1"/>
  <c r="V589" i="1"/>
  <c r="U589" i="1"/>
  <c r="T589" i="1"/>
  <c r="S589" i="1"/>
  <c r="R589" i="1"/>
  <c r="AF589" i="1" s="1"/>
  <c r="Q589" i="1"/>
  <c r="O589" i="1"/>
  <c r="AD589" i="1" s="1"/>
  <c r="AH588" i="1"/>
  <c r="AE588" i="1"/>
  <c r="AD588" i="1"/>
  <c r="AA588" i="1"/>
  <c r="Z588" i="1"/>
  <c r="AG588" i="1" s="1"/>
  <c r="V588" i="1"/>
  <c r="U588" i="1"/>
  <c r="T588" i="1"/>
  <c r="S588" i="1"/>
  <c r="Q588" i="1"/>
  <c r="R588" i="1" s="1"/>
  <c r="AF588" i="1" s="1"/>
  <c r="O588" i="1"/>
  <c r="AH587" i="1"/>
  <c r="AG587" i="1"/>
  <c r="AE587" i="1"/>
  <c r="AA587" i="1"/>
  <c r="Z587" i="1"/>
  <c r="V587" i="1"/>
  <c r="U587" i="1"/>
  <c r="T587" i="1"/>
  <c r="S587" i="1"/>
  <c r="Q587" i="1"/>
  <c r="R587" i="1" s="1"/>
  <c r="AF587" i="1" s="1"/>
  <c r="O587" i="1"/>
  <c r="AD587" i="1" s="1"/>
  <c r="AH586" i="1"/>
  <c r="AE586" i="1"/>
  <c r="AA586" i="1"/>
  <c r="Z586" i="1"/>
  <c r="AG586" i="1" s="1"/>
  <c r="V586" i="1"/>
  <c r="U586" i="1"/>
  <c r="T586" i="1"/>
  <c r="S586" i="1"/>
  <c r="Q586" i="1"/>
  <c r="R586" i="1" s="1"/>
  <c r="AF586" i="1" s="1"/>
  <c r="O586" i="1"/>
  <c r="AD586" i="1" s="1"/>
  <c r="AH585" i="1"/>
  <c r="AE585" i="1"/>
  <c r="AA585" i="1"/>
  <c r="Z585" i="1"/>
  <c r="AG585" i="1" s="1"/>
  <c r="V585" i="1"/>
  <c r="U585" i="1"/>
  <c r="T585" i="1"/>
  <c r="S585" i="1"/>
  <c r="R585" i="1"/>
  <c r="AF585" i="1" s="1"/>
  <c r="Q585" i="1"/>
  <c r="O585" i="1"/>
  <c r="AD585" i="1" s="1"/>
  <c r="AI585" i="1" s="1"/>
  <c r="AH584" i="1"/>
  <c r="AE584" i="1"/>
  <c r="AD584" i="1"/>
  <c r="AI584" i="1" s="1"/>
  <c r="AA584" i="1"/>
  <c r="Z584" i="1"/>
  <c r="AG584" i="1" s="1"/>
  <c r="V584" i="1"/>
  <c r="U584" i="1"/>
  <c r="T584" i="1"/>
  <c r="S584" i="1"/>
  <c r="Q584" i="1"/>
  <c r="R584" i="1" s="1"/>
  <c r="AF584" i="1" s="1"/>
  <c r="O584" i="1"/>
  <c r="AH583" i="1"/>
  <c r="AG583" i="1"/>
  <c r="AE583" i="1"/>
  <c r="AA583" i="1"/>
  <c r="Z583" i="1"/>
  <c r="V583" i="1"/>
  <c r="U583" i="1"/>
  <c r="T583" i="1"/>
  <c r="S583" i="1"/>
  <c r="Q583" i="1"/>
  <c r="R583" i="1" s="1"/>
  <c r="AF583" i="1" s="1"/>
  <c r="O583" i="1"/>
  <c r="AD583" i="1" s="1"/>
  <c r="AH582" i="1"/>
  <c r="AE582" i="1"/>
  <c r="AA582" i="1"/>
  <c r="Z582" i="1"/>
  <c r="AG582" i="1" s="1"/>
  <c r="V582" i="1"/>
  <c r="U582" i="1"/>
  <c r="T582" i="1"/>
  <c r="S582" i="1"/>
  <c r="Q582" i="1"/>
  <c r="R582" i="1" s="1"/>
  <c r="AF582" i="1" s="1"/>
  <c r="O582" i="1"/>
  <c r="AD582" i="1" s="1"/>
  <c r="AH581" i="1"/>
  <c r="AE581" i="1"/>
  <c r="AA581" i="1"/>
  <c r="Z581" i="1"/>
  <c r="AG581" i="1" s="1"/>
  <c r="V581" i="1"/>
  <c r="U581" i="1"/>
  <c r="T581" i="1"/>
  <c r="S581" i="1"/>
  <c r="R581" i="1"/>
  <c r="AF581" i="1" s="1"/>
  <c r="O581" i="1"/>
  <c r="AD581" i="1" s="1"/>
  <c r="AI581" i="1" s="1"/>
  <c r="AH580" i="1"/>
  <c r="AG580" i="1"/>
  <c r="AE580" i="1"/>
  <c r="AA580" i="1"/>
  <c r="Z580" i="1"/>
  <c r="V580" i="1"/>
  <c r="U580" i="1"/>
  <c r="T580" i="1"/>
  <c r="S580" i="1"/>
  <c r="R580" i="1"/>
  <c r="AF580" i="1" s="1"/>
  <c r="O580" i="1"/>
  <c r="AD580" i="1" s="1"/>
  <c r="AI580" i="1" s="1"/>
  <c r="AH579" i="1"/>
  <c r="AE579" i="1"/>
  <c r="AA579" i="1"/>
  <c r="Z579" i="1"/>
  <c r="AG579" i="1" s="1"/>
  <c r="AI579" i="1" s="1"/>
  <c r="V579" i="1"/>
  <c r="U579" i="1"/>
  <c r="T579" i="1"/>
  <c r="S579" i="1"/>
  <c r="R579" i="1"/>
  <c r="AF579" i="1" s="1"/>
  <c r="O579" i="1"/>
  <c r="AD579" i="1" s="1"/>
  <c r="AH578" i="1"/>
  <c r="AG578" i="1"/>
  <c r="AE578" i="1"/>
  <c r="AA578" i="1"/>
  <c r="Z578" i="1"/>
  <c r="V578" i="1"/>
  <c r="U578" i="1"/>
  <c r="T578" i="1"/>
  <c r="S578" i="1"/>
  <c r="R578" i="1"/>
  <c r="AF578" i="1" s="1"/>
  <c r="O578" i="1"/>
  <c r="AD578" i="1" s="1"/>
  <c r="AH577" i="1"/>
  <c r="AE577" i="1"/>
  <c r="AA577" i="1"/>
  <c r="Z577" i="1"/>
  <c r="AG577" i="1" s="1"/>
  <c r="V577" i="1"/>
  <c r="U577" i="1"/>
  <c r="T577" i="1"/>
  <c r="S577" i="1"/>
  <c r="R577" i="1"/>
  <c r="AF577" i="1" s="1"/>
  <c r="O577" i="1"/>
  <c r="AD577" i="1" s="1"/>
  <c r="AI577" i="1" s="1"/>
  <c r="AH576" i="1"/>
  <c r="AG576" i="1"/>
  <c r="AE576" i="1"/>
  <c r="AA576" i="1"/>
  <c r="Z576" i="1"/>
  <c r="V576" i="1"/>
  <c r="U576" i="1"/>
  <c r="T576" i="1"/>
  <c r="S576" i="1"/>
  <c r="R576" i="1"/>
  <c r="AF576" i="1" s="1"/>
  <c r="O576" i="1"/>
  <c r="AD576" i="1" s="1"/>
  <c r="AI576" i="1" s="1"/>
  <c r="AH575" i="1"/>
  <c r="AE575" i="1"/>
  <c r="AA575" i="1"/>
  <c r="Z575" i="1"/>
  <c r="AG575" i="1" s="1"/>
  <c r="AI575" i="1" s="1"/>
  <c r="V575" i="1"/>
  <c r="U575" i="1"/>
  <c r="T575" i="1"/>
  <c r="S575" i="1"/>
  <c r="R575" i="1"/>
  <c r="AF575" i="1" s="1"/>
  <c r="Q575" i="1"/>
  <c r="O575" i="1"/>
  <c r="AD575" i="1" s="1"/>
  <c r="AH574" i="1"/>
  <c r="AE574" i="1"/>
  <c r="AD574" i="1"/>
  <c r="AA574" i="1"/>
  <c r="Z574" i="1"/>
  <c r="AG574" i="1" s="1"/>
  <c r="V574" i="1"/>
  <c r="U574" i="1"/>
  <c r="T574" i="1"/>
  <c r="S574" i="1"/>
  <c r="Q574" i="1"/>
  <c r="R574" i="1" s="1"/>
  <c r="AF574" i="1" s="1"/>
  <c r="O574" i="1"/>
  <c r="AH573" i="1"/>
  <c r="AG573" i="1"/>
  <c r="AE573" i="1"/>
  <c r="AA573" i="1"/>
  <c r="Z573" i="1"/>
  <c r="V573" i="1"/>
  <c r="U573" i="1"/>
  <c r="T573" i="1"/>
  <c r="S573" i="1"/>
  <c r="Q573" i="1"/>
  <c r="R573" i="1" s="1"/>
  <c r="AF573" i="1" s="1"/>
  <c r="O573" i="1"/>
  <c r="AD573" i="1" s="1"/>
  <c r="AH572" i="1"/>
  <c r="AE572" i="1"/>
  <c r="AA572" i="1"/>
  <c r="Z572" i="1"/>
  <c r="AG572" i="1" s="1"/>
  <c r="V572" i="1"/>
  <c r="U572" i="1"/>
  <c r="T572" i="1"/>
  <c r="S572" i="1"/>
  <c r="Q572" i="1"/>
  <c r="R572" i="1" s="1"/>
  <c r="AF572" i="1" s="1"/>
  <c r="O572" i="1"/>
  <c r="AD572" i="1" s="1"/>
  <c r="AH571" i="1"/>
  <c r="AE571" i="1"/>
  <c r="AA571" i="1"/>
  <c r="Z571" i="1"/>
  <c r="AG571" i="1" s="1"/>
  <c r="V571" i="1"/>
  <c r="U571" i="1"/>
  <c r="T571" i="1"/>
  <c r="S571" i="1"/>
  <c r="R571" i="1"/>
  <c r="AF571" i="1" s="1"/>
  <c r="Q571" i="1"/>
  <c r="O571" i="1"/>
  <c r="AD571" i="1" s="1"/>
  <c r="AI571" i="1" s="1"/>
  <c r="AH570" i="1"/>
  <c r="AE570" i="1"/>
  <c r="AD570" i="1"/>
  <c r="AI570" i="1" s="1"/>
  <c r="AA570" i="1"/>
  <c r="Z570" i="1"/>
  <c r="AG570" i="1" s="1"/>
  <c r="V570" i="1"/>
  <c r="U570" i="1"/>
  <c r="T570" i="1"/>
  <c r="S570" i="1"/>
  <c r="Q570" i="1"/>
  <c r="R570" i="1" s="1"/>
  <c r="AF570" i="1" s="1"/>
  <c r="O570" i="1"/>
  <c r="AH569" i="1"/>
  <c r="AG569" i="1"/>
  <c r="AE569" i="1"/>
  <c r="AA569" i="1"/>
  <c r="Z569" i="1"/>
  <c r="V569" i="1"/>
  <c r="U569" i="1"/>
  <c r="T569" i="1"/>
  <c r="S569" i="1"/>
  <c r="Q569" i="1"/>
  <c r="R569" i="1" s="1"/>
  <c r="AF569" i="1" s="1"/>
  <c r="O569" i="1"/>
  <c r="AD569" i="1" s="1"/>
  <c r="AH568" i="1"/>
  <c r="AE568" i="1"/>
  <c r="AA568" i="1"/>
  <c r="Z568" i="1"/>
  <c r="AG568" i="1" s="1"/>
  <c r="V568" i="1"/>
  <c r="U568" i="1"/>
  <c r="T568" i="1"/>
  <c r="S568" i="1"/>
  <c r="Q568" i="1"/>
  <c r="R568" i="1" s="1"/>
  <c r="AF568" i="1" s="1"/>
  <c r="O568" i="1"/>
  <c r="AD568" i="1" s="1"/>
  <c r="AH567" i="1"/>
  <c r="AE567" i="1"/>
  <c r="AA567" i="1"/>
  <c r="Z567" i="1"/>
  <c r="AG567" i="1" s="1"/>
  <c r="V567" i="1"/>
  <c r="U567" i="1"/>
  <c r="T567" i="1"/>
  <c r="S567" i="1"/>
  <c r="R567" i="1"/>
  <c r="AF567" i="1" s="1"/>
  <c r="Q567" i="1"/>
  <c r="O567" i="1"/>
  <c r="AD567" i="1" s="1"/>
  <c r="AI567" i="1" s="1"/>
  <c r="AH566" i="1"/>
  <c r="AE566" i="1"/>
  <c r="AA566" i="1"/>
  <c r="Z566" i="1"/>
  <c r="AG566" i="1" s="1"/>
  <c r="V566" i="1"/>
  <c r="U566" i="1"/>
  <c r="T566" i="1"/>
  <c r="S566" i="1"/>
  <c r="R566" i="1"/>
  <c r="AF566" i="1" s="1"/>
  <c r="O566" i="1"/>
  <c r="AD566" i="1" s="1"/>
  <c r="AI566" i="1" s="1"/>
  <c r="AH565" i="1"/>
  <c r="AF565" i="1"/>
  <c r="AE565" i="1"/>
  <c r="AA565" i="1"/>
  <c r="Z565" i="1"/>
  <c r="AG565" i="1" s="1"/>
  <c r="V565" i="1"/>
  <c r="U565" i="1"/>
  <c r="T565" i="1"/>
  <c r="S565" i="1"/>
  <c r="R565" i="1"/>
  <c r="O565" i="1"/>
  <c r="AD565" i="1" s="1"/>
  <c r="AI565" i="1" s="1"/>
  <c r="AH564" i="1"/>
  <c r="AE564" i="1"/>
  <c r="AA564" i="1"/>
  <c r="Z564" i="1"/>
  <c r="AG564" i="1" s="1"/>
  <c r="V564" i="1"/>
  <c r="U564" i="1"/>
  <c r="T564" i="1"/>
  <c r="S564" i="1"/>
  <c r="R564" i="1"/>
  <c r="AF564" i="1" s="1"/>
  <c r="O564" i="1"/>
  <c r="AD564" i="1" s="1"/>
  <c r="AI564" i="1" s="1"/>
  <c r="AH563" i="1"/>
  <c r="AE563" i="1"/>
  <c r="AA563" i="1"/>
  <c r="Z563" i="1"/>
  <c r="AG563" i="1" s="1"/>
  <c r="V563" i="1"/>
  <c r="U563" i="1"/>
  <c r="T563" i="1"/>
  <c r="S563" i="1"/>
  <c r="Q563" i="1"/>
  <c r="R563" i="1" s="1"/>
  <c r="AF563" i="1" s="1"/>
  <c r="O563" i="1"/>
  <c r="AD563" i="1" s="1"/>
  <c r="AH562" i="1"/>
  <c r="AE562" i="1"/>
  <c r="AA562" i="1"/>
  <c r="Z562" i="1"/>
  <c r="AG562" i="1" s="1"/>
  <c r="V562" i="1"/>
  <c r="U562" i="1"/>
  <c r="T562" i="1"/>
  <c r="S562" i="1"/>
  <c r="R562" i="1"/>
  <c r="AF562" i="1" s="1"/>
  <c r="Q562" i="1"/>
  <c r="O562" i="1"/>
  <c r="AD562" i="1" s="1"/>
  <c r="AI562" i="1" s="1"/>
  <c r="AH561" i="1"/>
  <c r="AE561" i="1"/>
  <c r="AD561" i="1"/>
  <c r="AI561" i="1" s="1"/>
  <c r="AA561" i="1"/>
  <c r="Z561" i="1"/>
  <c r="AG561" i="1" s="1"/>
  <c r="V561" i="1"/>
  <c r="U561" i="1"/>
  <c r="T561" i="1"/>
  <c r="S561" i="1"/>
  <c r="Q561" i="1"/>
  <c r="R561" i="1" s="1"/>
  <c r="AF561" i="1" s="1"/>
  <c r="O561" i="1"/>
  <c r="AH560" i="1"/>
  <c r="AG560" i="1"/>
  <c r="AE560" i="1"/>
  <c r="AA560" i="1"/>
  <c r="Z560" i="1"/>
  <c r="V560" i="1"/>
  <c r="U560" i="1"/>
  <c r="T560" i="1"/>
  <c r="S560" i="1"/>
  <c r="R560" i="1"/>
  <c r="AF560" i="1" s="1"/>
  <c r="O560" i="1"/>
  <c r="AD560" i="1" s="1"/>
  <c r="AI560" i="1" s="1"/>
  <c r="AH559" i="1"/>
  <c r="AE559" i="1"/>
  <c r="AA559" i="1"/>
  <c r="Z559" i="1"/>
  <c r="AG559" i="1" s="1"/>
  <c r="V559" i="1"/>
  <c r="U559" i="1"/>
  <c r="S559" i="1"/>
  <c r="R559" i="1"/>
  <c r="AF559" i="1" s="1"/>
  <c r="AI559" i="1" s="1"/>
  <c r="L559" i="1"/>
  <c r="H559" i="1"/>
  <c r="O559" i="1" s="1"/>
  <c r="AD559" i="1" s="1"/>
  <c r="AH558" i="1"/>
  <c r="AE558" i="1"/>
  <c r="AA558" i="1"/>
  <c r="Z558" i="1"/>
  <c r="AG558" i="1" s="1"/>
  <c r="V558" i="1"/>
  <c r="U558" i="1"/>
  <c r="S558" i="1"/>
  <c r="R558" i="1"/>
  <c r="AF558" i="1" s="1"/>
  <c r="AI558" i="1" s="1"/>
  <c r="L558" i="1"/>
  <c r="H558" i="1"/>
  <c r="O558" i="1" s="1"/>
  <c r="AD558" i="1" s="1"/>
  <c r="AH557" i="1"/>
  <c r="AE557" i="1"/>
  <c r="AA557" i="1"/>
  <c r="Z557" i="1"/>
  <c r="AG557" i="1" s="1"/>
  <c r="V557" i="1"/>
  <c r="U557" i="1"/>
  <c r="T557" i="1"/>
  <c r="S557" i="1"/>
  <c r="R557" i="1"/>
  <c r="AF557" i="1" s="1"/>
  <c r="O557" i="1"/>
  <c r="AD557" i="1" s="1"/>
  <c r="AI557" i="1" s="1"/>
  <c r="AH556" i="1"/>
  <c r="AG556" i="1"/>
  <c r="AE556" i="1"/>
  <c r="AA556" i="1"/>
  <c r="Z556" i="1"/>
  <c r="V556" i="1"/>
  <c r="U556" i="1"/>
  <c r="T556" i="1"/>
  <c r="S556" i="1"/>
  <c r="Q556" i="1"/>
  <c r="R556" i="1" s="1"/>
  <c r="AF556" i="1" s="1"/>
  <c r="O556" i="1"/>
  <c r="AD556" i="1" s="1"/>
  <c r="AI556" i="1" s="1"/>
  <c r="K556" i="1"/>
  <c r="AH555" i="1"/>
  <c r="AG555" i="1"/>
  <c r="AE555" i="1"/>
  <c r="AA555" i="1"/>
  <c r="Z555" i="1"/>
  <c r="V555" i="1"/>
  <c r="U555" i="1"/>
  <c r="T555" i="1"/>
  <c r="S555" i="1"/>
  <c r="Q555" i="1"/>
  <c r="R555" i="1" s="1"/>
  <c r="AF555" i="1" s="1"/>
  <c r="O555" i="1"/>
  <c r="AD555" i="1" s="1"/>
  <c r="AI555" i="1" s="1"/>
  <c r="AH554" i="1"/>
  <c r="AF554" i="1"/>
  <c r="AE554" i="1"/>
  <c r="AA554" i="1"/>
  <c r="Z554" i="1"/>
  <c r="AG554" i="1" s="1"/>
  <c r="V554" i="1"/>
  <c r="U554" i="1"/>
  <c r="T554" i="1"/>
  <c r="S554" i="1"/>
  <c r="R554" i="1"/>
  <c r="O554" i="1"/>
  <c r="AD554" i="1" s="1"/>
  <c r="AH553" i="1"/>
  <c r="AE553" i="1"/>
  <c r="AA553" i="1"/>
  <c r="Z553" i="1"/>
  <c r="AG553" i="1" s="1"/>
  <c r="V553" i="1"/>
  <c r="U553" i="1"/>
  <c r="T553" i="1"/>
  <c r="S553" i="1"/>
  <c r="R553" i="1"/>
  <c r="AF553" i="1" s="1"/>
  <c r="O553" i="1"/>
  <c r="AD553" i="1" s="1"/>
  <c r="AI553" i="1" s="1"/>
  <c r="AH552" i="1"/>
  <c r="AF552" i="1"/>
  <c r="AE552" i="1"/>
  <c r="AA552" i="1"/>
  <c r="Z552" i="1"/>
  <c r="AG552" i="1" s="1"/>
  <c r="V552" i="1"/>
  <c r="U552" i="1"/>
  <c r="T552" i="1"/>
  <c r="S552" i="1"/>
  <c r="R552" i="1"/>
  <c r="O552" i="1"/>
  <c r="AD552" i="1" s="1"/>
  <c r="AI552" i="1" s="1"/>
  <c r="AH551" i="1"/>
  <c r="AE551" i="1"/>
  <c r="AA551" i="1"/>
  <c r="Z551" i="1"/>
  <c r="AG551" i="1" s="1"/>
  <c r="V551" i="1"/>
  <c r="U551" i="1"/>
  <c r="T551" i="1"/>
  <c r="S551" i="1"/>
  <c r="R551" i="1"/>
  <c r="AF551" i="1" s="1"/>
  <c r="O551" i="1"/>
  <c r="AD551" i="1" s="1"/>
  <c r="AI551" i="1" s="1"/>
  <c r="AH550" i="1"/>
  <c r="AF550" i="1"/>
  <c r="AE550" i="1"/>
  <c r="AA550" i="1"/>
  <c r="Z550" i="1"/>
  <c r="AG550" i="1" s="1"/>
  <c r="V550" i="1"/>
  <c r="U550" i="1"/>
  <c r="T550" i="1"/>
  <c r="S550" i="1"/>
  <c r="R550" i="1"/>
  <c r="O550" i="1"/>
  <c r="AD550" i="1" s="1"/>
  <c r="AH549" i="1"/>
  <c r="AE549" i="1"/>
  <c r="AA549" i="1"/>
  <c r="Z549" i="1"/>
  <c r="AG549" i="1" s="1"/>
  <c r="V549" i="1"/>
  <c r="U549" i="1"/>
  <c r="T549" i="1"/>
  <c r="S549" i="1"/>
  <c r="R549" i="1"/>
  <c r="AF549" i="1" s="1"/>
  <c r="O549" i="1"/>
  <c r="AD549" i="1" s="1"/>
  <c r="AI549" i="1" s="1"/>
  <c r="AH548" i="1"/>
  <c r="AF548" i="1"/>
  <c r="AE548" i="1"/>
  <c r="AA548" i="1"/>
  <c r="Z548" i="1"/>
  <c r="AG548" i="1" s="1"/>
  <c r="V548" i="1"/>
  <c r="U548" i="1"/>
  <c r="T548" i="1"/>
  <c r="S548" i="1"/>
  <c r="R548" i="1"/>
  <c r="O548" i="1"/>
  <c r="AD548" i="1" s="1"/>
  <c r="AI548" i="1" s="1"/>
  <c r="AH547" i="1"/>
  <c r="AE547" i="1"/>
  <c r="AA547" i="1"/>
  <c r="Z547" i="1"/>
  <c r="AG547" i="1" s="1"/>
  <c r="V547" i="1"/>
  <c r="U547" i="1"/>
  <c r="T547" i="1"/>
  <c r="S547" i="1"/>
  <c r="R547" i="1"/>
  <c r="AF547" i="1" s="1"/>
  <c r="O547" i="1"/>
  <c r="AD547" i="1" s="1"/>
  <c r="AI547" i="1" s="1"/>
  <c r="AH546" i="1"/>
  <c r="AF546" i="1"/>
  <c r="AE546" i="1"/>
  <c r="AA546" i="1"/>
  <c r="Z546" i="1"/>
  <c r="AG546" i="1" s="1"/>
  <c r="V546" i="1"/>
  <c r="U546" i="1"/>
  <c r="T546" i="1"/>
  <c r="S546" i="1"/>
  <c r="R546" i="1"/>
  <c r="O546" i="1"/>
  <c r="AD546" i="1" s="1"/>
  <c r="AH545" i="1"/>
  <c r="AE545" i="1"/>
  <c r="AD545" i="1"/>
  <c r="AA545" i="1"/>
  <c r="Z545" i="1"/>
  <c r="AG545" i="1" s="1"/>
  <c r="V545" i="1"/>
  <c r="U545" i="1"/>
  <c r="T545" i="1"/>
  <c r="S545" i="1"/>
  <c r="Q545" i="1"/>
  <c r="R545" i="1" s="1"/>
  <c r="AF545" i="1" s="1"/>
  <c r="O545" i="1"/>
  <c r="K545" i="1"/>
  <c r="AH544" i="1"/>
  <c r="AE544" i="1"/>
  <c r="AD544" i="1"/>
  <c r="AA544" i="1"/>
  <c r="Z544" i="1"/>
  <c r="AG544" i="1" s="1"/>
  <c r="V544" i="1"/>
  <c r="U544" i="1"/>
  <c r="T544" i="1"/>
  <c r="S544" i="1"/>
  <c r="Q544" i="1"/>
  <c r="R544" i="1" s="1"/>
  <c r="AF544" i="1" s="1"/>
  <c r="O544" i="1"/>
  <c r="K544" i="1"/>
  <c r="AH543" i="1"/>
  <c r="AE543" i="1"/>
  <c r="AD543" i="1"/>
  <c r="AA543" i="1"/>
  <c r="Z543" i="1"/>
  <c r="AG543" i="1" s="1"/>
  <c r="V543" i="1"/>
  <c r="U543" i="1"/>
  <c r="T543" i="1"/>
  <c r="S543" i="1"/>
  <c r="Q543" i="1"/>
  <c r="R543" i="1" s="1"/>
  <c r="AF543" i="1" s="1"/>
  <c r="O543" i="1"/>
  <c r="K543" i="1"/>
  <c r="AH542" i="1"/>
  <c r="AE542" i="1"/>
  <c r="AA542" i="1"/>
  <c r="Z542" i="1"/>
  <c r="AG542" i="1" s="1"/>
  <c r="V542" i="1"/>
  <c r="U542" i="1"/>
  <c r="T542" i="1"/>
  <c r="S542" i="1"/>
  <c r="R542" i="1"/>
  <c r="AF542" i="1" s="1"/>
  <c r="O542" i="1"/>
  <c r="AD542" i="1" s="1"/>
  <c r="AI542" i="1" s="1"/>
  <c r="K542" i="1"/>
  <c r="AH541" i="1"/>
  <c r="AG541" i="1"/>
  <c r="AE541" i="1"/>
  <c r="AA541" i="1"/>
  <c r="Z541" i="1"/>
  <c r="U541" i="1"/>
  <c r="T541" i="1"/>
  <c r="S541" i="1"/>
  <c r="R541" i="1"/>
  <c r="AF541" i="1" s="1"/>
  <c r="O541" i="1"/>
  <c r="AD541" i="1" s="1"/>
  <c r="K541" i="1"/>
  <c r="V541" i="1" s="1"/>
  <c r="AH540" i="1"/>
  <c r="AF540" i="1"/>
  <c r="AE540" i="1"/>
  <c r="AA540" i="1"/>
  <c r="Z540" i="1"/>
  <c r="AG540" i="1" s="1"/>
  <c r="U540" i="1"/>
  <c r="T540" i="1"/>
  <c r="S540" i="1"/>
  <c r="R540" i="1"/>
  <c r="O540" i="1"/>
  <c r="AD540" i="1" s="1"/>
  <c r="AI540" i="1" s="1"/>
  <c r="K540" i="1"/>
  <c r="V540" i="1" s="1"/>
  <c r="AH539" i="1"/>
  <c r="AE539" i="1"/>
  <c r="AA539" i="1"/>
  <c r="Z539" i="1"/>
  <c r="AG539" i="1" s="1"/>
  <c r="V539" i="1"/>
  <c r="U539" i="1"/>
  <c r="T539" i="1"/>
  <c r="S539" i="1"/>
  <c r="R539" i="1"/>
  <c r="AF539" i="1" s="1"/>
  <c r="O539" i="1"/>
  <c r="AD539" i="1" s="1"/>
  <c r="AI539" i="1" s="1"/>
  <c r="AH538" i="1"/>
  <c r="AG538" i="1"/>
  <c r="AE538" i="1"/>
  <c r="AA538" i="1"/>
  <c r="Z538" i="1"/>
  <c r="V538" i="1"/>
  <c r="U538" i="1"/>
  <c r="T538" i="1"/>
  <c r="S538" i="1"/>
  <c r="Q538" i="1"/>
  <c r="R538" i="1" s="1"/>
  <c r="AF538" i="1" s="1"/>
  <c r="O538" i="1"/>
  <c r="AD538" i="1" s="1"/>
  <c r="K538" i="1"/>
  <c r="AH537" i="1"/>
  <c r="AG537" i="1"/>
  <c r="AE537" i="1"/>
  <c r="AA537" i="1"/>
  <c r="Z537" i="1"/>
  <c r="V537" i="1"/>
  <c r="U537" i="1"/>
  <c r="T537" i="1"/>
  <c r="S537" i="1"/>
  <c r="Q537" i="1"/>
  <c r="R537" i="1" s="1"/>
  <c r="AF537" i="1" s="1"/>
  <c r="O537" i="1"/>
  <c r="AD537" i="1" s="1"/>
  <c r="K537" i="1"/>
  <c r="AH536" i="1"/>
  <c r="AG536" i="1"/>
  <c r="AE536" i="1"/>
  <c r="AA536" i="1"/>
  <c r="Z536" i="1"/>
  <c r="V536" i="1"/>
  <c r="U536" i="1"/>
  <c r="T536" i="1"/>
  <c r="S536" i="1"/>
  <c r="Q536" i="1"/>
  <c r="R536" i="1" s="1"/>
  <c r="AF536" i="1" s="1"/>
  <c r="O536" i="1"/>
  <c r="AD536" i="1" s="1"/>
  <c r="K536" i="1"/>
  <c r="AH535" i="1"/>
  <c r="AG535" i="1"/>
  <c r="AE535" i="1"/>
  <c r="AA535" i="1"/>
  <c r="Z535" i="1"/>
  <c r="V535" i="1"/>
  <c r="U535" i="1"/>
  <c r="T535" i="1"/>
  <c r="S535" i="1"/>
  <c r="Q535" i="1"/>
  <c r="R535" i="1" s="1"/>
  <c r="AF535" i="1" s="1"/>
  <c r="O535" i="1"/>
  <c r="AD535" i="1" s="1"/>
  <c r="K535" i="1"/>
  <c r="AH534" i="1"/>
  <c r="AG534" i="1"/>
  <c r="AE534" i="1"/>
  <c r="AA534" i="1"/>
  <c r="Z534" i="1"/>
  <c r="V534" i="1"/>
  <c r="U534" i="1"/>
  <c r="T534" i="1"/>
  <c r="S534" i="1"/>
  <c r="Q534" i="1"/>
  <c r="R534" i="1" s="1"/>
  <c r="AF534" i="1" s="1"/>
  <c r="O534" i="1"/>
  <c r="AD534" i="1" s="1"/>
  <c r="K534" i="1"/>
  <c r="AH533" i="1"/>
  <c r="AG533" i="1"/>
  <c r="AE533" i="1"/>
  <c r="AA533" i="1"/>
  <c r="Z533" i="1"/>
  <c r="V533" i="1"/>
  <c r="U533" i="1"/>
  <c r="T533" i="1"/>
  <c r="S533" i="1"/>
  <c r="Q533" i="1"/>
  <c r="R533" i="1" s="1"/>
  <c r="AF533" i="1" s="1"/>
  <c r="O533" i="1"/>
  <c r="AD533" i="1" s="1"/>
  <c r="K533" i="1"/>
  <c r="AH532" i="1"/>
  <c r="AG532" i="1"/>
  <c r="AE532" i="1"/>
  <c r="AA532" i="1"/>
  <c r="Z532" i="1"/>
  <c r="V532" i="1"/>
  <c r="U532" i="1"/>
  <c r="T532" i="1"/>
  <c r="S532" i="1"/>
  <c r="Q532" i="1"/>
  <c r="R532" i="1" s="1"/>
  <c r="AF532" i="1" s="1"/>
  <c r="O532" i="1"/>
  <c r="AD532" i="1" s="1"/>
  <c r="K532" i="1"/>
  <c r="AH531" i="1"/>
  <c r="AG531" i="1"/>
  <c r="AE531" i="1"/>
  <c r="AA531" i="1"/>
  <c r="Z531" i="1"/>
  <c r="V531" i="1"/>
  <c r="U531" i="1"/>
  <c r="T531" i="1"/>
  <c r="S531" i="1"/>
  <c r="Q531" i="1"/>
  <c r="R531" i="1" s="1"/>
  <c r="AF531" i="1" s="1"/>
  <c r="O531" i="1"/>
  <c r="AD531" i="1" s="1"/>
  <c r="K531" i="1"/>
  <c r="AH530" i="1"/>
  <c r="AG530" i="1"/>
  <c r="AE530" i="1"/>
  <c r="AA530" i="1"/>
  <c r="Z530" i="1"/>
  <c r="V530" i="1"/>
  <c r="U530" i="1"/>
  <c r="T530" i="1"/>
  <c r="S530" i="1"/>
  <c r="Q530" i="1"/>
  <c r="R530" i="1" s="1"/>
  <c r="AF530" i="1" s="1"/>
  <c r="O530" i="1"/>
  <c r="AD530" i="1" s="1"/>
  <c r="K530" i="1"/>
  <c r="AH529" i="1"/>
  <c r="AG529" i="1"/>
  <c r="AE529" i="1"/>
  <c r="AA529" i="1"/>
  <c r="Z529" i="1"/>
  <c r="V529" i="1"/>
  <c r="U529" i="1"/>
  <c r="T529" i="1"/>
  <c r="S529" i="1"/>
  <c r="Q529" i="1"/>
  <c r="R529" i="1" s="1"/>
  <c r="AF529" i="1" s="1"/>
  <c r="O529" i="1"/>
  <c r="AD529" i="1" s="1"/>
  <c r="K529" i="1"/>
  <c r="AH528" i="1"/>
  <c r="AG528" i="1"/>
  <c r="AE528" i="1"/>
  <c r="AA528" i="1"/>
  <c r="Z528" i="1"/>
  <c r="V528" i="1"/>
  <c r="U528" i="1"/>
  <c r="T528" i="1"/>
  <c r="S528" i="1"/>
  <c r="Q528" i="1"/>
  <c r="R528" i="1" s="1"/>
  <c r="AF528" i="1" s="1"/>
  <c r="O528" i="1"/>
  <c r="AD528" i="1" s="1"/>
  <c r="K528" i="1"/>
  <c r="AH527" i="1"/>
  <c r="AG527" i="1"/>
  <c r="AE527" i="1"/>
  <c r="AA527" i="1"/>
  <c r="Z527" i="1"/>
  <c r="V527" i="1"/>
  <c r="U527" i="1"/>
  <c r="T527" i="1"/>
  <c r="S527" i="1"/>
  <c r="Q527" i="1"/>
  <c r="R527" i="1" s="1"/>
  <c r="AF527" i="1" s="1"/>
  <c r="O527" i="1"/>
  <c r="AD527" i="1" s="1"/>
  <c r="K527" i="1"/>
  <c r="AH526" i="1"/>
  <c r="AG526" i="1"/>
  <c r="AE526" i="1"/>
  <c r="AA526" i="1"/>
  <c r="Z526" i="1"/>
  <c r="V526" i="1"/>
  <c r="U526" i="1"/>
  <c r="T526" i="1"/>
  <c r="S526" i="1"/>
  <c r="R526" i="1"/>
  <c r="AF526" i="1" s="1"/>
  <c r="O526" i="1"/>
  <c r="AD526" i="1" s="1"/>
  <c r="AH525" i="1"/>
  <c r="AE525" i="1"/>
  <c r="AA525" i="1"/>
  <c r="Z525" i="1"/>
  <c r="AG525" i="1" s="1"/>
  <c r="V525" i="1"/>
  <c r="U525" i="1"/>
  <c r="T525" i="1"/>
  <c r="S525" i="1"/>
  <c r="R525" i="1"/>
  <c r="AF525" i="1" s="1"/>
  <c r="AI525" i="1" s="1"/>
  <c r="Q525" i="1"/>
  <c r="O525" i="1"/>
  <c r="AD525" i="1" s="1"/>
  <c r="K525" i="1"/>
  <c r="AH524" i="1"/>
  <c r="AE524" i="1"/>
  <c r="AA524" i="1"/>
  <c r="Z524" i="1"/>
  <c r="AG524" i="1" s="1"/>
  <c r="AI524" i="1" s="1"/>
  <c r="V524" i="1"/>
  <c r="U524" i="1"/>
  <c r="T524" i="1"/>
  <c r="S524" i="1"/>
  <c r="R524" i="1"/>
  <c r="AF524" i="1" s="1"/>
  <c r="Q524" i="1"/>
  <c r="O524" i="1"/>
  <c r="AD524" i="1" s="1"/>
  <c r="K524" i="1"/>
  <c r="AH523" i="1"/>
  <c r="AE523" i="1"/>
  <c r="AA523" i="1"/>
  <c r="Z523" i="1"/>
  <c r="AG523" i="1" s="1"/>
  <c r="V523" i="1"/>
  <c r="U523" i="1"/>
  <c r="T523" i="1"/>
  <c r="S523" i="1"/>
  <c r="R523" i="1"/>
  <c r="AF523" i="1" s="1"/>
  <c r="Q523" i="1"/>
  <c r="O523" i="1"/>
  <c r="AD523" i="1" s="1"/>
  <c r="AI523" i="1" s="1"/>
  <c r="K523" i="1"/>
  <c r="AH522" i="1"/>
  <c r="AE522" i="1"/>
  <c r="AA522" i="1"/>
  <c r="Z522" i="1"/>
  <c r="AG522" i="1" s="1"/>
  <c r="V522" i="1"/>
  <c r="U522" i="1"/>
  <c r="T522" i="1"/>
  <c r="S522" i="1"/>
  <c r="R522" i="1"/>
  <c r="AF522" i="1" s="1"/>
  <c r="Q522" i="1"/>
  <c r="O522" i="1"/>
  <c r="AD522" i="1" s="1"/>
  <c r="AI522" i="1" s="1"/>
  <c r="K522" i="1"/>
  <c r="AH521" i="1"/>
  <c r="AE521" i="1"/>
  <c r="AA521" i="1"/>
  <c r="Z521" i="1"/>
  <c r="AG521" i="1" s="1"/>
  <c r="V521" i="1"/>
  <c r="U521" i="1"/>
  <c r="T521" i="1"/>
  <c r="S521" i="1"/>
  <c r="R521" i="1"/>
  <c r="AF521" i="1" s="1"/>
  <c r="AI521" i="1" s="1"/>
  <c r="Q521" i="1"/>
  <c r="O521" i="1"/>
  <c r="AD521" i="1" s="1"/>
  <c r="K521" i="1"/>
  <c r="AH520" i="1"/>
  <c r="AE520" i="1"/>
  <c r="AA520" i="1"/>
  <c r="Z520" i="1"/>
  <c r="AG520" i="1" s="1"/>
  <c r="AI520" i="1" s="1"/>
  <c r="V520" i="1"/>
  <c r="U520" i="1"/>
  <c r="T520" i="1"/>
  <c r="S520" i="1"/>
  <c r="R520" i="1"/>
  <c r="AF520" i="1" s="1"/>
  <c r="Q520" i="1"/>
  <c r="O520" i="1"/>
  <c r="AD520" i="1" s="1"/>
  <c r="K520" i="1"/>
  <c r="AH519" i="1"/>
  <c r="AE519" i="1"/>
  <c r="AA519" i="1"/>
  <c r="Z519" i="1"/>
  <c r="AG519" i="1" s="1"/>
  <c r="V519" i="1"/>
  <c r="U519" i="1"/>
  <c r="T519" i="1"/>
  <c r="S519" i="1"/>
  <c r="R519" i="1"/>
  <c r="AF519" i="1" s="1"/>
  <c r="Q519" i="1"/>
  <c r="O519" i="1"/>
  <c r="AD519" i="1" s="1"/>
  <c r="AI519" i="1" s="1"/>
  <c r="K519" i="1"/>
  <c r="AH518" i="1"/>
  <c r="AE518" i="1"/>
  <c r="AA518" i="1"/>
  <c r="Z518" i="1"/>
  <c r="AG518" i="1" s="1"/>
  <c r="V518" i="1"/>
  <c r="U518" i="1"/>
  <c r="T518" i="1"/>
  <c r="S518" i="1"/>
  <c r="R518" i="1"/>
  <c r="AF518" i="1" s="1"/>
  <c r="Q518" i="1"/>
  <c r="O518" i="1"/>
  <c r="AD518" i="1" s="1"/>
  <c r="AI518" i="1" s="1"/>
  <c r="K518" i="1"/>
  <c r="AH517" i="1"/>
  <c r="AE517" i="1"/>
  <c r="AA517" i="1"/>
  <c r="Z517" i="1"/>
  <c r="AG517" i="1" s="1"/>
  <c r="V517" i="1"/>
  <c r="U517" i="1"/>
  <c r="T517" i="1"/>
  <c r="S517" i="1"/>
  <c r="R517" i="1"/>
  <c r="AF517" i="1" s="1"/>
  <c r="AI517" i="1" s="1"/>
  <c r="Q517" i="1"/>
  <c r="O517" i="1"/>
  <c r="AD517" i="1" s="1"/>
  <c r="K517" i="1"/>
  <c r="AH516" i="1"/>
  <c r="AE516" i="1"/>
  <c r="AA516" i="1"/>
  <c r="Z516" i="1"/>
  <c r="AG516" i="1" s="1"/>
  <c r="AI516" i="1" s="1"/>
  <c r="V516" i="1"/>
  <c r="U516" i="1"/>
  <c r="T516" i="1"/>
  <c r="S516" i="1"/>
  <c r="R516" i="1"/>
  <c r="AF516" i="1" s="1"/>
  <c r="Q516" i="1"/>
  <c r="O516" i="1"/>
  <c r="AD516" i="1" s="1"/>
  <c r="K516" i="1"/>
  <c r="AH515" i="1"/>
  <c r="AE515" i="1"/>
  <c r="AA515" i="1"/>
  <c r="Z515" i="1"/>
  <c r="AG515" i="1" s="1"/>
  <c r="V515" i="1"/>
  <c r="U515" i="1"/>
  <c r="T515" i="1"/>
  <c r="S515" i="1"/>
  <c r="R515" i="1"/>
  <c r="AF515" i="1" s="1"/>
  <c r="Q515" i="1"/>
  <c r="O515" i="1"/>
  <c r="AD515" i="1" s="1"/>
  <c r="AI515" i="1" s="1"/>
  <c r="K515" i="1"/>
  <c r="AH514" i="1"/>
  <c r="AE514" i="1"/>
  <c r="AA514" i="1"/>
  <c r="Z514" i="1"/>
  <c r="AG514" i="1" s="1"/>
  <c r="V514" i="1"/>
  <c r="U514" i="1"/>
  <c r="T514" i="1"/>
  <c r="S514" i="1"/>
  <c r="R514" i="1"/>
  <c r="AF514" i="1" s="1"/>
  <c r="Q514" i="1"/>
  <c r="O514" i="1"/>
  <c r="AD514" i="1" s="1"/>
  <c r="AI514" i="1" s="1"/>
  <c r="K514" i="1"/>
  <c r="AH513" i="1"/>
  <c r="AE513" i="1"/>
  <c r="AA513" i="1"/>
  <c r="Z513" i="1"/>
  <c r="AG513" i="1" s="1"/>
  <c r="V513" i="1"/>
  <c r="U513" i="1"/>
  <c r="T513" i="1"/>
  <c r="S513" i="1"/>
  <c r="R513" i="1"/>
  <c r="AF513" i="1" s="1"/>
  <c r="AI513" i="1" s="1"/>
  <c r="O513" i="1"/>
  <c r="AD513" i="1" s="1"/>
  <c r="AH512" i="1"/>
  <c r="AG512" i="1"/>
  <c r="AE512" i="1"/>
  <c r="AA512" i="1"/>
  <c r="Z512" i="1"/>
  <c r="V512" i="1"/>
  <c r="U512" i="1"/>
  <c r="T512" i="1"/>
  <c r="S512" i="1"/>
  <c r="R512" i="1"/>
  <c r="AF512" i="1" s="1"/>
  <c r="O512" i="1"/>
  <c r="AD512" i="1" s="1"/>
  <c r="AI512" i="1" s="1"/>
  <c r="AH511" i="1"/>
  <c r="AE511" i="1"/>
  <c r="AA511" i="1"/>
  <c r="Z511" i="1"/>
  <c r="AG511" i="1" s="1"/>
  <c r="V511" i="1"/>
  <c r="U511" i="1"/>
  <c r="T511" i="1"/>
  <c r="S511" i="1"/>
  <c r="R511" i="1"/>
  <c r="AF511" i="1" s="1"/>
  <c r="Q511" i="1"/>
  <c r="O511" i="1"/>
  <c r="AD511" i="1" s="1"/>
  <c r="AI511" i="1" s="1"/>
  <c r="K511" i="1"/>
  <c r="AH510" i="1"/>
  <c r="AE510" i="1"/>
  <c r="AA510" i="1"/>
  <c r="Z510" i="1"/>
  <c r="AG510" i="1" s="1"/>
  <c r="V510" i="1"/>
  <c r="U510" i="1"/>
  <c r="T510" i="1"/>
  <c r="S510" i="1"/>
  <c r="R510" i="1"/>
  <c r="AF510" i="1" s="1"/>
  <c r="Q510" i="1"/>
  <c r="O510" i="1"/>
  <c r="AD510" i="1" s="1"/>
  <c r="AI510" i="1" s="1"/>
  <c r="K510" i="1"/>
  <c r="AH509" i="1"/>
  <c r="AE509" i="1"/>
  <c r="AA509" i="1"/>
  <c r="Z509" i="1"/>
  <c r="AG509" i="1" s="1"/>
  <c r="V509" i="1"/>
  <c r="U509" i="1"/>
  <c r="T509" i="1"/>
  <c r="S509" i="1"/>
  <c r="R509" i="1"/>
  <c r="AF509" i="1" s="1"/>
  <c r="AI509" i="1" s="1"/>
  <c r="Q509" i="1"/>
  <c r="O509" i="1"/>
  <c r="AD509" i="1" s="1"/>
  <c r="K509" i="1"/>
  <c r="AH508" i="1"/>
  <c r="AE508" i="1"/>
  <c r="AA508" i="1"/>
  <c r="Z508" i="1"/>
  <c r="AG508" i="1" s="1"/>
  <c r="AI508" i="1" s="1"/>
  <c r="V508" i="1"/>
  <c r="U508" i="1"/>
  <c r="T508" i="1"/>
  <c r="S508" i="1"/>
  <c r="R508" i="1"/>
  <c r="AF508" i="1" s="1"/>
  <c r="Q508" i="1"/>
  <c r="O508" i="1"/>
  <c r="AD508" i="1" s="1"/>
  <c r="K508" i="1"/>
  <c r="AH507" i="1"/>
  <c r="AE507" i="1"/>
  <c r="AA507" i="1"/>
  <c r="Z507" i="1"/>
  <c r="AG507" i="1" s="1"/>
  <c r="V507" i="1"/>
  <c r="U507" i="1"/>
  <c r="T507" i="1"/>
  <c r="S507" i="1"/>
  <c r="R507" i="1"/>
  <c r="AF507" i="1" s="1"/>
  <c r="Q507" i="1"/>
  <c r="O507" i="1"/>
  <c r="AD507" i="1" s="1"/>
  <c r="AI507" i="1" s="1"/>
  <c r="K507" i="1"/>
  <c r="AH506" i="1"/>
  <c r="AE506" i="1"/>
  <c r="AA506" i="1"/>
  <c r="Z506" i="1"/>
  <c r="AG506" i="1" s="1"/>
  <c r="V506" i="1"/>
  <c r="U506" i="1"/>
  <c r="T506" i="1"/>
  <c r="S506" i="1"/>
  <c r="R506" i="1"/>
  <c r="AF506" i="1" s="1"/>
  <c r="Q506" i="1"/>
  <c r="O506" i="1"/>
  <c r="AD506" i="1" s="1"/>
  <c r="AI506" i="1" s="1"/>
  <c r="K506" i="1"/>
  <c r="AH505" i="1"/>
  <c r="AE505" i="1"/>
  <c r="AA505" i="1"/>
  <c r="Z505" i="1"/>
  <c r="AG505" i="1" s="1"/>
  <c r="V505" i="1"/>
  <c r="U505" i="1"/>
  <c r="T505" i="1"/>
  <c r="S505" i="1"/>
  <c r="R505" i="1"/>
  <c r="AF505" i="1" s="1"/>
  <c r="AI505" i="1" s="1"/>
  <c r="Q505" i="1"/>
  <c r="O505" i="1"/>
  <c r="AD505" i="1" s="1"/>
  <c r="K505" i="1"/>
  <c r="AH504" i="1"/>
  <c r="AE504" i="1"/>
  <c r="AA504" i="1"/>
  <c r="Z504" i="1"/>
  <c r="AG504" i="1" s="1"/>
  <c r="AI504" i="1" s="1"/>
  <c r="V504" i="1"/>
  <c r="U504" i="1"/>
  <c r="T504" i="1"/>
  <c r="S504" i="1"/>
  <c r="R504" i="1"/>
  <c r="AF504" i="1" s="1"/>
  <c r="Q504" i="1"/>
  <c r="O504" i="1"/>
  <c r="AD504" i="1" s="1"/>
  <c r="K504" i="1"/>
  <c r="AH503" i="1"/>
  <c r="AE503" i="1"/>
  <c r="AA503" i="1"/>
  <c r="Z503" i="1"/>
  <c r="AG503" i="1" s="1"/>
  <c r="V503" i="1"/>
  <c r="U503" i="1"/>
  <c r="T503" i="1"/>
  <c r="S503" i="1"/>
  <c r="R503" i="1"/>
  <c r="AF503" i="1" s="1"/>
  <c r="Q503" i="1"/>
  <c r="O503" i="1"/>
  <c r="AD503" i="1" s="1"/>
  <c r="AI503" i="1" s="1"/>
  <c r="K503" i="1"/>
  <c r="AH502" i="1"/>
  <c r="AE502" i="1"/>
  <c r="AA502" i="1"/>
  <c r="Z502" i="1"/>
  <c r="AG502" i="1" s="1"/>
  <c r="V502" i="1"/>
  <c r="U502" i="1"/>
  <c r="T502" i="1"/>
  <c r="S502" i="1"/>
  <c r="R502" i="1"/>
  <c r="AF502" i="1" s="1"/>
  <c r="Q502" i="1"/>
  <c r="O502" i="1"/>
  <c r="AD502" i="1" s="1"/>
  <c r="AI502" i="1" s="1"/>
  <c r="K502" i="1"/>
  <c r="AH501" i="1"/>
  <c r="AE501" i="1"/>
  <c r="AA501" i="1"/>
  <c r="Z501" i="1"/>
  <c r="AG501" i="1" s="1"/>
  <c r="V501" i="1"/>
  <c r="U501" i="1"/>
  <c r="T501" i="1"/>
  <c r="S501" i="1"/>
  <c r="R501" i="1"/>
  <c r="AF501" i="1" s="1"/>
  <c r="AI501" i="1" s="1"/>
  <c r="Q501" i="1"/>
  <c r="O501" i="1"/>
  <c r="AD501" i="1" s="1"/>
  <c r="K501" i="1"/>
  <c r="AH500" i="1"/>
  <c r="AE500" i="1"/>
  <c r="AA500" i="1"/>
  <c r="Z500" i="1"/>
  <c r="AG500" i="1" s="1"/>
  <c r="AI500" i="1" s="1"/>
  <c r="V500" i="1"/>
  <c r="U500" i="1"/>
  <c r="T500" i="1"/>
  <c r="S500" i="1"/>
  <c r="R500" i="1"/>
  <c r="AF500" i="1" s="1"/>
  <c r="Q500" i="1"/>
  <c r="O500" i="1"/>
  <c r="AD500" i="1" s="1"/>
  <c r="K500" i="1"/>
  <c r="AH499" i="1"/>
  <c r="AE499" i="1"/>
  <c r="AA499" i="1"/>
  <c r="Z499" i="1"/>
  <c r="AG499" i="1" s="1"/>
  <c r="V499" i="1"/>
  <c r="U499" i="1"/>
  <c r="T499" i="1"/>
  <c r="S499" i="1"/>
  <c r="R499" i="1"/>
  <c r="AF499" i="1" s="1"/>
  <c r="O499" i="1"/>
  <c r="AD499" i="1" s="1"/>
  <c r="AI499" i="1" s="1"/>
  <c r="AH498" i="1"/>
  <c r="AG498" i="1"/>
  <c r="AE498" i="1"/>
  <c r="AA498" i="1"/>
  <c r="Z498" i="1"/>
  <c r="V498" i="1"/>
  <c r="U498" i="1"/>
  <c r="T498" i="1"/>
  <c r="S498" i="1"/>
  <c r="R498" i="1"/>
  <c r="AF498" i="1" s="1"/>
  <c r="O498" i="1"/>
  <c r="AD498" i="1" s="1"/>
  <c r="AH497" i="1"/>
  <c r="AE497" i="1"/>
  <c r="AA497" i="1"/>
  <c r="Z497" i="1"/>
  <c r="AG497" i="1" s="1"/>
  <c r="V497" i="1"/>
  <c r="U497" i="1"/>
  <c r="T497" i="1"/>
  <c r="S497" i="1"/>
  <c r="R497" i="1"/>
  <c r="AF497" i="1" s="1"/>
  <c r="AI497" i="1" s="1"/>
  <c r="Q497" i="1"/>
  <c r="O497" i="1"/>
  <c r="AD497" i="1" s="1"/>
  <c r="K497" i="1"/>
  <c r="AH496" i="1"/>
  <c r="AE496" i="1"/>
  <c r="AA496" i="1"/>
  <c r="Z496" i="1"/>
  <c r="AG496" i="1" s="1"/>
  <c r="AI496" i="1" s="1"/>
  <c r="V496" i="1"/>
  <c r="U496" i="1"/>
  <c r="T496" i="1"/>
  <c r="S496" i="1"/>
  <c r="R496" i="1"/>
  <c r="AF496" i="1" s="1"/>
  <c r="Q496" i="1"/>
  <c r="O496" i="1"/>
  <c r="AD496" i="1" s="1"/>
  <c r="K496" i="1"/>
  <c r="AH495" i="1"/>
  <c r="AE495" i="1"/>
  <c r="AA495" i="1"/>
  <c r="Z495" i="1"/>
  <c r="AG495" i="1" s="1"/>
  <c r="V495" i="1"/>
  <c r="U495" i="1"/>
  <c r="T495" i="1"/>
  <c r="S495" i="1"/>
  <c r="R495" i="1"/>
  <c r="AF495" i="1" s="1"/>
  <c r="Q495" i="1"/>
  <c r="O495" i="1"/>
  <c r="AD495" i="1" s="1"/>
  <c r="AI495" i="1" s="1"/>
  <c r="K495" i="1"/>
  <c r="AH494" i="1"/>
  <c r="AE494" i="1"/>
  <c r="AA494" i="1"/>
  <c r="Z494" i="1"/>
  <c r="AG494" i="1" s="1"/>
  <c r="V494" i="1"/>
  <c r="U494" i="1"/>
  <c r="T494" i="1"/>
  <c r="S494" i="1"/>
  <c r="R494" i="1"/>
  <c r="AF494" i="1" s="1"/>
  <c r="O494" i="1"/>
  <c r="AD494" i="1" s="1"/>
  <c r="AI494" i="1" s="1"/>
  <c r="K494" i="1"/>
  <c r="AH493" i="1"/>
  <c r="AE493" i="1"/>
  <c r="AA493" i="1"/>
  <c r="Z493" i="1"/>
  <c r="AG493" i="1" s="1"/>
  <c r="V493" i="1"/>
  <c r="U493" i="1"/>
  <c r="T493" i="1"/>
  <c r="S493" i="1"/>
  <c r="R493" i="1"/>
  <c r="AF493" i="1" s="1"/>
  <c r="O493" i="1"/>
  <c r="AD493" i="1" s="1"/>
  <c r="AI493" i="1" s="1"/>
  <c r="K493" i="1"/>
  <c r="AH492" i="1"/>
  <c r="AG492" i="1"/>
  <c r="AE492" i="1"/>
  <c r="AA492" i="1"/>
  <c r="Z492" i="1"/>
  <c r="U492" i="1"/>
  <c r="T492" i="1"/>
  <c r="S492" i="1"/>
  <c r="R492" i="1"/>
  <c r="AF492" i="1" s="1"/>
  <c r="O492" i="1"/>
  <c r="AD492" i="1" s="1"/>
  <c r="AI492" i="1" s="1"/>
  <c r="K492" i="1"/>
  <c r="V492" i="1" s="1"/>
  <c r="AH491" i="1"/>
  <c r="AE491" i="1"/>
  <c r="AA491" i="1"/>
  <c r="Z491" i="1"/>
  <c r="AG491" i="1" s="1"/>
  <c r="U491" i="1"/>
  <c r="T491" i="1"/>
  <c r="S491" i="1"/>
  <c r="Q491" i="1"/>
  <c r="R491" i="1" s="1"/>
  <c r="AF491" i="1" s="1"/>
  <c r="O491" i="1"/>
  <c r="AD491" i="1" s="1"/>
  <c r="K491" i="1"/>
  <c r="V491" i="1" s="1"/>
  <c r="AH490" i="1"/>
  <c r="AE490" i="1"/>
  <c r="AA490" i="1"/>
  <c r="Z490" i="1"/>
  <c r="AG490" i="1" s="1"/>
  <c r="U490" i="1"/>
  <c r="T490" i="1"/>
  <c r="S490" i="1"/>
  <c r="Q490" i="1"/>
  <c r="R490" i="1" s="1"/>
  <c r="AF490" i="1" s="1"/>
  <c r="O490" i="1"/>
  <c r="AD490" i="1" s="1"/>
  <c r="K490" i="1"/>
  <c r="V490" i="1" s="1"/>
  <c r="AH489" i="1"/>
  <c r="AF489" i="1"/>
  <c r="AE489" i="1"/>
  <c r="AA489" i="1"/>
  <c r="Z489" i="1"/>
  <c r="AG489" i="1" s="1"/>
  <c r="U489" i="1"/>
  <c r="T489" i="1"/>
  <c r="S489" i="1"/>
  <c r="Q489" i="1"/>
  <c r="R489" i="1" s="1"/>
  <c r="O489" i="1"/>
  <c r="AD489" i="1" s="1"/>
  <c r="AI489" i="1" s="1"/>
  <c r="K489" i="1"/>
  <c r="V489" i="1" s="1"/>
  <c r="AH488" i="1"/>
  <c r="AF488" i="1"/>
  <c r="AE488" i="1"/>
  <c r="AA488" i="1"/>
  <c r="Z488" i="1"/>
  <c r="AG488" i="1" s="1"/>
  <c r="U488" i="1"/>
  <c r="T488" i="1"/>
  <c r="S488" i="1"/>
  <c r="R488" i="1"/>
  <c r="O488" i="1"/>
  <c r="AD488" i="1" s="1"/>
  <c r="AI488" i="1" s="1"/>
  <c r="K488" i="1"/>
  <c r="V488" i="1" s="1"/>
  <c r="AH487" i="1"/>
  <c r="AE487" i="1"/>
  <c r="AA487" i="1"/>
  <c r="Z487" i="1"/>
  <c r="AG487" i="1" s="1"/>
  <c r="V487" i="1"/>
  <c r="U487" i="1"/>
  <c r="T487" i="1"/>
  <c r="S487" i="1"/>
  <c r="R487" i="1"/>
  <c r="AF487" i="1" s="1"/>
  <c r="O487" i="1"/>
  <c r="AD487" i="1" s="1"/>
  <c r="AI487" i="1" s="1"/>
  <c r="K487" i="1"/>
  <c r="AH486" i="1"/>
  <c r="AE486" i="1"/>
  <c r="AA486" i="1"/>
  <c r="Z486" i="1"/>
  <c r="AG486" i="1" s="1"/>
  <c r="V486" i="1"/>
  <c r="U486" i="1"/>
  <c r="T486" i="1"/>
  <c r="S486" i="1"/>
  <c r="R486" i="1"/>
  <c r="AF486" i="1" s="1"/>
  <c r="O486" i="1"/>
  <c r="AD486" i="1" s="1"/>
  <c r="AI486" i="1" s="1"/>
  <c r="K486" i="1"/>
  <c r="AH485" i="1"/>
  <c r="AG485" i="1"/>
  <c r="AE485" i="1"/>
  <c r="AA485" i="1"/>
  <c r="Z485" i="1"/>
  <c r="V485" i="1"/>
  <c r="U485" i="1"/>
  <c r="T485" i="1"/>
  <c r="S485" i="1"/>
  <c r="R485" i="1"/>
  <c r="AF485" i="1" s="1"/>
  <c r="O485" i="1"/>
  <c r="AD485" i="1" s="1"/>
  <c r="AI485" i="1" s="1"/>
  <c r="AH484" i="1"/>
  <c r="AE484" i="1"/>
  <c r="AA484" i="1"/>
  <c r="Z484" i="1"/>
  <c r="AG484" i="1" s="1"/>
  <c r="AI484" i="1" s="1"/>
  <c r="V484" i="1"/>
  <c r="U484" i="1"/>
  <c r="T484" i="1"/>
  <c r="S484" i="1"/>
  <c r="R484" i="1"/>
  <c r="AF484" i="1" s="1"/>
  <c r="Q484" i="1"/>
  <c r="O484" i="1"/>
  <c r="AD484" i="1" s="1"/>
  <c r="K484" i="1"/>
  <c r="AH483" i="1"/>
  <c r="AE483" i="1"/>
  <c r="AA483" i="1"/>
  <c r="Z483" i="1"/>
  <c r="AG483" i="1" s="1"/>
  <c r="V483" i="1"/>
  <c r="U483" i="1"/>
  <c r="T483" i="1"/>
  <c r="S483" i="1"/>
  <c r="R483" i="1"/>
  <c r="AF483" i="1" s="1"/>
  <c r="Q483" i="1"/>
  <c r="O483" i="1"/>
  <c r="AD483" i="1" s="1"/>
  <c r="AI483" i="1" s="1"/>
  <c r="K483" i="1"/>
  <c r="AH482" i="1"/>
  <c r="AE482" i="1"/>
  <c r="AA482" i="1"/>
  <c r="Z482" i="1"/>
  <c r="AG482" i="1" s="1"/>
  <c r="V482" i="1"/>
  <c r="U482" i="1"/>
  <c r="T482" i="1"/>
  <c r="S482" i="1"/>
  <c r="R482" i="1"/>
  <c r="AF482" i="1" s="1"/>
  <c r="Q482" i="1"/>
  <c r="O482" i="1"/>
  <c r="AD482" i="1" s="1"/>
  <c r="AI482" i="1" s="1"/>
  <c r="K482" i="1"/>
  <c r="AH481" i="1"/>
  <c r="AE481" i="1"/>
  <c r="AA481" i="1"/>
  <c r="Z481" i="1"/>
  <c r="AG481" i="1" s="1"/>
  <c r="V481" i="1"/>
  <c r="U481" i="1"/>
  <c r="T481" i="1"/>
  <c r="S481" i="1"/>
  <c r="R481" i="1"/>
  <c r="AF481" i="1" s="1"/>
  <c r="AI481" i="1" s="1"/>
  <c r="Q481" i="1"/>
  <c r="O481" i="1"/>
  <c r="AD481" i="1" s="1"/>
  <c r="K481" i="1"/>
  <c r="AH480" i="1"/>
  <c r="AE480" i="1"/>
  <c r="AA480" i="1"/>
  <c r="Z480" i="1"/>
  <c r="AG480" i="1" s="1"/>
  <c r="AI480" i="1" s="1"/>
  <c r="V480" i="1"/>
  <c r="U480" i="1"/>
  <c r="T480" i="1"/>
  <c r="S480" i="1"/>
  <c r="R480" i="1"/>
  <c r="AF480" i="1" s="1"/>
  <c r="Q480" i="1"/>
  <c r="O480" i="1"/>
  <c r="AD480" i="1" s="1"/>
  <c r="K480" i="1"/>
  <c r="AH479" i="1"/>
  <c r="AE479" i="1"/>
  <c r="AA479" i="1"/>
  <c r="Z479" i="1"/>
  <c r="AG479" i="1" s="1"/>
  <c r="V479" i="1"/>
  <c r="U479" i="1"/>
  <c r="T479" i="1"/>
  <c r="S479" i="1"/>
  <c r="R479" i="1"/>
  <c r="AF479" i="1" s="1"/>
  <c r="Q479" i="1"/>
  <c r="O479" i="1"/>
  <c r="AD479" i="1" s="1"/>
  <c r="AI479" i="1" s="1"/>
  <c r="K479" i="1"/>
  <c r="AH478" i="1"/>
  <c r="AE478" i="1"/>
  <c r="AA478" i="1"/>
  <c r="Z478" i="1"/>
  <c r="AG478" i="1" s="1"/>
  <c r="V478" i="1"/>
  <c r="U478" i="1"/>
  <c r="T478" i="1"/>
  <c r="S478" i="1"/>
  <c r="R478" i="1"/>
  <c r="AF478" i="1" s="1"/>
  <c r="O478" i="1"/>
  <c r="AD478" i="1" s="1"/>
  <c r="AI478" i="1" s="1"/>
  <c r="K478" i="1"/>
  <c r="AH477" i="1"/>
  <c r="AE477" i="1"/>
  <c r="AA477" i="1"/>
  <c r="Z477" i="1"/>
  <c r="AG477" i="1" s="1"/>
  <c r="V477" i="1"/>
  <c r="U477" i="1"/>
  <c r="T477" i="1"/>
  <c r="S477" i="1"/>
  <c r="R477" i="1"/>
  <c r="AF477" i="1" s="1"/>
  <c r="O477" i="1"/>
  <c r="AD477" i="1" s="1"/>
  <c r="AI477" i="1" s="1"/>
  <c r="K477" i="1"/>
  <c r="AH476" i="1"/>
  <c r="AG476" i="1"/>
  <c r="AE476" i="1"/>
  <c r="AA476" i="1"/>
  <c r="Z476" i="1"/>
  <c r="U476" i="1"/>
  <c r="T476" i="1"/>
  <c r="S476" i="1"/>
  <c r="R476" i="1"/>
  <c r="AF476" i="1" s="1"/>
  <c r="O476" i="1"/>
  <c r="AD476" i="1" s="1"/>
  <c r="AI476" i="1" s="1"/>
  <c r="K476" i="1"/>
  <c r="V476" i="1" s="1"/>
  <c r="AH475" i="1"/>
  <c r="AE475" i="1"/>
  <c r="AA475" i="1"/>
  <c r="Z475" i="1"/>
  <c r="AG475" i="1" s="1"/>
  <c r="U475" i="1"/>
  <c r="T475" i="1"/>
  <c r="S475" i="1"/>
  <c r="Q475" i="1"/>
  <c r="R475" i="1" s="1"/>
  <c r="AF475" i="1" s="1"/>
  <c r="O475" i="1"/>
  <c r="AD475" i="1" s="1"/>
  <c r="K475" i="1"/>
  <c r="V475" i="1" s="1"/>
  <c r="AH474" i="1"/>
  <c r="AE474" i="1"/>
  <c r="AA474" i="1"/>
  <c r="Z474" i="1"/>
  <c r="AG474" i="1" s="1"/>
  <c r="U474" i="1"/>
  <c r="T474" i="1"/>
  <c r="S474" i="1"/>
  <c r="Q474" i="1"/>
  <c r="R474" i="1" s="1"/>
  <c r="AF474" i="1" s="1"/>
  <c r="O474" i="1"/>
  <c r="AD474" i="1" s="1"/>
  <c r="K474" i="1"/>
  <c r="V474" i="1" s="1"/>
  <c r="AH473" i="1"/>
  <c r="AF473" i="1"/>
  <c r="AE473" i="1"/>
  <c r="AA473" i="1"/>
  <c r="Z473" i="1"/>
  <c r="AG473" i="1" s="1"/>
  <c r="U473" i="1"/>
  <c r="T473" i="1"/>
  <c r="S473" i="1"/>
  <c r="Q473" i="1"/>
  <c r="R473" i="1" s="1"/>
  <c r="O473" i="1"/>
  <c r="AD473" i="1" s="1"/>
  <c r="AI473" i="1" s="1"/>
  <c r="K473" i="1"/>
  <c r="V473" i="1" s="1"/>
  <c r="AH472" i="1"/>
  <c r="AF472" i="1"/>
  <c r="AE472" i="1"/>
  <c r="AA472" i="1"/>
  <c r="Z472" i="1"/>
  <c r="AG472" i="1" s="1"/>
  <c r="V472" i="1"/>
  <c r="U472" i="1"/>
  <c r="T472" i="1"/>
  <c r="S472" i="1"/>
  <c r="R472" i="1"/>
  <c r="O472" i="1"/>
  <c r="AD472" i="1" s="1"/>
  <c r="AI472" i="1" s="1"/>
  <c r="AH471" i="1"/>
  <c r="AE471" i="1"/>
  <c r="AD471" i="1"/>
  <c r="AI471" i="1" s="1"/>
  <c r="AA471" i="1"/>
  <c r="Z471" i="1"/>
  <c r="AG471" i="1" s="1"/>
  <c r="U471" i="1"/>
  <c r="T471" i="1"/>
  <c r="S471" i="1"/>
  <c r="Q471" i="1"/>
  <c r="R471" i="1" s="1"/>
  <c r="AF471" i="1" s="1"/>
  <c r="O471" i="1"/>
  <c r="K471" i="1"/>
  <c r="V471" i="1" s="1"/>
  <c r="AH470" i="1"/>
  <c r="AE470" i="1"/>
  <c r="AD470" i="1"/>
  <c r="AA470" i="1"/>
  <c r="Z470" i="1"/>
  <c r="AG470" i="1" s="1"/>
  <c r="U470" i="1"/>
  <c r="T470" i="1"/>
  <c r="S470" i="1"/>
  <c r="Q470" i="1"/>
  <c r="R470" i="1" s="1"/>
  <c r="AF470" i="1" s="1"/>
  <c r="O470" i="1"/>
  <c r="K470" i="1"/>
  <c r="V470" i="1" s="1"/>
  <c r="AH469" i="1"/>
  <c r="AE469" i="1"/>
  <c r="AD469" i="1"/>
  <c r="AA469" i="1"/>
  <c r="Z469" i="1"/>
  <c r="AG469" i="1" s="1"/>
  <c r="U469" i="1"/>
  <c r="T469" i="1"/>
  <c r="S469" i="1"/>
  <c r="Q469" i="1"/>
  <c r="R469" i="1" s="1"/>
  <c r="AF469" i="1" s="1"/>
  <c r="O469" i="1"/>
  <c r="K469" i="1"/>
  <c r="V469" i="1" s="1"/>
  <c r="AH468" i="1"/>
  <c r="AE468" i="1"/>
  <c r="AA468" i="1"/>
  <c r="Z468" i="1"/>
  <c r="AG468" i="1" s="1"/>
  <c r="V468" i="1"/>
  <c r="U468" i="1"/>
  <c r="T468" i="1"/>
  <c r="S468" i="1"/>
  <c r="R468" i="1"/>
  <c r="AF468" i="1" s="1"/>
  <c r="O468" i="1"/>
  <c r="AD468" i="1" s="1"/>
  <c r="AI468" i="1" s="1"/>
  <c r="K468" i="1"/>
  <c r="AH467" i="1"/>
  <c r="AG467" i="1"/>
  <c r="AE467" i="1"/>
  <c r="AA467" i="1"/>
  <c r="Z467" i="1"/>
  <c r="V467" i="1"/>
  <c r="U467" i="1"/>
  <c r="T467" i="1"/>
  <c r="S467" i="1"/>
  <c r="Q467" i="1"/>
  <c r="R467" i="1" s="1"/>
  <c r="AF467" i="1" s="1"/>
  <c r="O467" i="1"/>
  <c r="AD467" i="1" s="1"/>
  <c r="AI467" i="1" s="1"/>
  <c r="K467" i="1"/>
  <c r="AH466" i="1"/>
  <c r="AG466" i="1"/>
  <c r="AE466" i="1"/>
  <c r="AA466" i="1"/>
  <c r="Z466" i="1"/>
  <c r="V466" i="1"/>
  <c r="U466" i="1"/>
  <c r="T466" i="1"/>
  <c r="S466" i="1"/>
  <c r="Q466" i="1"/>
  <c r="R466" i="1" s="1"/>
  <c r="AF466" i="1" s="1"/>
  <c r="O466" i="1"/>
  <c r="AD466" i="1" s="1"/>
  <c r="AI466" i="1" s="1"/>
  <c r="K466" i="1"/>
  <c r="AH465" i="1"/>
  <c r="AG465" i="1"/>
  <c r="AE465" i="1"/>
  <c r="AA465" i="1"/>
  <c r="Z465" i="1"/>
  <c r="V465" i="1"/>
  <c r="U465" i="1"/>
  <c r="T465" i="1"/>
  <c r="S465" i="1"/>
  <c r="R465" i="1"/>
  <c r="AF465" i="1" s="1"/>
  <c r="O465" i="1"/>
  <c r="AD465" i="1" s="1"/>
  <c r="AI465" i="1" s="1"/>
  <c r="AH464" i="1"/>
  <c r="AE464" i="1"/>
  <c r="AA464" i="1"/>
  <c r="Z464" i="1"/>
  <c r="AG464" i="1" s="1"/>
  <c r="V464" i="1"/>
  <c r="U464" i="1"/>
  <c r="T464" i="1"/>
  <c r="S464" i="1"/>
  <c r="R464" i="1"/>
  <c r="AF464" i="1" s="1"/>
  <c r="O464" i="1"/>
  <c r="AD464" i="1" s="1"/>
  <c r="AI464" i="1" s="1"/>
  <c r="K464" i="1"/>
  <c r="AH463" i="1"/>
  <c r="AE463" i="1"/>
  <c r="AA463" i="1"/>
  <c r="Z463" i="1"/>
  <c r="AG463" i="1" s="1"/>
  <c r="V463" i="1"/>
  <c r="U463" i="1"/>
  <c r="T463" i="1"/>
  <c r="S463" i="1"/>
  <c r="R463" i="1"/>
  <c r="AF463" i="1" s="1"/>
  <c r="O463" i="1"/>
  <c r="AD463" i="1" s="1"/>
  <c r="AI463" i="1" s="1"/>
  <c r="K463" i="1"/>
  <c r="AH462" i="1"/>
  <c r="AG462" i="1"/>
  <c r="AE462" i="1"/>
  <c r="AA462" i="1"/>
  <c r="Z462" i="1"/>
  <c r="U462" i="1"/>
  <c r="T462" i="1"/>
  <c r="S462" i="1"/>
  <c r="R462" i="1"/>
  <c r="AF462" i="1" s="1"/>
  <c r="O462" i="1"/>
  <c r="AD462" i="1" s="1"/>
  <c r="K462" i="1"/>
  <c r="V462" i="1" s="1"/>
  <c r="AH461" i="1"/>
  <c r="AF461" i="1"/>
  <c r="AE461" i="1"/>
  <c r="AA461" i="1"/>
  <c r="Z461" i="1"/>
  <c r="AG461" i="1" s="1"/>
  <c r="U461" i="1"/>
  <c r="T461" i="1"/>
  <c r="S461" i="1"/>
  <c r="R461" i="1"/>
  <c r="O461" i="1"/>
  <c r="AD461" i="1" s="1"/>
  <c r="K461" i="1"/>
  <c r="V461" i="1" s="1"/>
  <c r="AH460" i="1"/>
  <c r="AE460" i="1"/>
  <c r="AA460" i="1"/>
  <c r="Z460" i="1"/>
  <c r="AG460" i="1" s="1"/>
  <c r="V460" i="1"/>
  <c r="U460" i="1"/>
  <c r="T460" i="1"/>
  <c r="S460" i="1"/>
  <c r="R460" i="1"/>
  <c r="AF460" i="1" s="1"/>
  <c r="AI460" i="1" s="1"/>
  <c r="O460" i="1"/>
  <c r="AD460" i="1" s="1"/>
  <c r="K460" i="1"/>
  <c r="AH459" i="1"/>
  <c r="AE459" i="1"/>
  <c r="AA459" i="1"/>
  <c r="Z459" i="1"/>
  <c r="AG459" i="1" s="1"/>
  <c r="V459" i="1"/>
  <c r="U459" i="1"/>
  <c r="T459" i="1"/>
  <c r="S459" i="1"/>
  <c r="R459" i="1"/>
  <c r="AF459" i="1" s="1"/>
  <c r="O459" i="1"/>
  <c r="AD459" i="1" s="1"/>
  <c r="AI459" i="1" s="1"/>
  <c r="K459" i="1"/>
  <c r="AH458" i="1"/>
  <c r="AG458" i="1"/>
  <c r="AE458" i="1"/>
  <c r="AA458" i="1"/>
  <c r="Z458" i="1"/>
  <c r="U458" i="1"/>
  <c r="T458" i="1"/>
  <c r="S458" i="1"/>
  <c r="R458" i="1"/>
  <c r="AF458" i="1" s="1"/>
  <c r="O458" i="1"/>
  <c r="AD458" i="1" s="1"/>
  <c r="AI458" i="1" s="1"/>
  <c r="K458" i="1"/>
  <c r="V458" i="1" s="1"/>
  <c r="AH457" i="1"/>
  <c r="AF457" i="1"/>
  <c r="AE457" i="1"/>
  <c r="AA457" i="1"/>
  <c r="Z457" i="1"/>
  <c r="AG457" i="1" s="1"/>
  <c r="U457" i="1"/>
  <c r="T457" i="1"/>
  <c r="S457" i="1"/>
  <c r="R457" i="1"/>
  <c r="O457" i="1"/>
  <c r="AD457" i="1" s="1"/>
  <c r="AI457" i="1" s="1"/>
  <c r="K457" i="1"/>
  <c r="V457" i="1" s="1"/>
  <c r="AH456" i="1"/>
  <c r="AE456" i="1"/>
  <c r="AA456" i="1"/>
  <c r="Z456" i="1"/>
  <c r="AG456" i="1" s="1"/>
  <c r="V456" i="1"/>
  <c r="U456" i="1"/>
  <c r="T456" i="1"/>
  <c r="S456" i="1"/>
  <c r="R456" i="1"/>
  <c r="AF456" i="1" s="1"/>
  <c r="O456" i="1"/>
  <c r="AD456" i="1" s="1"/>
  <c r="AI456" i="1" s="1"/>
  <c r="K456" i="1"/>
  <c r="AH455" i="1"/>
  <c r="AE455" i="1"/>
  <c r="AD455" i="1"/>
  <c r="AI455" i="1" s="1"/>
  <c r="AA455" i="1"/>
  <c r="Z455" i="1"/>
  <c r="AG455" i="1" s="1"/>
  <c r="U455" i="1"/>
  <c r="T455" i="1"/>
  <c r="S455" i="1"/>
  <c r="Q455" i="1"/>
  <c r="R455" i="1" s="1"/>
  <c r="AF455" i="1" s="1"/>
  <c r="O455" i="1"/>
  <c r="K455" i="1"/>
  <c r="V455" i="1" s="1"/>
  <c r="AH454" i="1"/>
  <c r="AE454" i="1"/>
  <c r="AD454" i="1"/>
  <c r="AA454" i="1"/>
  <c r="Z454" i="1"/>
  <c r="AG454" i="1" s="1"/>
  <c r="U454" i="1"/>
  <c r="T454" i="1"/>
  <c r="S454" i="1"/>
  <c r="Q454" i="1"/>
  <c r="R454" i="1" s="1"/>
  <c r="AF454" i="1" s="1"/>
  <c r="O454" i="1"/>
  <c r="K454" i="1"/>
  <c r="V454" i="1" s="1"/>
  <c r="AH453" i="1"/>
  <c r="AE453" i="1"/>
  <c r="AD453" i="1"/>
  <c r="AA453" i="1"/>
  <c r="Z453" i="1"/>
  <c r="AG453" i="1" s="1"/>
  <c r="U453" i="1"/>
  <c r="T453" i="1"/>
  <c r="S453" i="1"/>
  <c r="Q453" i="1"/>
  <c r="R453" i="1" s="1"/>
  <c r="AF453" i="1" s="1"/>
  <c r="O453" i="1"/>
  <c r="K453" i="1"/>
  <c r="V453" i="1" s="1"/>
  <c r="AH452" i="1"/>
  <c r="AE452" i="1"/>
  <c r="AD452" i="1"/>
  <c r="AI452" i="1" s="1"/>
  <c r="AA452" i="1"/>
  <c r="Z452" i="1"/>
  <c r="AG452" i="1" s="1"/>
  <c r="U452" i="1"/>
  <c r="T452" i="1"/>
  <c r="S452" i="1"/>
  <c r="Q452" i="1"/>
  <c r="R452" i="1" s="1"/>
  <c r="AF452" i="1" s="1"/>
  <c r="O452" i="1"/>
  <c r="K452" i="1"/>
  <c r="V452" i="1" s="1"/>
  <c r="AH451" i="1"/>
  <c r="AE451" i="1"/>
  <c r="AD451" i="1"/>
  <c r="AI451" i="1" s="1"/>
  <c r="AA451" i="1"/>
  <c r="Z451" i="1"/>
  <c r="AG451" i="1" s="1"/>
  <c r="U451" i="1"/>
  <c r="T451" i="1"/>
  <c r="S451" i="1"/>
  <c r="Q451" i="1"/>
  <c r="R451" i="1" s="1"/>
  <c r="AF451" i="1" s="1"/>
  <c r="O451" i="1"/>
  <c r="K451" i="1"/>
  <c r="V451" i="1" s="1"/>
  <c r="AH450" i="1"/>
  <c r="AE450" i="1"/>
  <c r="AD450" i="1"/>
  <c r="AA450" i="1"/>
  <c r="Z450" i="1"/>
  <c r="AG450" i="1" s="1"/>
  <c r="U450" i="1"/>
  <c r="T450" i="1"/>
  <c r="S450" i="1"/>
  <c r="Q450" i="1"/>
  <c r="R450" i="1" s="1"/>
  <c r="AF450" i="1" s="1"/>
  <c r="O450" i="1"/>
  <c r="K450" i="1"/>
  <c r="V450" i="1" s="1"/>
  <c r="AH449" i="1"/>
  <c r="AE449" i="1"/>
  <c r="AD449" i="1"/>
  <c r="AA449" i="1"/>
  <c r="Z449" i="1"/>
  <c r="AG449" i="1" s="1"/>
  <c r="U449" i="1"/>
  <c r="T449" i="1"/>
  <c r="S449" i="1"/>
  <c r="Q449" i="1"/>
  <c r="R449" i="1" s="1"/>
  <c r="AF449" i="1" s="1"/>
  <c r="O449" i="1"/>
  <c r="K449" i="1"/>
  <c r="V449" i="1" s="1"/>
  <c r="AH448" i="1"/>
  <c r="AE448" i="1"/>
  <c r="AD448" i="1"/>
  <c r="AI448" i="1" s="1"/>
  <c r="AA448" i="1"/>
  <c r="Z448" i="1"/>
  <c r="AG448" i="1" s="1"/>
  <c r="U448" i="1"/>
  <c r="T448" i="1"/>
  <c r="S448" i="1"/>
  <c r="Q448" i="1"/>
  <c r="R448" i="1" s="1"/>
  <c r="AF448" i="1" s="1"/>
  <c r="O448" i="1"/>
  <c r="K448" i="1"/>
  <c r="V448" i="1" s="1"/>
  <c r="AH447" i="1"/>
  <c r="AE447" i="1"/>
  <c r="AD447" i="1"/>
  <c r="AI447" i="1" s="1"/>
  <c r="AA447" i="1"/>
  <c r="Z447" i="1"/>
  <c r="AG447" i="1" s="1"/>
  <c r="U447" i="1"/>
  <c r="T447" i="1"/>
  <c r="S447" i="1"/>
  <c r="Q447" i="1"/>
  <c r="R447" i="1" s="1"/>
  <c r="AF447" i="1" s="1"/>
  <c r="O447" i="1"/>
  <c r="K447" i="1"/>
  <c r="V447" i="1" s="1"/>
  <c r="AH446" i="1"/>
  <c r="AF446" i="1"/>
  <c r="AE446" i="1"/>
  <c r="AA446" i="1"/>
  <c r="Z446" i="1"/>
  <c r="AG446" i="1" s="1"/>
  <c r="V446" i="1"/>
  <c r="U446" i="1"/>
  <c r="T446" i="1"/>
  <c r="S446" i="1"/>
  <c r="R446" i="1"/>
  <c r="O446" i="1"/>
  <c r="AD446" i="1" s="1"/>
  <c r="AI446" i="1" s="1"/>
  <c r="AH445" i="1"/>
  <c r="AF445" i="1"/>
  <c r="AE445" i="1"/>
  <c r="AA445" i="1"/>
  <c r="Z445" i="1"/>
  <c r="AG445" i="1" s="1"/>
  <c r="U445" i="1"/>
  <c r="T445" i="1"/>
  <c r="S445" i="1"/>
  <c r="R445" i="1"/>
  <c r="O445" i="1"/>
  <c r="AD445" i="1" s="1"/>
  <c r="K445" i="1"/>
  <c r="V445" i="1" s="1"/>
  <c r="AI444" i="1"/>
  <c r="AH444" i="1"/>
  <c r="AG444" i="1"/>
  <c r="AE444" i="1"/>
  <c r="AA444" i="1"/>
  <c r="Z444" i="1"/>
  <c r="V444" i="1"/>
  <c r="U444" i="1"/>
  <c r="T444" i="1"/>
  <c r="S444" i="1"/>
  <c r="R444" i="1"/>
  <c r="AF444" i="1" s="1"/>
  <c r="O444" i="1"/>
  <c r="AD444" i="1" s="1"/>
  <c r="K444" i="1"/>
  <c r="AH443" i="1"/>
  <c r="AF443" i="1"/>
  <c r="AE443" i="1"/>
  <c r="AA443" i="1"/>
  <c r="Z443" i="1"/>
  <c r="AG443" i="1" s="1"/>
  <c r="V443" i="1"/>
  <c r="U443" i="1"/>
  <c r="T443" i="1"/>
  <c r="S443" i="1"/>
  <c r="R443" i="1"/>
  <c r="O443" i="1"/>
  <c r="AD443" i="1" s="1"/>
  <c r="AI443" i="1" s="1"/>
  <c r="K443" i="1"/>
  <c r="AH442" i="1"/>
  <c r="AG442" i="1"/>
  <c r="AE442" i="1"/>
  <c r="AA442" i="1"/>
  <c r="Z442" i="1"/>
  <c r="V442" i="1"/>
  <c r="U442" i="1"/>
  <c r="T442" i="1"/>
  <c r="S442" i="1"/>
  <c r="R442" i="1"/>
  <c r="AF442" i="1" s="1"/>
  <c r="Q442" i="1"/>
  <c r="O442" i="1"/>
  <c r="AD442" i="1" s="1"/>
  <c r="AI442" i="1" s="1"/>
  <c r="K442" i="1"/>
  <c r="AH441" i="1"/>
  <c r="AG441" i="1"/>
  <c r="AE441" i="1"/>
  <c r="AA441" i="1"/>
  <c r="Z441" i="1"/>
  <c r="V441" i="1"/>
  <c r="U441" i="1"/>
  <c r="T441" i="1"/>
  <c r="S441" i="1"/>
  <c r="R441" i="1"/>
  <c r="AF441" i="1" s="1"/>
  <c r="Q441" i="1"/>
  <c r="O441" i="1"/>
  <c r="AD441" i="1" s="1"/>
  <c r="K441" i="1"/>
  <c r="AH440" i="1"/>
  <c r="AG440" i="1"/>
  <c r="AE440" i="1"/>
  <c r="AA440" i="1"/>
  <c r="Z440" i="1"/>
  <c r="V440" i="1"/>
  <c r="U440" i="1"/>
  <c r="T440" i="1"/>
  <c r="S440" i="1"/>
  <c r="R440" i="1"/>
  <c r="AF440" i="1" s="1"/>
  <c r="Q440" i="1"/>
  <c r="O440" i="1"/>
  <c r="AD440" i="1" s="1"/>
  <c r="K440" i="1"/>
  <c r="AH439" i="1"/>
  <c r="AG439" i="1"/>
  <c r="AE439" i="1"/>
  <c r="AA439" i="1"/>
  <c r="Z439" i="1"/>
  <c r="V439" i="1"/>
  <c r="U439" i="1"/>
  <c r="T439" i="1"/>
  <c r="S439" i="1"/>
  <c r="R439" i="1"/>
  <c r="AF439" i="1" s="1"/>
  <c r="Q439" i="1"/>
  <c r="O439" i="1"/>
  <c r="AD439" i="1" s="1"/>
  <c r="AI439" i="1" s="1"/>
  <c r="K439" i="1"/>
  <c r="AH438" i="1"/>
  <c r="AG438" i="1"/>
  <c r="AE438" i="1"/>
  <c r="AA438" i="1"/>
  <c r="Z438" i="1"/>
  <c r="V438" i="1"/>
  <c r="U438" i="1"/>
  <c r="T438" i="1"/>
  <c r="S438" i="1"/>
  <c r="R438" i="1"/>
  <c r="AF438" i="1" s="1"/>
  <c r="Q438" i="1"/>
  <c r="O438" i="1"/>
  <c r="AD438" i="1" s="1"/>
  <c r="AI438" i="1" s="1"/>
  <c r="K438" i="1"/>
  <c r="AH437" i="1"/>
  <c r="AG437" i="1"/>
  <c r="AE437" i="1"/>
  <c r="AA437" i="1"/>
  <c r="Z437" i="1"/>
  <c r="V437" i="1"/>
  <c r="U437" i="1"/>
  <c r="T437" i="1"/>
  <c r="S437" i="1"/>
  <c r="R437" i="1"/>
  <c r="AF437" i="1" s="1"/>
  <c r="Q437" i="1"/>
  <c r="O437" i="1"/>
  <c r="AD437" i="1" s="1"/>
  <c r="K437" i="1"/>
  <c r="AH436" i="1"/>
  <c r="AG436" i="1"/>
  <c r="AE436" i="1"/>
  <c r="AA436" i="1"/>
  <c r="Z436" i="1"/>
  <c r="U436" i="1"/>
  <c r="T436" i="1"/>
  <c r="S436" i="1"/>
  <c r="R436" i="1"/>
  <c r="AF436" i="1" s="1"/>
  <c r="O436" i="1"/>
  <c r="AD436" i="1" s="1"/>
  <c r="AI436" i="1" s="1"/>
  <c r="K436" i="1"/>
  <c r="V436" i="1" s="1"/>
  <c r="AH435" i="1"/>
  <c r="AF435" i="1"/>
  <c r="AE435" i="1"/>
  <c r="AA435" i="1"/>
  <c r="Z435" i="1"/>
  <c r="AG435" i="1" s="1"/>
  <c r="U435" i="1"/>
  <c r="T435" i="1"/>
  <c r="S435" i="1"/>
  <c r="R435" i="1"/>
  <c r="O435" i="1"/>
  <c r="AD435" i="1" s="1"/>
  <c r="AI435" i="1" s="1"/>
  <c r="K435" i="1"/>
  <c r="V435" i="1" s="1"/>
  <c r="AH434" i="1"/>
  <c r="AG434" i="1"/>
  <c r="AE434" i="1"/>
  <c r="AA434" i="1"/>
  <c r="Z434" i="1"/>
  <c r="V434" i="1"/>
  <c r="U434" i="1"/>
  <c r="T434" i="1"/>
  <c r="S434" i="1"/>
  <c r="R434" i="1"/>
  <c r="AF434" i="1" s="1"/>
  <c r="O434" i="1"/>
  <c r="AD434" i="1" s="1"/>
  <c r="AI434" i="1" s="1"/>
  <c r="K434" i="1"/>
  <c r="AH433" i="1"/>
  <c r="AF433" i="1"/>
  <c r="AE433" i="1"/>
  <c r="AA433" i="1"/>
  <c r="Z433" i="1"/>
  <c r="AG433" i="1" s="1"/>
  <c r="V433" i="1"/>
  <c r="U433" i="1"/>
  <c r="T433" i="1"/>
  <c r="S433" i="1"/>
  <c r="R433" i="1"/>
  <c r="O433" i="1"/>
  <c r="AD433" i="1" s="1"/>
  <c r="AI433" i="1" s="1"/>
  <c r="K433" i="1"/>
  <c r="AH432" i="1"/>
  <c r="AG432" i="1"/>
  <c r="AE432" i="1"/>
  <c r="AA432" i="1"/>
  <c r="Z432" i="1"/>
  <c r="V432" i="1"/>
  <c r="U432" i="1"/>
  <c r="T432" i="1"/>
  <c r="S432" i="1"/>
  <c r="R432" i="1"/>
  <c r="AF432" i="1" s="1"/>
  <c r="Q432" i="1"/>
  <c r="O432" i="1"/>
  <c r="AD432" i="1" s="1"/>
  <c r="K432" i="1"/>
  <c r="AH431" i="1"/>
  <c r="AG431" i="1"/>
  <c r="AE431" i="1"/>
  <c r="AA431" i="1"/>
  <c r="Z431" i="1"/>
  <c r="V431" i="1"/>
  <c r="U431" i="1"/>
  <c r="T431" i="1"/>
  <c r="S431" i="1"/>
  <c r="R431" i="1"/>
  <c r="AF431" i="1" s="1"/>
  <c r="Q431" i="1"/>
  <c r="O431" i="1"/>
  <c r="AD431" i="1" s="1"/>
  <c r="AI431" i="1" s="1"/>
  <c r="K431" i="1"/>
  <c r="AH430" i="1"/>
  <c r="AG430" i="1"/>
  <c r="AE430" i="1"/>
  <c r="AA430" i="1"/>
  <c r="Z430" i="1"/>
  <c r="V430" i="1"/>
  <c r="U430" i="1"/>
  <c r="T430" i="1"/>
  <c r="S430" i="1"/>
  <c r="R430" i="1"/>
  <c r="O430" i="1"/>
  <c r="AI429" i="1"/>
  <c r="AH429" i="1"/>
  <c r="AG429" i="1"/>
  <c r="AE429" i="1"/>
  <c r="AA429" i="1"/>
  <c r="Z429" i="1"/>
  <c r="V429" i="1"/>
  <c r="U429" i="1"/>
  <c r="T429" i="1"/>
  <c r="S429" i="1"/>
  <c r="R429" i="1"/>
  <c r="AF429" i="1" s="1"/>
  <c r="O429" i="1"/>
  <c r="AD429" i="1" s="1"/>
  <c r="K429" i="1"/>
  <c r="AH428" i="1"/>
  <c r="AF428" i="1"/>
  <c r="AE428" i="1"/>
  <c r="AA428" i="1"/>
  <c r="Z428" i="1"/>
  <c r="AG428" i="1" s="1"/>
  <c r="V428" i="1"/>
  <c r="U428" i="1"/>
  <c r="T428" i="1"/>
  <c r="S428" i="1"/>
  <c r="R428" i="1"/>
  <c r="AF430" i="1" s="1"/>
  <c r="O428" i="1"/>
  <c r="AD430" i="1" s="1"/>
  <c r="AI430" i="1" s="1"/>
  <c r="K428" i="1"/>
  <c r="AH427" i="1"/>
  <c r="AG427" i="1"/>
  <c r="AE427" i="1"/>
  <c r="AA427" i="1"/>
  <c r="Z427" i="1"/>
  <c r="U427" i="1"/>
  <c r="T427" i="1"/>
  <c r="S427" i="1"/>
  <c r="R427" i="1"/>
  <c r="AF427" i="1" s="1"/>
  <c r="O427" i="1"/>
  <c r="AD427" i="1" s="1"/>
  <c r="AI427" i="1" s="1"/>
  <c r="K427" i="1"/>
  <c r="V427" i="1" s="1"/>
  <c r="AH426" i="1"/>
  <c r="AF426" i="1"/>
  <c r="AE426" i="1"/>
  <c r="AA426" i="1"/>
  <c r="Z426" i="1"/>
  <c r="AG426" i="1" s="1"/>
  <c r="U426" i="1"/>
  <c r="T426" i="1"/>
  <c r="S426" i="1"/>
  <c r="R426" i="1"/>
  <c r="O426" i="1"/>
  <c r="AD426" i="1" s="1"/>
  <c r="K426" i="1"/>
  <c r="V426" i="1" s="1"/>
  <c r="AI425" i="1"/>
  <c r="AH425" i="1"/>
  <c r="AG425" i="1"/>
  <c r="AE425" i="1"/>
  <c r="AA425" i="1"/>
  <c r="Z425" i="1"/>
  <c r="V425" i="1"/>
  <c r="U425" i="1"/>
  <c r="T425" i="1"/>
  <c r="S425" i="1"/>
  <c r="R425" i="1"/>
  <c r="AF425" i="1" s="1"/>
  <c r="O425" i="1"/>
  <c r="AD425" i="1" s="1"/>
  <c r="K425" i="1"/>
  <c r="AH424" i="1"/>
  <c r="AF424" i="1"/>
  <c r="AE424" i="1"/>
  <c r="AA424" i="1"/>
  <c r="Z424" i="1"/>
  <c r="AG424" i="1" s="1"/>
  <c r="V424" i="1"/>
  <c r="U424" i="1"/>
  <c r="T424" i="1"/>
  <c r="S424" i="1"/>
  <c r="R424" i="1"/>
  <c r="O424" i="1"/>
  <c r="AD424" i="1" s="1"/>
  <c r="AI424" i="1" s="1"/>
  <c r="K424" i="1"/>
  <c r="AH423" i="1"/>
  <c r="AG423" i="1"/>
  <c r="AE423" i="1"/>
  <c r="AA423" i="1"/>
  <c r="Z423" i="1"/>
  <c r="V423" i="1"/>
  <c r="U423" i="1"/>
  <c r="T423" i="1"/>
  <c r="S423" i="1"/>
  <c r="R423" i="1"/>
  <c r="AF423" i="1" s="1"/>
  <c r="Q423" i="1"/>
  <c r="O423" i="1"/>
  <c r="AD423" i="1" s="1"/>
  <c r="K423" i="1"/>
  <c r="AH422" i="1"/>
  <c r="AG422" i="1"/>
  <c r="AE422" i="1"/>
  <c r="AA422" i="1"/>
  <c r="Z422" i="1"/>
  <c r="V422" i="1"/>
  <c r="U422" i="1"/>
  <c r="T422" i="1"/>
  <c r="S422" i="1"/>
  <c r="R422" i="1"/>
  <c r="AF422" i="1" s="1"/>
  <c r="Q422" i="1"/>
  <c r="O422" i="1"/>
  <c r="AD422" i="1" s="1"/>
  <c r="K422" i="1"/>
  <c r="AH421" i="1"/>
  <c r="AG421" i="1"/>
  <c r="AE421" i="1"/>
  <c r="AA421" i="1"/>
  <c r="Z421" i="1"/>
  <c r="V421" i="1"/>
  <c r="U421" i="1"/>
  <c r="T421" i="1"/>
  <c r="S421" i="1"/>
  <c r="R421" i="1"/>
  <c r="AF421" i="1" s="1"/>
  <c r="Q421" i="1"/>
  <c r="O421" i="1"/>
  <c r="AD421" i="1" s="1"/>
  <c r="AI421" i="1" s="1"/>
  <c r="K421" i="1"/>
  <c r="AH420" i="1"/>
  <c r="AG420" i="1"/>
  <c r="AE420" i="1"/>
  <c r="AA420" i="1"/>
  <c r="Z420" i="1"/>
  <c r="V420" i="1"/>
  <c r="U420" i="1"/>
  <c r="T420" i="1"/>
  <c r="S420" i="1"/>
  <c r="R420" i="1"/>
  <c r="AF420" i="1" s="1"/>
  <c r="Q420" i="1"/>
  <c r="O420" i="1"/>
  <c r="AD420" i="1" s="1"/>
  <c r="AI420" i="1" s="1"/>
  <c r="K420" i="1"/>
  <c r="AH419" i="1"/>
  <c r="AG419" i="1"/>
  <c r="AE419" i="1"/>
  <c r="AA419" i="1"/>
  <c r="Z419" i="1"/>
  <c r="V419" i="1"/>
  <c r="U419" i="1"/>
  <c r="T419" i="1"/>
  <c r="S419" i="1"/>
  <c r="R419" i="1"/>
  <c r="AF419" i="1" s="1"/>
  <c r="Q419" i="1"/>
  <c r="O419" i="1"/>
  <c r="AD419" i="1" s="1"/>
  <c r="K419" i="1"/>
  <c r="AH418" i="1"/>
  <c r="AG418" i="1"/>
  <c r="AE418" i="1"/>
  <c r="AA418" i="1"/>
  <c r="Z418" i="1"/>
  <c r="V418" i="1"/>
  <c r="U418" i="1"/>
  <c r="T418" i="1"/>
  <c r="S418" i="1"/>
  <c r="R418" i="1"/>
  <c r="AF418" i="1" s="1"/>
  <c r="Q418" i="1"/>
  <c r="O418" i="1"/>
  <c r="AD418" i="1" s="1"/>
  <c r="K418" i="1"/>
  <c r="AH417" i="1"/>
  <c r="AG417" i="1"/>
  <c r="AE417" i="1"/>
  <c r="AA417" i="1"/>
  <c r="Z417" i="1"/>
  <c r="V417" i="1"/>
  <c r="U417" i="1"/>
  <c r="T417" i="1"/>
  <c r="S417" i="1"/>
  <c r="R417" i="1"/>
  <c r="AF417" i="1" s="1"/>
  <c r="Q417" i="1"/>
  <c r="O417" i="1"/>
  <c r="AD417" i="1" s="1"/>
  <c r="AI417" i="1" s="1"/>
  <c r="K417" i="1"/>
  <c r="AH416" i="1"/>
  <c r="AG416" i="1"/>
  <c r="AE416" i="1"/>
  <c r="AA416" i="1"/>
  <c r="Z416" i="1"/>
  <c r="V416" i="1"/>
  <c r="U416" i="1"/>
  <c r="T416" i="1"/>
  <c r="S416" i="1"/>
  <c r="R416" i="1"/>
  <c r="AF416" i="1" s="1"/>
  <c r="Q416" i="1"/>
  <c r="O416" i="1"/>
  <c r="AD416" i="1" s="1"/>
  <c r="AI416" i="1" s="1"/>
  <c r="K416" i="1"/>
  <c r="AH415" i="1"/>
  <c r="AG415" i="1"/>
  <c r="AE415" i="1"/>
  <c r="AA415" i="1"/>
  <c r="Z415" i="1"/>
  <c r="V415" i="1"/>
  <c r="U415" i="1"/>
  <c r="T415" i="1"/>
  <c r="S415" i="1"/>
  <c r="R415" i="1"/>
  <c r="AF415" i="1" s="1"/>
  <c r="Q415" i="1"/>
  <c r="O415" i="1"/>
  <c r="AD415" i="1" s="1"/>
  <c r="K415" i="1"/>
  <c r="AH414" i="1"/>
  <c r="AG414" i="1"/>
  <c r="AE414" i="1"/>
  <c r="AA414" i="1"/>
  <c r="Z414" i="1"/>
  <c r="V414" i="1"/>
  <c r="U414" i="1"/>
  <c r="T414" i="1"/>
  <c r="S414" i="1"/>
  <c r="R414" i="1"/>
  <c r="AF414" i="1" s="1"/>
  <c r="Q414" i="1"/>
  <c r="O414" i="1"/>
  <c r="AD414" i="1" s="1"/>
  <c r="K414" i="1"/>
  <c r="AH413" i="1"/>
  <c r="AG413" i="1"/>
  <c r="AE413" i="1"/>
  <c r="AA413" i="1"/>
  <c r="Z413" i="1"/>
  <c r="V413" i="1"/>
  <c r="U413" i="1"/>
  <c r="T413" i="1"/>
  <c r="S413" i="1"/>
  <c r="R413" i="1"/>
  <c r="AF413" i="1" s="1"/>
  <c r="Q413" i="1"/>
  <c r="O413" i="1"/>
  <c r="AD413" i="1" s="1"/>
  <c r="AI413" i="1" s="1"/>
  <c r="K413" i="1"/>
  <c r="AH412" i="1"/>
  <c r="AG412" i="1"/>
  <c r="AE412" i="1"/>
  <c r="AA412" i="1"/>
  <c r="Z412" i="1"/>
  <c r="V412" i="1"/>
  <c r="U412" i="1"/>
  <c r="T412" i="1"/>
  <c r="S412" i="1"/>
  <c r="R412" i="1"/>
  <c r="AF412" i="1" s="1"/>
  <c r="Q412" i="1"/>
  <c r="O412" i="1"/>
  <c r="AD412" i="1" s="1"/>
  <c r="AI412" i="1" s="1"/>
  <c r="K412" i="1"/>
  <c r="AH411" i="1"/>
  <c r="AG411" i="1"/>
  <c r="AE411" i="1"/>
  <c r="AA411" i="1"/>
  <c r="Z411" i="1"/>
  <c r="V411" i="1"/>
  <c r="U411" i="1"/>
  <c r="T411" i="1"/>
  <c r="S411" i="1"/>
  <c r="R411" i="1"/>
  <c r="AF411" i="1" s="1"/>
  <c r="Q411" i="1"/>
  <c r="O411" i="1"/>
  <c r="AD411" i="1" s="1"/>
  <c r="K411" i="1"/>
  <c r="AH410" i="1"/>
  <c r="AG410" i="1"/>
  <c r="AE410" i="1"/>
  <c r="AA410" i="1"/>
  <c r="Z410" i="1"/>
  <c r="V410" i="1"/>
  <c r="U410" i="1"/>
  <c r="T410" i="1"/>
  <c r="S410" i="1"/>
  <c r="R410" i="1"/>
  <c r="AF410" i="1" s="1"/>
  <c r="Q410" i="1"/>
  <c r="O410" i="1"/>
  <c r="AD410" i="1" s="1"/>
  <c r="K410" i="1"/>
  <c r="AH409" i="1"/>
  <c r="AG409" i="1"/>
  <c r="AE409" i="1"/>
  <c r="AA409" i="1"/>
  <c r="Z409" i="1"/>
  <c r="V409" i="1"/>
  <c r="U409" i="1"/>
  <c r="T409" i="1"/>
  <c r="S409" i="1"/>
  <c r="R409" i="1"/>
  <c r="AF409" i="1" s="1"/>
  <c r="Q409" i="1"/>
  <c r="O409" i="1"/>
  <c r="AD409" i="1" s="1"/>
  <c r="AI409" i="1" s="1"/>
  <c r="K409" i="1"/>
  <c r="AH408" i="1"/>
  <c r="AG408" i="1"/>
  <c r="AE408" i="1"/>
  <c r="AA408" i="1"/>
  <c r="Z408" i="1"/>
  <c r="U408" i="1"/>
  <c r="T408" i="1"/>
  <c r="S408" i="1"/>
  <c r="R408" i="1"/>
  <c r="AF408" i="1" s="1"/>
  <c r="O408" i="1"/>
  <c r="AD408" i="1" s="1"/>
  <c r="K408" i="1"/>
  <c r="V408" i="1" s="1"/>
  <c r="AH407" i="1"/>
  <c r="AF407" i="1"/>
  <c r="AE407" i="1"/>
  <c r="AA407" i="1"/>
  <c r="Z407" i="1"/>
  <c r="AG407" i="1" s="1"/>
  <c r="U407" i="1"/>
  <c r="T407" i="1"/>
  <c r="S407" i="1"/>
  <c r="R407" i="1"/>
  <c r="O407" i="1"/>
  <c r="AD407" i="1" s="1"/>
  <c r="K407" i="1"/>
  <c r="V407" i="1" s="1"/>
  <c r="AI406" i="1"/>
  <c r="AH406" i="1"/>
  <c r="AG406" i="1"/>
  <c r="AE406" i="1"/>
  <c r="AA406" i="1"/>
  <c r="Z406" i="1"/>
  <c r="V406" i="1"/>
  <c r="U406" i="1"/>
  <c r="T406" i="1"/>
  <c r="S406" i="1"/>
  <c r="R406" i="1"/>
  <c r="AF406" i="1" s="1"/>
  <c r="O406" i="1"/>
  <c r="AD406" i="1" s="1"/>
  <c r="K406" i="1"/>
  <c r="AH405" i="1"/>
  <c r="AF405" i="1"/>
  <c r="AE405" i="1"/>
  <c r="AA405" i="1"/>
  <c r="Z405" i="1"/>
  <c r="AG405" i="1" s="1"/>
  <c r="V405" i="1"/>
  <c r="U405" i="1"/>
  <c r="T405" i="1"/>
  <c r="S405" i="1"/>
  <c r="R405" i="1"/>
  <c r="O405" i="1"/>
  <c r="AD405" i="1" s="1"/>
  <c r="AI405" i="1" s="1"/>
  <c r="K405" i="1"/>
  <c r="AH404" i="1"/>
  <c r="AG404" i="1"/>
  <c r="AE404" i="1"/>
  <c r="AA404" i="1"/>
  <c r="Z404" i="1"/>
  <c r="U404" i="1"/>
  <c r="T404" i="1"/>
  <c r="S404" i="1"/>
  <c r="R404" i="1"/>
  <c r="AF404" i="1" s="1"/>
  <c r="O404" i="1"/>
  <c r="AD404" i="1" s="1"/>
  <c r="K404" i="1"/>
  <c r="V404" i="1" s="1"/>
  <c r="AH403" i="1"/>
  <c r="AF403" i="1"/>
  <c r="AE403" i="1"/>
  <c r="AA403" i="1"/>
  <c r="Z403" i="1"/>
  <c r="AG403" i="1" s="1"/>
  <c r="U403" i="1"/>
  <c r="T403" i="1"/>
  <c r="S403" i="1"/>
  <c r="R403" i="1"/>
  <c r="O403" i="1"/>
  <c r="AD403" i="1" s="1"/>
  <c r="K403" i="1"/>
  <c r="V403" i="1" s="1"/>
  <c r="AI402" i="1"/>
  <c r="AH402" i="1"/>
  <c r="AG402" i="1"/>
  <c r="AE402" i="1"/>
  <c r="AA402" i="1"/>
  <c r="Z402" i="1"/>
  <c r="V402" i="1"/>
  <c r="U402" i="1"/>
  <c r="T402" i="1"/>
  <c r="S402" i="1"/>
  <c r="R402" i="1"/>
  <c r="AF402" i="1" s="1"/>
  <c r="O402" i="1"/>
  <c r="AD402" i="1" s="1"/>
  <c r="AH401" i="1"/>
  <c r="AG401" i="1"/>
  <c r="AE401" i="1"/>
  <c r="AA401" i="1"/>
  <c r="Z401" i="1"/>
  <c r="V401" i="1"/>
  <c r="U401" i="1"/>
  <c r="T401" i="1"/>
  <c r="S401" i="1"/>
  <c r="R401" i="1"/>
  <c r="AF401" i="1" s="1"/>
  <c r="Q401" i="1"/>
  <c r="O401" i="1"/>
  <c r="AD401" i="1" s="1"/>
  <c r="K401" i="1"/>
  <c r="AH400" i="1"/>
  <c r="AG400" i="1"/>
  <c r="AE400" i="1"/>
  <c r="AA400" i="1"/>
  <c r="Z400" i="1"/>
  <c r="V400" i="1"/>
  <c r="U400" i="1"/>
  <c r="T400" i="1"/>
  <c r="S400" i="1"/>
  <c r="R400" i="1"/>
  <c r="AF400" i="1" s="1"/>
  <c r="Q400" i="1"/>
  <c r="O400" i="1"/>
  <c r="AD400" i="1" s="1"/>
  <c r="AI400" i="1" s="1"/>
  <c r="K400" i="1"/>
  <c r="AH399" i="1"/>
  <c r="AG399" i="1"/>
  <c r="AE399" i="1"/>
  <c r="AA399" i="1"/>
  <c r="Z399" i="1"/>
  <c r="V399" i="1"/>
  <c r="U399" i="1"/>
  <c r="T399" i="1"/>
  <c r="S399" i="1"/>
  <c r="R399" i="1"/>
  <c r="AF399" i="1" s="1"/>
  <c r="Q399" i="1"/>
  <c r="O399" i="1"/>
  <c r="AD399" i="1" s="1"/>
  <c r="AI399" i="1" s="1"/>
  <c r="K399" i="1"/>
  <c r="AH398" i="1"/>
  <c r="AG398" i="1"/>
  <c r="AE398" i="1"/>
  <c r="AA398" i="1"/>
  <c r="Z398" i="1"/>
  <c r="V398" i="1"/>
  <c r="U398" i="1"/>
  <c r="T398" i="1"/>
  <c r="S398" i="1"/>
  <c r="Q398" i="1"/>
  <c r="R398" i="1" s="1"/>
  <c r="AF398" i="1" s="1"/>
  <c r="O398" i="1"/>
  <c r="AD398" i="1" s="1"/>
  <c r="AI398" i="1" s="1"/>
  <c r="K398" i="1"/>
  <c r="AH397" i="1"/>
  <c r="AG397" i="1"/>
  <c r="AE397" i="1"/>
  <c r="AA397" i="1"/>
  <c r="Z397" i="1"/>
  <c r="V397" i="1"/>
  <c r="U397" i="1"/>
  <c r="T397" i="1"/>
  <c r="S397" i="1"/>
  <c r="R397" i="1"/>
  <c r="AF397" i="1" s="1"/>
  <c r="Q397" i="1"/>
  <c r="O397" i="1"/>
  <c r="AD397" i="1" s="1"/>
  <c r="K397" i="1"/>
  <c r="AH396" i="1"/>
  <c r="AG396" i="1"/>
  <c r="AE396" i="1"/>
  <c r="AA396" i="1"/>
  <c r="Z396" i="1"/>
  <c r="V396" i="1"/>
  <c r="U396" i="1"/>
  <c r="T396" i="1"/>
  <c r="S396" i="1"/>
  <c r="Q396" i="1"/>
  <c r="R396" i="1" s="1"/>
  <c r="AF396" i="1" s="1"/>
  <c r="O396" i="1"/>
  <c r="AD396" i="1" s="1"/>
  <c r="K396" i="1"/>
  <c r="AH395" i="1"/>
  <c r="AG395" i="1"/>
  <c r="AE395" i="1"/>
  <c r="AA395" i="1"/>
  <c r="Z395" i="1"/>
  <c r="V395" i="1"/>
  <c r="U395" i="1"/>
  <c r="T395" i="1"/>
  <c r="S395" i="1"/>
  <c r="Q395" i="1"/>
  <c r="R395" i="1" s="1"/>
  <c r="AF395" i="1" s="1"/>
  <c r="O395" i="1"/>
  <c r="AD395" i="1" s="1"/>
  <c r="K395" i="1"/>
  <c r="AH394" i="1"/>
  <c r="AG394" i="1"/>
  <c r="AE394" i="1"/>
  <c r="AA394" i="1"/>
  <c r="Z394" i="1"/>
  <c r="V394" i="1"/>
  <c r="U394" i="1"/>
  <c r="T394" i="1"/>
  <c r="S394" i="1"/>
  <c r="Q394" i="1"/>
  <c r="R394" i="1" s="1"/>
  <c r="AF394" i="1" s="1"/>
  <c r="O394" i="1"/>
  <c r="AD394" i="1" s="1"/>
  <c r="K394" i="1"/>
  <c r="AH393" i="1"/>
  <c r="AG393" i="1"/>
  <c r="AE393" i="1"/>
  <c r="AA393" i="1"/>
  <c r="Z393" i="1"/>
  <c r="V393" i="1"/>
  <c r="U393" i="1"/>
  <c r="T393" i="1"/>
  <c r="S393" i="1"/>
  <c r="Q393" i="1"/>
  <c r="R393" i="1" s="1"/>
  <c r="AF393" i="1" s="1"/>
  <c r="O393" i="1"/>
  <c r="AD393" i="1" s="1"/>
  <c r="K393" i="1"/>
  <c r="AH392" i="1"/>
  <c r="AG392" i="1"/>
  <c r="AE392" i="1"/>
  <c r="AA392" i="1"/>
  <c r="Z392" i="1"/>
  <c r="V392" i="1"/>
  <c r="U392" i="1"/>
  <c r="T392" i="1"/>
  <c r="S392" i="1"/>
  <c r="R392" i="1"/>
  <c r="AF392" i="1" s="1"/>
  <c r="O392" i="1"/>
  <c r="AD392" i="1" s="1"/>
  <c r="AH391" i="1"/>
  <c r="AE391" i="1"/>
  <c r="AA391" i="1"/>
  <c r="Z391" i="1"/>
  <c r="AG391" i="1" s="1"/>
  <c r="V391" i="1"/>
  <c r="U391" i="1"/>
  <c r="T391" i="1"/>
  <c r="S391" i="1"/>
  <c r="R391" i="1"/>
  <c r="AF391" i="1" s="1"/>
  <c r="O391" i="1"/>
  <c r="AD391" i="1" s="1"/>
  <c r="AI391" i="1" s="1"/>
  <c r="AH390" i="1"/>
  <c r="AG390" i="1"/>
  <c r="AE390" i="1"/>
  <c r="AA390" i="1"/>
  <c r="Z390" i="1"/>
  <c r="V390" i="1"/>
  <c r="U390" i="1"/>
  <c r="T390" i="1"/>
  <c r="S390" i="1"/>
  <c r="Q390" i="1"/>
  <c r="R390" i="1" s="1"/>
  <c r="AF390" i="1" s="1"/>
  <c r="O390" i="1"/>
  <c r="AD390" i="1" s="1"/>
  <c r="AI390" i="1" s="1"/>
  <c r="K390" i="1"/>
  <c r="AH389" i="1"/>
  <c r="AG389" i="1"/>
  <c r="AE389" i="1"/>
  <c r="AA389" i="1"/>
  <c r="Z389" i="1"/>
  <c r="V389" i="1"/>
  <c r="U389" i="1"/>
  <c r="T389" i="1"/>
  <c r="S389" i="1"/>
  <c r="Q389" i="1"/>
  <c r="R389" i="1" s="1"/>
  <c r="AF389" i="1" s="1"/>
  <c r="O389" i="1"/>
  <c r="AD389" i="1" s="1"/>
  <c r="AI389" i="1" s="1"/>
  <c r="K389" i="1"/>
  <c r="AH388" i="1"/>
  <c r="AG388" i="1"/>
  <c r="AE388" i="1"/>
  <c r="AA388" i="1"/>
  <c r="Z388" i="1"/>
  <c r="V388" i="1"/>
  <c r="U388" i="1"/>
  <c r="T388" i="1"/>
  <c r="S388" i="1"/>
  <c r="Q388" i="1"/>
  <c r="R388" i="1" s="1"/>
  <c r="AF388" i="1" s="1"/>
  <c r="O388" i="1"/>
  <c r="AD388" i="1" s="1"/>
  <c r="AI388" i="1" s="1"/>
  <c r="K388" i="1"/>
  <c r="AH387" i="1"/>
  <c r="AG387" i="1"/>
  <c r="AE387" i="1"/>
  <c r="AA387" i="1"/>
  <c r="Z387" i="1"/>
  <c r="V387" i="1"/>
  <c r="U387" i="1"/>
  <c r="T387" i="1"/>
  <c r="S387" i="1"/>
  <c r="R387" i="1"/>
  <c r="AF387" i="1" s="1"/>
  <c r="O387" i="1"/>
  <c r="AD387" i="1" s="1"/>
  <c r="AI387" i="1" s="1"/>
  <c r="AH386" i="1"/>
  <c r="AE386" i="1"/>
  <c r="AA386" i="1"/>
  <c r="Z386" i="1"/>
  <c r="AG386" i="1" s="1"/>
  <c r="AI386" i="1" s="1"/>
  <c r="V386" i="1"/>
  <c r="U386" i="1"/>
  <c r="T386" i="1"/>
  <c r="S386" i="1"/>
  <c r="R386" i="1"/>
  <c r="AF386" i="1" s="1"/>
  <c r="O386" i="1"/>
  <c r="AD386" i="1" s="1"/>
  <c r="AH385" i="1"/>
  <c r="AG385" i="1"/>
  <c r="AE385" i="1"/>
  <c r="AA385" i="1"/>
  <c r="Z385" i="1"/>
  <c r="V385" i="1"/>
  <c r="U385" i="1"/>
  <c r="T385" i="1"/>
  <c r="S385" i="1"/>
  <c r="Q385" i="1"/>
  <c r="R385" i="1" s="1"/>
  <c r="AF385" i="1" s="1"/>
  <c r="O385" i="1"/>
  <c r="AD385" i="1" s="1"/>
  <c r="K385" i="1"/>
  <c r="AH384" i="1"/>
  <c r="AG384" i="1"/>
  <c r="AE384" i="1"/>
  <c r="AA384" i="1"/>
  <c r="Z384" i="1"/>
  <c r="V384" i="1"/>
  <c r="U384" i="1"/>
  <c r="T384" i="1"/>
  <c r="S384" i="1"/>
  <c r="Q384" i="1"/>
  <c r="R384" i="1" s="1"/>
  <c r="AF384" i="1" s="1"/>
  <c r="O384" i="1"/>
  <c r="AD384" i="1" s="1"/>
  <c r="K384" i="1"/>
  <c r="AH383" i="1"/>
  <c r="AG383" i="1"/>
  <c r="AE383" i="1"/>
  <c r="AA383" i="1"/>
  <c r="Z383" i="1"/>
  <c r="V383" i="1"/>
  <c r="U383" i="1"/>
  <c r="T383" i="1"/>
  <c r="S383" i="1"/>
  <c r="Q383" i="1"/>
  <c r="R383" i="1" s="1"/>
  <c r="AF383" i="1" s="1"/>
  <c r="O383" i="1"/>
  <c r="AD383" i="1" s="1"/>
  <c r="K383" i="1"/>
  <c r="AH382" i="1"/>
  <c r="AG382" i="1"/>
  <c r="AE382" i="1"/>
  <c r="AA382" i="1"/>
  <c r="Z382" i="1"/>
  <c r="V382" i="1"/>
  <c r="U382" i="1"/>
  <c r="T382" i="1"/>
  <c r="S382" i="1"/>
  <c r="R382" i="1"/>
  <c r="AF382" i="1" s="1"/>
  <c r="O382" i="1"/>
  <c r="AD382" i="1" s="1"/>
  <c r="AH381" i="1"/>
  <c r="AE381" i="1"/>
  <c r="AA381" i="1"/>
  <c r="Z381" i="1"/>
  <c r="AG381" i="1" s="1"/>
  <c r="V381" i="1"/>
  <c r="U381" i="1"/>
  <c r="T381" i="1"/>
  <c r="S381" i="1"/>
  <c r="R381" i="1"/>
  <c r="AF381" i="1" s="1"/>
  <c r="O381" i="1"/>
  <c r="AD381" i="1" s="1"/>
  <c r="AI381" i="1" s="1"/>
  <c r="K381" i="1"/>
  <c r="AH380" i="1"/>
  <c r="AE380" i="1"/>
  <c r="AA380" i="1"/>
  <c r="Z380" i="1"/>
  <c r="AG380" i="1" s="1"/>
  <c r="V380" i="1"/>
  <c r="U380" i="1"/>
  <c r="T380" i="1"/>
  <c r="S380" i="1"/>
  <c r="R380" i="1"/>
  <c r="AF380" i="1" s="1"/>
  <c r="O380" i="1"/>
  <c r="AD380" i="1" s="1"/>
  <c r="AI380" i="1" s="1"/>
  <c r="K380" i="1"/>
  <c r="AH379" i="1"/>
  <c r="AG379" i="1"/>
  <c r="AE379" i="1"/>
  <c r="AA379" i="1"/>
  <c r="Z379" i="1"/>
  <c r="U379" i="1"/>
  <c r="T379" i="1"/>
  <c r="S379" i="1"/>
  <c r="R379" i="1"/>
  <c r="AF379" i="1" s="1"/>
  <c r="O379" i="1"/>
  <c r="AD379" i="1" s="1"/>
  <c r="AI379" i="1" s="1"/>
  <c r="K379" i="1"/>
  <c r="V379" i="1" s="1"/>
  <c r="AH378" i="1"/>
  <c r="AE378" i="1"/>
  <c r="AA378" i="1"/>
  <c r="Z378" i="1"/>
  <c r="AG378" i="1" s="1"/>
  <c r="U378" i="1"/>
  <c r="T378" i="1"/>
  <c r="S378" i="1"/>
  <c r="Q378" i="1"/>
  <c r="R378" i="1" s="1"/>
  <c r="AF378" i="1" s="1"/>
  <c r="O378" i="1"/>
  <c r="AD378" i="1" s="1"/>
  <c r="K378" i="1"/>
  <c r="V378" i="1" s="1"/>
  <c r="AH377" i="1"/>
  <c r="AE377" i="1"/>
  <c r="AA377" i="1"/>
  <c r="Z377" i="1"/>
  <c r="AG377" i="1" s="1"/>
  <c r="U377" i="1"/>
  <c r="T377" i="1"/>
  <c r="S377" i="1"/>
  <c r="Q377" i="1"/>
  <c r="R377" i="1" s="1"/>
  <c r="AF377" i="1" s="1"/>
  <c r="O377" i="1"/>
  <c r="AD377" i="1" s="1"/>
  <c r="K377" i="1"/>
  <c r="V377" i="1" s="1"/>
  <c r="AH376" i="1"/>
  <c r="AF376" i="1"/>
  <c r="AE376" i="1"/>
  <c r="AA376" i="1"/>
  <c r="Z376" i="1"/>
  <c r="AG376" i="1" s="1"/>
  <c r="U376" i="1"/>
  <c r="T376" i="1"/>
  <c r="S376" i="1"/>
  <c r="Q376" i="1"/>
  <c r="R376" i="1" s="1"/>
  <c r="O376" i="1"/>
  <c r="AD376" i="1" s="1"/>
  <c r="AI376" i="1" s="1"/>
  <c r="K376" i="1"/>
  <c r="V376" i="1" s="1"/>
  <c r="AH375" i="1"/>
  <c r="AF375" i="1"/>
  <c r="AE375" i="1"/>
  <c r="AA375" i="1"/>
  <c r="Z375" i="1"/>
  <c r="AG375" i="1" s="1"/>
  <c r="U375" i="1"/>
  <c r="T375" i="1"/>
  <c r="S375" i="1"/>
  <c r="Q375" i="1"/>
  <c r="R375" i="1" s="1"/>
  <c r="O375" i="1"/>
  <c r="AD375" i="1" s="1"/>
  <c r="AI375" i="1" s="1"/>
  <c r="K375" i="1"/>
  <c r="V375" i="1" s="1"/>
  <c r="AH374" i="1"/>
  <c r="AE374" i="1"/>
  <c r="AA374" i="1"/>
  <c r="Z374" i="1"/>
  <c r="AG374" i="1" s="1"/>
  <c r="U374" i="1"/>
  <c r="T374" i="1"/>
  <c r="S374" i="1"/>
  <c r="Q374" i="1"/>
  <c r="R374" i="1" s="1"/>
  <c r="AF374" i="1" s="1"/>
  <c r="O374" i="1"/>
  <c r="AD374" i="1" s="1"/>
  <c r="K374" i="1"/>
  <c r="V374" i="1" s="1"/>
  <c r="AH373" i="1"/>
  <c r="AE373" i="1"/>
  <c r="AA373" i="1"/>
  <c r="Z373" i="1"/>
  <c r="AG373" i="1" s="1"/>
  <c r="U373" i="1"/>
  <c r="T373" i="1"/>
  <c r="S373" i="1"/>
  <c r="Q373" i="1"/>
  <c r="R373" i="1" s="1"/>
  <c r="AF373" i="1" s="1"/>
  <c r="O373" i="1"/>
  <c r="AD373" i="1" s="1"/>
  <c r="K373" i="1"/>
  <c r="V373" i="1" s="1"/>
  <c r="AH372" i="1"/>
  <c r="AF372" i="1"/>
  <c r="AE372" i="1"/>
  <c r="AA372" i="1"/>
  <c r="Z372" i="1"/>
  <c r="AG372" i="1" s="1"/>
  <c r="U372" i="1"/>
  <c r="T372" i="1"/>
  <c r="S372" i="1"/>
  <c r="R372" i="1"/>
  <c r="O372" i="1"/>
  <c r="AD372" i="1" s="1"/>
  <c r="AI372" i="1" s="1"/>
  <c r="K372" i="1"/>
  <c r="V372" i="1" s="1"/>
  <c r="AH371" i="1"/>
  <c r="AE371" i="1"/>
  <c r="AA371" i="1"/>
  <c r="Z371" i="1"/>
  <c r="AG371" i="1" s="1"/>
  <c r="V371" i="1"/>
  <c r="U371" i="1"/>
  <c r="T371" i="1"/>
  <c r="S371" i="1"/>
  <c r="R371" i="1"/>
  <c r="AF371" i="1" s="1"/>
  <c r="O371" i="1"/>
  <c r="AD371" i="1" s="1"/>
  <c r="AI371" i="1" s="1"/>
  <c r="K371" i="1"/>
  <c r="AH370" i="1"/>
  <c r="AE370" i="1"/>
  <c r="AA370" i="1"/>
  <c r="Z370" i="1"/>
  <c r="AG370" i="1" s="1"/>
  <c r="V370" i="1"/>
  <c r="U370" i="1"/>
  <c r="T370" i="1"/>
  <c r="S370" i="1"/>
  <c r="R370" i="1"/>
  <c r="AF370" i="1" s="1"/>
  <c r="O370" i="1"/>
  <c r="AD370" i="1" s="1"/>
  <c r="AI370" i="1" s="1"/>
  <c r="K370" i="1"/>
  <c r="AH369" i="1"/>
  <c r="AG369" i="1"/>
  <c r="AE369" i="1"/>
  <c r="AA369" i="1"/>
  <c r="Z369" i="1"/>
  <c r="U369" i="1"/>
  <c r="T369" i="1"/>
  <c r="S369" i="1"/>
  <c r="R369" i="1"/>
  <c r="AF369" i="1" s="1"/>
  <c r="O369" i="1"/>
  <c r="AD369" i="1" s="1"/>
  <c r="AI369" i="1" s="1"/>
  <c r="K369" i="1"/>
  <c r="V369" i="1" s="1"/>
  <c r="AH368" i="1"/>
  <c r="AF368" i="1"/>
  <c r="AE368" i="1"/>
  <c r="AA368" i="1"/>
  <c r="Z368" i="1"/>
  <c r="AG368" i="1" s="1"/>
  <c r="U368" i="1"/>
  <c r="T368" i="1"/>
  <c r="S368" i="1"/>
  <c r="R368" i="1"/>
  <c r="O368" i="1"/>
  <c r="AD368" i="1" s="1"/>
  <c r="K368" i="1"/>
  <c r="V368" i="1" s="1"/>
  <c r="AH367" i="1"/>
  <c r="AE367" i="1"/>
  <c r="AA367" i="1"/>
  <c r="Z367" i="1"/>
  <c r="AG367" i="1" s="1"/>
  <c r="AI367" i="1" s="1"/>
  <c r="V367" i="1"/>
  <c r="U367" i="1"/>
  <c r="T367" i="1"/>
  <c r="S367" i="1"/>
  <c r="R367" i="1"/>
  <c r="AF367" i="1" s="1"/>
  <c r="O367" i="1"/>
  <c r="AD367" i="1" s="1"/>
  <c r="K367" i="1"/>
  <c r="AH366" i="1"/>
  <c r="AE366" i="1"/>
  <c r="AD366" i="1"/>
  <c r="AA366" i="1"/>
  <c r="Z366" i="1"/>
  <c r="AG366" i="1" s="1"/>
  <c r="U366" i="1"/>
  <c r="T366" i="1"/>
  <c r="S366" i="1"/>
  <c r="Q366" i="1"/>
  <c r="R366" i="1" s="1"/>
  <c r="AF366" i="1" s="1"/>
  <c r="O366" i="1"/>
  <c r="K366" i="1"/>
  <c r="V366" i="1" s="1"/>
  <c r="AH365" i="1"/>
  <c r="AE365" i="1"/>
  <c r="AD365" i="1"/>
  <c r="AA365" i="1"/>
  <c r="Z365" i="1"/>
  <c r="AG365" i="1" s="1"/>
  <c r="U365" i="1"/>
  <c r="T365" i="1"/>
  <c r="S365" i="1"/>
  <c r="Q365" i="1"/>
  <c r="R365" i="1" s="1"/>
  <c r="AF365" i="1" s="1"/>
  <c r="O365" i="1"/>
  <c r="K365" i="1"/>
  <c r="V365" i="1" s="1"/>
  <c r="AH364" i="1"/>
  <c r="AE364" i="1"/>
  <c r="AD364" i="1"/>
  <c r="AI364" i="1" s="1"/>
  <c r="AA364" i="1"/>
  <c r="Z364" i="1"/>
  <c r="AG364" i="1" s="1"/>
  <c r="U364" i="1"/>
  <c r="T364" i="1"/>
  <c r="S364" i="1"/>
  <c r="Q364" i="1"/>
  <c r="R364" i="1" s="1"/>
  <c r="AF364" i="1" s="1"/>
  <c r="O364" i="1"/>
  <c r="K364" i="1"/>
  <c r="V364" i="1" s="1"/>
  <c r="AH363" i="1"/>
  <c r="AE363" i="1"/>
  <c r="AD363" i="1"/>
  <c r="AI363" i="1" s="1"/>
  <c r="AA363" i="1"/>
  <c r="Z363" i="1"/>
  <c r="AG363" i="1" s="1"/>
  <c r="U363" i="1"/>
  <c r="T363" i="1"/>
  <c r="S363" i="1"/>
  <c r="Q363" i="1"/>
  <c r="R363" i="1" s="1"/>
  <c r="AF363" i="1" s="1"/>
  <c r="O363" i="1"/>
  <c r="K363" i="1"/>
  <c r="V363" i="1" s="1"/>
  <c r="AH362" i="1"/>
  <c r="AE362" i="1"/>
  <c r="AD362" i="1"/>
  <c r="AA362" i="1"/>
  <c r="Z362" i="1"/>
  <c r="AG362" i="1" s="1"/>
  <c r="U362" i="1"/>
  <c r="T362" i="1"/>
  <c r="S362" i="1"/>
  <c r="Q362" i="1"/>
  <c r="R362" i="1" s="1"/>
  <c r="AF362" i="1" s="1"/>
  <c r="O362" i="1"/>
  <c r="K362" i="1"/>
  <c r="V362" i="1" s="1"/>
  <c r="AH361" i="1"/>
  <c r="AE361" i="1"/>
  <c r="AD361" i="1"/>
  <c r="AA361" i="1"/>
  <c r="Z361" i="1"/>
  <c r="AG361" i="1" s="1"/>
  <c r="U361" i="1"/>
  <c r="T361" i="1"/>
  <c r="S361" i="1"/>
  <c r="Q361" i="1"/>
  <c r="R361" i="1" s="1"/>
  <c r="AF361" i="1" s="1"/>
  <c r="O361" i="1"/>
  <c r="K361" i="1"/>
  <c r="V361" i="1" s="1"/>
  <c r="AH360" i="1"/>
  <c r="AE360" i="1"/>
  <c r="AA360" i="1"/>
  <c r="Z360" i="1"/>
  <c r="AG360" i="1" s="1"/>
  <c r="V360" i="1"/>
  <c r="U360" i="1"/>
  <c r="T360" i="1"/>
  <c r="S360" i="1"/>
  <c r="R360" i="1"/>
  <c r="AF360" i="1" s="1"/>
  <c r="O360" i="1"/>
  <c r="AD360" i="1" s="1"/>
  <c r="AI360" i="1" s="1"/>
  <c r="K360" i="1"/>
  <c r="AH359" i="1"/>
  <c r="AG359" i="1"/>
  <c r="AE359" i="1"/>
  <c r="AA359" i="1"/>
  <c r="Z359" i="1"/>
  <c r="U359" i="1"/>
  <c r="T359" i="1"/>
  <c r="S359" i="1"/>
  <c r="R359" i="1"/>
  <c r="AF359" i="1" s="1"/>
  <c r="O359" i="1"/>
  <c r="AD359" i="1" s="1"/>
  <c r="AI359" i="1" s="1"/>
  <c r="K359" i="1"/>
  <c r="V359" i="1" s="1"/>
  <c r="AH358" i="1"/>
  <c r="AF358" i="1"/>
  <c r="AE358" i="1"/>
  <c r="AA358" i="1"/>
  <c r="Z358" i="1"/>
  <c r="AG358" i="1" s="1"/>
  <c r="U358" i="1"/>
  <c r="T358" i="1"/>
  <c r="S358" i="1"/>
  <c r="R358" i="1"/>
  <c r="O358" i="1"/>
  <c r="AD358" i="1" s="1"/>
  <c r="K358" i="1"/>
  <c r="V358" i="1" s="1"/>
  <c r="AH357" i="1"/>
  <c r="AE357" i="1"/>
  <c r="AA357" i="1"/>
  <c r="Z357" i="1"/>
  <c r="AG357" i="1" s="1"/>
  <c r="AI357" i="1" s="1"/>
  <c r="V357" i="1"/>
  <c r="U357" i="1"/>
  <c r="T357" i="1"/>
  <c r="S357" i="1"/>
  <c r="R357" i="1"/>
  <c r="AF357" i="1" s="1"/>
  <c r="Q357" i="1"/>
  <c r="O357" i="1"/>
  <c r="AD357" i="1" s="1"/>
  <c r="K357" i="1"/>
  <c r="AH356" i="1"/>
  <c r="AE356" i="1"/>
  <c r="AA356" i="1"/>
  <c r="Z356" i="1"/>
  <c r="AG356" i="1" s="1"/>
  <c r="V356" i="1"/>
  <c r="U356" i="1"/>
  <c r="T356" i="1"/>
  <c r="S356" i="1"/>
  <c r="R356" i="1"/>
  <c r="AF356" i="1" s="1"/>
  <c r="Q356" i="1"/>
  <c r="O356" i="1"/>
  <c r="AD356" i="1" s="1"/>
  <c r="AI356" i="1" s="1"/>
  <c r="K356" i="1"/>
  <c r="AH355" i="1"/>
  <c r="AE355" i="1"/>
  <c r="AA355" i="1"/>
  <c r="Z355" i="1"/>
  <c r="AG355" i="1" s="1"/>
  <c r="V355" i="1"/>
  <c r="U355" i="1"/>
  <c r="T355" i="1"/>
  <c r="S355" i="1"/>
  <c r="R355" i="1"/>
  <c r="AF355" i="1" s="1"/>
  <c r="Q355" i="1"/>
  <c r="O355" i="1"/>
  <c r="AD355" i="1" s="1"/>
  <c r="AI355" i="1" s="1"/>
  <c r="K355" i="1"/>
  <c r="AH354" i="1"/>
  <c r="AE354" i="1"/>
  <c r="AA354" i="1"/>
  <c r="Z354" i="1"/>
  <c r="AG354" i="1" s="1"/>
  <c r="V354" i="1"/>
  <c r="U354" i="1"/>
  <c r="T354" i="1"/>
  <c r="S354" i="1"/>
  <c r="R354" i="1"/>
  <c r="AF354" i="1" s="1"/>
  <c r="AI354" i="1" s="1"/>
  <c r="O354" i="1"/>
  <c r="AD354" i="1" s="1"/>
  <c r="AH353" i="1"/>
  <c r="AG353" i="1"/>
  <c r="AE353" i="1"/>
  <c r="AA353" i="1"/>
  <c r="Z353" i="1"/>
  <c r="V353" i="1"/>
  <c r="U353" i="1"/>
  <c r="T353" i="1"/>
  <c r="S353" i="1"/>
  <c r="R353" i="1"/>
  <c r="AF353" i="1" s="1"/>
  <c r="Q353" i="1"/>
  <c r="O353" i="1"/>
  <c r="AD353" i="1" s="1"/>
  <c r="K353" i="1"/>
  <c r="AH352" i="1"/>
  <c r="AG352" i="1"/>
  <c r="AE352" i="1"/>
  <c r="AA352" i="1"/>
  <c r="Z352" i="1"/>
  <c r="V352" i="1"/>
  <c r="U352" i="1"/>
  <c r="T352" i="1"/>
  <c r="S352" i="1"/>
  <c r="Q352" i="1"/>
  <c r="R352" i="1" s="1"/>
  <c r="AF352" i="1" s="1"/>
  <c r="O352" i="1"/>
  <c r="AD352" i="1" s="1"/>
  <c r="K352" i="1"/>
  <c r="AH351" i="1"/>
  <c r="AG351" i="1"/>
  <c r="AE351" i="1"/>
  <c r="AA351" i="1"/>
  <c r="Z351" i="1"/>
  <c r="V351" i="1"/>
  <c r="U351" i="1"/>
  <c r="T351" i="1"/>
  <c r="S351" i="1"/>
  <c r="R351" i="1"/>
  <c r="AF351" i="1" s="1"/>
  <c r="Q351" i="1"/>
  <c r="O351" i="1"/>
  <c r="AD351" i="1" s="1"/>
  <c r="K351" i="1"/>
  <c r="AH350" i="1"/>
  <c r="AG350" i="1"/>
  <c r="AE350" i="1"/>
  <c r="AA350" i="1"/>
  <c r="Z350" i="1"/>
  <c r="V350" i="1"/>
  <c r="U350" i="1"/>
  <c r="T350" i="1"/>
  <c r="S350" i="1"/>
  <c r="R350" i="1"/>
  <c r="AF350" i="1" s="1"/>
  <c r="Q350" i="1"/>
  <c r="O350" i="1"/>
  <c r="AD350" i="1" s="1"/>
  <c r="AI350" i="1" s="1"/>
  <c r="K350" i="1"/>
  <c r="AH349" i="1"/>
  <c r="AG349" i="1"/>
  <c r="AE349" i="1"/>
  <c r="AA349" i="1"/>
  <c r="Z349" i="1"/>
  <c r="V349" i="1"/>
  <c r="U349" i="1"/>
  <c r="T349" i="1"/>
  <c r="S349" i="1"/>
  <c r="R349" i="1"/>
  <c r="AF349" i="1" s="1"/>
  <c r="Q349" i="1"/>
  <c r="O349" i="1"/>
  <c r="AD349" i="1" s="1"/>
  <c r="AI349" i="1" s="1"/>
  <c r="K349" i="1"/>
  <c r="AH348" i="1"/>
  <c r="AG348" i="1"/>
  <c r="AE348" i="1"/>
  <c r="AA348" i="1"/>
  <c r="Z348" i="1"/>
  <c r="V348" i="1"/>
  <c r="U348" i="1"/>
  <c r="T348" i="1"/>
  <c r="S348" i="1"/>
  <c r="R348" i="1"/>
  <c r="AF348" i="1" s="1"/>
  <c r="Q348" i="1"/>
  <c r="O348" i="1"/>
  <c r="AD348" i="1" s="1"/>
  <c r="K348" i="1"/>
  <c r="AH347" i="1"/>
  <c r="AG347" i="1"/>
  <c r="AE347" i="1"/>
  <c r="AA347" i="1"/>
  <c r="Z347" i="1"/>
  <c r="V347" i="1"/>
  <c r="U347" i="1"/>
  <c r="T347" i="1"/>
  <c r="S347" i="1"/>
  <c r="R347" i="1"/>
  <c r="AF347" i="1" s="1"/>
  <c r="Q347" i="1"/>
  <c r="O347" i="1"/>
  <c r="AD347" i="1" s="1"/>
  <c r="K347" i="1"/>
  <c r="AH346" i="1"/>
  <c r="AG346" i="1"/>
  <c r="AE346" i="1"/>
  <c r="AA346" i="1"/>
  <c r="Z346" i="1"/>
  <c r="V346" i="1"/>
  <c r="U346" i="1"/>
  <c r="T346" i="1"/>
  <c r="S346" i="1"/>
  <c r="R346" i="1"/>
  <c r="AF346" i="1" s="1"/>
  <c r="Q346" i="1"/>
  <c r="O346" i="1"/>
  <c r="AD346" i="1" s="1"/>
  <c r="AI346" i="1" s="1"/>
  <c r="K346" i="1"/>
  <c r="AH345" i="1"/>
  <c r="AG345" i="1"/>
  <c r="AE345" i="1"/>
  <c r="AA345" i="1"/>
  <c r="Z345" i="1"/>
  <c r="V345" i="1"/>
  <c r="U345" i="1"/>
  <c r="T345" i="1"/>
  <c r="S345" i="1"/>
  <c r="R345" i="1"/>
  <c r="AF345" i="1" s="1"/>
  <c r="Q345" i="1"/>
  <c r="O345" i="1"/>
  <c r="AD345" i="1" s="1"/>
  <c r="AI345" i="1" s="1"/>
  <c r="K345" i="1"/>
  <c r="AH344" i="1"/>
  <c r="AG344" i="1"/>
  <c r="AE344" i="1"/>
  <c r="AA344" i="1"/>
  <c r="Z344" i="1"/>
  <c r="V344" i="1"/>
  <c r="U344" i="1"/>
  <c r="T344" i="1"/>
  <c r="S344" i="1"/>
  <c r="R344" i="1"/>
  <c r="AF344" i="1" s="1"/>
  <c r="O344" i="1"/>
  <c r="AD344" i="1" s="1"/>
  <c r="AI344" i="1" s="1"/>
  <c r="AH343" i="1"/>
  <c r="AE343" i="1"/>
  <c r="AA343" i="1"/>
  <c r="Z343" i="1"/>
  <c r="AG343" i="1" s="1"/>
  <c r="V343" i="1"/>
  <c r="U343" i="1"/>
  <c r="T343" i="1"/>
  <c r="S343" i="1"/>
  <c r="R343" i="1"/>
  <c r="AF343" i="1" s="1"/>
  <c r="Q343" i="1"/>
  <c r="O343" i="1"/>
  <c r="AD343" i="1" s="1"/>
  <c r="AI343" i="1" s="1"/>
  <c r="K343" i="1"/>
  <c r="AH342" i="1"/>
  <c r="AE342" i="1"/>
  <c r="AA342" i="1"/>
  <c r="Z342" i="1"/>
  <c r="AG342" i="1" s="1"/>
  <c r="V342" i="1"/>
  <c r="U342" i="1"/>
  <c r="T342" i="1"/>
  <c r="S342" i="1"/>
  <c r="R342" i="1"/>
  <c r="AF342" i="1" s="1"/>
  <c r="Q342" i="1"/>
  <c r="O342" i="1"/>
  <c r="AD342" i="1" s="1"/>
  <c r="AI342" i="1" s="1"/>
  <c r="K342" i="1"/>
  <c r="AH341" i="1"/>
  <c r="AE341" i="1"/>
  <c r="AA341" i="1"/>
  <c r="Z341" i="1"/>
  <c r="AG341" i="1" s="1"/>
  <c r="V341" i="1"/>
  <c r="U341" i="1"/>
  <c r="T341" i="1"/>
  <c r="S341" i="1"/>
  <c r="R341" i="1"/>
  <c r="AF341" i="1" s="1"/>
  <c r="AI341" i="1" s="1"/>
  <c r="Q341" i="1"/>
  <c r="O341" i="1"/>
  <c r="AD341" i="1" s="1"/>
  <c r="K341" i="1"/>
  <c r="AH340" i="1"/>
  <c r="AE340" i="1"/>
  <c r="AA340" i="1"/>
  <c r="Z340" i="1"/>
  <c r="AG340" i="1" s="1"/>
  <c r="AI340" i="1" s="1"/>
  <c r="V340" i="1"/>
  <c r="U340" i="1"/>
  <c r="T340" i="1"/>
  <c r="S340" i="1"/>
  <c r="R340" i="1"/>
  <c r="AF340" i="1" s="1"/>
  <c r="O340" i="1"/>
  <c r="AD340" i="1" s="1"/>
  <c r="AH339" i="1"/>
  <c r="AG339" i="1"/>
  <c r="AE339" i="1"/>
  <c r="AA339" i="1"/>
  <c r="Z339" i="1"/>
  <c r="V339" i="1"/>
  <c r="U339" i="1"/>
  <c r="T339" i="1"/>
  <c r="S339" i="1"/>
  <c r="R339" i="1"/>
  <c r="AF339" i="1" s="1"/>
  <c r="O339" i="1"/>
  <c r="AD339" i="1" s="1"/>
  <c r="AH338" i="1"/>
  <c r="AE338" i="1"/>
  <c r="AA338" i="1"/>
  <c r="Z338" i="1"/>
  <c r="AG338" i="1" s="1"/>
  <c r="V338" i="1"/>
  <c r="U338" i="1"/>
  <c r="T338" i="1"/>
  <c r="S338" i="1"/>
  <c r="R338" i="1"/>
  <c r="AF338" i="1" s="1"/>
  <c r="O338" i="1"/>
  <c r="AD338" i="1" s="1"/>
  <c r="AI338" i="1" s="1"/>
  <c r="AH337" i="1"/>
  <c r="AG337" i="1"/>
  <c r="AE337" i="1"/>
  <c r="AA337" i="1"/>
  <c r="Z337" i="1"/>
  <c r="U337" i="1"/>
  <c r="T337" i="1"/>
  <c r="S337" i="1"/>
  <c r="R337" i="1"/>
  <c r="AF337" i="1" s="1"/>
  <c r="O337" i="1"/>
  <c r="AD337" i="1" s="1"/>
  <c r="K337" i="1"/>
  <c r="V337" i="1" s="1"/>
  <c r="AH336" i="1"/>
  <c r="AF336" i="1"/>
  <c r="AE336" i="1"/>
  <c r="AA336" i="1"/>
  <c r="Z336" i="1"/>
  <c r="AG336" i="1" s="1"/>
  <c r="U336" i="1"/>
  <c r="T336" i="1"/>
  <c r="S336" i="1"/>
  <c r="R336" i="1"/>
  <c r="O336" i="1"/>
  <c r="AD336" i="1" s="1"/>
  <c r="K336" i="1"/>
  <c r="V336" i="1" s="1"/>
  <c r="AH335" i="1"/>
  <c r="AE335" i="1"/>
  <c r="AA335" i="1"/>
  <c r="Z335" i="1"/>
  <c r="AG335" i="1" s="1"/>
  <c r="V335" i="1"/>
  <c r="U335" i="1"/>
  <c r="T335" i="1"/>
  <c r="S335" i="1"/>
  <c r="R335" i="1"/>
  <c r="AF335" i="1" s="1"/>
  <c r="AI335" i="1" s="1"/>
  <c r="O335" i="1"/>
  <c r="AD335" i="1" s="1"/>
  <c r="K335" i="1"/>
  <c r="AH334" i="1"/>
  <c r="AF334" i="1"/>
  <c r="AE334" i="1"/>
  <c r="AA334" i="1"/>
  <c r="Z334" i="1"/>
  <c r="AG334" i="1" s="1"/>
  <c r="V334" i="1"/>
  <c r="U334" i="1"/>
  <c r="T334" i="1"/>
  <c r="S334" i="1"/>
  <c r="R334" i="1"/>
  <c r="O334" i="1"/>
  <c r="AD334" i="1" s="1"/>
  <c r="AI334" i="1" s="1"/>
  <c r="K334" i="1"/>
  <c r="AH333" i="1"/>
  <c r="AG333" i="1"/>
  <c r="AE333" i="1"/>
  <c r="AA333" i="1"/>
  <c r="Z333" i="1"/>
  <c r="V333" i="1"/>
  <c r="U333" i="1"/>
  <c r="T333" i="1"/>
  <c r="S333" i="1"/>
  <c r="R333" i="1"/>
  <c r="AF333" i="1" s="1"/>
  <c r="O333" i="1"/>
  <c r="AD333" i="1" s="1"/>
  <c r="AI333" i="1" s="1"/>
  <c r="K333" i="1"/>
  <c r="AH332" i="1"/>
  <c r="AG332" i="1"/>
  <c r="AF332" i="1"/>
  <c r="AE332" i="1"/>
  <c r="AD332" i="1"/>
  <c r="AA332" i="1"/>
  <c r="Z332" i="1"/>
  <c r="U332" i="1"/>
  <c r="T332" i="1"/>
  <c r="S332" i="1"/>
  <c r="R332" i="1"/>
  <c r="O332" i="1"/>
  <c r="K332" i="1"/>
  <c r="V332" i="1" s="1"/>
  <c r="AH331" i="1"/>
  <c r="AE331" i="1"/>
  <c r="AA331" i="1"/>
  <c r="Z331" i="1"/>
  <c r="AG331" i="1" s="1"/>
  <c r="V331" i="1"/>
  <c r="U331" i="1"/>
  <c r="T331" i="1"/>
  <c r="S331" i="1"/>
  <c r="R331" i="1"/>
  <c r="AF331" i="1" s="1"/>
  <c r="Q331" i="1"/>
  <c r="O331" i="1"/>
  <c r="AD331" i="1" s="1"/>
  <c r="K331" i="1"/>
  <c r="AH330" i="1"/>
  <c r="AE330" i="1"/>
  <c r="AA330" i="1"/>
  <c r="Z330" i="1"/>
  <c r="AG330" i="1" s="1"/>
  <c r="U330" i="1"/>
  <c r="T330" i="1"/>
  <c r="S330" i="1"/>
  <c r="R330" i="1"/>
  <c r="AF330" i="1" s="1"/>
  <c r="Q330" i="1"/>
  <c r="O330" i="1"/>
  <c r="AD330" i="1" s="1"/>
  <c r="K330" i="1"/>
  <c r="V330" i="1" s="1"/>
  <c r="AH329" i="1"/>
  <c r="AE329" i="1"/>
  <c r="AA329" i="1"/>
  <c r="Z329" i="1"/>
  <c r="AG329" i="1" s="1"/>
  <c r="U329" i="1"/>
  <c r="T329" i="1"/>
  <c r="S329" i="1"/>
  <c r="R329" i="1"/>
  <c r="AF329" i="1" s="1"/>
  <c r="Q329" i="1"/>
  <c r="O329" i="1"/>
  <c r="AD329" i="1" s="1"/>
  <c r="AI329" i="1" s="1"/>
  <c r="K329" i="1"/>
  <c r="V329" i="1" s="1"/>
  <c r="AH328" i="1"/>
  <c r="AE328" i="1"/>
  <c r="AA328" i="1"/>
  <c r="Z328" i="1"/>
  <c r="AG328" i="1" s="1"/>
  <c r="V328" i="1"/>
  <c r="U328" i="1"/>
  <c r="T328" i="1"/>
  <c r="S328" i="1"/>
  <c r="R328" i="1"/>
  <c r="AF328" i="1" s="1"/>
  <c r="Q328" i="1"/>
  <c r="O328" i="1"/>
  <c r="AD328" i="1" s="1"/>
  <c r="K328" i="1"/>
  <c r="AH327" i="1"/>
  <c r="AE327" i="1"/>
  <c r="AI327" i="1" s="1"/>
  <c r="AA327" i="1"/>
  <c r="Z327" i="1"/>
  <c r="AG327" i="1" s="1"/>
  <c r="V327" i="1"/>
  <c r="U327" i="1"/>
  <c r="T327" i="1"/>
  <c r="S327" i="1"/>
  <c r="R327" i="1"/>
  <c r="AF327" i="1" s="1"/>
  <c r="Q327" i="1"/>
  <c r="O327" i="1"/>
  <c r="AD327" i="1" s="1"/>
  <c r="K327" i="1"/>
  <c r="AH326" i="1"/>
  <c r="AE326" i="1"/>
  <c r="AA326" i="1"/>
  <c r="Z326" i="1"/>
  <c r="AG326" i="1" s="1"/>
  <c r="U326" i="1"/>
  <c r="T326" i="1"/>
  <c r="S326" i="1"/>
  <c r="R326" i="1"/>
  <c r="AF326" i="1" s="1"/>
  <c r="Q326" i="1"/>
  <c r="O326" i="1"/>
  <c r="AD326" i="1" s="1"/>
  <c r="AI326" i="1" s="1"/>
  <c r="K326" i="1"/>
  <c r="V326" i="1" s="1"/>
  <c r="AH325" i="1"/>
  <c r="AE325" i="1"/>
  <c r="AA325" i="1"/>
  <c r="Z325" i="1"/>
  <c r="AG325" i="1" s="1"/>
  <c r="U325" i="1"/>
  <c r="T325" i="1"/>
  <c r="S325" i="1"/>
  <c r="R325" i="1"/>
  <c r="AF325" i="1" s="1"/>
  <c r="O325" i="1"/>
  <c r="AD325" i="1" s="1"/>
  <c r="K325" i="1"/>
  <c r="V325" i="1" s="1"/>
  <c r="AH324" i="1"/>
  <c r="AE324" i="1"/>
  <c r="AA324" i="1"/>
  <c r="Z324" i="1"/>
  <c r="AG324" i="1" s="1"/>
  <c r="V324" i="1"/>
  <c r="U324" i="1"/>
  <c r="T324" i="1"/>
  <c r="S324" i="1"/>
  <c r="R324" i="1"/>
  <c r="AF324" i="1" s="1"/>
  <c r="O324" i="1"/>
  <c r="AD324" i="1" s="1"/>
  <c r="AI324" i="1" s="1"/>
  <c r="K324" i="1"/>
  <c r="AH323" i="1"/>
  <c r="AG323" i="1"/>
  <c r="AE323" i="1"/>
  <c r="AA323" i="1"/>
  <c r="Z323" i="1"/>
  <c r="U323" i="1"/>
  <c r="T323" i="1"/>
  <c r="S323" i="1"/>
  <c r="R323" i="1"/>
  <c r="AF323" i="1" s="1"/>
  <c r="O323" i="1"/>
  <c r="AD323" i="1" s="1"/>
  <c r="AI323" i="1" s="1"/>
  <c r="K323" i="1"/>
  <c r="V323" i="1" s="1"/>
  <c r="AH322" i="1"/>
  <c r="AG322" i="1"/>
  <c r="AE322" i="1"/>
  <c r="AA322" i="1"/>
  <c r="U322" i="1"/>
  <c r="T322" i="1"/>
  <c r="S322" i="1"/>
  <c r="R322" i="1"/>
  <c r="AF322" i="1" s="1"/>
  <c r="Q322" i="1"/>
  <c r="O322" i="1"/>
  <c r="AD322" i="1" s="1"/>
  <c r="K322" i="1"/>
  <c r="V322" i="1" s="1"/>
  <c r="AH321" i="1"/>
  <c r="AG321" i="1"/>
  <c r="AE321" i="1"/>
  <c r="AA321" i="1"/>
  <c r="V321" i="1"/>
  <c r="U321" i="1"/>
  <c r="T321" i="1"/>
  <c r="S321" i="1"/>
  <c r="R321" i="1"/>
  <c r="AF321" i="1" s="1"/>
  <c r="Q321" i="1"/>
  <c r="O321" i="1"/>
  <c r="AD321" i="1" s="1"/>
  <c r="K321" i="1"/>
  <c r="AH320" i="1"/>
  <c r="AG320" i="1"/>
  <c r="AE320" i="1"/>
  <c r="AA320" i="1"/>
  <c r="V320" i="1"/>
  <c r="U320" i="1"/>
  <c r="T320" i="1"/>
  <c r="S320" i="1"/>
  <c r="Q320" i="1"/>
  <c r="R320" i="1" s="1"/>
  <c r="AF320" i="1" s="1"/>
  <c r="O320" i="1"/>
  <c r="AD320" i="1" s="1"/>
  <c r="K320" i="1"/>
  <c r="AH319" i="1"/>
  <c r="AG319" i="1"/>
  <c r="AE319" i="1"/>
  <c r="AA319" i="1"/>
  <c r="Z319" i="1"/>
  <c r="V319" i="1"/>
  <c r="U319" i="1"/>
  <c r="T319" i="1"/>
  <c r="S319" i="1"/>
  <c r="Q319" i="1"/>
  <c r="R319" i="1" s="1"/>
  <c r="AF319" i="1" s="1"/>
  <c r="O319" i="1"/>
  <c r="AD319" i="1" s="1"/>
  <c r="K319" i="1"/>
  <c r="AH318" i="1"/>
  <c r="AG318" i="1"/>
  <c r="AE318" i="1"/>
  <c r="AA318" i="1"/>
  <c r="Z318" i="1"/>
  <c r="V318" i="1"/>
  <c r="U318" i="1"/>
  <c r="T318" i="1"/>
  <c r="S318" i="1"/>
  <c r="R318" i="1"/>
  <c r="AF318" i="1" s="1"/>
  <c r="Q318" i="1"/>
  <c r="O318" i="1"/>
  <c r="AD318" i="1" s="1"/>
  <c r="AI318" i="1" s="1"/>
  <c r="K318" i="1"/>
  <c r="AH317" i="1"/>
  <c r="AG317" i="1"/>
  <c r="AE317" i="1"/>
  <c r="AD317" i="1"/>
  <c r="AI317" i="1" s="1"/>
  <c r="AA317" i="1"/>
  <c r="Z317" i="1"/>
  <c r="V317" i="1"/>
  <c r="U317" i="1"/>
  <c r="T317" i="1"/>
  <c r="S317" i="1"/>
  <c r="R317" i="1"/>
  <c r="AF317" i="1" s="1"/>
  <c r="Q317" i="1"/>
  <c r="O317" i="1"/>
  <c r="K317" i="1"/>
  <c r="AH316" i="1"/>
  <c r="AG316" i="1"/>
  <c r="AE316" i="1"/>
  <c r="AD316" i="1"/>
  <c r="AA316" i="1"/>
  <c r="Z316" i="1"/>
  <c r="V316" i="1"/>
  <c r="U316" i="1"/>
  <c r="T316" i="1"/>
  <c r="S316" i="1"/>
  <c r="Q316" i="1"/>
  <c r="R316" i="1" s="1"/>
  <c r="AF316" i="1" s="1"/>
  <c r="O316" i="1"/>
  <c r="K316" i="1"/>
  <c r="AH315" i="1"/>
  <c r="AG315" i="1"/>
  <c r="AE315" i="1"/>
  <c r="AA315" i="1"/>
  <c r="Z315" i="1"/>
  <c r="V315" i="1"/>
  <c r="U315" i="1"/>
  <c r="T315" i="1"/>
  <c r="S315" i="1"/>
  <c r="Q315" i="1"/>
  <c r="R315" i="1" s="1"/>
  <c r="AF315" i="1" s="1"/>
  <c r="O315" i="1"/>
  <c r="AD315" i="1" s="1"/>
  <c r="K315" i="1"/>
  <c r="AH314" i="1"/>
  <c r="AG314" i="1"/>
  <c r="AE314" i="1"/>
  <c r="AA314" i="1"/>
  <c r="Z314" i="1"/>
  <c r="V314" i="1"/>
  <c r="U314" i="1"/>
  <c r="T314" i="1"/>
  <c r="S314" i="1"/>
  <c r="R314" i="1"/>
  <c r="AF314" i="1" s="1"/>
  <c r="Q314" i="1"/>
  <c r="O314" i="1"/>
  <c r="AD314" i="1" s="1"/>
  <c r="AI314" i="1" s="1"/>
  <c r="K314" i="1"/>
  <c r="AH313" i="1"/>
  <c r="AG313" i="1"/>
  <c r="AE313" i="1"/>
  <c r="AA313" i="1"/>
  <c r="Z313" i="1"/>
  <c r="V313" i="1"/>
  <c r="U313" i="1"/>
  <c r="T313" i="1"/>
  <c r="S313" i="1"/>
  <c r="R313" i="1"/>
  <c r="AF313" i="1" s="1"/>
  <c r="O313" i="1"/>
  <c r="AD313" i="1" s="1"/>
  <c r="AI313" i="1" s="1"/>
  <c r="K313" i="1"/>
  <c r="AH312" i="1"/>
  <c r="AG312" i="1"/>
  <c r="AF312" i="1"/>
  <c r="AE312" i="1"/>
  <c r="AD312" i="1"/>
  <c r="AA312" i="1"/>
  <c r="Z312" i="1"/>
  <c r="U312" i="1"/>
  <c r="T312" i="1"/>
  <c r="S312" i="1"/>
  <c r="R312" i="1"/>
  <c r="O312" i="1"/>
  <c r="K312" i="1"/>
  <c r="V312" i="1" s="1"/>
  <c r="AH311" i="1"/>
  <c r="AE311" i="1"/>
  <c r="AA311" i="1"/>
  <c r="Z311" i="1"/>
  <c r="AG311" i="1" s="1"/>
  <c r="V311" i="1"/>
  <c r="U311" i="1"/>
  <c r="T311" i="1"/>
  <c r="S311" i="1"/>
  <c r="R311" i="1"/>
  <c r="AF311" i="1" s="1"/>
  <c r="O311" i="1"/>
  <c r="AD311" i="1" s="1"/>
  <c r="K311" i="1"/>
  <c r="AH310" i="1"/>
  <c r="AF310" i="1"/>
  <c r="AE310" i="1"/>
  <c r="AA310" i="1"/>
  <c r="Z310" i="1"/>
  <c r="AG310" i="1" s="1"/>
  <c r="V310" i="1"/>
  <c r="U310" i="1"/>
  <c r="T310" i="1"/>
  <c r="S310" i="1"/>
  <c r="R310" i="1"/>
  <c r="O310" i="1"/>
  <c r="AD310" i="1" s="1"/>
  <c r="AI310" i="1" s="1"/>
  <c r="K310" i="1"/>
  <c r="AH309" i="1"/>
  <c r="AG309" i="1"/>
  <c r="AE309" i="1"/>
  <c r="AA309" i="1"/>
  <c r="Z309" i="1"/>
  <c r="V309" i="1"/>
  <c r="U309" i="1"/>
  <c r="T309" i="1"/>
  <c r="S309" i="1"/>
  <c r="R309" i="1"/>
  <c r="AF309" i="1" s="1"/>
  <c r="O309" i="1"/>
  <c r="AD309" i="1" s="1"/>
  <c r="AI309" i="1" s="1"/>
  <c r="K309" i="1"/>
  <c r="AH308" i="1"/>
  <c r="AE308" i="1"/>
  <c r="AA308" i="1"/>
  <c r="Z308" i="1"/>
  <c r="AG308" i="1" s="1"/>
  <c r="U308" i="1"/>
  <c r="T308" i="1"/>
  <c r="S308" i="1"/>
  <c r="Q308" i="1"/>
  <c r="R308" i="1" s="1"/>
  <c r="AF308" i="1" s="1"/>
  <c r="O308" i="1"/>
  <c r="AD308" i="1" s="1"/>
  <c r="AI308" i="1" s="1"/>
  <c r="K308" i="1"/>
  <c r="V308" i="1" s="1"/>
  <c r="AH307" i="1"/>
  <c r="AG307" i="1"/>
  <c r="AF307" i="1"/>
  <c r="AE307" i="1"/>
  <c r="AD307" i="1"/>
  <c r="AA307" i="1"/>
  <c r="Z307" i="1"/>
  <c r="U307" i="1"/>
  <c r="T307" i="1"/>
  <c r="S307" i="1"/>
  <c r="R307" i="1"/>
  <c r="O307" i="1"/>
  <c r="K307" i="1"/>
  <c r="V307" i="1" s="1"/>
  <c r="AH306" i="1"/>
  <c r="AE306" i="1"/>
  <c r="AA306" i="1"/>
  <c r="Z306" i="1"/>
  <c r="AG306" i="1" s="1"/>
  <c r="V306" i="1"/>
  <c r="U306" i="1"/>
  <c r="T306" i="1"/>
  <c r="S306" i="1"/>
  <c r="R306" i="1"/>
  <c r="AF306" i="1" s="1"/>
  <c r="O306" i="1"/>
  <c r="AD306" i="1" s="1"/>
  <c r="AI306" i="1" s="1"/>
  <c r="K306" i="1"/>
  <c r="AH305" i="1"/>
  <c r="AF305" i="1"/>
  <c r="AE305" i="1"/>
  <c r="AA305" i="1"/>
  <c r="Z305" i="1"/>
  <c r="AG305" i="1" s="1"/>
  <c r="V305" i="1"/>
  <c r="U305" i="1"/>
  <c r="T305" i="1"/>
  <c r="S305" i="1"/>
  <c r="R305" i="1"/>
  <c r="O305" i="1"/>
  <c r="AD305" i="1" s="1"/>
  <c r="AI305" i="1" s="1"/>
  <c r="K305" i="1"/>
  <c r="AH304" i="1"/>
  <c r="AG304" i="1"/>
  <c r="AE304" i="1"/>
  <c r="AA304" i="1"/>
  <c r="Z304" i="1"/>
  <c r="V304" i="1"/>
  <c r="U304" i="1"/>
  <c r="T304" i="1"/>
  <c r="S304" i="1"/>
  <c r="R304" i="1"/>
  <c r="AF304" i="1" s="1"/>
  <c r="O304" i="1"/>
  <c r="AD304" i="1" s="1"/>
  <c r="AI304" i="1" s="1"/>
  <c r="AH303" i="1"/>
  <c r="AE303" i="1"/>
  <c r="AA303" i="1"/>
  <c r="Z303" i="1"/>
  <c r="AG303" i="1" s="1"/>
  <c r="V303" i="1"/>
  <c r="U303" i="1"/>
  <c r="T303" i="1"/>
  <c r="S303" i="1"/>
  <c r="R303" i="1"/>
  <c r="AF303" i="1" s="1"/>
  <c r="O303" i="1"/>
  <c r="AD303" i="1" s="1"/>
  <c r="K303" i="1"/>
  <c r="AH302" i="1"/>
  <c r="AF302" i="1"/>
  <c r="AE302" i="1"/>
  <c r="AA302" i="1"/>
  <c r="Z302" i="1"/>
  <c r="AG302" i="1" s="1"/>
  <c r="V302" i="1"/>
  <c r="U302" i="1"/>
  <c r="T302" i="1"/>
  <c r="S302" i="1"/>
  <c r="R302" i="1"/>
  <c r="O302" i="1"/>
  <c r="AD302" i="1" s="1"/>
  <c r="AI302" i="1" s="1"/>
  <c r="K302" i="1"/>
  <c r="AH301" i="1"/>
  <c r="AG301" i="1"/>
  <c r="AE301" i="1"/>
  <c r="AA301" i="1"/>
  <c r="Z301" i="1"/>
  <c r="V301" i="1"/>
  <c r="U301" i="1"/>
  <c r="T301" i="1"/>
  <c r="S301" i="1"/>
  <c r="R301" i="1"/>
  <c r="AF301" i="1" s="1"/>
  <c r="O301" i="1"/>
  <c r="AD301" i="1" s="1"/>
  <c r="AI301" i="1" s="1"/>
  <c r="K301" i="1"/>
  <c r="AH300" i="1"/>
  <c r="AG300" i="1"/>
  <c r="AE300" i="1"/>
  <c r="AD300" i="1"/>
  <c r="AA300" i="1"/>
  <c r="Z300" i="1"/>
  <c r="U300" i="1"/>
  <c r="T300" i="1"/>
  <c r="S300" i="1"/>
  <c r="Q300" i="1"/>
  <c r="R300" i="1" s="1"/>
  <c r="AF300" i="1" s="1"/>
  <c r="O300" i="1"/>
  <c r="K300" i="1"/>
  <c r="V300" i="1" s="1"/>
  <c r="AH299" i="1"/>
  <c r="AG299" i="1"/>
  <c r="AE299" i="1"/>
  <c r="AD299" i="1"/>
  <c r="AA299" i="1"/>
  <c r="Z299" i="1"/>
  <c r="U299" i="1"/>
  <c r="T299" i="1"/>
  <c r="S299" i="1"/>
  <c r="Q299" i="1"/>
  <c r="R299" i="1" s="1"/>
  <c r="AF299" i="1" s="1"/>
  <c r="O299" i="1"/>
  <c r="K299" i="1"/>
  <c r="V299" i="1" s="1"/>
  <c r="AH298" i="1"/>
  <c r="AE298" i="1"/>
  <c r="AA298" i="1"/>
  <c r="Z298" i="1"/>
  <c r="AG298" i="1" s="1"/>
  <c r="U298" i="1"/>
  <c r="T298" i="1"/>
  <c r="S298" i="1"/>
  <c r="Q298" i="1"/>
  <c r="R298" i="1" s="1"/>
  <c r="AF298" i="1" s="1"/>
  <c r="O298" i="1"/>
  <c r="AD298" i="1" s="1"/>
  <c r="AI298" i="1" s="1"/>
  <c r="K298" i="1"/>
  <c r="V298" i="1" s="1"/>
  <c r="AH297" i="1"/>
  <c r="AE297" i="1"/>
  <c r="AA297" i="1"/>
  <c r="Z297" i="1"/>
  <c r="AG297" i="1" s="1"/>
  <c r="U297" i="1"/>
  <c r="T297" i="1"/>
  <c r="S297" i="1"/>
  <c r="Q297" i="1"/>
  <c r="R297" i="1" s="1"/>
  <c r="AF297" i="1" s="1"/>
  <c r="O297" i="1"/>
  <c r="AD297" i="1" s="1"/>
  <c r="AI297" i="1" s="1"/>
  <c r="K297" i="1"/>
  <c r="V297" i="1" s="1"/>
  <c r="AH296" i="1"/>
  <c r="AG296" i="1"/>
  <c r="AE296" i="1"/>
  <c r="AD296" i="1"/>
  <c r="AA296" i="1"/>
  <c r="Z296" i="1"/>
  <c r="U296" i="1"/>
  <c r="T296" i="1"/>
  <c r="S296" i="1"/>
  <c r="Q296" i="1"/>
  <c r="R296" i="1" s="1"/>
  <c r="AF296" i="1" s="1"/>
  <c r="O296" i="1"/>
  <c r="K296" i="1"/>
  <c r="V296" i="1" s="1"/>
  <c r="AH295" i="1"/>
  <c r="AG295" i="1"/>
  <c r="AE295" i="1"/>
  <c r="AD295" i="1"/>
  <c r="AA295" i="1"/>
  <c r="Z295" i="1"/>
  <c r="U295" i="1"/>
  <c r="T295" i="1"/>
  <c r="S295" i="1"/>
  <c r="Q295" i="1"/>
  <c r="R295" i="1" s="1"/>
  <c r="AF295" i="1" s="1"/>
  <c r="O295" i="1"/>
  <c r="K295" i="1"/>
  <c r="V295" i="1" s="1"/>
  <c r="AH294" i="1"/>
  <c r="AE294" i="1"/>
  <c r="AA294" i="1"/>
  <c r="Z294" i="1"/>
  <c r="AG294" i="1" s="1"/>
  <c r="U294" i="1"/>
  <c r="T294" i="1"/>
  <c r="S294" i="1"/>
  <c r="Q294" i="1"/>
  <c r="R294" i="1" s="1"/>
  <c r="AF294" i="1" s="1"/>
  <c r="O294" i="1"/>
  <c r="AD294" i="1" s="1"/>
  <c r="AI294" i="1" s="1"/>
  <c r="K294" i="1"/>
  <c r="V294" i="1" s="1"/>
  <c r="AH293" i="1"/>
  <c r="AE293" i="1"/>
  <c r="AA293" i="1"/>
  <c r="Z293" i="1"/>
  <c r="AG293" i="1" s="1"/>
  <c r="U293" i="1"/>
  <c r="T293" i="1"/>
  <c r="S293" i="1"/>
  <c r="Q293" i="1"/>
  <c r="R293" i="1" s="1"/>
  <c r="AF293" i="1" s="1"/>
  <c r="O293" i="1"/>
  <c r="AD293" i="1" s="1"/>
  <c r="K293" i="1"/>
  <c r="V293" i="1" s="1"/>
  <c r="AH292" i="1"/>
  <c r="AG292" i="1"/>
  <c r="AE292" i="1"/>
  <c r="AD292" i="1"/>
  <c r="AA292" i="1"/>
  <c r="Z292" i="1"/>
  <c r="U292" i="1"/>
  <c r="T292" i="1"/>
  <c r="S292" i="1"/>
  <c r="Q292" i="1"/>
  <c r="R292" i="1" s="1"/>
  <c r="AF292" i="1" s="1"/>
  <c r="O292" i="1"/>
  <c r="K292" i="1"/>
  <c r="V292" i="1" s="1"/>
  <c r="AH291" i="1"/>
  <c r="AG291" i="1"/>
  <c r="AF291" i="1"/>
  <c r="AE291" i="1"/>
  <c r="AA291" i="1"/>
  <c r="Z291" i="1"/>
  <c r="V291" i="1"/>
  <c r="U291" i="1"/>
  <c r="T291" i="1"/>
  <c r="S291" i="1"/>
  <c r="R291" i="1"/>
  <c r="O291" i="1"/>
  <c r="AD291" i="1" s="1"/>
  <c r="AI291" i="1" s="1"/>
  <c r="AH290" i="1"/>
  <c r="AE290" i="1"/>
  <c r="AD290" i="1"/>
  <c r="AA290" i="1"/>
  <c r="Z290" i="1"/>
  <c r="AG290" i="1" s="1"/>
  <c r="V290" i="1"/>
  <c r="U290" i="1"/>
  <c r="T290" i="1"/>
  <c r="S290" i="1"/>
  <c r="R290" i="1"/>
  <c r="AF290" i="1" s="1"/>
  <c r="Q290" i="1"/>
  <c r="O290" i="1"/>
  <c r="K290" i="1"/>
  <c r="AH289" i="1"/>
  <c r="AE289" i="1"/>
  <c r="AD289" i="1"/>
  <c r="AA289" i="1"/>
  <c r="Z289" i="1"/>
  <c r="AG289" i="1" s="1"/>
  <c r="V289" i="1"/>
  <c r="U289" i="1"/>
  <c r="T289" i="1"/>
  <c r="S289" i="1"/>
  <c r="Q289" i="1"/>
  <c r="R289" i="1" s="1"/>
  <c r="AF289" i="1" s="1"/>
  <c r="AI289" i="1" s="1"/>
  <c r="O289" i="1"/>
  <c r="K289" i="1"/>
  <c r="AH288" i="1"/>
  <c r="AE288" i="1"/>
  <c r="AD288" i="1"/>
  <c r="AI288" i="1" s="1"/>
  <c r="AA288" i="1"/>
  <c r="Z288" i="1"/>
  <c r="AG288" i="1" s="1"/>
  <c r="U288" i="1"/>
  <c r="T288" i="1"/>
  <c r="S288" i="1"/>
  <c r="Q288" i="1"/>
  <c r="R288" i="1" s="1"/>
  <c r="AF288" i="1" s="1"/>
  <c r="O288" i="1"/>
  <c r="K288" i="1"/>
  <c r="V288" i="1" s="1"/>
  <c r="AH287" i="1"/>
  <c r="AF287" i="1"/>
  <c r="AE287" i="1"/>
  <c r="AD287" i="1"/>
  <c r="AI287" i="1" s="1"/>
  <c r="AA287" i="1"/>
  <c r="Z287" i="1"/>
  <c r="AG287" i="1" s="1"/>
  <c r="U287" i="1"/>
  <c r="T287" i="1"/>
  <c r="S287" i="1"/>
  <c r="R287" i="1"/>
  <c r="Q287" i="1"/>
  <c r="O287" i="1"/>
  <c r="K287" i="1"/>
  <c r="V287" i="1" s="1"/>
  <c r="AH286" i="1"/>
  <c r="AE286" i="1"/>
  <c r="AD286" i="1"/>
  <c r="AI286" i="1" s="1"/>
  <c r="AA286" i="1"/>
  <c r="Z286" i="1"/>
  <c r="AG286" i="1" s="1"/>
  <c r="V286" i="1"/>
  <c r="U286" i="1"/>
  <c r="T286" i="1"/>
  <c r="S286" i="1"/>
  <c r="R286" i="1"/>
  <c r="AF286" i="1" s="1"/>
  <c r="Q286" i="1"/>
  <c r="O286" i="1"/>
  <c r="K286" i="1"/>
  <c r="AH285" i="1"/>
  <c r="AE285" i="1"/>
  <c r="AD285" i="1"/>
  <c r="AI285" i="1" s="1"/>
  <c r="AA285" i="1"/>
  <c r="Z285" i="1"/>
  <c r="AG285" i="1" s="1"/>
  <c r="V285" i="1"/>
  <c r="U285" i="1"/>
  <c r="T285" i="1"/>
  <c r="S285" i="1"/>
  <c r="Q285" i="1"/>
  <c r="R285" i="1" s="1"/>
  <c r="AF285" i="1" s="1"/>
  <c r="O285" i="1"/>
  <c r="K285" i="1"/>
  <c r="AH284" i="1"/>
  <c r="AE284" i="1"/>
  <c r="AA284" i="1"/>
  <c r="Z284" i="1"/>
  <c r="AG284" i="1" s="1"/>
  <c r="V284" i="1"/>
  <c r="U284" i="1"/>
  <c r="T284" i="1"/>
  <c r="S284" i="1"/>
  <c r="R284" i="1"/>
  <c r="AF284" i="1" s="1"/>
  <c r="O284" i="1"/>
  <c r="AD284" i="1" s="1"/>
  <c r="AI284" i="1" s="1"/>
  <c r="K284" i="1"/>
  <c r="AH283" i="1"/>
  <c r="AG283" i="1"/>
  <c r="AE283" i="1"/>
  <c r="AA283" i="1"/>
  <c r="Z283" i="1"/>
  <c r="V283" i="1"/>
  <c r="U283" i="1"/>
  <c r="T283" i="1"/>
  <c r="S283" i="1"/>
  <c r="R283" i="1"/>
  <c r="AF283" i="1" s="1"/>
  <c r="O283" i="1"/>
  <c r="AD283" i="1" s="1"/>
  <c r="AI283" i="1" s="1"/>
  <c r="K283" i="1"/>
  <c r="AH282" i="1"/>
  <c r="AG282" i="1"/>
  <c r="AF282" i="1"/>
  <c r="AE282" i="1"/>
  <c r="AD282" i="1"/>
  <c r="AA282" i="1"/>
  <c r="Z282" i="1"/>
  <c r="U282" i="1"/>
  <c r="T282" i="1"/>
  <c r="S282" i="1"/>
  <c r="R282" i="1"/>
  <c r="O282" i="1"/>
  <c r="K282" i="1"/>
  <c r="V282" i="1" s="1"/>
  <c r="AH281" i="1"/>
  <c r="AE281" i="1"/>
  <c r="AA281" i="1"/>
  <c r="Z281" i="1"/>
  <c r="AG281" i="1" s="1"/>
  <c r="V281" i="1"/>
  <c r="U281" i="1"/>
  <c r="T281" i="1"/>
  <c r="S281" i="1"/>
  <c r="R281" i="1"/>
  <c r="AF281" i="1" s="1"/>
  <c r="O281" i="1"/>
  <c r="AD281" i="1" s="1"/>
  <c r="AI281" i="1" s="1"/>
  <c r="K281" i="1"/>
  <c r="AH280" i="1"/>
  <c r="AF280" i="1"/>
  <c r="AE280" i="1"/>
  <c r="AA280" i="1"/>
  <c r="Z280" i="1"/>
  <c r="AG280" i="1" s="1"/>
  <c r="V280" i="1"/>
  <c r="U280" i="1"/>
  <c r="T280" i="1"/>
  <c r="S280" i="1"/>
  <c r="R280" i="1"/>
  <c r="O280" i="1"/>
  <c r="AD280" i="1" s="1"/>
  <c r="AI280" i="1" s="1"/>
  <c r="K280" i="1"/>
  <c r="AH279" i="1"/>
  <c r="AG279" i="1"/>
  <c r="AE279" i="1"/>
  <c r="AA279" i="1"/>
  <c r="Z279" i="1"/>
  <c r="V279" i="1"/>
  <c r="U279" i="1"/>
  <c r="T279" i="1"/>
  <c r="S279" i="1"/>
  <c r="R279" i="1"/>
  <c r="AF279" i="1" s="1"/>
  <c r="O279" i="1"/>
  <c r="AD279" i="1" s="1"/>
  <c r="AI279" i="1" s="1"/>
  <c r="K279" i="1"/>
  <c r="AH278" i="1"/>
  <c r="AF278" i="1"/>
  <c r="AE278" i="1"/>
  <c r="AA278" i="1"/>
  <c r="Z278" i="1"/>
  <c r="AG278" i="1" s="1"/>
  <c r="V278" i="1"/>
  <c r="U278" i="1"/>
  <c r="T278" i="1"/>
  <c r="S278" i="1"/>
  <c r="R278" i="1"/>
  <c r="O278" i="1"/>
  <c r="AD278" i="1" s="1"/>
  <c r="AI278" i="1" s="1"/>
  <c r="AH277" i="1"/>
  <c r="AE277" i="1"/>
  <c r="AA277" i="1"/>
  <c r="Z277" i="1"/>
  <c r="AG277" i="1" s="1"/>
  <c r="V277" i="1"/>
  <c r="U277" i="1"/>
  <c r="T277" i="1"/>
  <c r="S277" i="1"/>
  <c r="R277" i="1"/>
  <c r="AF277" i="1" s="1"/>
  <c r="O277" i="1"/>
  <c r="AD277" i="1" s="1"/>
  <c r="AH276" i="1"/>
  <c r="AE276" i="1"/>
  <c r="AD276" i="1"/>
  <c r="AA276" i="1"/>
  <c r="Z276" i="1"/>
  <c r="AG276" i="1" s="1"/>
  <c r="U276" i="1"/>
  <c r="T276" i="1"/>
  <c r="S276" i="1"/>
  <c r="Q276" i="1"/>
  <c r="R276" i="1" s="1"/>
  <c r="AF276" i="1" s="1"/>
  <c r="O276" i="1"/>
  <c r="K276" i="1"/>
  <c r="V276" i="1" s="1"/>
  <c r="AH275" i="1"/>
  <c r="AE275" i="1"/>
  <c r="AA275" i="1"/>
  <c r="Z275" i="1"/>
  <c r="AG275" i="1" s="1"/>
  <c r="U275" i="1"/>
  <c r="T275" i="1"/>
  <c r="S275" i="1"/>
  <c r="Q275" i="1"/>
  <c r="R275" i="1" s="1"/>
  <c r="AF275" i="1" s="1"/>
  <c r="O275" i="1"/>
  <c r="AD275" i="1" s="1"/>
  <c r="K275" i="1"/>
  <c r="V275" i="1" s="1"/>
  <c r="AH274" i="1"/>
  <c r="AE274" i="1"/>
  <c r="AA274" i="1"/>
  <c r="Z274" i="1"/>
  <c r="AG274" i="1" s="1"/>
  <c r="U274" i="1"/>
  <c r="T274" i="1"/>
  <c r="S274" i="1"/>
  <c r="Q274" i="1"/>
  <c r="R274" i="1" s="1"/>
  <c r="AF274" i="1" s="1"/>
  <c r="O274" i="1"/>
  <c r="AD274" i="1" s="1"/>
  <c r="AI274" i="1" s="1"/>
  <c r="K274" i="1"/>
  <c r="V274" i="1" s="1"/>
  <c r="AH273" i="1"/>
  <c r="AG273" i="1"/>
  <c r="AE273" i="1"/>
  <c r="AD273" i="1"/>
  <c r="AA273" i="1"/>
  <c r="Z273" i="1"/>
  <c r="U273" i="1"/>
  <c r="T273" i="1"/>
  <c r="S273" i="1"/>
  <c r="Q273" i="1"/>
  <c r="R273" i="1" s="1"/>
  <c r="AF273" i="1" s="1"/>
  <c r="O273" i="1"/>
  <c r="K273" i="1"/>
  <c r="V273" i="1" s="1"/>
  <c r="AH272" i="1"/>
  <c r="AG272" i="1"/>
  <c r="AE272" i="1"/>
  <c r="AD272" i="1"/>
  <c r="AA272" i="1"/>
  <c r="Z272" i="1"/>
  <c r="U272" i="1"/>
  <c r="T272" i="1"/>
  <c r="S272" i="1"/>
  <c r="Q272" i="1"/>
  <c r="R272" i="1" s="1"/>
  <c r="AF272" i="1" s="1"/>
  <c r="O272" i="1"/>
  <c r="K272" i="1"/>
  <c r="V272" i="1" s="1"/>
  <c r="AH271" i="1"/>
  <c r="AE271" i="1"/>
  <c r="AA271" i="1"/>
  <c r="Z271" i="1"/>
  <c r="AG271" i="1" s="1"/>
  <c r="U271" i="1"/>
  <c r="T271" i="1"/>
  <c r="S271" i="1"/>
  <c r="Q271" i="1"/>
  <c r="R271" i="1" s="1"/>
  <c r="AF271" i="1" s="1"/>
  <c r="O271" i="1"/>
  <c r="AD271" i="1" s="1"/>
  <c r="K271" i="1"/>
  <c r="V271" i="1" s="1"/>
  <c r="AH270" i="1"/>
  <c r="AE270" i="1"/>
  <c r="AA270" i="1"/>
  <c r="Z270" i="1"/>
  <c r="AG270" i="1" s="1"/>
  <c r="U270" i="1"/>
  <c r="T270" i="1"/>
  <c r="S270" i="1"/>
  <c r="Q270" i="1"/>
  <c r="R270" i="1" s="1"/>
  <c r="AF270" i="1" s="1"/>
  <c r="O270" i="1"/>
  <c r="AD270" i="1" s="1"/>
  <c r="AI270" i="1" s="1"/>
  <c r="K270" i="1"/>
  <c r="V270" i="1" s="1"/>
  <c r="AH269" i="1"/>
  <c r="AG269" i="1"/>
  <c r="AE269" i="1"/>
  <c r="AD269" i="1"/>
  <c r="AA269" i="1"/>
  <c r="Z269" i="1"/>
  <c r="U269" i="1"/>
  <c r="T269" i="1"/>
  <c r="S269" i="1"/>
  <c r="Q269" i="1"/>
  <c r="R269" i="1" s="1"/>
  <c r="AF269" i="1" s="1"/>
  <c r="O269" i="1"/>
  <c r="K269" i="1"/>
  <c r="V269" i="1" s="1"/>
  <c r="AH268" i="1"/>
  <c r="AE268" i="1"/>
  <c r="AD268" i="1"/>
  <c r="AA268" i="1"/>
  <c r="Z268" i="1"/>
  <c r="AG268" i="1" s="1"/>
  <c r="U268" i="1"/>
  <c r="T268" i="1"/>
  <c r="S268" i="1"/>
  <c r="Q268" i="1"/>
  <c r="R268" i="1" s="1"/>
  <c r="AF268" i="1" s="1"/>
  <c r="O268" i="1"/>
  <c r="K268" i="1"/>
  <c r="V268" i="1" s="1"/>
  <c r="AH267" i="1"/>
  <c r="AE267" i="1"/>
  <c r="AA267" i="1"/>
  <c r="Z267" i="1"/>
  <c r="AG267" i="1" s="1"/>
  <c r="U267" i="1"/>
  <c r="T267" i="1"/>
  <c r="S267" i="1"/>
  <c r="Q267" i="1"/>
  <c r="R267" i="1" s="1"/>
  <c r="AF267" i="1" s="1"/>
  <c r="O267" i="1"/>
  <c r="AD267" i="1" s="1"/>
  <c r="AI267" i="1" s="1"/>
  <c r="K267" i="1"/>
  <c r="V267" i="1" s="1"/>
  <c r="AH266" i="1"/>
  <c r="AE266" i="1"/>
  <c r="AA266" i="1"/>
  <c r="Z266" i="1"/>
  <c r="AG266" i="1" s="1"/>
  <c r="U266" i="1"/>
  <c r="T266" i="1"/>
  <c r="S266" i="1"/>
  <c r="Q266" i="1"/>
  <c r="R266" i="1" s="1"/>
  <c r="AF266" i="1" s="1"/>
  <c r="O266" i="1"/>
  <c r="AD266" i="1" s="1"/>
  <c r="K266" i="1"/>
  <c r="V266" i="1" s="1"/>
  <c r="AH265" i="1"/>
  <c r="AG265" i="1"/>
  <c r="AE265" i="1"/>
  <c r="AD265" i="1"/>
  <c r="AA265" i="1"/>
  <c r="Z265" i="1"/>
  <c r="U265" i="1"/>
  <c r="T265" i="1"/>
  <c r="S265" i="1"/>
  <c r="Q265" i="1"/>
  <c r="R265" i="1" s="1"/>
  <c r="AF265" i="1" s="1"/>
  <c r="O265" i="1"/>
  <c r="K265" i="1"/>
  <c r="V265" i="1" s="1"/>
  <c r="AH264" i="1"/>
  <c r="AF264" i="1"/>
  <c r="AE264" i="1"/>
  <c r="AA264" i="1"/>
  <c r="Z264" i="1"/>
  <c r="AG264" i="1" s="1"/>
  <c r="V264" i="1"/>
  <c r="U264" i="1"/>
  <c r="T264" i="1"/>
  <c r="S264" i="1"/>
  <c r="R264" i="1"/>
  <c r="O264" i="1"/>
  <c r="AD264" i="1" s="1"/>
  <c r="AH263" i="1"/>
  <c r="AE263" i="1"/>
  <c r="AA263" i="1"/>
  <c r="Z263" i="1"/>
  <c r="AG263" i="1" s="1"/>
  <c r="V263" i="1"/>
  <c r="U263" i="1"/>
  <c r="T263" i="1"/>
  <c r="S263" i="1"/>
  <c r="R263" i="1"/>
  <c r="AF263" i="1" s="1"/>
  <c r="O263" i="1"/>
  <c r="AD263" i="1" s="1"/>
  <c r="AI263" i="1" s="1"/>
  <c r="AH262" i="1"/>
  <c r="AF262" i="1"/>
  <c r="AE262" i="1"/>
  <c r="AA262" i="1"/>
  <c r="Z262" i="1"/>
  <c r="AG262" i="1" s="1"/>
  <c r="V262" i="1"/>
  <c r="U262" i="1"/>
  <c r="T262" i="1"/>
  <c r="S262" i="1"/>
  <c r="R262" i="1"/>
  <c r="O262" i="1"/>
  <c r="AD262" i="1" s="1"/>
  <c r="AI262" i="1" s="1"/>
  <c r="AH261" i="1"/>
  <c r="AE261" i="1"/>
  <c r="AA261" i="1"/>
  <c r="Z261" i="1"/>
  <c r="AG261" i="1" s="1"/>
  <c r="V261" i="1"/>
  <c r="U261" i="1"/>
  <c r="T261" i="1"/>
  <c r="S261" i="1"/>
  <c r="R261" i="1"/>
  <c r="AF261" i="1" s="1"/>
  <c r="O261" i="1"/>
  <c r="AD261" i="1" s="1"/>
  <c r="K261" i="1"/>
  <c r="AH260" i="1"/>
  <c r="AG260" i="1"/>
  <c r="AE260" i="1"/>
  <c r="AA260" i="1"/>
  <c r="Z260" i="1"/>
  <c r="V260" i="1"/>
  <c r="U260" i="1"/>
  <c r="T260" i="1"/>
  <c r="S260" i="1"/>
  <c r="R260" i="1"/>
  <c r="AF260" i="1" s="1"/>
  <c r="O260" i="1"/>
  <c r="AD260" i="1" s="1"/>
  <c r="AI260" i="1" s="1"/>
  <c r="K260" i="1"/>
  <c r="AH259" i="1"/>
  <c r="AG259" i="1"/>
  <c r="AF259" i="1"/>
  <c r="AE259" i="1"/>
  <c r="AD259" i="1"/>
  <c r="AA259" i="1"/>
  <c r="Z259" i="1"/>
  <c r="U259" i="1"/>
  <c r="T259" i="1"/>
  <c r="S259" i="1"/>
  <c r="R259" i="1"/>
  <c r="O259" i="1"/>
  <c r="K259" i="1"/>
  <c r="V259" i="1" s="1"/>
  <c r="AH258" i="1"/>
  <c r="AE258" i="1"/>
  <c r="AA258" i="1"/>
  <c r="Z258" i="1"/>
  <c r="AG258" i="1" s="1"/>
  <c r="V258" i="1"/>
  <c r="U258" i="1"/>
  <c r="T258" i="1"/>
  <c r="S258" i="1"/>
  <c r="R258" i="1"/>
  <c r="AF258" i="1" s="1"/>
  <c r="O258" i="1"/>
  <c r="AD258" i="1" s="1"/>
  <c r="K258" i="1"/>
  <c r="AH257" i="1"/>
  <c r="AF257" i="1"/>
  <c r="AE257" i="1"/>
  <c r="AA257" i="1"/>
  <c r="Z257" i="1"/>
  <c r="AG257" i="1" s="1"/>
  <c r="V257" i="1"/>
  <c r="U257" i="1"/>
  <c r="T257" i="1"/>
  <c r="S257" i="1"/>
  <c r="R257" i="1"/>
  <c r="O257" i="1"/>
  <c r="AD257" i="1" s="1"/>
  <c r="AI257" i="1" s="1"/>
  <c r="K257" i="1"/>
  <c r="AH256" i="1"/>
  <c r="AG256" i="1"/>
  <c r="AE256" i="1"/>
  <c r="AA256" i="1"/>
  <c r="Z256" i="1"/>
  <c r="V256" i="1"/>
  <c r="U256" i="1"/>
  <c r="T256" i="1"/>
  <c r="S256" i="1"/>
  <c r="R256" i="1"/>
  <c r="AF256" i="1" s="1"/>
  <c r="O256" i="1"/>
  <c r="AD256" i="1" s="1"/>
  <c r="AI256" i="1" s="1"/>
  <c r="K256" i="1"/>
  <c r="AH255" i="1"/>
  <c r="AF255" i="1"/>
  <c r="AE255" i="1"/>
  <c r="AA255" i="1"/>
  <c r="Z255" i="1"/>
  <c r="AG255" i="1" s="1"/>
  <c r="V255" i="1"/>
  <c r="U255" i="1"/>
  <c r="T255" i="1"/>
  <c r="S255" i="1"/>
  <c r="R255" i="1"/>
  <c r="O255" i="1"/>
  <c r="AD255" i="1" s="1"/>
  <c r="AH254" i="1"/>
  <c r="AE254" i="1"/>
  <c r="AD254" i="1"/>
  <c r="AI254" i="1" s="1"/>
  <c r="AA254" i="1"/>
  <c r="Z254" i="1"/>
  <c r="AG254" i="1" s="1"/>
  <c r="V254" i="1"/>
  <c r="U254" i="1"/>
  <c r="T254" i="1"/>
  <c r="S254" i="1"/>
  <c r="Q254" i="1"/>
  <c r="R254" i="1" s="1"/>
  <c r="AF254" i="1" s="1"/>
  <c r="O254" i="1"/>
  <c r="K254" i="1"/>
  <c r="AH253" i="1"/>
  <c r="AE253" i="1"/>
  <c r="AD253" i="1"/>
  <c r="AI253" i="1" s="1"/>
  <c r="AA253" i="1"/>
  <c r="Z253" i="1"/>
  <c r="AG253" i="1" s="1"/>
  <c r="U253" i="1"/>
  <c r="T253" i="1"/>
  <c r="S253" i="1"/>
  <c r="Q253" i="1"/>
  <c r="R253" i="1" s="1"/>
  <c r="AF253" i="1" s="1"/>
  <c r="O253" i="1"/>
  <c r="K253" i="1"/>
  <c r="V253" i="1" s="1"/>
  <c r="AH252" i="1"/>
  <c r="AE252" i="1"/>
  <c r="AD252" i="1"/>
  <c r="AI252" i="1" s="1"/>
  <c r="AA252" i="1"/>
  <c r="Z252" i="1"/>
  <c r="AG252" i="1" s="1"/>
  <c r="V252" i="1"/>
  <c r="U252" i="1"/>
  <c r="T252" i="1"/>
  <c r="S252" i="1"/>
  <c r="R252" i="1"/>
  <c r="AF252" i="1" s="1"/>
  <c r="Q252" i="1"/>
  <c r="O252" i="1"/>
  <c r="K252" i="1"/>
  <c r="AH251" i="1"/>
  <c r="AE251" i="1"/>
  <c r="AA251" i="1"/>
  <c r="Z251" i="1"/>
  <c r="AG251" i="1" s="1"/>
  <c r="V251" i="1"/>
  <c r="U251" i="1"/>
  <c r="T251" i="1"/>
  <c r="S251" i="1"/>
  <c r="R251" i="1"/>
  <c r="AF251" i="1" s="1"/>
  <c r="O251" i="1"/>
  <c r="AD251" i="1" s="1"/>
  <c r="AI251" i="1" s="1"/>
  <c r="K251" i="1"/>
  <c r="AH250" i="1"/>
  <c r="AG250" i="1"/>
  <c r="AE250" i="1"/>
  <c r="AA250" i="1"/>
  <c r="Z250" i="1"/>
  <c r="U250" i="1"/>
  <c r="T250" i="1"/>
  <c r="S250" i="1"/>
  <c r="R250" i="1"/>
  <c r="AF250" i="1" s="1"/>
  <c r="O250" i="1"/>
  <c r="AD250" i="1" s="1"/>
  <c r="AI250" i="1" s="1"/>
  <c r="K250" i="1"/>
  <c r="V250" i="1" s="1"/>
  <c r="AH249" i="1"/>
  <c r="AF249" i="1"/>
  <c r="AE249" i="1"/>
  <c r="AD249" i="1"/>
  <c r="AA249" i="1"/>
  <c r="Z249" i="1"/>
  <c r="AG249" i="1" s="1"/>
  <c r="U249" i="1"/>
  <c r="T249" i="1"/>
  <c r="S249" i="1"/>
  <c r="R249" i="1"/>
  <c r="O249" i="1"/>
  <c r="K249" i="1"/>
  <c r="V249" i="1" s="1"/>
  <c r="AH248" i="1"/>
  <c r="AE248" i="1"/>
  <c r="AA248" i="1"/>
  <c r="Z248" i="1"/>
  <c r="AG248" i="1" s="1"/>
  <c r="V248" i="1"/>
  <c r="U248" i="1"/>
  <c r="T248" i="1"/>
  <c r="S248" i="1"/>
  <c r="R248" i="1"/>
  <c r="AF248" i="1" s="1"/>
  <c r="Q248" i="1"/>
  <c r="O248" i="1"/>
  <c r="AD248" i="1" s="1"/>
  <c r="K248" i="1"/>
  <c r="AH247" i="1"/>
  <c r="AE247" i="1"/>
  <c r="AA247" i="1"/>
  <c r="Z247" i="1"/>
  <c r="AG247" i="1" s="1"/>
  <c r="V247" i="1"/>
  <c r="U247" i="1"/>
  <c r="T247" i="1"/>
  <c r="S247" i="1"/>
  <c r="R247" i="1"/>
  <c r="AF247" i="1" s="1"/>
  <c r="Q247" i="1"/>
  <c r="O247" i="1"/>
  <c r="AD247" i="1" s="1"/>
  <c r="K247" i="1"/>
  <c r="AH246" i="1"/>
  <c r="AE246" i="1"/>
  <c r="AA246" i="1"/>
  <c r="Z246" i="1"/>
  <c r="AG246" i="1" s="1"/>
  <c r="U246" i="1"/>
  <c r="T246" i="1"/>
  <c r="S246" i="1"/>
  <c r="R246" i="1"/>
  <c r="AF246" i="1" s="1"/>
  <c r="Q246" i="1"/>
  <c r="O246" i="1"/>
  <c r="AD246" i="1" s="1"/>
  <c r="K246" i="1"/>
  <c r="V246" i="1" s="1"/>
  <c r="AH245" i="1"/>
  <c r="AE245" i="1"/>
  <c r="AA245" i="1"/>
  <c r="Z245" i="1"/>
  <c r="AG245" i="1" s="1"/>
  <c r="U245" i="1"/>
  <c r="T245" i="1"/>
  <c r="S245" i="1"/>
  <c r="R245" i="1"/>
  <c r="AF245" i="1" s="1"/>
  <c r="Q245" i="1"/>
  <c r="O245" i="1"/>
  <c r="AD245" i="1" s="1"/>
  <c r="AI245" i="1" s="1"/>
  <c r="K245" i="1"/>
  <c r="V245" i="1" s="1"/>
  <c r="AH244" i="1"/>
  <c r="AE244" i="1"/>
  <c r="AI244" i="1" s="1"/>
  <c r="AA244" i="1"/>
  <c r="Z244" i="1"/>
  <c r="AG244" i="1" s="1"/>
  <c r="V244" i="1"/>
  <c r="U244" i="1"/>
  <c r="T244" i="1"/>
  <c r="S244" i="1"/>
  <c r="R244" i="1"/>
  <c r="AF244" i="1" s="1"/>
  <c r="Q244" i="1"/>
  <c r="O244" i="1"/>
  <c r="AD244" i="1" s="1"/>
  <c r="K244" i="1"/>
  <c r="AH243" i="1"/>
  <c r="AE243" i="1"/>
  <c r="AI243" i="1" s="1"/>
  <c r="AA243" i="1"/>
  <c r="Z243" i="1"/>
  <c r="AG243" i="1" s="1"/>
  <c r="V243" i="1"/>
  <c r="U243" i="1"/>
  <c r="T243" i="1"/>
  <c r="S243" i="1"/>
  <c r="R243" i="1"/>
  <c r="AF243" i="1" s="1"/>
  <c r="Q243" i="1"/>
  <c r="O243" i="1"/>
  <c r="AD243" i="1" s="1"/>
  <c r="K243" i="1"/>
  <c r="AH242" i="1"/>
  <c r="AE242" i="1"/>
  <c r="AA242" i="1"/>
  <c r="Z242" i="1"/>
  <c r="AG242" i="1" s="1"/>
  <c r="V242" i="1"/>
  <c r="U242" i="1"/>
  <c r="T242" i="1"/>
  <c r="S242" i="1"/>
  <c r="R242" i="1"/>
  <c r="AF242" i="1" s="1"/>
  <c r="O242" i="1"/>
  <c r="AD242" i="1" s="1"/>
  <c r="AI242" i="1" s="1"/>
  <c r="AH241" i="1"/>
  <c r="AG241" i="1"/>
  <c r="AE241" i="1"/>
  <c r="AD241" i="1"/>
  <c r="AI241" i="1" s="1"/>
  <c r="AA241" i="1"/>
  <c r="Z241" i="1"/>
  <c r="U241" i="1"/>
  <c r="T241" i="1"/>
  <c r="S241" i="1"/>
  <c r="Q241" i="1"/>
  <c r="R241" i="1" s="1"/>
  <c r="AF241" i="1" s="1"/>
  <c r="O241" i="1"/>
  <c r="M241" i="1"/>
  <c r="K241" i="1"/>
  <c r="V241" i="1" s="1"/>
  <c r="AH240" i="1"/>
  <c r="AE240" i="1"/>
  <c r="AD240" i="1"/>
  <c r="AI240" i="1" s="1"/>
  <c r="AA240" i="1"/>
  <c r="Z240" i="1"/>
  <c r="AG240" i="1" s="1"/>
  <c r="U240" i="1"/>
  <c r="T240" i="1"/>
  <c r="S240" i="1"/>
  <c r="Q240" i="1"/>
  <c r="R240" i="1" s="1"/>
  <c r="AF240" i="1" s="1"/>
  <c r="O240" i="1"/>
  <c r="M240" i="1"/>
  <c r="K240" i="1"/>
  <c r="V240" i="1" s="1"/>
  <c r="AH239" i="1"/>
  <c r="AE239" i="1"/>
  <c r="AA239" i="1"/>
  <c r="Z239" i="1"/>
  <c r="AG239" i="1" s="1"/>
  <c r="V239" i="1"/>
  <c r="U239" i="1"/>
  <c r="T239" i="1"/>
  <c r="S239" i="1"/>
  <c r="R239" i="1"/>
  <c r="AF239" i="1" s="1"/>
  <c r="Q239" i="1"/>
  <c r="O239" i="1"/>
  <c r="AD239" i="1" s="1"/>
  <c r="K239" i="1"/>
  <c r="AH238" i="1"/>
  <c r="AE238" i="1"/>
  <c r="AA238" i="1"/>
  <c r="Z238" i="1"/>
  <c r="AG238" i="1" s="1"/>
  <c r="U238" i="1"/>
  <c r="T238" i="1"/>
  <c r="S238" i="1"/>
  <c r="R238" i="1"/>
  <c r="AF238" i="1" s="1"/>
  <c r="O238" i="1"/>
  <c r="AD238" i="1" s="1"/>
  <c r="K238" i="1"/>
  <c r="V238" i="1" s="1"/>
  <c r="AH237" i="1"/>
  <c r="AE237" i="1"/>
  <c r="AA237" i="1"/>
  <c r="Z237" i="1"/>
  <c r="AG237" i="1" s="1"/>
  <c r="V237" i="1"/>
  <c r="U237" i="1"/>
  <c r="T237" i="1"/>
  <c r="S237" i="1"/>
  <c r="R237" i="1"/>
  <c r="AF237" i="1" s="1"/>
  <c r="O237" i="1"/>
  <c r="AD237" i="1" s="1"/>
  <c r="AI237" i="1" s="1"/>
  <c r="K237" i="1"/>
  <c r="AH236" i="1"/>
  <c r="AG236" i="1"/>
  <c r="AE236" i="1"/>
  <c r="AA236" i="1"/>
  <c r="Z236" i="1"/>
  <c r="U236" i="1"/>
  <c r="T236" i="1"/>
  <c r="S236" i="1"/>
  <c r="R236" i="1"/>
  <c r="AF236" i="1" s="1"/>
  <c r="O236" i="1"/>
  <c r="AD236" i="1" s="1"/>
  <c r="AI236" i="1" s="1"/>
  <c r="K236" i="1"/>
  <c r="V236" i="1" s="1"/>
  <c r="AH235" i="1"/>
  <c r="AE235" i="1"/>
  <c r="AA235" i="1"/>
  <c r="Z235" i="1"/>
  <c r="AG235" i="1" s="1"/>
  <c r="U235" i="1"/>
  <c r="T235" i="1"/>
  <c r="S235" i="1"/>
  <c r="Q235" i="1"/>
  <c r="R235" i="1" s="1"/>
  <c r="AF235" i="1" s="1"/>
  <c r="O235" i="1"/>
  <c r="AD235" i="1" s="1"/>
  <c r="K235" i="1"/>
  <c r="V235" i="1" s="1"/>
  <c r="AH234" i="1"/>
  <c r="AE234" i="1"/>
  <c r="AA234" i="1"/>
  <c r="Z234" i="1"/>
  <c r="AG234" i="1" s="1"/>
  <c r="U234" i="1"/>
  <c r="T234" i="1"/>
  <c r="S234" i="1"/>
  <c r="Q234" i="1"/>
  <c r="R234" i="1" s="1"/>
  <c r="AF234" i="1" s="1"/>
  <c r="O234" i="1"/>
  <c r="AD234" i="1" s="1"/>
  <c r="AI234" i="1" s="1"/>
  <c r="K234" i="1"/>
  <c r="V234" i="1" s="1"/>
  <c r="AH233" i="1"/>
  <c r="AG233" i="1"/>
  <c r="AE233" i="1"/>
  <c r="AD233" i="1"/>
  <c r="AA233" i="1"/>
  <c r="Z233" i="1"/>
  <c r="U233" i="1"/>
  <c r="T233" i="1"/>
  <c r="S233" i="1"/>
  <c r="Q233" i="1"/>
  <c r="R233" i="1" s="1"/>
  <c r="AF233" i="1" s="1"/>
  <c r="O233" i="1"/>
  <c r="K233" i="1"/>
  <c r="V233" i="1" s="1"/>
  <c r="AH232" i="1"/>
  <c r="AE232" i="1"/>
  <c r="AA232" i="1"/>
  <c r="Z232" i="1"/>
  <c r="AG232" i="1" s="1"/>
  <c r="V232" i="1"/>
  <c r="U232" i="1"/>
  <c r="T232" i="1"/>
  <c r="S232" i="1"/>
  <c r="R232" i="1"/>
  <c r="AF232" i="1" s="1"/>
  <c r="O232" i="1"/>
  <c r="AD232" i="1" s="1"/>
  <c r="AH231" i="1"/>
  <c r="AG231" i="1"/>
  <c r="AE231" i="1"/>
  <c r="AA231" i="1"/>
  <c r="Z231" i="1"/>
  <c r="U231" i="1"/>
  <c r="T231" i="1"/>
  <c r="S231" i="1"/>
  <c r="Q231" i="1"/>
  <c r="R231" i="1" s="1"/>
  <c r="AF231" i="1" s="1"/>
  <c r="O231" i="1"/>
  <c r="AD231" i="1" s="1"/>
  <c r="AI231" i="1" s="1"/>
  <c r="K231" i="1"/>
  <c r="V231" i="1" s="1"/>
  <c r="AH230" i="1"/>
  <c r="AG230" i="1"/>
  <c r="AE230" i="1"/>
  <c r="AA230" i="1"/>
  <c r="Z230" i="1"/>
  <c r="U230" i="1"/>
  <c r="T230" i="1"/>
  <c r="S230" i="1"/>
  <c r="Q230" i="1"/>
  <c r="R230" i="1" s="1"/>
  <c r="AF230" i="1" s="1"/>
  <c r="O230" i="1"/>
  <c r="AD230" i="1" s="1"/>
  <c r="AI230" i="1" s="1"/>
  <c r="K230" i="1"/>
  <c r="V230" i="1" s="1"/>
  <c r="AH229" i="1"/>
  <c r="AG229" i="1"/>
  <c r="AE229" i="1"/>
  <c r="AA229" i="1"/>
  <c r="Z229" i="1"/>
  <c r="U229" i="1"/>
  <c r="T229" i="1"/>
  <c r="S229" i="1"/>
  <c r="Q229" i="1"/>
  <c r="R229" i="1" s="1"/>
  <c r="AF229" i="1" s="1"/>
  <c r="O229" i="1"/>
  <c r="AD229" i="1" s="1"/>
  <c r="K229" i="1"/>
  <c r="V229" i="1" s="1"/>
  <c r="AH228" i="1"/>
  <c r="AG228" i="1"/>
  <c r="AE228" i="1"/>
  <c r="AA228" i="1"/>
  <c r="Z228" i="1"/>
  <c r="U228" i="1"/>
  <c r="T228" i="1"/>
  <c r="S228" i="1"/>
  <c r="Q228" i="1"/>
  <c r="R228" i="1" s="1"/>
  <c r="AF228" i="1" s="1"/>
  <c r="O228" i="1"/>
  <c r="AD228" i="1" s="1"/>
  <c r="K228" i="1"/>
  <c r="V228" i="1" s="1"/>
  <c r="AH227" i="1"/>
  <c r="AG227" i="1"/>
  <c r="AE227" i="1"/>
  <c r="AA227" i="1"/>
  <c r="Z227" i="1"/>
  <c r="U227" i="1"/>
  <c r="T227" i="1"/>
  <c r="S227" i="1"/>
  <c r="Q227" i="1"/>
  <c r="R227" i="1" s="1"/>
  <c r="AF227" i="1" s="1"/>
  <c r="O227" i="1"/>
  <c r="AD227" i="1" s="1"/>
  <c r="AI227" i="1" s="1"/>
  <c r="K227" i="1"/>
  <c r="V227" i="1" s="1"/>
  <c r="AH226" i="1"/>
  <c r="AG226" i="1"/>
  <c r="AE226" i="1"/>
  <c r="AA226" i="1"/>
  <c r="Z226" i="1"/>
  <c r="U226" i="1"/>
  <c r="T226" i="1"/>
  <c r="S226" i="1"/>
  <c r="Q226" i="1"/>
  <c r="R226" i="1" s="1"/>
  <c r="AF226" i="1" s="1"/>
  <c r="O226" i="1"/>
  <c r="AD226" i="1" s="1"/>
  <c r="AI226" i="1" s="1"/>
  <c r="K226" i="1"/>
  <c r="V226" i="1" s="1"/>
  <c r="AH225" i="1"/>
  <c r="AG225" i="1"/>
  <c r="AE225" i="1"/>
  <c r="AA225" i="1"/>
  <c r="Z225" i="1"/>
  <c r="U225" i="1"/>
  <c r="T225" i="1"/>
  <c r="S225" i="1"/>
  <c r="Q225" i="1"/>
  <c r="R225" i="1" s="1"/>
  <c r="AF225" i="1" s="1"/>
  <c r="O225" i="1"/>
  <c r="AD225" i="1" s="1"/>
  <c r="AI225" i="1" s="1"/>
  <c r="K225" i="1"/>
  <c r="V225" i="1" s="1"/>
  <c r="AH224" i="1"/>
  <c r="AG224" i="1"/>
  <c r="AE224" i="1"/>
  <c r="AA224" i="1"/>
  <c r="Z224" i="1"/>
  <c r="U224" i="1"/>
  <c r="T224" i="1"/>
  <c r="S224" i="1"/>
  <c r="Q224" i="1"/>
  <c r="R224" i="1" s="1"/>
  <c r="AF224" i="1" s="1"/>
  <c r="O224" i="1"/>
  <c r="AD224" i="1" s="1"/>
  <c r="K224" i="1"/>
  <c r="V224" i="1" s="1"/>
  <c r="AH223" i="1"/>
  <c r="AG223" i="1"/>
  <c r="AE223" i="1"/>
  <c r="AA223" i="1"/>
  <c r="Z223" i="1"/>
  <c r="U223" i="1"/>
  <c r="T223" i="1"/>
  <c r="S223" i="1"/>
  <c r="Q223" i="1"/>
  <c r="R223" i="1" s="1"/>
  <c r="AF223" i="1" s="1"/>
  <c r="O223" i="1"/>
  <c r="AD223" i="1" s="1"/>
  <c r="AI223" i="1" s="1"/>
  <c r="K223" i="1"/>
  <c r="V223" i="1" s="1"/>
  <c r="AH222" i="1"/>
  <c r="AG222" i="1"/>
  <c r="AE222" i="1"/>
  <c r="AA222" i="1"/>
  <c r="Z222" i="1"/>
  <c r="U222" i="1"/>
  <c r="T222" i="1"/>
  <c r="S222" i="1"/>
  <c r="Q222" i="1"/>
  <c r="R222" i="1" s="1"/>
  <c r="AF222" i="1" s="1"/>
  <c r="O222" i="1"/>
  <c r="AD222" i="1" s="1"/>
  <c r="AI222" i="1" s="1"/>
  <c r="K222" i="1"/>
  <c r="V222" i="1" s="1"/>
  <c r="AH221" i="1"/>
  <c r="AG221" i="1"/>
  <c r="AE221" i="1"/>
  <c r="AA221" i="1"/>
  <c r="Z221" i="1"/>
  <c r="U221" i="1"/>
  <c r="T221" i="1"/>
  <c r="S221" i="1"/>
  <c r="Q221" i="1"/>
  <c r="R221" i="1" s="1"/>
  <c r="AF221" i="1" s="1"/>
  <c r="O221" i="1"/>
  <c r="AD221" i="1" s="1"/>
  <c r="AI221" i="1" s="1"/>
  <c r="K221" i="1"/>
  <c r="V221" i="1" s="1"/>
  <c r="AH220" i="1"/>
  <c r="AG220" i="1"/>
  <c r="AE220" i="1"/>
  <c r="AA220" i="1"/>
  <c r="Z220" i="1"/>
  <c r="U220" i="1"/>
  <c r="T220" i="1"/>
  <c r="S220" i="1"/>
  <c r="Q220" i="1"/>
  <c r="R220" i="1" s="1"/>
  <c r="AF220" i="1" s="1"/>
  <c r="O220" i="1"/>
  <c r="AD220" i="1" s="1"/>
  <c r="K220" i="1"/>
  <c r="V220" i="1" s="1"/>
  <c r="AH219" i="1"/>
  <c r="AG219" i="1"/>
  <c r="AF219" i="1"/>
  <c r="AE219" i="1"/>
  <c r="AA219" i="1"/>
  <c r="Z219" i="1"/>
  <c r="U219" i="1"/>
  <c r="T219" i="1"/>
  <c r="S219" i="1"/>
  <c r="R219" i="1"/>
  <c r="O219" i="1"/>
  <c r="AD219" i="1" s="1"/>
  <c r="AI219" i="1" s="1"/>
  <c r="K219" i="1"/>
  <c r="V219" i="1" s="1"/>
  <c r="AH218" i="1"/>
  <c r="AF218" i="1"/>
  <c r="AE218" i="1"/>
  <c r="AA218" i="1"/>
  <c r="Z218" i="1"/>
  <c r="AG218" i="1" s="1"/>
  <c r="U218" i="1"/>
  <c r="T218" i="1"/>
  <c r="S218" i="1"/>
  <c r="R218" i="1"/>
  <c r="O218" i="1"/>
  <c r="AD218" i="1" s="1"/>
  <c r="AI218" i="1" s="1"/>
  <c r="K218" i="1"/>
  <c r="V218" i="1" s="1"/>
  <c r="AH217" i="1"/>
  <c r="AE217" i="1"/>
  <c r="AA217" i="1"/>
  <c r="Z217" i="1"/>
  <c r="AG217" i="1" s="1"/>
  <c r="V217" i="1"/>
  <c r="U217" i="1"/>
  <c r="T217" i="1"/>
  <c r="S217" i="1"/>
  <c r="R217" i="1"/>
  <c r="AF217" i="1" s="1"/>
  <c r="O217" i="1"/>
  <c r="AD217" i="1" s="1"/>
  <c r="AI217" i="1" s="1"/>
  <c r="K217" i="1"/>
  <c r="AH216" i="1"/>
  <c r="AG216" i="1"/>
  <c r="AE216" i="1"/>
  <c r="AD216" i="1"/>
  <c r="AI216" i="1" s="1"/>
  <c r="AA216" i="1"/>
  <c r="Z216" i="1"/>
  <c r="V216" i="1"/>
  <c r="U216" i="1"/>
  <c r="T216" i="1"/>
  <c r="S216" i="1"/>
  <c r="Q216" i="1"/>
  <c r="R216" i="1" s="1"/>
  <c r="AF216" i="1" s="1"/>
  <c r="O216" i="1"/>
  <c r="K216" i="1"/>
  <c r="AH215" i="1"/>
  <c r="AG215" i="1"/>
  <c r="AE215" i="1"/>
  <c r="AA215" i="1"/>
  <c r="Z215" i="1"/>
  <c r="V215" i="1"/>
  <c r="U215" i="1"/>
  <c r="T215" i="1"/>
  <c r="S215" i="1"/>
  <c r="R215" i="1"/>
  <c r="AF215" i="1" s="1"/>
  <c r="O215" i="1"/>
  <c r="AD215" i="1" s="1"/>
  <c r="AI215" i="1" s="1"/>
  <c r="K215" i="1"/>
  <c r="AH214" i="1"/>
  <c r="AG214" i="1"/>
  <c r="AE214" i="1"/>
  <c r="AA214" i="1"/>
  <c r="Z214" i="1"/>
  <c r="U214" i="1"/>
  <c r="T214" i="1"/>
  <c r="S214" i="1"/>
  <c r="Q214" i="1"/>
  <c r="R214" i="1" s="1"/>
  <c r="AF214" i="1" s="1"/>
  <c r="O214" i="1"/>
  <c r="AD214" i="1" s="1"/>
  <c r="AI214" i="1" s="1"/>
  <c r="K214" i="1"/>
  <c r="V214" i="1" s="1"/>
  <c r="AH213" i="1"/>
  <c r="AG213" i="1"/>
  <c r="AE213" i="1"/>
  <c r="AA213" i="1"/>
  <c r="Z213" i="1"/>
  <c r="U213" i="1"/>
  <c r="T213" i="1"/>
  <c r="S213" i="1"/>
  <c r="Q213" i="1"/>
  <c r="R213" i="1" s="1"/>
  <c r="AF213" i="1" s="1"/>
  <c r="O213" i="1"/>
  <c r="AD213" i="1" s="1"/>
  <c r="AI213" i="1" s="1"/>
  <c r="K213" i="1"/>
  <c r="V213" i="1" s="1"/>
  <c r="AH212" i="1"/>
  <c r="AG212" i="1"/>
  <c r="AE212" i="1"/>
  <c r="AA212" i="1"/>
  <c r="Z212" i="1"/>
  <c r="U212" i="1"/>
  <c r="T212" i="1"/>
  <c r="S212" i="1"/>
  <c r="Q212" i="1"/>
  <c r="R212" i="1" s="1"/>
  <c r="AF212" i="1" s="1"/>
  <c r="O212" i="1"/>
  <c r="AD212" i="1" s="1"/>
  <c r="K212" i="1"/>
  <c r="V212" i="1" s="1"/>
  <c r="AH211" i="1"/>
  <c r="AG211" i="1"/>
  <c r="AE211" i="1"/>
  <c r="AA211" i="1"/>
  <c r="Z211" i="1"/>
  <c r="U211" i="1"/>
  <c r="T211" i="1"/>
  <c r="S211" i="1"/>
  <c r="Q211" i="1"/>
  <c r="R211" i="1" s="1"/>
  <c r="AF211" i="1" s="1"/>
  <c r="O211" i="1"/>
  <c r="AD211" i="1" s="1"/>
  <c r="AI211" i="1" s="1"/>
  <c r="K211" i="1"/>
  <c r="V211" i="1" s="1"/>
  <c r="AH210" i="1"/>
  <c r="AG210" i="1"/>
  <c r="AE210" i="1"/>
  <c r="AA210" i="1"/>
  <c r="Z210" i="1"/>
  <c r="U210" i="1"/>
  <c r="T210" i="1"/>
  <c r="S210" i="1"/>
  <c r="Q210" i="1"/>
  <c r="R210" i="1" s="1"/>
  <c r="AF210" i="1" s="1"/>
  <c r="O210" i="1"/>
  <c r="AD210" i="1" s="1"/>
  <c r="AI210" i="1" s="1"/>
  <c r="K210" i="1"/>
  <c r="V210" i="1" s="1"/>
  <c r="AH209" i="1"/>
  <c r="AG209" i="1"/>
  <c r="AE209" i="1"/>
  <c r="AA209" i="1"/>
  <c r="Z209" i="1"/>
  <c r="U209" i="1"/>
  <c r="T209" i="1"/>
  <c r="S209" i="1"/>
  <c r="Q209" i="1"/>
  <c r="R209" i="1" s="1"/>
  <c r="AF209" i="1" s="1"/>
  <c r="O209" i="1"/>
  <c r="AD209" i="1" s="1"/>
  <c r="AI209" i="1" s="1"/>
  <c r="K209" i="1"/>
  <c r="V209" i="1" s="1"/>
  <c r="AH208" i="1"/>
  <c r="AG208" i="1"/>
  <c r="AE208" i="1"/>
  <c r="AA208" i="1"/>
  <c r="Z208" i="1"/>
  <c r="U208" i="1"/>
  <c r="T208" i="1"/>
  <c r="S208" i="1"/>
  <c r="Q208" i="1"/>
  <c r="R208" i="1" s="1"/>
  <c r="AF208" i="1" s="1"/>
  <c r="O208" i="1"/>
  <c r="AD208" i="1" s="1"/>
  <c r="K208" i="1"/>
  <c r="V208" i="1" s="1"/>
  <c r="AH207" i="1"/>
  <c r="AG207" i="1"/>
  <c r="AE207" i="1"/>
  <c r="AA207" i="1"/>
  <c r="Z207" i="1"/>
  <c r="U207" i="1"/>
  <c r="T207" i="1"/>
  <c r="S207" i="1"/>
  <c r="Q207" i="1"/>
  <c r="R207" i="1" s="1"/>
  <c r="AF207" i="1" s="1"/>
  <c r="O207" i="1"/>
  <c r="AD207" i="1" s="1"/>
  <c r="AI207" i="1" s="1"/>
  <c r="K207" i="1"/>
  <c r="V207" i="1" s="1"/>
  <c r="AH206" i="1"/>
  <c r="AG206" i="1"/>
  <c r="AE206" i="1"/>
  <c r="AA206" i="1"/>
  <c r="Z206" i="1"/>
  <c r="U206" i="1"/>
  <c r="T206" i="1"/>
  <c r="S206" i="1"/>
  <c r="Q206" i="1"/>
  <c r="R206" i="1" s="1"/>
  <c r="AF206" i="1" s="1"/>
  <c r="O206" i="1"/>
  <c r="AD206" i="1" s="1"/>
  <c r="AI206" i="1" s="1"/>
  <c r="K206" i="1"/>
  <c r="V206" i="1" s="1"/>
  <c r="AH205" i="1"/>
  <c r="AG205" i="1"/>
  <c r="AE205" i="1"/>
  <c r="AA205" i="1"/>
  <c r="Z205" i="1"/>
  <c r="U205" i="1"/>
  <c r="T205" i="1"/>
  <c r="S205" i="1"/>
  <c r="Q205" i="1"/>
  <c r="R205" i="1" s="1"/>
  <c r="AF205" i="1" s="1"/>
  <c r="O205" i="1"/>
  <c r="AD205" i="1" s="1"/>
  <c r="AI205" i="1" s="1"/>
  <c r="K205" i="1"/>
  <c r="V205" i="1" s="1"/>
  <c r="AH204" i="1"/>
  <c r="AG204" i="1"/>
  <c r="AE204" i="1"/>
  <c r="AA204" i="1"/>
  <c r="Z204" i="1"/>
  <c r="U204" i="1"/>
  <c r="T204" i="1"/>
  <c r="S204" i="1"/>
  <c r="Q204" i="1"/>
  <c r="R204" i="1" s="1"/>
  <c r="AF204" i="1" s="1"/>
  <c r="O204" i="1"/>
  <c r="AD204" i="1" s="1"/>
  <c r="K204" i="1"/>
  <c r="V204" i="1" s="1"/>
  <c r="AH203" i="1"/>
  <c r="AG203" i="1"/>
  <c r="AE203" i="1"/>
  <c r="AA203" i="1"/>
  <c r="Z203" i="1"/>
  <c r="U203" i="1"/>
  <c r="T203" i="1"/>
  <c r="S203" i="1"/>
  <c r="Q203" i="1"/>
  <c r="R203" i="1" s="1"/>
  <c r="AF203" i="1" s="1"/>
  <c r="O203" i="1"/>
  <c r="AD203" i="1" s="1"/>
  <c r="AI203" i="1" s="1"/>
  <c r="K203" i="1"/>
  <c r="V203" i="1" s="1"/>
  <c r="AH202" i="1"/>
  <c r="AG202" i="1"/>
  <c r="AE202" i="1"/>
  <c r="AA202" i="1"/>
  <c r="Z202" i="1"/>
  <c r="U202" i="1"/>
  <c r="T202" i="1"/>
  <c r="S202" i="1"/>
  <c r="Q202" i="1"/>
  <c r="R202" i="1" s="1"/>
  <c r="AF202" i="1" s="1"/>
  <c r="O202" i="1"/>
  <c r="AD202" i="1" s="1"/>
  <c r="AI202" i="1" s="1"/>
  <c r="K202" i="1"/>
  <c r="V202" i="1" s="1"/>
  <c r="AH201" i="1"/>
  <c r="AG201" i="1"/>
  <c r="AE201" i="1"/>
  <c r="AA201" i="1"/>
  <c r="Z201" i="1"/>
  <c r="U201" i="1"/>
  <c r="T201" i="1"/>
  <c r="S201" i="1"/>
  <c r="Q201" i="1"/>
  <c r="R201" i="1" s="1"/>
  <c r="AF201" i="1" s="1"/>
  <c r="O201" i="1"/>
  <c r="AD201" i="1" s="1"/>
  <c r="AI201" i="1" s="1"/>
  <c r="K201" i="1"/>
  <c r="V201" i="1" s="1"/>
  <c r="AH200" i="1"/>
  <c r="AG200" i="1"/>
  <c r="AE200" i="1"/>
  <c r="AA200" i="1"/>
  <c r="Z200" i="1"/>
  <c r="U200" i="1"/>
  <c r="T200" i="1"/>
  <c r="S200" i="1"/>
  <c r="Q200" i="1"/>
  <c r="R200" i="1" s="1"/>
  <c r="AF200" i="1" s="1"/>
  <c r="O200" i="1"/>
  <c r="AD200" i="1" s="1"/>
  <c r="K200" i="1"/>
  <c r="V200" i="1" s="1"/>
  <c r="AH199" i="1"/>
  <c r="AG199" i="1"/>
  <c r="AE199" i="1"/>
  <c r="AA199" i="1"/>
  <c r="Z199" i="1"/>
  <c r="U199" i="1"/>
  <c r="T199" i="1"/>
  <c r="S199" i="1"/>
  <c r="Q199" i="1"/>
  <c r="R199" i="1" s="1"/>
  <c r="AF199" i="1" s="1"/>
  <c r="O199" i="1"/>
  <c r="AD199" i="1" s="1"/>
  <c r="AI199" i="1" s="1"/>
  <c r="K199" i="1"/>
  <c r="V199" i="1" s="1"/>
  <c r="AH198" i="1"/>
  <c r="AG198" i="1"/>
  <c r="AE198" i="1"/>
  <c r="AA198" i="1"/>
  <c r="Z198" i="1"/>
  <c r="U198" i="1"/>
  <c r="T198" i="1"/>
  <c r="S198" i="1"/>
  <c r="Q198" i="1"/>
  <c r="R198" i="1" s="1"/>
  <c r="AF198" i="1" s="1"/>
  <c r="O198" i="1"/>
  <c r="AD198" i="1" s="1"/>
  <c r="AI198" i="1" s="1"/>
  <c r="K198" i="1"/>
  <c r="V198" i="1" s="1"/>
  <c r="AH197" i="1"/>
  <c r="AG197" i="1"/>
  <c r="AE197" i="1"/>
  <c r="AA197" i="1"/>
  <c r="Z197" i="1"/>
  <c r="U197" i="1"/>
  <c r="T197" i="1"/>
  <c r="S197" i="1"/>
  <c r="Q197" i="1"/>
  <c r="R197" i="1" s="1"/>
  <c r="AF197" i="1" s="1"/>
  <c r="O197" i="1"/>
  <c r="AD197" i="1" s="1"/>
  <c r="AI197" i="1" s="1"/>
  <c r="K197" i="1"/>
  <c r="V197" i="1" s="1"/>
  <c r="AH196" i="1"/>
  <c r="AG196" i="1"/>
  <c r="AE196" i="1"/>
  <c r="AA196" i="1"/>
  <c r="Z196" i="1"/>
  <c r="U196" i="1"/>
  <c r="T196" i="1"/>
  <c r="S196" i="1"/>
  <c r="Q196" i="1"/>
  <c r="R196" i="1" s="1"/>
  <c r="AF196" i="1" s="1"/>
  <c r="O196" i="1"/>
  <c r="AD196" i="1" s="1"/>
  <c r="K196" i="1"/>
  <c r="V196" i="1" s="1"/>
  <c r="AH195" i="1"/>
  <c r="AG195" i="1"/>
  <c r="AF195" i="1"/>
  <c r="AE195" i="1"/>
  <c r="AA195" i="1"/>
  <c r="Z195" i="1"/>
  <c r="V195" i="1"/>
  <c r="U195" i="1"/>
  <c r="T195" i="1"/>
  <c r="S195" i="1"/>
  <c r="R195" i="1"/>
  <c r="O195" i="1"/>
  <c r="AD195" i="1" s="1"/>
  <c r="AI195" i="1" s="1"/>
  <c r="AH194" i="1"/>
  <c r="AE194" i="1"/>
  <c r="AA194" i="1"/>
  <c r="Z194" i="1"/>
  <c r="AG194" i="1" s="1"/>
  <c r="V194" i="1"/>
  <c r="U194" i="1"/>
  <c r="T194" i="1"/>
  <c r="S194" i="1"/>
  <c r="R194" i="1"/>
  <c r="AF194" i="1" s="1"/>
  <c r="O194" i="1"/>
  <c r="AD194" i="1" s="1"/>
  <c r="AI194" i="1" s="1"/>
  <c r="AH193" i="1"/>
  <c r="AG193" i="1"/>
  <c r="AE193" i="1"/>
  <c r="AA193" i="1"/>
  <c r="Z193" i="1"/>
  <c r="U193" i="1"/>
  <c r="T193" i="1"/>
  <c r="S193" i="1"/>
  <c r="Q193" i="1"/>
  <c r="R193" i="1" s="1"/>
  <c r="AF193" i="1" s="1"/>
  <c r="O193" i="1"/>
  <c r="AD193" i="1" s="1"/>
  <c r="AI193" i="1" s="1"/>
  <c r="K193" i="1"/>
  <c r="V193" i="1" s="1"/>
  <c r="AH192" i="1"/>
  <c r="AG192" i="1"/>
  <c r="AE192" i="1"/>
  <c r="AA192" i="1"/>
  <c r="Z192" i="1"/>
  <c r="U192" i="1"/>
  <c r="T192" i="1"/>
  <c r="S192" i="1"/>
  <c r="Q192" i="1"/>
  <c r="R192" i="1" s="1"/>
  <c r="AF192" i="1" s="1"/>
  <c r="O192" i="1"/>
  <c r="AD192" i="1" s="1"/>
  <c r="K192" i="1"/>
  <c r="V192" i="1" s="1"/>
  <c r="AH191" i="1"/>
  <c r="AG191" i="1"/>
  <c r="AE191" i="1"/>
  <c r="AA191" i="1"/>
  <c r="Z191" i="1"/>
  <c r="U191" i="1"/>
  <c r="T191" i="1"/>
  <c r="S191" i="1"/>
  <c r="Q191" i="1"/>
  <c r="R191" i="1" s="1"/>
  <c r="AF191" i="1" s="1"/>
  <c r="O191" i="1"/>
  <c r="AD191" i="1" s="1"/>
  <c r="AI191" i="1" s="1"/>
  <c r="K191" i="1"/>
  <c r="V191" i="1" s="1"/>
  <c r="AH190" i="1"/>
  <c r="AG190" i="1"/>
  <c r="AF190" i="1"/>
  <c r="AE190" i="1"/>
  <c r="AA190" i="1"/>
  <c r="Z190" i="1"/>
  <c r="V190" i="1"/>
  <c r="U190" i="1"/>
  <c r="T190" i="1"/>
  <c r="S190" i="1"/>
  <c r="R190" i="1"/>
  <c r="O190" i="1"/>
  <c r="AD190" i="1" s="1"/>
  <c r="AI190" i="1" s="1"/>
  <c r="AH189" i="1"/>
  <c r="AE189" i="1"/>
  <c r="AD189" i="1"/>
  <c r="AA189" i="1"/>
  <c r="Z189" i="1"/>
  <c r="AG189" i="1" s="1"/>
  <c r="V189" i="1"/>
  <c r="U189" i="1"/>
  <c r="T189" i="1"/>
  <c r="S189" i="1"/>
  <c r="R189" i="1"/>
  <c r="AF189" i="1" s="1"/>
  <c r="Q189" i="1"/>
  <c r="O189" i="1"/>
  <c r="K189" i="1"/>
  <c r="AH188" i="1"/>
  <c r="AE188" i="1"/>
  <c r="AD188" i="1"/>
  <c r="AA188" i="1"/>
  <c r="Z188" i="1"/>
  <c r="AG188" i="1" s="1"/>
  <c r="V188" i="1"/>
  <c r="U188" i="1"/>
  <c r="T188" i="1"/>
  <c r="S188" i="1"/>
  <c r="R188" i="1"/>
  <c r="AF188" i="1" s="1"/>
  <c r="Q188" i="1"/>
  <c r="O188" i="1"/>
  <c r="K188" i="1"/>
  <c r="AH187" i="1"/>
  <c r="AE187" i="1"/>
  <c r="AD187" i="1"/>
  <c r="AA187" i="1"/>
  <c r="Z187" i="1"/>
  <c r="AG187" i="1" s="1"/>
  <c r="V187" i="1"/>
  <c r="U187" i="1"/>
  <c r="T187" i="1"/>
  <c r="S187" i="1"/>
  <c r="R187" i="1"/>
  <c r="AF187" i="1" s="1"/>
  <c r="Q187" i="1"/>
  <c r="O187" i="1"/>
  <c r="K187" i="1"/>
  <c r="AH186" i="1"/>
  <c r="AE186" i="1"/>
  <c r="AA186" i="1"/>
  <c r="Z186" i="1"/>
  <c r="AG186" i="1" s="1"/>
  <c r="V186" i="1"/>
  <c r="U186" i="1"/>
  <c r="T186" i="1"/>
  <c r="S186" i="1"/>
  <c r="R186" i="1"/>
  <c r="AF186" i="1" s="1"/>
  <c r="O186" i="1"/>
  <c r="AD186" i="1" s="1"/>
  <c r="K186" i="1"/>
  <c r="AH185" i="1"/>
  <c r="AG185" i="1"/>
  <c r="AE185" i="1"/>
  <c r="AA185" i="1"/>
  <c r="Z185" i="1"/>
  <c r="V185" i="1"/>
  <c r="U185" i="1"/>
  <c r="T185" i="1"/>
  <c r="S185" i="1"/>
  <c r="R185" i="1"/>
  <c r="AF185" i="1" s="1"/>
  <c r="O185" i="1"/>
  <c r="AD185" i="1" s="1"/>
  <c r="K185" i="1"/>
  <c r="AH184" i="1"/>
  <c r="AG184" i="1"/>
  <c r="AF184" i="1"/>
  <c r="AE184" i="1"/>
  <c r="AA184" i="1"/>
  <c r="Z184" i="1"/>
  <c r="U184" i="1"/>
  <c r="T184" i="1"/>
  <c r="S184" i="1"/>
  <c r="R184" i="1"/>
  <c r="O184" i="1"/>
  <c r="AD184" i="1" s="1"/>
  <c r="AI184" i="1" s="1"/>
  <c r="K184" i="1"/>
  <c r="V184" i="1" s="1"/>
  <c r="AH183" i="1"/>
  <c r="AF183" i="1"/>
  <c r="AE183" i="1"/>
  <c r="AA183" i="1"/>
  <c r="Z183" i="1"/>
  <c r="AG183" i="1" s="1"/>
  <c r="U183" i="1"/>
  <c r="T183" i="1"/>
  <c r="S183" i="1"/>
  <c r="R183" i="1"/>
  <c r="Q183" i="1"/>
  <c r="O183" i="1"/>
  <c r="AD183" i="1" s="1"/>
  <c r="K183" i="1"/>
  <c r="V183" i="1" s="1"/>
  <c r="AH182" i="1"/>
  <c r="AF182" i="1"/>
  <c r="AE182" i="1"/>
  <c r="AA182" i="1"/>
  <c r="Z182" i="1"/>
  <c r="AG182" i="1" s="1"/>
  <c r="U182" i="1"/>
  <c r="T182" i="1"/>
  <c r="S182" i="1"/>
  <c r="R182" i="1"/>
  <c r="Q182" i="1"/>
  <c r="O182" i="1"/>
  <c r="AD182" i="1" s="1"/>
  <c r="K182" i="1"/>
  <c r="V182" i="1" s="1"/>
  <c r="AH181" i="1"/>
  <c r="AF181" i="1"/>
  <c r="AE181" i="1"/>
  <c r="AA181" i="1"/>
  <c r="Z181" i="1"/>
  <c r="AG181" i="1" s="1"/>
  <c r="U181" i="1"/>
  <c r="T181" i="1"/>
  <c r="S181" i="1"/>
  <c r="R181" i="1"/>
  <c r="Q181" i="1"/>
  <c r="O181" i="1"/>
  <c r="AD181" i="1" s="1"/>
  <c r="K181" i="1"/>
  <c r="V181" i="1" s="1"/>
  <c r="AH180" i="1"/>
  <c r="AF180" i="1"/>
  <c r="AE180" i="1"/>
  <c r="AA180" i="1"/>
  <c r="Z180" i="1"/>
  <c r="AG180" i="1" s="1"/>
  <c r="U180" i="1"/>
  <c r="T180" i="1"/>
  <c r="S180" i="1"/>
  <c r="R180" i="1"/>
  <c r="Q180" i="1"/>
  <c r="O180" i="1"/>
  <c r="AD180" i="1" s="1"/>
  <c r="K180" i="1"/>
  <c r="V180" i="1" s="1"/>
  <c r="AH179" i="1"/>
  <c r="AF179" i="1"/>
  <c r="AE179" i="1"/>
  <c r="AA179" i="1"/>
  <c r="Z179" i="1"/>
  <c r="AG179" i="1" s="1"/>
  <c r="U179" i="1"/>
  <c r="T179" i="1"/>
  <c r="S179" i="1"/>
  <c r="R179" i="1"/>
  <c r="Q179" i="1"/>
  <c r="O179" i="1"/>
  <c r="AD179" i="1" s="1"/>
  <c r="K179" i="1"/>
  <c r="V179" i="1" s="1"/>
  <c r="AH178" i="1"/>
  <c r="AF178" i="1"/>
  <c r="AE178" i="1"/>
  <c r="AA178" i="1"/>
  <c r="Z178" i="1"/>
  <c r="AG178" i="1" s="1"/>
  <c r="U178" i="1"/>
  <c r="T178" i="1"/>
  <c r="S178" i="1"/>
  <c r="R178" i="1"/>
  <c r="Q178" i="1"/>
  <c r="O178" i="1"/>
  <c r="AD178" i="1" s="1"/>
  <c r="K178" i="1"/>
  <c r="V178" i="1" s="1"/>
  <c r="AH177" i="1"/>
  <c r="AF177" i="1"/>
  <c r="AE177" i="1"/>
  <c r="AA177" i="1"/>
  <c r="Z177" i="1"/>
  <c r="AG177" i="1" s="1"/>
  <c r="U177" i="1"/>
  <c r="T177" i="1"/>
  <c r="S177" i="1"/>
  <c r="R177" i="1"/>
  <c r="Q177" i="1"/>
  <c r="O177" i="1"/>
  <c r="AD177" i="1" s="1"/>
  <c r="K177" i="1"/>
  <c r="V177" i="1" s="1"/>
  <c r="AH176" i="1"/>
  <c r="AF176" i="1"/>
  <c r="AE176" i="1"/>
  <c r="AA176" i="1"/>
  <c r="Z176" i="1"/>
  <c r="AG176" i="1" s="1"/>
  <c r="U176" i="1"/>
  <c r="T176" i="1"/>
  <c r="S176" i="1"/>
  <c r="R176" i="1"/>
  <c r="Q176" i="1"/>
  <c r="O176" i="1"/>
  <c r="AD176" i="1" s="1"/>
  <c r="K176" i="1"/>
  <c r="V176" i="1" s="1"/>
  <c r="AH175" i="1"/>
  <c r="AF175" i="1"/>
  <c r="AE175" i="1"/>
  <c r="AA175" i="1"/>
  <c r="Z175" i="1"/>
  <c r="AG175" i="1" s="1"/>
  <c r="U175" i="1"/>
  <c r="T175" i="1"/>
  <c r="S175" i="1"/>
  <c r="R175" i="1"/>
  <c r="Q175" i="1"/>
  <c r="O175" i="1"/>
  <c r="AD175" i="1" s="1"/>
  <c r="K175" i="1"/>
  <c r="V175" i="1" s="1"/>
  <c r="AH174" i="1"/>
  <c r="AF174" i="1"/>
  <c r="AE174" i="1"/>
  <c r="AA174" i="1"/>
  <c r="Z174" i="1"/>
  <c r="AG174" i="1" s="1"/>
  <c r="U174" i="1"/>
  <c r="T174" i="1"/>
  <c r="S174" i="1"/>
  <c r="R174" i="1"/>
  <c r="Q174" i="1"/>
  <c r="O174" i="1"/>
  <c r="AD174" i="1" s="1"/>
  <c r="K174" i="1"/>
  <c r="V174" i="1" s="1"/>
  <c r="AH173" i="1"/>
  <c r="AF173" i="1"/>
  <c r="AE173" i="1"/>
  <c r="AA173" i="1"/>
  <c r="Z173" i="1"/>
  <c r="AG173" i="1" s="1"/>
  <c r="U173" i="1"/>
  <c r="T173" i="1"/>
  <c r="S173" i="1"/>
  <c r="R173" i="1"/>
  <c r="Q173" i="1"/>
  <c r="O173" i="1"/>
  <c r="AD173" i="1" s="1"/>
  <c r="K173" i="1"/>
  <c r="V173" i="1" s="1"/>
  <c r="AH172" i="1"/>
  <c r="AF172" i="1"/>
  <c r="AE172" i="1"/>
  <c r="AA172" i="1"/>
  <c r="Z172" i="1"/>
  <c r="AG172" i="1" s="1"/>
  <c r="U172" i="1"/>
  <c r="T172" i="1"/>
  <c r="S172" i="1"/>
  <c r="R172" i="1"/>
  <c r="Q172" i="1"/>
  <c r="O172" i="1"/>
  <c r="AD172" i="1" s="1"/>
  <c r="K172" i="1"/>
  <c r="V172" i="1" s="1"/>
  <c r="AH171" i="1"/>
  <c r="AF171" i="1"/>
  <c r="AE171" i="1"/>
  <c r="AA171" i="1"/>
  <c r="Z171" i="1"/>
  <c r="AG171" i="1" s="1"/>
  <c r="U171" i="1"/>
  <c r="T171" i="1"/>
  <c r="S171" i="1"/>
  <c r="R171" i="1"/>
  <c r="Q171" i="1"/>
  <c r="O171" i="1"/>
  <c r="AD171" i="1" s="1"/>
  <c r="K171" i="1"/>
  <c r="V171" i="1" s="1"/>
  <c r="AH170" i="1"/>
  <c r="AF170" i="1"/>
  <c r="AE170" i="1"/>
  <c r="AA170" i="1"/>
  <c r="Z170" i="1"/>
  <c r="AG170" i="1" s="1"/>
  <c r="U170" i="1"/>
  <c r="T170" i="1"/>
  <c r="S170" i="1"/>
  <c r="R170" i="1"/>
  <c r="Q170" i="1"/>
  <c r="O170" i="1"/>
  <c r="AD170" i="1" s="1"/>
  <c r="K170" i="1"/>
  <c r="V170" i="1" s="1"/>
  <c r="AH169" i="1"/>
  <c r="AF169" i="1"/>
  <c r="AE169" i="1"/>
  <c r="AA169" i="1"/>
  <c r="Z169" i="1"/>
  <c r="AG169" i="1" s="1"/>
  <c r="U169" i="1"/>
  <c r="T169" i="1"/>
  <c r="S169" i="1"/>
  <c r="R169" i="1"/>
  <c r="Q169" i="1"/>
  <c r="O169" i="1"/>
  <c r="AD169" i="1" s="1"/>
  <c r="K169" i="1"/>
  <c r="V169" i="1" s="1"/>
  <c r="AH168" i="1"/>
  <c r="AF168" i="1"/>
  <c r="AE168" i="1"/>
  <c r="AA168" i="1"/>
  <c r="Z168" i="1"/>
  <c r="AG168" i="1" s="1"/>
  <c r="U168" i="1"/>
  <c r="T168" i="1"/>
  <c r="S168" i="1"/>
  <c r="R168" i="1"/>
  <c r="O168" i="1"/>
  <c r="AD168" i="1" s="1"/>
  <c r="K168" i="1"/>
  <c r="V168" i="1" s="1"/>
  <c r="AH167" i="1"/>
  <c r="AE167" i="1"/>
  <c r="AA167" i="1"/>
  <c r="Z167" i="1"/>
  <c r="AG167" i="1" s="1"/>
  <c r="V167" i="1"/>
  <c r="U167" i="1"/>
  <c r="T167" i="1"/>
  <c r="S167" i="1"/>
  <c r="R167" i="1"/>
  <c r="AF167" i="1" s="1"/>
  <c r="O167" i="1"/>
  <c r="AD167" i="1" s="1"/>
  <c r="AI167" i="1" s="1"/>
  <c r="K167" i="1"/>
  <c r="AH166" i="1"/>
  <c r="AG166" i="1"/>
  <c r="AE166" i="1"/>
  <c r="AA166" i="1"/>
  <c r="Z166" i="1"/>
  <c r="V166" i="1"/>
  <c r="U166" i="1"/>
  <c r="T166" i="1"/>
  <c r="S166" i="1"/>
  <c r="R166" i="1"/>
  <c r="AF166" i="1" s="1"/>
  <c r="O166" i="1"/>
  <c r="AD166" i="1" s="1"/>
  <c r="AI166" i="1" s="1"/>
  <c r="K166" i="1"/>
  <c r="AH165" i="1"/>
  <c r="AG165" i="1"/>
  <c r="AE165" i="1"/>
  <c r="AA165" i="1"/>
  <c r="Z165" i="1"/>
  <c r="U165" i="1"/>
  <c r="T165" i="1"/>
  <c r="S165" i="1"/>
  <c r="Q165" i="1"/>
  <c r="R165" i="1" s="1"/>
  <c r="AF165" i="1" s="1"/>
  <c r="O165" i="1"/>
  <c r="AD165" i="1" s="1"/>
  <c r="AI165" i="1" s="1"/>
  <c r="K165" i="1"/>
  <c r="V165" i="1" s="1"/>
  <c r="AH164" i="1"/>
  <c r="AG164" i="1"/>
  <c r="AE164" i="1"/>
  <c r="AA164" i="1"/>
  <c r="Z164" i="1"/>
  <c r="U164" i="1"/>
  <c r="T164" i="1"/>
  <c r="S164" i="1"/>
  <c r="Q164" i="1"/>
  <c r="R164" i="1" s="1"/>
  <c r="AF164" i="1" s="1"/>
  <c r="O164" i="1"/>
  <c r="AD164" i="1" s="1"/>
  <c r="AI164" i="1" s="1"/>
  <c r="K164" i="1"/>
  <c r="V164" i="1" s="1"/>
  <c r="AH163" i="1"/>
  <c r="AG163" i="1"/>
  <c r="AE163" i="1"/>
  <c r="AA163" i="1"/>
  <c r="Z163" i="1"/>
  <c r="U163" i="1"/>
  <c r="T163" i="1"/>
  <c r="S163" i="1"/>
  <c r="Q163" i="1"/>
  <c r="R163" i="1" s="1"/>
  <c r="AF163" i="1" s="1"/>
  <c r="O163" i="1"/>
  <c r="AD163" i="1" s="1"/>
  <c r="K163" i="1"/>
  <c r="V163" i="1" s="1"/>
  <c r="AH162" i="1"/>
  <c r="AG162" i="1"/>
  <c r="AF162" i="1"/>
  <c r="AE162" i="1"/>
  <c r="AA162" i="1"/>
  <c r="Z162" i="1"/>
  <c r="V162" i="1"/>
  <c r="U162" i="1"/>
  <c r="T162" i="1"/>
  <c r="S162" i="1"/>
  <c r="R162" i="1"/>
  <c r="O162" i="1"/>
  <c r="AD162" i="1" s="1"/>
  <c r="AI162" i="1" s="1"/>
  <c r="AH161" i="1"/>
  <c r="AE161" i="1"/>
  <c r="AA161" i="1"/>
  <c r="Z161" i="1"/>
  <c r="AG161" i="1" s="1"/>
  <c r="V161" i="1"/>
  <c r="U161" i="1"/>
  <c r="T161" i="1"/>
  <c r="S161" i="1"/>
  <c r="R161" i="1"/>
  <c r="AF161" i="1" s="1"/>
  <c r="O161" i="1"/>
  <c r="AD161" i="1" s="1"/>
  <c r="AI161" i="1" s="1"/>
  <c r="AH160" i="1"/>
  <c r="AG160" i="1"/>
  <c r="AF160" i="1"/>
  <c r="AE160" i="1"/>
  <c r="AA160" i="1"/>
  <c r="Z160" i="1"/>
  <c r="V160" i="1"/>
  <c r="U160" i="1"/>
  <c r="T160" i="1"/>
  <c r="S160" i="1"/>
  <c r="R160" i="1"/>
  <c r="O160" i="1"/>
  <c r="AD160" i="1" s="1"/>
  <c r="AI160" i="1" s="1"/>
  <c r="AH159" i="1"/>
  <c r="AE159" i="1"/>
  <c r="AA159" i="1"/>
  <c r="Z159" i="1"/>
  <c r="AG159" i="1" s="1"/>
  <c r="V159" i="1"/>
  <c r="U159" i="1"/>
  <c r="T159" i="1"/>
  <c r="S159" i="1"/>
  <c r="R159" i="1"/>
  <c r="AF159" i="1" s="1"/>
  <c r="O159" i="1"/>
  <c r="AD159" i="1" s="1"/>
  <c r="AH158" i="1"/>
  <c r="AG158" i="1"/>
  <c r="AF158" i="1"/>
  <c r="AE158" i="1"/>
  <c r="AA158" i="1"/>
  <c r="Z158" i="1"/>
  <c r="V158" i="1"/>
  <c r="U158" i="1"/>
  <c r="T158" i="1"/>
  <c r="S158" i="1"/>
  <c r="R158" i="1"/>
  <c r="O158" i="1"/>
  <c r="AD158" i="1" s="1"/>
  <c r="AI158" i="1" s="1"/>
  <c r="AH157" i="1"/>
  <c r="AE157" i="1"/>
  <c r="AA157" i="1"/>
  <c r="Z157" i="1"/>
  <c r="AG157" i="1" s="1"/>
  <c r="V157" i="1"/>
  <c r="U157" i="1"/>
  <c r="T157" i="1"/>
  <c r="S157" i="1"/>
  <c r="R157" i="1"/>
  <c r="AF157" i="1" s="1"/>
  <c r="O157" i="1"/>
  <c r="AD157" i="1" s="1"/>
  <c r="AI157" i="1" s="1"/>
  <c r="AH156" i="1"/>
  <c r="AG156" i="1"/>
  <c r="AF156" i="1"/>
  <c r="AE156" i="1"/>
  <c r="AA156" i="1"/>
  <c r="Z156" i="1"/>
  <c r="V156" i="1"/>
  <c r="U156" i="1"/>
  <c r="T156" i="1"/>
  <c r="S156" i="1"/>
  <c r="R156" i="1"/>
  <c r="O156" i="1"/>
  <c r="AD156" i="1" s="1"/>
  <c r="AI156" i="1" s="1"/>
  <c r="AH155" i="1"/>
  <c r="AE155" i="1"/>
  <c r="AA155" i="1"/>
  <c r="Z155" i="1"/>
  <c r="AG155" i="1" s="1"/>
  <c r="V155" i="1"/>
  <c r="U155" i="1"/>
  <c r="T155" i="1"/>
  <c r="S155" i="1"/>
  <c r="R155" i="1"/>
  <c r="AF155" i="1" s="1"/>
  <c r="O155" i="1"/>
  <c r="AD155" i="1" s="1"/>
  <c r="AH154" i="1"/>
  <c r="AG154" i="1"/>
  <c r="AF154" i="1"/>
  <c r="AE154" i="1"/>
  <c r="AA154" i="1"/>
  <c r="Z154" i="1"/>
  <c r="V154" i="1"/>
  <c r="U154" i="1"/>
  <c r="T154" i="1"/>
  <c r="S154" i="1"/>
  <c r="R154" i="1"/>
  <c r="O154" i="1"/>
  <c r="AD154" i="1" s="1"/>
  <c r="AI154" i="1" s="1"/>
  <c r="AH153" i="1"/>
  <c r="AE153" i="1"/>
  <c r="AA153" i="1"/>
  <c r="Z153" i="1"/>
  <c r="AG153" i="1" s="1"/>
  <c r="V153" i="1"/>
  <c r="U153" i="1"/>
  <c r="T153" i="1"/>
  <c r="S153" i="1"/>
  <c r="R153" i="1"/>
  <c r="AF153" i="1" s="1"/>
  <c r="O153" i="1"/>
  <c r="AD153" i="1" s="1"/>
  <c r="AI153" i="1" s="1"/>
  <c r="AH152" i="1"/>
  <c r="AG152" i="1"/>
  <c r="AF152" i="1"/>
  <c r="AE152" i="1"/>
  <c r="AA152" i="1"/>
  <c r="Z152" i="1"/>
  <c r="V152" i="1"/>
  <c r="U152" i="1"/>
  <c r="T152" i="1"/>
  <c r="S152" i="1"/>
  <c r="R152" i="1"/>
  <c r="O152" i="1"/>
  <c r="AD152" i="1" s="1"/>
  <c r="AI152" i="1" s="1"/>
  <c r="AH151" i="1"/>
  <c r="AE151" i="1"/>
  <c r="AA151" i="1"/>
  <c r="Z151" i="1"/>
  <c r="AG151" i="1" s="1"/>
  <c r="V151" i="1"/>
  <c r="U151" i="1"/>
  <c r="T151" i="1"/>
  <c r="S151" i="1"/>
  <c r="R151" i="1"/>
  <c r="AF151" i="1" s="1"/>
  <c r="O151" i="1"/>
  <c r="AD151" i="1" s="1"/>
  <c r="AH150" i="1"/>
  <c r="AG150" i="1"/>
  <c r="AF150" i="1"/>
  <c r="AE150" i="1"/>
  <c r="AA150" i="1"/>
  <c r="Z150" i="1"/>
  <c r="V150" i="1"/>
  <c r="U150" i="1"/>
  <c r="T150" i="1"/>
  <c r="S150" i="1"/>
  <c r="R150" i="1"/>
  <c r="O150" i="1"/>
  <c r="AD150" i="1" s="1"/>
  <c r="AI150" i="1" s="1"/>
  <c r="AH149" i="1"/>
  <c r="AE149" i="1"/>
  <c r="AA149" i="1"/>
  <c r="Z149" i="1"/>
  <c r="AG149" i="1" s="1"/>
  <c r="V149" i="1"/>
  <c r="U149" i="1"/>
  <c r="T149" i="1"/>
  <c r="S149" i="1"/>
  <c r="R149" i="1"/>
  <c r="AF149" i="1" s="1"/>
  <c r="O149" i="1"/>
  <c r="AD149" i="1" s="1"/>
  <c r="AI149" i="1" s="1"/>
  <c r="AH148" i="1"/>
  <c r="AG148" i="1"/>
  <c r="AF148" i="1"/>
  <c r="AE148" i="1"/>
  <c r="AA148" i="1"/>
  <c r="Z148" i="1"/>
  <c r="V148" i="1"/>
  <c r="U148" i="1"/>
  <c r="T148" i="1"/>
  <c r="S148" i="1"/>
  <c r="R148" i="1"/>
  <c r="O148" i="1"/>
  <c r="AD148" i="1" s="1"/>
  <c r="AI148" i="1" s="1"/>
  <c r="AH147" i="1"/>
  <c r="AE147" i="1"/>
  <c r="AA147" i="1"/>
  <c r="Z147" i="1"/>
  <c r="AG147" i="1" s="1"/>
  <c r="V147" i="1"/>
  <c r="U147" i="1"/>
  <c r="T147" i="1"/>
  <c r="S147" i="1"/>
  <c r="R147" i="1"/>
  <c r="AF147" i="1" s="1"/>
  <c r="O147" i="1"/>
  <c r="AD147" i="1" s="1"/>
  <c r="AH146" i="1"/>
  <c r="AG146" i="1"/>
  <c r="AF146" i="1"/>
  <c r="AE146" i="1"/>
  <c r="AA146" i="1"/>
  <c r="Z146" i="1"/>
  <c r="V146" i="1"/>
  <c r="U146" i="1"/>
  <c r="T146" i="1"/>
  <c r="S146" i="1"/>
  <c r="R146" i="1"/>
  <c r="O146" i="1"/>
  <c r="AD146" i="1" s="1"/>
  <c r="AI146" i="1" s="1"/>
  <c r="AH145" i="1"/>
  <c r="AE145" i="1"/>
  <c r="AA145" i="1"/>
  <c r="Z145" i="1"/>
  <c r="AG145" i="1" s="1"/>
  <c r="V145" i="1"/>
  <c r="U145" i="1"/>
  <c r="T145" i="1"/>
  <c r="S145" i="1"/>
  <c r="R145" i="1"/>
  <c r="AF145" i="1" s="1"/>
  <c r="O145" i="1"/>
  <c r="AD145" i="1" s="1"/>
  <c r="AI145" i="1" s="1"/>
  <c r="AH144" i="1"/>
  <c r="AG144" i="1"/>
  <c r="AF144" i="1"/>
  <c r="AE144" i="1"/>
  <c r="AA144" i="1"/>
  <c r="Z144" i="1"/>
  <c r="V144" i="1"/>
  <c r="U144" i="1"/>
  <c r="T144" i="1"/>
  <c r="S144" i="1"/>
  <c r="R144" i="1"/>
  <c r="O144" i="1"/>
  <c r="AD144" i="1" s="1"/>
  <c r="AI144" i="1" s="1"/>
  <c r="AH143" i="1"/>
  <c r="AE143" i="1"/>
  <c r="AA143" i="1"/>
  <c r="Z143" i="1"/>
  <c r="AG143" i="1" s="1"/>
  <c r="V143" i="1"/>
  <c r="U143" i="1"/>
  <c r="T143" i="1"/>
  <c r="S143" i="1"/>
  <c r="R143" i="1"/>
  <c r="AF143" i="1" s="1"/>
  <c r="O143" i="1"/>
  <c r="AD143" i="1" s="1"/>
  <c r="AH142" i="1"/>
  <c r="AG142" i="1"/>
  <c r="AF142" i="1"/>
  <c r="AE142" i="1"/>
  <c r="AA142" i="1"/>
  <c r="Z142" i="1"/>
  <c r="V142" i="1"/>
  <c r="U142" i="1"/>
  <c r="T142" i="1"/>
  <c r="S142" i="1"/>
  <c r="R142" i="1"/>
  <c r="O142" i="1"/>
  <c r="AD142" i="1" s="1"/>
  <c r="AI142" i="1" s="1"/>
  <c r="AH141" i="1"/>
  <c r="AE141" i="1"/>
  <c r="AA141" i="1"/>
  <c r="Z141" i="1"/>
  <c r="AG141" i="1" s="1"/>
  <c r="V141" i="1"/>
  <c r="U141" i="1"/>
  <c r="T141" i="1"/>
  <c r="S141" i="1"/>
  <c r="R141" i="1"/>
  <c r="AF141" i="1" s="1"/>
  <c r="O141" i="1"/>
  <c r="AD141" i="1" s="1"/>
  <c r="AI141" i="1" s="1"/>
  <c r="AH140" i="1"/>
  <c r="AG140" i="1"/>
  <c r="AF140" i="1"/>
  <c r="AE140" i="1"/>
  <c r="AA140" i="1"/>
  <c r="Z140" i="1"/>
  <c r="V140" i="1"/>
  <c r="U140" i="1"/>
  <c r="T140" i="1"/>
  <c r="S140" i="1"/>
  <c r="R140" i="1"/>
  <c r="O140" i="1"/>
  <c r="AD140" i="1" s="1"/>
  <c r="AI140" i="1" s="1"/>
  <c r="AH139" i="1"/>
  <c r="AE139" i="1"/>
  <c r="AA139" i="1"/>
  <c r="Z139" i="1"/>
  <c r="AG139" i="1" s="1"/>
  <c r="V139" i="1"/>
  <c r="U139" i="1"/>
  <c r="T139" i="1"/>
  <c r="S139" i="1"/>
  <c r="R139" i="1"/>
  <c r="AF139" i="1" s="1"/>
  <c r="O139" i="1"/>
  <c r="AD139" i="1" s="1"/>
  <c r="AH138" i="1"/>
  <c r="AG138" i="1"/>
  <c r="AF138" i="1"/>
  <c r="AE138" i="1"/>
  <c r="AA138" i="1"/>
  <c r="Z138" i="1"/>
  <c r="V138" i="1"/>
  <c r="U138" i="1"/>
  <c r="T138" i="1"/>
  <c r="S138" i="1"/>
  <c r="R138" i="1"/>
  <c r="O138" i="1"/>
  <c r="AD138" i="1" s="1"/>
  <c r="AI138" i="1" s="1"/>
  <c r="AH137" i="1"/>
  <c r="AE137" i="1"/>
  <c r="AA137" i="1"/>
  <c r="Z137" i="1"/>
  <c r="AG137" i="1" s="1"/>
  <c r="V137" i="1"/>
  <c r="U137" i="1"/>
  <c r="T137" i="1"/>
  <c r="S137" i="1"/>
  <c r="R137" i="1"/>
  <c r="AF137" i="1" s="1"/>
  <c r="O137" i="1"/>
  <c r="AD137" i="1" s="1"/>
  <c r="AI137" i="1" s="1"/>
  <c r="AH136" i="1"/>
  <c r="AG136" i="1"/>
  <c r="AF136" i="1"/>
  <c r="AE136" i="1"/>
  <c r="AA136" i="1"/>
  <c r="Z136" i="1"/>
  <c r="V136" i="1"/>
  <c r="U136" i="1"/>
  <c r="T136" i="1"/>
  <c r="S136" i="1"/>
  <c r="R136" i="1"/>
  <c r="O136" i="1"/>
  <c r="AD136" i="1" s="1"/>
  <c r="AI136" i="1" s="1"/>
  <c r="AH135" i="1"/>
  <c r="AE135" i="1"/>
  <c r="AA135" i="1"/>
  <c r="Z135" i="1"/>
  <c r="AG135" i="1" s="1"/>
  <c r="V135" i="1"/>
  <c r="U135" i="1"/>
  <c r="T135" i="1"/>
  <c r="S135" i="1"/>
  <c r="R135" i="1"/>
  <c r="AF135" i="1" s="1"/>
  <c r="O135" i="1"/>
  <c r="AD135" i="1" s="1"/>
  <c r="AH134" i="1"/>
  <c r="AG134" i="1"/>
  <c r="AF134" i="1"/>
  <c r="AE134" i="1"/>
  <c r="AA134" i="1"/>
  <c r="Z134" i="1"/>
  <c r="V134" i="1"/>
  <c r="U134" i="1"/>
  <c r="T134" i="1"/>
  <c r="S134" i="1"/>
  <c r="R134" i="1"/>
  <c r="O134" i="1"/>
  <c r="AD134" i="1" s="1"/>
  <c r="AI134" i="1" s="1"/>
  <c r="AH133" i="1"/>
  <c r="AE133" i="1"/>
  <c r="AA133" i="1"/>
  <c r="Z133" i="1"/>
  <c r="AG133" i="1" s="1"/>
  <c r="V133" i="1"/>
  <c r="U133" i="1"/>
  <c r="T133" i="1"/>
  <c r="S133" i="1"/>
  <c r="R133" i="1"/>
  <c r="AF133" i="1" s="1"/>
  <c r="O133" i="1"/>
  <c r="AD133" i="1" s="1"/>
  <c r="AI133" i="1" s="1"/>
  <c r="AH132" i="1"/>
  <c r="AG132" i="1"/>
  <c r="AE132" i="1"/>
  <c r="AA132" i="1"/>
  <c r="Z132" i="1"/>
  <c r="V132" i="1"/>
  <c r="U132" i="1"/>
  <c r="T132" i="1"/>
  <c r="S132" i="1"/>
  <c r="R132" i="1"/>
  <c r="AF132" i="1" s="1"/>
  <c r="O132" i="1"/>
  <c r="AD132" i="1" s="1"/>
  <c r="AH131" i="1"/>
  <c r="AE131" i="1"/>
  <c r="AA131" i="1"/>
  <c r="Z131" i="1"/>
  <c r="AG131" i="1" s="1"/>
  <c r="V131" i="1"/>
  <c r="U131" i="1"/>
  <c r="T131" i="1"/>
  <c r="S131" i="1"/>
  <c r="R131" i="1"/>
  <c r="AF131" i="1" s="1"/>
  <c r="O131" i="1"/>
  <c r="AD131" i="1" s="1"/>
  <c r="AH130" i="1"/>
  <c r="AG130" i="1"/>
  <c r="AE130" i="1"/>
  <c r="AA130" i="1"/>
  <c r="Z130" i="1"/>
  <c r="V130" i="1"/>
  <c r="U130" i="1"/>
  <c r="T130" i="1"/>
  <c r="S130" i="1"/>
  <c r="R130" i="1"/>
  <c r="AF130" i="1" s="1"/>
  <c r="O130" i="1"/>
  <c r="AD130" i="1" s="1"/>
  <c r="AI130" i="1" s="1"/>
  <c r="AH129" i="1"/>
  <c r="AE129" i="1"/>
  <c r="AA129" i="1"/>
  <c r="Z129" i="1"/>
  <c r="AG129" i="1" s="1"/>
  <c r="V129" i="1"/>
  <c r="U129" i="1"/>
  <c r="T129" i="1"/>
  <c r="S129" i="1"/>
  <c r="R129" i="1"/>
  <c r="AF129" i="1" s="1"/>
  <c r="O129" i="1"/>
  <c r="AD129" i="1" s="1"/>
  <c r="AH128" i="1"/>
  <c r="AG128" i="1"/>
  <c r="AE128" i="1"/>
  <c r="AA128" i="1"/>
  <c r="Z128" i="1"/>
  <c r="V128" i="1"/>
  <c r="U128" i="1"/>
  <c r="T128" i="1"/>
  <c r="S128" i="1"/>
  <c r="R128" i="1"/>
  <c r="AF128" i="1" s="1"/>
  <c r="O128" i="1"/>
  <c r="AD128" i="1" s="1"/>
  <c r="AH127" i="1"/>
  <c r="AE127" i="1"/>
  <c r="AA127" i="1"/>
  <c r="Z127" i="1"/>
  <c r="AG127" i="1" s="1"/>
  <c r="V127" i="1"/>
  <c r="U127" i="1"/>
  <c r="T127" i="1"/>
  <c r="S127" i="1"/>
  <c r="R127" i="1"/>
  <c r="AF127" i="1" s="1"/>
  <c r="O127" i="1"/>
  <c r="AD127" i="1" s="1"/>
  <c r="AH126" i="1"/>
  <c r="AG126" i="1"/>
  <c r="AE126" i="1"/>
  <c r="AA126" i="1"/>
  <c r="Z126" i="1"/>
  <c r="V126" i="1"/>
  <c r="U126" i="1"/>
  <c r="T126" i="1"/>
  <c r="S126" i="1"/>
  <c r="R126" i="1"/>
  <c r="AF126" i="1" s="1"/>
  <c r="O126" i="1"/>
  <c r="AD126" i="1" s="1"/>
  <c r="AI126" i="1" s="1"/>
  <c r="AH125" i="1"/>
  <c r="AE125" i="1"/>
  <c r="AA125" i="1"/>
  <c r="Z125" i="1"/>
  <c r="AG125" i="1" s="1"/>
  <c r="V125" i="1"/>
  <c r="U125" i="1"/>
  <c r="T125" i="1"/>
  <c r="S125" i="1"/>
  <c r="R125" i="1"/>
  <c r="AF125" i="1" s="1"/>
  <c r="O125" i="1"/>
  <c r="AD125" i="1" s="1"/>
  <c r="AI125" i="1" s="1"/>
  <c r="AH124" i="1"/>
  <c r="AG124" i="1"/>
  <c r="AE124" i="1"/>
  <c r="AA124" i="1"/>
  <c r="Z124" i="1"/>
  <c r="V124" i="1"/>
  <c r="U124" i="1"/>
  <c r="T124" i="1"/>
  <c r="S124" i="1"/>
  <c r="R124" i="1"/>
  <c r="AF124" i="1" s="1"/>
  <c r="O124" i="1"/>
  <c r="AD124" i="1" s="1"/>
  <c r="AH123" i="1"/>
  <c r="AE123" i="1"/>
  <c r="AA123" i="1"/>
  <c r="Z123" i="1"/>
  <c r="AG123" i="1" s="1"/>
  <c r="V123" i="1"/>
  <c r="U123" i="1"/>
  <c r="T123" i="1"/>
  <c r="S123" i="1"/>
  <c r="R123" i="1"/>
  <c r="AF123" i="1" s="1"/>
  <c r="O123" i="1"/>
  <c r="AD123" i="1" s="1"/>
  <c r="AH122" i="1"/>
  <c r="AG122" i="1"/>
  <c r="AE122" i="1"/>
  <c r="AA122" i="1"/>
  <c r="Z122" i="1"/>
  <c r="U122" i="1"/>
  <c r="T122" i="1"/>
  <c r="S122" i="1"/>
  <c r="Q122" i="1"/>
  <c r="R122" i="1" s="1"/>
  <c r="AF122" i="1" s="1"/>
  <c r="O122" i="1"/>
  <c r="AD122" i="1" s="1"/>
  <c r="K122" i="1"/>
  <c r="V122" i="1" s="1"/>
  <c r="AH121" i="1"/>
  <c r="AG121" i="1"/>
  <c r="AE121" i="1"/>
  <c r="AA121" i="1"/>
  <c r="Z121" i="1"/>
  <c r="U121" i="1"/>
  <c r="T121" i="1"/>
  <c r="S121" i="1"/>
  <c r="Q121" i="1"/>
  <c r="R121" i="1" s="1"/>
  <c r="AF121" i="1" s="1"/>
  <c r="O121" i="1"/>
  <c r="AD121" i="1" s="1"/>
  <c r="AI121" i="1" s="1"/>
  <c r="K121" i="1"/>
  <c r="V121" i="1" s="1"/>
  <c r="AH120" i="1"/>
  <c r="AG120" i="1"/>
  <c r="AE120" i="1"/>
  <c r="AA120" i="1"/>
  <c r="Z120" i="1"/>
  <c r="U120" i="1"/>
  <c r="T120" i="1"/>
  <c r="S120" i="1"/>
  <c r="Q120" i="1"/>
  <c r="R120" i="1" s="1"/>
  <c r="AF120" i="1" s="1"/>
  <c r="O120" i="1"/>
  <c r="AD120" i="1" s="1"/>
  <c r="K120" i="1"/>
  <c r="V120" i="1" s="1"/>
  <c r="AH119" i="1"/>
  <c r="AG119" i="1"/>
  <c r="AE119" i="1"/>
  <c r="AA119" i="1"/>
  <c r="Z119" i="1"/>
  <c r="U119" i="1"/>
  <c r="T119" i="1"/>
  <c r="S119" i="1"/>
  <c r="Q119" i="1"/>
  <c r="R119" i="1" s="1"/>
  <c r="AF119" i="1" s="1"/>
  <c r="O119" i="1"/>
  <c r="AD119" i="1" s="1"/>
  <c r="AI119" i="1" s="1"/>
  <c r="K119" i="1"/>
  <c r="V119" i="1" s="1"/>
  <c r="AH118" i="1"/>
  <c r="AG118" i="1"/>
  <c r="AE118" i="1"/>
  <c r="AA118" i="1"/>
  <c r="Z118" i="1"/>
  <c r="U118" i="1"/>
  <c r="T118" i="1"/>
  <c r="S118" i="1"/>
  <c r="Q118" i="1"/>
  <c r="R118" i="1" s="1"/>
  <c r="AF118" i="1" s="1"/>
  <c r="O118" i="1"/>
  <c r="AD118" i="1" s="1"/>
  <c r="K118" i="1"/>
  <c r="V118" i="1" s="1"/>
  <c r="AH117" i="1"/>
  <c r="AG117" i="1"/>
  <c r="AE117" i="1"/>
  <c r="AA117" i="1"/>
  <c r="Z117" i="1"/>
  <c r="U117" i="1"/>
  <c r="T117" i="1"/>
  <c r="S117" i="1"/>
  <c r="Q117" i="1"/>
  <c r="R117" i="1" s="1"/>
  <c r="AF117" i="1" s="1"/>
  <c r="O117" i="1"/>
  <c r="AD117" i="1" s="1"/>
  <c r="AI117" i="1" s="1"/>
  <c r="K117" i="1"/>
  <c r="V117" i="1" s="1"/>
  <c r="AH116" i="1"/>
  <c r="AG116" i="1"/>
  <c r="AE116" i="1"/>
  <c r="AA116" i="1"/>
  <c r="Z116" i="1"/>
  <c r="U116" i="1"/>
  <c r="T116" i="1"/>
  <c r="S116" i="1"/>
  <c r="Q116" i="1"/>
  <c r="R116" i="1" s="1"/>
  <c r="AF116" i="1" s="1"/>
  <c r="O116" i="1"/>
  <c r="AD116" i="1" s="1"/>
  <c r="K116" i="1"/>
  <c r="V116" i="1" s="1"/>
  <c r="AH115" i="1"/>
  <c r="AG115" i="1"/>
  <c r="AE115" i="1"/>
  <c r="AA115" i="1"/>
  <c r="Z115" i="1"/>
  <c r="U115" i="1"/>
  <c r="T115" i="1"/>
  <c r="S115" i="1"/>
  <c r="Q115" i="1"/>
  <c r="R115" i="1" s="1"/>
  <c r="AF115" i="1" s="1"/>
  <c r="O115" i="1"/>
  <c r="AD115" i="1" s="1"/>
  <c r="AI115" i="1" s="1"/>
  <c r="K115" i="1"/>
  <c r="V115" i="1" s="1"/>
  <c r="AH114" i="1"/>
  <c r="AG114" i="1"/>
  <c r="AE114" i="1"/>
  <c r="AA114" i="1"/>
  <c r="Z114" i="1"/>
  <c r="U114" i="1"/>
  <c r="T114" i="1"/>
  <c r="S114" i="1"/>
  <c r="Q114" i="1"/>
  <c r="R114" i="1" s="1"/>
  <c r="AF114" i="1" s="1"/>
  <c r="O114" i="1"/>
  <c r="AD114" i="1" s="1"/>
  <c r="K114" i="1"/>
  <c r="V114" i="1" s="1"/>
  <c r="AH113" i="1"/>
  <c r="AG113" i="1"/>
  <c r="AE113" i="1"/>
  <c r="AA113" i="1"/>
  <c r="Z113" i="1"/>
  <c r="U113" i="1"/>
  <c r="T113" i="1"/>
  <c r="S113" i="1"/>
  <c r="Q113" i="1"/>
  <c r="R113" i="1" s="1"/>
  <c r="AF113" i="1" s="1"/>
  <c r="O113" i="1"/>
  <c r="AD113" i="1" s="1"/>
  <c r="AI113" i="1" s="1"/>
  <c r="K113" i="1"/>
  <c r="V113" i="1" s="1"/>
  <c r="AH112" i="1"/>
  <c r="AG112" i="1"/>
  <c r="AE112" i="1"/>
  <c r="AA112" i="1"/>
  <c r="Z112" i="1"/>
  <c r="U112" i="1"/>
  <c r="T112" i="1"/>
  <c r="S112" i="1"/>
  <c r="R112" i="1"/>
  <c r="AF112" i="1" s="1"/>
  <c r="O112" i="1"/>
  <c r="AD112" i="1" s="1"/>
  <c r="K112" i="1"/>
  <c r="V112" i="1" s="1"/>
  <c r="AH111" i="1"/>
  <c r="AF111" i="1"/>
  <c r="AE111" i="1"/>
  <c r="AA111" i="1"/>
  <c r="Z111" i="1"/>
  <c r="AG111" i="1" s="1"/>
  <c r="U111" i="1"/>
  <c r="T111" i="1"/>
  <c r="S111" i="1"/>
  <c r="R111" i="1"/>
  <c r="O111" i="1"/>
  <c r="AD111" i="1" s="1"/>
  <c r="AI111" i="1" s="1"/>
  <c r="K111" i="1"/>
  <c r="V111" i="1" s="1"/>
  <c r="AH110" i="1"/>
  <c r="AE110" i="1"/>
  <c r="AA110" i="1"/>
  <c r="Z110" i="1"/>
  <c r="AG110" i="1" s="1"/>
  <c r="V110" i="1"/>
  <c r="U110" i="1"/>
  <c r="T110" i="1"/>
  <c r="S110" i="1"/>
  <c r="R110" i="1"/>
  <c r="AF110" i="1" s="1"/>
  <c r="O110" i="1"/>
  <c r="AD110" i="1" s="1"/>
  <c r="AH109" i="1"/>
  <c r="AG109" i="1"/>
  <c r="AE109" i="1"/>
  <c r="AA109" i="1"/>
  <c r="Z109" i="1"/>
  <c r="U109" i="1"/>
  <c r="T109" i="1"/>
  <c r="S109" i="1"/>
  <c r="Q109" i="1"/>
  <c r="R109" i="1" s="1"/>
  <c r="AF109" i="1" s="1"/>
  <c r="O109" i="1"/>
  <c r="AD109" i="1" s="1"/>
  <c r="K109" i="1"/>
  <c r="V109" i="1" s="1"/>
  <c r="AH108" i="1"/>
  <c r="AG108" i="1"/>
  <c r="AE108" i="1"/>
  <c r="AA108" i="1"/>
  <c r="Z108" i="1"/>
  <c r="U108" i="1"/>
  <c r="T108" i="1"/>
  <c r="S108" i="1"/>
  <c r="Q108" i="1"/>
  <c r="R108" i="1" s="1"/>
  <c r="AF108" i="1" s="1"/>
  <c r="O108" i="1"/>
  <c r="AD108" i="1" s="1"/>
  <c r="AI108" i="1" s="1"/>
  <c r="K108" i="1"/>
  <c r="V108" i="1" s="1"/>
  <c r="AH107" i="1"/>
  <c r="AG107" i="1"/>
  <c r="AE107" i="1"/>
  <c r="AA107" i="1"/>
  <c r="Z107" i="1"/>
  <c r="U107" i="1"/>
  <c r="T107" i="1"/>
  <c r="S107" i="1"/>
  <c r="Q107" i="1"/>
  <c r="R107" i="1" s="1"/>
  <c r="AF107" i="1" s="1"/>
  <c r="O107" i="1"/>
  <c r="AD107" i="1" s="1"/>
  <c r="K107" i="1"/>
  <c r="V107" i="1" s="1"/>
  <c r="AH106" i="1"/>
  <c r="AG106" i="1"/>
  <c r="AE106" i="1"/>
  <c r="AA106" i="1"/>
  <c r="Z106" i="1"/>
  <c r="U106" i="1"/>
  <c r="T106" i="1"/>
  <c r="S106" i="1"/>
  <c r="Q106" i="1"/>
  <c r="R106" i="1" s="1"/>
  <c r="AF106" i="1" s="1"/>
  <c r="O106" i="1"/>
  <c r="AD106" i="1" s="1"/>
  <c r="AI106" i="1" s="1"/>
  <c r="K106" i="1"/>
  <c r="V106" i="1" s="1"/>
  <c r="AH105" i="1"/>
  <c r="AG105" i="1"/>
  <c r="AE105" i="1"/>
  <c r="AA105" i="1"/>
  <c r="Z105" i="1"/>
  <c r="U105" i="1"/>
  <c r="T105" i="1"/>
  <c r="S105" i="1"/>
  <c r="Q105" i="1"/>
  <c r="R105" i="1" s="1"/>
  <c r="AF105" i="1" s="1"/>
  <c r="O105" i="1"/>
  <c r="AD105" i="1" s="1"/>
  <c r="K105" i="1"/>
  <c r="V105" i="1" s="1"/>
  <c r="AH104" i="1"/>
  <c r="AG104" i="1"/>
  <c r="AE104" i="1"/>
  <c r="AA104" i="1"/>
  <c r="Z104" i="1"/>
  <c r="U104" i="1"/>
  <c r="T104" i="1"/>
  <c r="S104" i="1"/>
  <c r="Q104" i="1"/>
  <c r="R104" i="1" s="1"/>
  <c r="AF104" i="1" s="1"/>
  <c r="O104" i="1"/>
  <c r="AD104" i="1" s="1"/>
  <c r="AI104" i="1" s="1"/>
  <c r="K104" i="1"/>
  <c r="V104" i="1" s="1"/>
  <c r="AH103" i="1"/>
  <c r="AG103" i="1"/>
  <c r="AE103" i="1"/>
  <c r="AA103" i="1"/>
  <c r="Z103" i="1"/>
  <c r="U103" i="1"/>
  <c r="T103" i="1"/>
  <c r="S103" i="1"/>
  <c r="Q103" i="1"/>
  <c r="R103" i="1" s="1"/>
  <c r="AF103" i="1" s="1"/>
  <c r="O103" i="1"/>
  <c r="AD103" i="1" s="1"/>
  <c r="K103" i="1"/>
  <c r="V103" i="1" s="1"/>
  <c r="AH102" i="1"/>
  <c r="AG102" i="1"/>
  <c r="AE102" i="1"/>
  <c r="AA102" i="1"/>
  <c r="Z102" i="1"/>
  <c r="U102" i="1"/>
  <c r="T102" i="1"/>
  <c r="S102" i="1"/>
  <c r="Q102" i="1"/>
  <c r="R102" i="1" s="1"/>
  <c r="AF102" i="1" s="1"/>
  <c r="O102" i="1"/>
  <c r="AD102" i="1" s="1"/>
  <c r="AI102" i="1" s="1"/>
  <c r="K102" i="1"/>
  <c r="V102" i="1" s="1"/>
  <c r="AH101" i="1"/>
  <c r="AG101" i="1"/>
  <c r="AE101" i="1"/>
  <c r="AA101" i="1"/>
  <c r="Z101" i="1"/>
  <c r="U101" i="1"/>
  <c r="T101" i="1"/>
  <c r="S101" i="1"/>
  <c r="Q101" i="1"/>
  <c r="R101" i="1" s="1"/>
  <c r="AF101" i="1" s="1"/>
  <c r="O101" i="1"/>
  <c r="AD101" i="1" s="1"/>
  <c r="K101" i="1"/>
  <c r="V101" i="1" s="1"/>
  <c r="AH100" i="1"/>
  <c r="AG100" i="1"/>
  <c r="AE100" i="1"/>
  <c r="AA100" i="1"/>
  <c r="Z100" i="1"/>
  <c r="U100" i="1"/>
  <c r="T100" i="1"/>
  <c r="S100" i="1"/>
  <c r="Q100" i="1"/>
  <c r="R100" i="1" s="1"/>
  <c r="AF100" i="1" s="1"/>
  <c r="O100" i="1"/>
  <c r="AD100" i="1" s="1"/>
  <c r="AI100" i="1" s="1"/>
  <c r="K100" i="1"/>
  <c r="V100" i="1" s="1"/>
  <c r="AH99" i="1"/>
  <c r="AG99" i="1"/>
  <c r="AE99" i="1"/>
  <c r="AA99" i="1"/>
  <c r="Z99" i="1"/>
  <c r="U99" i="1"/>
  <c r="T99" i="1"/>
  <c r="S99" i="1"/>
  <c r="Q99" i="1"/>
  <c r="R99" i="1" s="1"/>
  <c r="AF99" i="1" s="1"/>
  <c r="O99" i="1"/>
  <c r="AD99" i="1" s="1"/>
  <c r="K99" i="1"/>
  <c r="V99" i="1" s="1"/>
  <c r="AH98" i="1"/>
  <c r="AG98" i="1"/>
  <c r="AE98" i="1"/>
  <c r="AA98" i="1"/>
  <c r="Z98" i="1"/>
  <c r="U98" i="1"/>
  <c r="T98" i="1"/>
  <c r="S98" i="1"/>
  <c r="Q98" i="1"/>
  <c r="R98" i="1" s="1"/>
  <c r="AF98" i="1" s="1"/>
  <c r="O98" i="1"/>
  <c r="AD98" i="1" s="1"/>
  <c r="AI98" i="1" s="1"/>
  <c r="K98" i="1"/>
  <c r="V98" i="1" s="1"/>
  <c r="AH97" i="1"/>
  <c r="AG97" i="1"/>
  <c r="AE97" i="1"/>
  <c r="AA97" i="1"/>
  <c r="Z97" i="1"/>
  <c r="U97" i="1"/>
  <c r="T97" i="1"/>
  <c r="S97" i="1"/>
  <c r="Q97" i="1"/>
  <c r="R97" i="1" s="1"/>
  <c r="AF97" i="1" s="1"/>
  <c r="O97" i="1"/>
  <c r="AD97" i="1" s="1"/>
  <c r="K97" i="1"/>
  <c r="V97" i="1" s="1"/>
  <c r="AH96" i="1"/>
  <c r="AG96" i="1"/>
  <c r="AE96" i="1"/>
  <c r="AA96" i="1"/>
  <c r="Z96" i="1"/>
  <c r="U96" i="1"/>
  <c r="T96" i="1"/>
  <c r="S96" i="1"/>
  <c r="Q96" i="1"/>
  <c r="R96" i="1" s="1"/>
  <c r="AF96" i="1" s="1"/>
  <c r="O96" i="1"/>
  <c r="AD96" i="1" s="1"/>
  <c r="AI96" i="1" s="1"/>
  <c r="K96" i="1"/>
  <c r="V96" i="1" s="1"/>
  <c r="AH95" i="1"/>
  <c r="AG95" i="1"/>
  <c r="AE95" i="1"/>
  <c r="AA95" i="1"/>
  <c r="Z95" i="1"/>
  <c r="U95" i="1"/>
  <c r="T95" i="1"/>
  <c r="S95" i="1"/>
  <c r="Q95" i="1"/>
  <c r="R95" i="1" s="1"/>
  <c r="AF95" i="1" s="1"/>
  <c r="O95" i="1"/>
  <c r="AD95" i="1" s="1"/>
  <c r="K95" i="1"/>
  <c r="V95" i="1" s="1"/>
  <c r="AH94" i="1"/>
  <c r="AG94" i="1"/>
  <c r="AF94" i="1"/>
  <c r="AE94" i="1"/>
  <c r="AA94" i="1"/>
  <c r="Z94" i="1"/>
  <c r="U94" i="1"/>
  <c r="T94" i="1"/>
  <c r="S94" i="1"/>
  <c r="R94" i="1"/>
  <c r="O94" i="1"/>
  <c r="AD94" i="1" s="1"/>
  <c r="AI94" i="1" s="1"/>
  <c r="K94" i="1"/>
  <c r="V94" i="1" s="1"/>
  <c r="AH93" i="1"/>
  <c r="AF93" i="1"/>
  <c r="AE93" i="1"/>
  <c r="AA93" i="1"/>
  <c r="Z93" i="1"/>
  <c r="AG93" i="1" s="1"/>
  <c r="U93" i="1"/>
  <c r="T93" i="1"/>
  <c r="S93" i="1"/>
  <c r="R93" i="1"/>
  <c r="O93" i="1"/>
  <c r="AD93" i="1" s="1"/>
  <c r="AI93" i="1" s="1"/>
  <c r="K93" i="1"/>
  <c r="V93" i="1" s="1"/>
  <c r="AH92" i="1"/>
  <c r="AE92" i="1"/>
  <c r="AA92" i="1"/>
  <c r="Z92" i="1"/>
  <c r="AG92" i="1" s="1"/>
  <c r="V92" i="1"/>
  <c r="U92" i="1"/>
  <c r="T92" i="1"/>
  <c r="S92" i="1"/>
  <c r="R92" i="1"/>
  <c r="AF92" i="1" s="1"/>
  <c r="O92" i="1"/>
  <c r="AD92" i="1" s="1"/>
  <c r="K92" i="1"/>
  <c r="AH91" i="1"/>
  <c r="AG91" i="1"/>
  <c r="AE91" i="1"/>
  <c r="AD91" i="1"/>
  <c r="AI91" i="1" s="1"/>
  <c r="AA91" i="1"/>
  <c r="Z91" i="1"/>
  <c r="V91" i="1"/>
  <c r="U91" i="1"/>
  <c r="T91" i="1"/>
  <c r="S91" i="1"/>
  <c r="Q91" i="1"/>
  <c r="R91" i="1" s="1"/>
  <c r="AF91" i="1" s="1"/>
  <c r="O91" i="1"/>
  <c r="K91" i="1"/>
  <c r="AH90" i="1"/>
  <c r="AG90" i="1"/>
  <c r="AE90" i="1"/>
  <c r="AD90" i="1"/>
  <c r="AA90" i="1"/>
  <c r="Z90" i="1"/>
  <c r="V90" i="1"/>
  <c r="U90" i="1"/>
  <c r="T90" i="1"/>
  <c r="S90" i="1"/>
  <c r="Q90" i="1"/>
  <c r="R90" i="1" s="1"/>
  <c r="AF90" i="1" s="1"/>
  <c r="O90" i="1"/>
  <c r="K90" i="1"/>
  <c r="AH89" i="1"/>
  <c r="AG89" i="1"/>
  <c r="AE89" i="1"/>
  <c r="AD89" i="1"/>
  <c r="AI89" i="1" s="1"/>
  <c r="AA89" i="1"/>
  <c r="Z89" i="1"/>
  <c r="V89" i="1"/>
  <c r="U89" i="1"/>
  <c r="T89" i="1"/>
  <c r="S89" i="1"/>
  <c r="Q89" i="1"/>
  <c r="R89" i="1" s="1"/>
  <c r="AF89" i="1" s="1"/>
  <c r="O89" i="1"/>
  <c r="K89" i="1"/>
  <c r="AH88" i="1"/>
  <c r="AG88" i="1"/>
  <c r="AE88" i="1"/>
  <c r="AA88" i="1"/>
  <c r="Z88" i="1"/>
  <c r="V88" i="1"/>
  <c r="U88" i="1"/>
  <c r="T88" i="1"/>
  <c r="S88" i="1"/>
  <c r="R88" i="1"/>
  <c r="AF88" i="1" s="1"/>
  <c r="O88" i="1"/>
  <c r="AD88" i="1" s="1"/>
  <c r="AI88" i="1" s="1"/>
  <c r="K88" i="1"/>
  <c r="AH87" i="1"/>
  <c r="AG87" i="1"/>
  <c r="AF87" i="1"/>
  <c r="AE87" i="1"/>
  <c r="AA87" i="1"/>
  <c r="Z87" i="1"/>
  <c r="U87" i="1"/>
  <c r="T87" i="1"/>
  <c r="S87" i="1"/>
  <c r="R87" i="1"/>
  <c r="O87" i="1"/>
  <c r="AD87" i="1" s="1"/>
  <c r="AI87" i="1" s="1"/>
  <c r="K87" i="1"/>
  <c r="V87" i="1" s="1"/>
  <c r="AH86" i="1"/>
  <c r="AF86" i="1"/>
  <c r="AE86" i="1"/>
  <c r="AA86" i="1"/>
  <c r="Z86" i="1"/>
  <c r="AG86" i="1" s="1"/>
  <c r="U86" i="1"/>
  <c r="T86" i="1"/>
  <c r="S86" i="1"/>
  <c r="R86" i="1"/>
  <c r="O86" i="1"/>
  <c r="AD86" i="1" s="1"/>
  <c r="K86" i="1"/>
  <c r="V86" i="1" s="1"/>
  <c r="AH85" i="1"/>
  <c r="AE85" i="1"/>
  <c r="AD85" i="1"/>
  <c r="AA85" i="1"/>
  <c r="Z85" i="1"/>
  <c r="AG85" i="1" s="1"/>
  <c r="V85" i="1"/>
  <c r="U85" i="1"/>
  <c r="T85" i="1"/>
  <c r="S85" i="1"/>
  <c r="R85" i="1"/>
  <c r="AF85" i="1" s="1"/>
  <c r="Q85" i="1"/>
  <c r="O85" i="1"/>
  <c r="AH84" i="1"/>
  <c r="AG84" i="1"/>
  <c r="AE84" i="1"/>
  <c r="AD84" i="1"/>
  <c r="AI84" i="1" s="1"/>
  <c r="AA84" i="1"/>
  <c r="Z84" i="1"/>
  <c r="V84" i="1"/>
  <c r="U84" i="1"/>
  <c r="T84" i="1"/>
  <c r="S84" i="1"/>
  <c r="Q84" i="1"/>
  <c r="R84" i="1" s="1"/>
  <c r="AF84" i="1" s="1"/>
  <c r="O84" i="1"/>
  <c r="K84" i="1"/>
  <c r="AH83" i="1"/>
  <c r="AG83" i="1"/>
  <c r="AE83" i="1"/>
  <c r="AD83" i="1"/>
  <c r="AA83" i="1"/>
  <c r="Z83" i="1"/>
  <c r="V83" i="1"/>
  <c r="U83" i="1"/>
  <c r="T83" i="1"/>
  <c r="S83" i="1"/>
  <c r="Q83" i="1"/>
  <c r="R83" i="1" s="1"/>
  <c r="AF83" i="1" s="1"/>
  <c r="O83" i="1"/>
  <c r="K83" i="1"/>
  <c r="AH82" i="1"/>
  <c r="AG82" i="1"/>
  <c r="AE82" i="1"/>
  <c r="AA82" i="1"/>
  <c r="Z82" i="1"/>
  <c r="V82" i="1"/>
  <c r="U82" i="1"/>
  <c r="T82" i="1"/>
  <c r="S82" i="1"/>
  <c r="R82" i="1"/>
  <c r="AF82" i="1" s="1"/>
  <c r="O82" i="1"/>
  <c r="AD82" i="1" s="1"/>
  <c r="AH81" i="1"/>
  <c r="AF81" i="1"/>
  <c r="AE81" i="1"/>
  <c r="AA81" i="1"/>
  <c r="Z81" i="1"/>
  <c r="AG81" i="1" s="1"/>
  <c r="V81" i="1"/>
  <c r="U81" i="1"/>
  <c r="T81" i="1"/>
  <c r="S81" i="1"/>
  <c r="R81" i="1"/>
  <c r="Q81" i="1"/>
  <c r="O81" i="1"/>
  <c r="AD81" i="1" s="1"/>
  <c r="AH80" i="1"/>
  <c r="AE80" i="1"/>
  <c r="AA80" i="1"/>
  <c r="Z80" i="1"/>
  <c r="AG80" i="1" s="1"/>
  <c r="V80" i="1"/>
  <c r="U80" i="1"/>
  <c r="T80" i="1"/>
  <c r="S80" i="1"/>
  <c r="R80" i="1"/>
  <c r="AF80" i="1" s="1"/>
  <c r="O80" i="1"/>
  <c r="AD80" i="1" s="1"/>
  <c r="AH79" i="1"/>
  <c r="AG79" i="1"/>
  <c r="AE79" i="1"/>
  <c r="AA79" i="1"/>
  <c r="Z79" i="1"/>
  <c r="U79" i="1"/>
  <c r="T79" i="1"/>
  <c r="S79" i="1"/>
  <c r="Q79" i="1"/>
  <c r="R79" i="1" s="1"/>
  <c r="AF79" i="1" s="1"/>
  <c r="O79" i="1"/>
  <c r="AD79" i="1" s="1"/>
  <c r="K79" i="1"/>
  <c r="V79" i="1" s="1"/>
  <c r="AH78" i="1"/>
  <c r="AG78" i="1"/>
  <c r="AE78" i="1"/>
  <c r="AA78" i="1"/>
  <c r="Z78" i="1"/>
  <c r="U78" i="1"/>
  <c r="T78" i="1"/>
  <c r="S78" i="1"/>
  <c r="Q78" i="1"/>
  <c r="R78" i="1" s="1"/>
  <c r="AF78" i="1" s="1"/>
  <c r="O78" i="1"/>
  <c r="AD78" i="1" s="1"/>
  <c r="AI78" i="1" s="1"/>
  <c r="K78" i="1"/>
  <c r="V78" i="1" s="1"/>
  <c r="AH77" i="1"/>
  <c r="AG77" i="1"/>
  <c r="AE77" i="1"/>
  <c r="AA77" i="1"/>
  <c r="Z77" i="1"/>
  <c r="U77" i="1"/>
  <c r="T77" i="1"/>
  <c r="S77" i="1"/>
  <c r="Q77" i="1"/>
  <c r="R77" i="1" s="1"/>
  <c r="AF77" i="1" s="1"/>
  <c r="O77" i="1"/>
  <c r="AD77" i="1" s="1"/>
  <c r="K77" i="1"/>
  <c r="V77" i="1" s="1"/>
  <c r="AH76" i="1"/>
  <c r="AG76" i="1"/>
  <c r="AE76" i="1"/>
  <c r="AA76" i="1"/>
  <c r="Z76" i="1"/>
  <c r="U76" i="1"/>
  <c r="T76" i="1"/>
  <c r="S76" i="1"/>
  <c r="Q76" i="1"/>
  <c r="R76" i="1" s="1"/>
  <c r="AF76" i="1" s="1"/>
  <c r="O76" i="1"/>
  <c r="AD76" i="1" s="1"/>
  <c r="AI76" i="1" s="1"/>
  <c r="K76" i="1"/>
  <c r="V76" i="1" s="1"/>
  <c r="AH75" i="1"/>
  <c r="AG75" i="1"/>
  <c r="AE75" i="1"/>
  <c r="AA75" i="1"/>
  <c r="Z75" i="1"/>
  <c r="U75" i="1"/>
  <c r="T75" i="1"/>
  <c r="S75" i="1"/>
  <c r="Q75" i="1"/>
  <c r="R75" i="1" s="1"/>
  <c r="AF75" i="1" s="1"/>
  <c r="O75" i="1"/>
  <c r="AD75" i="1" s="1"/>
  <c r="K75" i="1"/>
  <c r="V75" i="1" s="1"/>
  <c r="AH74" i="1"/>
  <c r="AG74" i="1"/>
  <c r="AE74" i="1"/>
  <c r="AA74" i="1"/>
  <c r="Z74" i="1"/>
  <c r="U74" i="1"/>
  <c r="T74" i="1"/>
  <c r="S74" i="1"/>
  <c r="Q74" i="1"/>
  <c r="R74" i="1" s="1"/>
  <c r="AF74" i="1" s="1"/>
  <c r="O74" i="1"/>
  <c r="AD74" i="1" s="1"/>
  <c r="AI74" i="1" s="1"/>
  <c r="K74" i="1"/>
  <c r="V74" i="1" s="1"/>
  <c r="AH73" i="1"/>
  <c r="AG73" i="1"/>
  <c r="AE73" i="1"/>
  <c r="AA73" i="1"/>
  <c r="Z73" i="1"/>
  <c r="U73" i="1"/>
  <c r="T73" i="1"/>
  <c r="S73" i="1"/>
  <c r="Q73" i="1"/>
  <c r="R73" i="1" s="1"/>
  <c r="AF73" i="1" s="1"/>
  <c r="O73" i="1"/>
  <c r="AD73" i="1" s="1"/>
  <c r="K73" i="1"/>
  <c r="V73" i="1" s="1"/>
  <c r="AH72" i="1"/>
  <c r="AG72" i="1"/>
  <c r="AE72" i="1"/>
  <c r="AA72" i="1"/>
  <c r="Z72" i="1"/>
  <c r="U72" i="1"/>
  <c r="T72" i="1"/>
  <c r="S72" i="1"/>
  <c r="Q72" i="1"/>
  <c r="R72" i="1" s="1"/>
  <c r="AF72" i="1" s="1"/>
  <c r="O72" i="1"/>
  <c r="AD72" i="1" s="1"/>
  <c r="AI72" i="1" s="1"/>
  <c r="K72" i="1"/>
  <c r="V72" i="1" s="1"/>
  <c r="AH71" i="1"/>
  <c r="AG71" i="1"/>
  <c r="AE71" i="1"/>
  <c r="AA71" i="1"/>
  <c r="Z71" i="1"/>
  <c r="U71" i="1"/>
  <c r="T71" i="1"/>
  <c r="S71" i="1"/>
  <c r="Q71" i="1"/>
  <c r="R71" i="1" s="1"/>
  <c r="AF71" i="1" s="1"/>
  <c r="O71" i="1"/>
  <c r="AD71" i="1" s="1"/>
  <c r="K71" i="1"/>
  <c r="V71" i="1" s="1"/>
  <c r="AH70" i="1"/>
  <c r="AG70" i="1"/>
  <c r="AE70" i="1"/>
  <c r="AA70" i="1"/>
  <c r="Z70" i="1"/>
  <c r="U70" i="1"/>
  <c r="T70" i="1"/>
  <c r="S70" i="1"/>
  <c r="Q70" i="1"/>
  <c r="R70" i="1" s="1"/>
  <c r="AF70" i="1" s="1"/>
  <c r="O70" i="1"/>
  <c r="AD70" i="1" s="1"/>
  <c r="AI70" i="1" s="1"/>
  <c r="K70" i="1"/>
  <c r="V70" i="1" s="1"/>
  <c r="AH69" i="1"/>
  <c r="AG69" i="1"/>
  <c r="AE69" i="1"/>
  <c r="AA69" i="1"/>
  <c r="Z69" i="1"/>
  <c r="U69" i="1"/>
  <c r="T69" i="1"/>
  <c r="S69" i="1"/>
  <c r="Q69" i="1"/>
  <c r="R69" i="1" s="1"/>
  <c r="AF69" i="1" s="1"/>
  <c r="O69" i="1"/>
  <c r="AD69" i="1" s="1"/>
  <c r="K69" i="1"/>
  <c r="V69" i="1" s="1"/>
  <c r="AH68" i="1"/>
  <c r="AG68" i="1"/>
  <c r="AE68" i="1"/>
  <c r="AA68" i="1"/>
  <c r="Z68" i="1"/>
  <c r="U68" i="1"/>
  <c r="T68" i="1"/>
  <c r="S68" i="1"/>
  <c r="Q68" i="1"/>
  <c r="R68" i="1" s="1"/>
  <c r="AF68" i="1" s="1"/>
  <c r="O68" i="1"/>
  <c r="AD68" i="1" s="1"/>
  <c r="AI68" i="1" s="1"/>
  <c r="K68" i="1"/>
  <c r="V68" i="1" s="1"/>
  <c r="AH67" i="1"/>
  <c r="AG67" i="1"/>
  <c r="AE67" i="1"/>
  <c r="AA67" i="1"/>
  <c r="Z67" i="1"/>
  <c r="U67" i="1"/>
  <c r="T67" i="1"/>
  <c r="S67" i="1"/>
  <c r="Q67" i="1"/>
  <c r="R67" i="1" s="1"/>
  <c r="AF67" i="1" s="1"/>
  <c r="O67" i="1"/>
  <c r="AD67" i="1" s="1"/>
  <c r="K67" i="1"/>
  <c r="V67" i="1" s="1"/>
  <c r="AH66" i="1"/>
  <c r="AG66" i="1"/>
  <c r="AE66" i="1"/>
  <c r="AA66" i="1"/>
  <c r="Z66" i="1"/>
  <c r="U66" i="1"/>
  <c r="T66" i="1"/>
  <c r="S66" i="1"/>
  <c r="Q66" i="1"/>
  <c r="R66" i="1" s="1"/>
  <c r="AF66" i="1" s="1"/>
  <c r="O66" i="1"/>
  <c r="AD66" i="1" s="1"/>
  <c r="AI66" i="1" s="1"/>
  <c r="K66" i="1"/>
  <c r="V66" i="1" s="1"/>
  <c r="AH65" i="1"/>
  <c r="AG65" i="1"/>
  <c r="AE65" i="1"/>
  <c r="AA65" i="1"/>
  <c r="Z65" i="1"/>
  <c r="U65" i="1"/>
  <c r="T65" i="1"/>
  <c r="S65" i="1"/>
  <c r="Q65" i="1"/>
  <c r="R65" i="1" s="1"/>
  <c r="AF65" i="1" s="1"/>
  <c r="O65" i="1"/>
  <c r="AD65" i="1" s="1"/>
  <c r="K65" i="1"/>
  <c r="V65" i="1" s="1"/>
  <c r="AH64" i="1"/>
  <c r="AG64" i="1"/>
  <c r="AF64" i="1"/>
  <c r="AE64" i="1"/>
  <c r="AA64" i="1"/>
  <c r="Z64" i="1"/>
  <c r="U64" i="1"/>
  <c r="T64" i="1"/>
  <c r="S64" i="1"/>
  <c r="R64" i="1"/>
  <c r="O64" i="1"/>
  <c r="AD64" i="1" s="1"/>
  <c r="AI64" i="1" s="1"/>
  <c r="K64" i="1"/>
  <c r="V64" i="1" s="1"/>
  <c r="AH63" i="1"/>
  <c r="AF63" i="1"/>
  <c r="AE63" i="1"/>
  <c r="AA63" i="1"/>
  <c r="Z63" i="1"/>
  <c r="AG63" i="1" s="1"/>
  <c r="U63" i="1"/>
  <c r="T63" i="1"/>
  <c r="S63" i="1"/>
  <c r="R63" i="1"/>
  <c r="Q63" i="1"/>
  <c r="O63" i="1"/>
  <c r="AD63" i="1" s="1"/>
  <c r="AI63" i="1" s="1"/>
  <c r="K63" i="1"/>
  <c r="V63" i="1" s="1"/>
  <c r="AH62" i="1"/>
  <c r="AF62" i="1"/>
  <c r="AE62" i="1"/>
  <c r="AA62" i="1"/>
  <c r="Z62" i="1"/>
  <c r="AG62" i="1" s="1"/>
  <c r="U62" i="1"/>
  <c r="T62" i="1"/>
  <c r="S62" i="1"/>
  <c r="R62" i="1"/>
  <c r="Q62" i="1"/>
  <c r="O62" i="1"/>
  <c r="AD62" i="1" s="1"/>
  <c r="AI62" i="1" s="1"/>
  <c r="K62" i="1"/>
  <c r="V62" i="1" s="1"/>
  <c r="AH61" i="1"/>
  <c r="AF61" i="1"/>
  <c r="AE61" i="1"/>
  <c r="AA61" i="1"/>
  <c r="Z61" i="1"/>
  <c r="AG61" i="1" s="1"/>
  <c r="V61" i="1"/>
  <c r="U61" i="1"/>
  <c r="T61" i="1"/>
  <c r="S61" i="1"/>
  <c r="R61" i="1"/>
  <c r="O61" i="1"/>
  <c r="AD61" i="1" s="1"/>
  <c r="AI61" i="1" s="1"/>
  <c r="AH60" i="1"/>
  <c r="AE60" i="1"/>
  <c r="AA60" i="1"/>
  <c r="Z60" i="1"/>
  <c r="AG60" i="1" s="1"/>
  <c r="V60" i="1"/>
  <c r="U60" i="1"/>
  <c r="T60" i="1"/>
  <c r="S60" i="1"/>
  <c r="R60" i="1"/>
  <c r="AF60" i="1" s="1"/>
  <c r="O60" i="1"/>
  <c r="AD60" i="1" s="1"/>
  <c r="AH59" i="1"/>
  <c r="AF59" i="1"/>
  <c r="AE59" i="1"/>
  <c r="AA59" i="1"/>
  <c r="Z59" i="1"/>
  <c r="AG59" i="1" s="1"/>
  <c r="U59" i="1"/>
  <c r="T59" i="1"/>
  <c r="S59" i="1"/>
  <c r="R59" i="1"/>
  <c r="O59" i="1"/>
  <c r="AD59" i="1" s="1"/>
  <c r="K59" i="1"/>
  <c r="V59" i="1" s="1"/>
  <c r="AH58" i="1"/>
  <c r="AE58" i="1"/>
  <c r="AA58" i="1"/>
  <c r="Z58" i="1"/>
  <c r="AG58" i="1" s="1"/>
  <c r="V58" i="1"/>
  <c r="U58" i="1"/>
  <c r="T58" i="1"/>
  <c r="S58" i="1"/>
  <c r="R58" i="1"/>
  <c r="AF58" i="1" s="1"/>
  <c r="O58" i="1"/>
  <c r="AD58" i="1" s="1"/>
  <c r="K58" i="1"/>
  <c r="AH57" i="1"/>
  <c r="AG57" i="1"/>
  <c r="AE57" i="1"/>
  <c r="AD57" i="1"/>
  <c r="AA57" i="1"/>
  <c r="Z57" i="1"/>
  <c r="V57" i="1"/>
  <c r="U57" i="1"/>
  <c r="T57" i="1"/>
  <c r="S57" i="1"/>
  <c r="Q57" i="1"/>
  <c r="R57" i="1" s="1"/>
  <c r="AF57" i="1" s="1"/>
  <c r="O57" i="1"/>
  <c r="K57" i="1"/>
  <c r="AH56" i="1"/>
  <c r="AG56" i="1"/>
  <c r="AE56" i="1"/>
  <c r="AD56" i="1"/>
  <c r="AI56" i="1" s="1"/>
  <c r="AA56" i="1"/>
  <c r="Z56" i="1"/>
  <c r="V56" i="1"/>
  <c r="U56" i="1"/>
  <c r="T56" i="1"/>
  <c r="S56" i="1"/>
  <c r="Q56" i="1"/>
  <c r="R56" i="1" s="1"/>
  <c r="AF56" i="1" s="1"/>
  <c r="O56" i="1"/>
  <c r="K56" i="1"/>
  <c r="AH55" i="1"/>
  <c r="AG55" i="1"/>
  <c r="AE55" i="1"/>
  <c r="AD55" i="1"/>
  <c r="AA55" i="1"/>
  <c r="Z55" i="1"/>
  <c r="V55" i="1"/>
  <c r="U55" i="1"/>
  <c r="T55" i="1"/>
  <c r="S55" i="1"/>
  <c r="Q55" i="1"/>
  <c r="R55" i="1" s="1"/>
  <c r="AF55" i="1" s="1"/>
  <c r="O55" i="1"/>
  <c r="K55" i="1"/>
  <c r="AH54" i="1"/>
  <c r="AG54" i="1"/>
  <c r="AE54" i="1"/>
  <c r="AD54" i="1"/>
  <c r="AI54" i="1" s="1"/>
  <c r="AA54" i="1"/>
  <c r="Z54" i="1"/>
  <c r="V54" i="1"/>
  <c r="U54" i="1"/>
  <c r="T54" i="1"/>
  <c r="S54" i="1"/>
  <c r="Q54" i="1"/>
  <c r="R54" i="1" s="1"/>
  <c r="AF54" i="1" s="1"/>
  <c r="O54" i="1"/>
  <c r="K54" i="1"/>
  <c r="AH53" i="1"/>
  <c r="AG53" i="1"/>
  <c r="AE53" i="1"/>
  <c r="AD53" i="1"/>
  <c r="AA53" i="1"/>
  <c r="Z53" i="1"/>
  <c r="V53" i="1"/>
  <c r="U53" i="1"/>
  <c r="T53" i="1"/>
  <c r="S53" i="1"/>
  <c r="Q53" i="1"/>
  <c r="R53" i="1" s="1"/>
  <c r="AF53" i="1" s="1"/>
  <c r="O53" i="1"/>
  <c r="K53" i="1"/>
  <c r="AH52" i="1"/>
  <c r="AG52" i="1"/>
  <c r="AE52" i="1"/>
  <c r="AD52" i="1"/>
  <c r="AI52" i="1" s="1"/>
  <c r="AA52" i="1"/>
  <c r="Z52" i="1"/>
  <c r="V52" i="1"/>
  <c r="U52" i="1"/>
  <c r="T52" i="1"/>
  <c r="S52" i="1"/>
  <c r="Q52" i="1"/>
  <c r="R52" i="1" s="1"/>
  <c r="AF52" i="1" s="1"/>
  <c r="O52" i="1"/>
  <c r="K52" i="1"/>
  <c r="AH51" i="1"/>
  <c r="AG51" i="1"/>
  <c r="AE51" i="1"/>
  <c r="AD51" i="1"/>
  <c r="AA51" i="1"/>
  <c r="Z51" i="1"/>
  <c r="V51" i="1"/>
  <c r="U51" i="1"/>
  <c r="T51" i="1"/>
  <c r="S51" i="1"/>
  <c r="Q51" i="1"/>
  <c r="R51" i="1" s="1"/>
  <c r="AF51" i="1" s="1"/>
  <c r="O51" i="1"/>
  <c r="K51" i="1"/>
  <c r="AH50" i="1"/>
  <c r="AG50" i="1"/>
  <c r="AE50" i="1"/>
  <c r="AD50" i="1"/>
  <c r="AI50" i="1" s="1"/>
  <c r="AA50" i="1"/>
  <c r="Z50" i="1"/>
  <c r="V50" i="1"/>
  <c r="U50" i="1"/>
  <c r="T50" i="1"/>
  <c r="S50" i="1"/>
  <c r="Q50" i="1"/>
  <c r="R50" i="1" s="1"/>
  <c r="AF50" i="1" s="1"/>
  <c r="O50" i="1"/>
  <c r="K50" i="1"/>
  <c r="AH49" i="1"/>
  <c r="AG49" i="1"/>
  <c r="AE49" i="1"/>
  <c r="AD49" i="1"/>
  <c r="AA49" i="1"/>
  <c r="Z49" i="1"/>
  <c r="V49" i="1"/>
  <c r="U49" i="1"/>
  <c r="T49" i="1"/>
  <c r="S49" i="1"/>
  <c r="Q49" i="1"/>
  <c r="R49" i="1" s="1"/>
  <c r="AF49" i="1" s="1"/>
  <c r="O49" i="1"/>
  <c r="K49" i="1"/>
  <c r="AH48" i="1"/>
  <c r="AE48" i="1"/>
  <c r="AD48" i="1"/>
  <c r="AA48" i="1"/>
  <c r="Z48" i="1"/>
  <c r="AG48" i="1" s="1"/>
  <c r="V48" i="1"/>
  <c r="U48" i="1"/>
  <c r="T48" i="1"/>
  <c r="S48" i="1"/>
  <c r="Q48" i="1"/>
  <c r="R48" i="1" s="1"/>
  <c r="AF48" i="1" s="1"/>
  <c r="O48" i="1"/>
  <c r="K48" i="1"/>
  <c r="AH47" i="1"/>
  <c r="AE47" i="1"/>
  <c r="AD47" i="1"/>
  <c r="AA47" i="1"/>
  <c r="Z47" i="1"/>
  <c r="AG47" i="1" s="1"/>
  <c r="V47" i="1"/>
  <c r="U47" i="1"/>
  <c r="T47" i="1"/>
  <c r="S47" i="1"/>
  <c r="Q47" i="1"/>
  <c r="R47" i="1" s="1"/>
  <c r="AF47" i="1" s="1"/>
  <c r="O47" i="1"/>
  <c r="K47" i="1"/>
  <c r="AH46" i="1"/>
  <c r="AE46" i="1"/>
  <c r="AD46" i="1"/>
  <c r="AA46" i="1"/>
  <c r="Z46" i="1"/>
  <c r="AG46" i="1" s="1"/>
  <c r="V46" i="1"/>
  <c r="U46" i="1"/>
  <c r="T46" i="1"/>
  <c r="S46" i="1"/>
  <c r="Q46" i="1"/>
  <c r="R46" i="1" s="1"/>
  <c r="AF46" i="1" s="1"/>
  <c r="O46" i="1"/>
  <c r="K46" i="1"/>
  <c r="AH45" i="1"/>
  <c r="AE45" i="1"/>
  <c r="AA45" i="1"/>
  <c r="Z45" i="1"/>
  <c r="AG45" i="1" s="1"/>
  <c r="V45" i="1"/>
  <c r="U45" i="1"/>
  <c r="T45" i="1"/>
  <c r="S45" i="1"/>
  <c r="R45" i="1"/>
  <c r="AF45" i="1" s="1"/>
  <c r="O45" i="1"/>
  <c r="AD45" i="1" s="1"/>
  <c r="K45" i="1"/>
  <c r="AH44" i="1"/>
  <c r="AG44" i="1"/>
  <c r="AE44" i="1"/>
  <c r="AA44" i="1"/>
  <c r="Z44" i="1"/>
  <c r="U44" i="1"/>
  <c r="T44" i="1"/>
  <c r="S44" i="1"/>
  <c r="R44" i="1"/>
  <c r="AF44" i="1" s="1"/>
  <c r="O44" i="1"/>
  <c r="AD44" i="1" s="1"/>
  <c r="K44" i="1"/>
  <c r="V44" i="1" s="1"/>
  <c r="AH43" i="1"/>
  <c r="AF43" i="1"/>
  <c r="AE43" i="1"/>
  <c r="AA43" i="1"/>
  <c r="Z43" i="1"/>
  <c r="AG43" i="1" s="1"/>
  <c r="U43" i="1"/>
  <c r="T43" i="1"/>
  <c r="S43" i="1"/>
  <c r="R43" i="1"/>
  <c r="O43" i="1"/>
  <c r="AD43" i="1" s="1"/>
  <c r="AI43" i="1" s="1"/>
  <c r="K43" i="1"/>
  <c r="V43" i="1" s="1"/>
  <c r="AH42" i="1"/>
  <c r="AE42" i="1"/>
  <c r="AA42" i="1"/>
  <c r="Z42" i="1"/>
  <c r="AG42" i="1" s="1"/>
  <c r="V42" i="1"/>
  <c r="U42" i="1"/>
  <c r="T42" i="1"/>
  <c r="S42" i="1"/>
  <c r="R42" i="1"/>
  <c r="AF42" i="1" s="1"/>
  <c r="O42" i="1"/>
  <c r="AD42" i="1" s="1"/>
  <c r="AH41" i="1"/>
  <c r="AG41" i="1"/>
  <c r="AE41" i="1"/>
  <c r="AA41" i="1"/>
  <c r="Z41" i="1"/>
  <c r="V41" i="1"/>
  <c r="U41" i="1"/>
  <c r="T41" i="1"/>
  <c r="S41" i="1"/>
  <c r="R41" i="1"/>
  <c r="AF41" i="1" s="1"/>
  <c r="O41" i="1"/>
  <c r="AD41" i="1" s="1"/>
  <c r="AI41" i="1" s="1"/>
  <c r="AH40" i="1"/>
  <c r="AE40" i="1"/>
  <c r="AA40" i="1"/>
  <c r="Z40" i="1"/>
  <c r="AG40" i="1" s="1"/>
  <c r="V40" i="1"/>
  <c r="U40" i="1"/>
  <c r="T40" i="1"/>
  <c r="S40" i="1"/>
  <c r="R40" i="1"/>
  <c r="AF40" i="1" s="1"/>
  <c r="O40" i="1"/>
  <c r="AD40" i="1" s="1"/>
  <c r="AI40" i="1" s="1"/>
  <c r="K40" i="1"/>
  <c r="AH39" i="1"/>
  <c r="AE39" i="1"/>
  <c r="AA39" i="1"/>
  <c r="Z39" i="1"/>
  <c r="AG39" i="1" s="1"/>
  <c r="V39" i="1"/>
  <c r="U39" i="1"/>
  <c r="T39" i="1"/>
  <c r="S39" i="1"/>
  <c r="R39" i="1"/>
  <c r="AF39" i="1" s="1"/>
  <c r="O39" i="1"/>
  <c r="AD39" i="1" s="1"/>
  <c r="K39" i="1"/>
  <c r="AH38" i="1"/>
  <c r="AG38" i="1"/>
  <c r="AE38" i="1"/>
  <c r="AA38" i="1"/>
  <c r="Z38" i="1"/>
  <c r="U38" i="1"/>
  <c r="T38" i="1"/>
  <c r="S38" i="1"/>
  <c r="R38" i="1"/>
  <c r="AF38" i="1" s="1"/>
  <c r="O38" i="1"/>
  <c r="AD38" i="1" s="1"/>
  <c r="AI38" i="1" s="1"/>
  <c r="K38" i="1"/>
  <c r="V38" i="1" s="1"/>
  <c r="AH37" i="1"/>
  <c r="AF37" i="1"/>
  <c r="AE37" i="1"/>
  <c r="AA37" i="1"/>
  <c r="Z37" i="1"/>
  <c r="AG37" i="1" s="1"/>
  <c r="V37" i="1"/>
  <c r="U37" i="1"/>
  <c r="T37" i="1"/>
  <c r="S37" i="1"/>
  <c r="R37" i="1"/>
  <c r="O37" i="1"/>
  <c r="AD37" i="1" s="1"/>
  <c r="AH36" i="1"/>
  <c r="AE36" i="1"/>
  <c r="AD36" i="1"/>
  <c r="AA36" i="1"/>
  <c r="Z36" i="1"/>
  <c r="AG36" i="1" s="1"/>
  <c r="V36" i="1"/>
  <c r="U36" i="1"/>
  <c r="T36" i="1"/>
  <c r="S36" i="1"/>
  <c r="Q36" i="1"/>
  <c r="R36" i="1" s="1"/>
  <c r="AF36" i="1" s="1"/>
  <c r="O36" i="1"/>
  <c r="K36" i="1"/>
  <c r="AH35" i="1"/>
  <c r="AE35" i="1"/>
  <c r="AD35" i="1"/>
  <c r="AA35" i="1"/>
  <c r="Z35" i="1"/>
  <c r="AG35" i="1" s="1"/>
  <c r="V35" i="1"/>
  <c r="U35" i="1"/>
  <c r="T35" i="1"/>
  <c r="S35" i="1"/>
  <c r="Q35" i="1"/>
  <c r="R35" i="1" s="1"/>
  <c r="AF35" i="1" s="1"/>
  <c r="O35" i="1"/>
  <c r="K35" i="1"/>
  <c r="AH34" i="1"/>
  <c r="AE34" i="1"/>
  <c r="AD34" i="1"/>
  <c r="AA34" i="1"/>
  <c r="Z34" i="1"/>
  <c r="AG34" i="1" s="1"/>
  <c r="V34" i="1"/>
  <c r="U34" i="1"/>
  <c r="T34" i="1"/>
  <c r="S34" i="1"/>
  <c r="Q34" i="1"/>
  <c r="R34" i="1" s="1"/>
  <c r="AF34" i="1" s="1"/>
  <c r="O34" i="1"/>
  <c r="K34" i="1"/>
  <c r="AH33" i="1"/>
  <c r="AE33" i="1"/>
  <c r="AA33" i="1"/>
  <c r="Z33" i="1"/>
  <c r="AG33" i="1" s="1"/>
  <c r="V33" i="1"/>
  <c r="U33" i="1"/>
  <c r="T33" i="1"/>
  <c r="S33" i="1"/>
  <c r="R33" i="1"/>
  <c r="AF33" i="1" s="1"/>
  <c r="O33" i="1"/>
  <c r="AD33" i="1" s="1"/>
  <c r="AI33" i="1" s="1"/>
  <c r="K33" i="1"/>
  <c r="AH32" i="1"/>
  <c r="AG32" i="1"/>
  <c r="AE32" i="1"/>
  <c r="AA32" i="1"/>
  <c r="Z32" i="1"/>
  <c r="U32" i="1"/>
  <c r="T32" i="1"/>
  <c r="S32" i="1"/>
  <c r="R32" i="1"/>
  <c r="AF32" i="1" s="1"/>
  <c r="O32" i="1"/>
  <c r="AD32" i="1" s="1"/>
  <c r="K32" i="1"/>
  <c r="V32" i="1" s="1"/>
  <c r="AH31" i="1"/>
  <c r="AF31" i="1"/>
  <c r="AE31" i="1"/>
  <c r="AA31" i="1"/>
  <c r="Z31" i="1"/>
  <c r="AG31" i="1" s="1"/>
  <c r="U31" i="1"/>
  <c r="T31" i="1"/>
  <c r="S31" i="1"/>
  <c r="R31" i="1"/>
  <c r="O31" i="1"/>
  <c r="AD31" i="1" s="1"/>
  <c r="AI31" i="1" s="1"/>
  <c r="K31" i="1"/>
  <c r="V31" i="1" s="1"/>
  <c r="AH30" i="1"/>
  <c r="AE30" i="1"/>
  <c r="AA30" i="1"/>
  <c r="Z30" i="1"/>
  <c r="AG30" i="1" s="1"/>
  <c r="V30" i="1"/>
  <c r="U30" i="1"/>
  <c r="T30" i="1"/>
  <c r="S30" i="1"/>
  <c r="R30" i="1"/>
  <c r="AF30" i="1" s="1"/>
  <c r="Q30" i="1"/>
  <c r="O30" i="1"/>
  <c r="AD30" i="1" s="1"/>
  <c r="K30" i="1"/>
  <c r="AH29" i="1"/>
  <c r="AE29" i="1"/>
  <c r="AA29" i="1"/>
  <c r="Z29" i="1"/>
  <c r="AG29" i="1" s="1"/>
  <c r="V29" i="1"/>
  <c r="U29" i="1"/>
  <c r="T29" i="1"/>
  <c r="S29" i="1"/>
  <c r="R29" i="1"/>
  <c r="AF29" i="1" s="1"/>
  <c r="Q29" i="1"/>
  <c r="O29" i="1"/>
  <c r="AD29" i="1" s="1"/>
  <c r="K29" i="1"/>
  <c r="AH28" i="1"/>
  <c r="AE28" i="1"/>
  <c r="AA28" i="1"/>
  <c r="Z28" i="1"/>
  <c r="AG28" i="1" s="1"/>
  <c r="V28" i="1"/>
  <c r="U28" i="1"/>
  <c r="T28" i="1"/>
  <c r="S28" i="1"/>
  <c r="R28" i="1"/>
  <c r="AF28" i="1" s="1"/>
  <c r="Q28" i="1"/>
  <c r="O28" i="1"/>
  <c r="AD28" i="1" s="1"/>
  <c r="K28" i="1"/>
  <c r="AH27" i="1"/>
  <c r="AE27" i="1"/>
  <c r="AA27" i="1"/>
  <c r="Z27" i="1"/>
  <c r="AG27" i="1" s="1"/>
  <c r="V27" i="1"/>
  <c r="U27" i="1"/>
  <c r="T27" i="1"/>
  <c r="S27" i="1"/>
  <c r="R27" i="1"/>
  <c r="AF27" i="1" s="1"/>
  <c r="Q27" i="1"/>
  <c r="O27" i="1"/>
  <c r="AD27" i="1" s="1"/>
  <c r="K27" i="1"/>
  <c r="AH26" i="1"/>
  <c r="AE26" i="1"/>
  <c r="AA26" i="1"/>
  <c r="Z26" i="1"/>
  <c r="AG26" i="1" s="1"/>
  <c r="V26" i="1"/>
  <c r="U26" i="1"/>
  <c r="T26" i="1"/>
  <c r="S26" i="1"/>
  <c r="R26" i="1"/>
  <c r="AF26" i="1" s="1"/>
  <c r="Q26" i="1"/>
  <c r="O26" i="1"/>
  <c r="AD26" i="1" s="1"/>
  <c r="K26" i="1"/>
  <c r="AH25" i="1"/>
  <c r="AE25" i="1"/>
  <c r="AA25" i="1"/>
  <c r="Z25" i="1"/>
  <c r="AG25" i="1" s="1"/>
  <c r="V25" i="1"/>
  <c r="U25" i="1"/>
  <c r="T25" i="1"/>
  <c r="S25" i="1"/>
  <c r="R25" i="1"/>
  <c r="AF25" i="1" s="1"/>
  <c r="Q25" i="1"/>
  <c r="O25" i="1"/>
  <c r="AD25" i="1" s="1"/>
  <c r="K25" i="1"/>
  <c r="AH24" i="1"/>
  <c r="AE24" i="1"/>
  <c r="AA24" i="1"/>
  <c r="Z24" i="1"/>
  <c r="AG24" i="1" s="1"/>
  <c r="V24" i="1"/>
  <c r="U24" i="1"/>
  <c r="T24" i="1"/>
  <c r="S24" i="1"/>
  <c r="R24" i="1"/>
  <c r="AF24" i="1" s="1"/>
  <c r="Q24" i="1"/>
  <c r="O24" i="1"/>
  <c r="AD24" i="1" s="1"/>
  <c r="K24" i="1"/>
  <c r="AH23" i="1"/>
  <c r="AE23" i="1"/>
  <c r="AA23" i="1"/>
  <c r="Z23" i="1"/>
  <c r="AG23" i="1" s="1"/>
  <c r="V23" i="1"/>
  <c r="U23" i="1"/>
  <c r="T23" i="1"/>
  <c r="S23" i="1"/>
  <c r="R23" i="1"/>
  <c r="AF23" i="1" s="1"/>
  <c r="Q23" i="1"/>
  <c r="O23" i="1"/>
  <c r="AD23" i="1" s="1"/>
  <c r="K23" i="1"/>
  <c r="AH22" i="1"/>
  <c r="AE22" i="1"/>
  <c r="AA22" i="1"/>
  <c r="Z22" i="1"/>
  <c r="AG22" i="1" s="1"/>
  <c r="V22" i="1"/>
  <c r="U22" i="1"/>
  <c r="T22" i="1"/>
  <c r="S22" i="1"/>
  <c r="R22" i="1"/>
  <c r="AF22" i="1" s="1"/>
  <c r="Q22" i="1"/>
  <c r="O22" i="1"/>
  <c r="AD22" i="1" s="1"/>
  <c r="K22" i="1"/>
  <c r="AH21" i="1"/>
  <c r="AE21" i="1"/>
  <c r="AA21" i="1"/>
  <c r="Z21" i="1"/>
  <c r="AG21" i="1" s="1"/>
  <c r="V21" i="1"/>
  <c r="U21" i="1"/>
  <c r="T21" i="1"/>
  <c r="S21" i="1"/>
  <c r="R21" i="1"/>
  <c r="AF21" i="1" s="1"/>
  <c r="O21" i="1"/>
  <c r="AD21" i="1" s="1"/>
  <c r="K21" i="1"/>
  <c r="AH20" i="1"/>
  <c r="AE20" i="1"/>
  <c r="AA20" i="1"/>
  <c r="Z20" i="1"/>
  <c r="AG20" i="1" s="1"/>
  <c r="V20" i="1"/>
  <c r="U20" i="1"/>
  <c r="T20" i="1"/>
  <c r="S20" i="1"/>
  <c r="R20" i="1"/>
  <c r="AF20" i="1" s="1"/>
  <c r="O20" i="1"/>
  <c r="AD20" i="1" s="1"/>
  <c r="AI20" i="1" s="1"/>
  <c r="K20" i="1"/>
  <c r="AH19" i="1"/>
  <c r="AG19" i="1"/>
  <c r="AE19" i="1"/>
  <c r="AA19" i="1"/>
  <c r="Z19" i="1"/>
  <c r="U19" i="1"/>
  <c r="T19" i="1"/>
  <c r="S19" i="1"/>
  <c r="R19" i="1"/>
  <c r="AF19" i="1" s="1"/>
  <c r="O19" i="1"/>
  <c r="AD19" i="1" s="1"/>
  <c r="K19" i="1"/>
  <c r="V19" i="1" s="1"/>
  <c r="AH18" i="1"/>
  <c r="AE18" i="1"/>
  <c r="AA18" i="1"/>
  <c r="Z18" i="1"/>
  <c r="AG18" i="1" s="1"/>
  <c r="U18" i="1"/>
  <c r="T18" i="1"/>
  <c r="S18" i="1"/>
  <c r="Q18" i="1"/>
  <c r="R18" i="1" s="1"/>
  <c r="AF18" i="1" s="1"/>
  <c r="O18" i="1"/>
  <c r="AD18" i="1" s="1"/>
  <c r="K18" i="1"/>
  <c r="V18" i="1" s="1"/>
  <c r="AH17" i="1"/>
  <c r="AE17" i="1"/>
  <c r="AA17" i="1"/>
  <c r="Z17" i="1"/>
  <c r="AG17" i="1" s="1"/>
  <c r="U17" i="1"/>
  <c r="T17" i="1"/>
  <c r="S17" i="1"/>
  <c r="Q17" i="1"/>
  <c r="R17" i="1" s="1"/>
  <c r="AF17" i="1" s="1"/>
  <c r="O17" i="1"/>
  <c r="AD17" i="1" s="1"/>
  <c r="K17" i="1"/>
  <c r="V17" i="1" s="1"/>
  <c r="AH16" i="1"/>
  <c r="AE16" i="1"/>
  <c r="AA16" i="1"/>
  <c r="Z16" i="1"/>
  <c r="AG16" i="1" s="1"/>
  <c r="U16" i="1"/>
  <c r="T16" i="1"/>
  <c r="S16" i="1"/>
  <c r="Q16" i="1"/>
  <c r="R16" i="1" s="1"/>
  <c r="AF16" i="1" s="1"/>
  <c r="O16" i="1"/>
  <c r="AD16" i="1" s="1"/>
  <c r="K16" i="1"/>
  <c r="V16" i="1" s="1"/>
  <c r="AH15" i="1"/>
  <c r="AF15" i="1"/>
  <c r="AE15" i="1"/>
  <c r="AA15" i="1"/>
  <c r="Z15" i="1"/>
  <c r="AG15" i="1" s="1"/>
  <c r="V15" i="1"/>
  <c r="U15" i="1"/>
  <c r="T15" i="1"/>
  <c r="S15" i="1"/>
  <c r="R15" i="1"/>
  <c r="O15" i="1"/>
  <c r="AD15" i="1" s="1"/>
  <c r="AH14" i="1"/>
  <c r="AE14" i="1"/>
  <c r="AD14" i="1"/>
  <c r="AI14" i="1" s="1"/>
  <c r="AA14" i="1"/>
  <c r="Z14" i="1"/>
  <c r="AG14" i="1" s="1"/>
  <c r="V14" i="1"/>
  <c r="U14" i="1"/>
  <c r="T14" i="1"/>
  <c r="S14" i="1"/>
  <c r="Q14" i="1"/>
  <c r="R14" i="1" s="1"/>
  <c r="AF14" i="1" s="1"/>
  <c r="O14" i="1"/>
  <c r="K14" i="1"/>
  <c r="AH13" i="1"/>
  <c r="AE13" i="1"/>
  <c r="AD13" i="1"/>
  <c r="AI13" i="1" s="1"/>
  <c r="AA13" i="1"/>
  <c r="Z13" i="1"/>
  <c r="AG13" i="1" s="1"/>
  <c r="V13" i="1"/>
  <c r="U13" i="1"/>
  <c r="T13" i="1"/>
  <c r="S13" i="1"/>
  <c r="Q13" i="1"/>
  <c r="R13" i="1" s="1"/>
  <c r="AF13" i="1" s="1"/>
  <c r="O13" i="1"/>
  <c r="K13" i="1"/>
  <c r="AH12" i="1"/>
  <c r="AE12" i="1"/>
  <c r="AD12" i="1"/>
  <c r="AI12" i="1" s="1"/>
  <c r="AA12" i="1"/>
  <c r="Z12" i="1"/>
  <c r="AG12" i="1" s="1"/>
  <c r="V12" i="1"/>
  <c r="U12" i="1"/>
  <c r="T12" i="1"/>
  <c r="S12" i="1"/>
  <c r="Q12" i="1"/>
  <c r="R12" i="1" s="1"/>
  <c r="AF12" i="1" s="1"/>
  <c r="O12" i="1"/>
  <c r="K12" i="1"/>
  <c r="AH11" i="1"/>
  <c r="AE11" i="1"/>
  <c r="AA11" i="1"/>
  <c r="Z11" i="1"/>
  <c r="AG11" i="1" s="1"/>
  <c r="V11" i="1"/>
  <c r="U11" i="1"/>
  <c r="T11" i="1"/>
  <c r="S11" i="1"/>
  <c r="R11" i="1"/>
  <c r="AF11" i="1" s="1"/>
  <c r="O11" i="1"/>
  <c r="AD11" i="1" s="1"/>
  <c r="AH10" i="1"/>
  <c r="AE10" i="1"/>
  <c r="AA10" i="1"/>
  <c r="Z10" i="1"/>
  <c r="AG10" i="1" s="1"/>
  <c r="U10" i="1"/>
  <c r="T10" i="1"/>
  <c r="S10" i="1"/>
  <c r="Q10" i="1"/>
  <c r="R10" i="1" s="1"/>
  <c r="AF10" i="1" s="1"/>
  <c r="O10" i="1"/>
  <c r="AD10" i="1" s="1"/>
  <c r="AI10" i="1" s="1"/>
  <c r="K10" i="1"/>
  <c r="V10" i="1" s="1"/>
  <c r="AH9" i="1"/>
  <c r="AE9" i="1"/>
  <c r="AA9" i="1"/>
  <c r="Z9" i="1"/>
  <c r="AG9" i="1" s="1"/>
  <c r="U9" i="1"/>
  <c r="T9" i="1"/>
  <c r="S9" i="1"/>
  <c r="Q9" i="1"/>
  <c r="R9" i="1" s="1"/>
  <c r="AF9" i="1" s="1"/>
  <c r="O9" i="1"/>
  <c r="AD9" i="1" s="1"/>
  <c r="AI9" i="1" s="1"/>
  <c r="K9" i="1"/>
  <c r="V9" i="1" s="1"/>
  <c r="AH8" i="1"/>
  <c r="AE8" i="1"/>
  <c r="AA8" i="1"/>
  <c r="Z8" i="1"/>
  <c r="AG8" i="1" s="1"/>
  <c r="U8" i="1"/>
  <c r="T8" i="1"/>
  <c r="S8" i="1"/>
  <c r="Q8" i="1"/>
  <c r="R8" i="1" s="1"/>
  <c r="AF8" i="1" s="1"/>
  <c r="O8" i="1"/>
  <c r="AD8" i="1" s="1"/>
  <c r="AI8" i="1" s="1"/>
  <c r="K8" i="1"/>
  <c r="V8" i="1" s="1"/>
  <c r="AH7" i="1"/>
  <c r="AF7" i="1"/>
  <c r="AE7" i="1"/>
  <c r="AA7" i="1"/>
  <c r="Z7" i="1"/>
  <c r="AG7" i="1" s="1"/>
  <c r="U7" i="1"/>
  <c r="T7" i="1"/>
  <c r="S7" i="1"/>
  <c r="R7" i="1"/>
  <c r="O7" i="1"/>
  <c r="AD7" i="1" s="1"/>
  <c r="K7" i="1"/>
  <c r="V7" i="1" s="1"/>
  <c r="AH6" i="1"/>
  <c r="AE6" i="1"/>
  <c r="AA6" i="1"/>
  <c r="Z6" i="1"/>
  <c r="AG6" i="1" s="1"/>
  <c r="V6" i="1"/>
  <c r="U6" i="1"/>
  <c r="T6" i="1"/>
  <c r="S6" i="1"/>
  <c r="R6" i="1"/>
  <c r="AF6" i="1" s="1"/>
  <c r="O6" i="1"/>
  <c r="AD6" i="1" s="1"/>
  <c r="K6" i="1"/>
  <c r="AH5" i="1"/>
  <c r="AE5" i="1"/>
  <c r="AA5" i="1"/>
  <c r="Z5" i="1"/>
  <c r="AG5" i="1" s="1"/>
  <c r="V5" i="1"/>
  <c r="U5" i="1"/>
  <c r="T5" i="1"/>
  <c r="S5" i="1"/>
  <c r="R5" i="1"/>
  <c r="AF5" i="1" s="1"/>
  <c r="O5" i="1"/>
  <c r="AD5" i="1" s="1"/>
  <c r="K5" i="1"/>
  <c r="AH4" i="1"/>
  <c r="AG4" i="1"/>
  <c r="AE4" i="1"/>
  <c r="AA4" i="1"/>
  <c r="Z4" i="1"/>
  <c r="U4" i="1"/>
  <c r="T4" i="1"/>
  <c r="S4" i="1"/>
  <c r="R4" i="1"/>
  <c r="AF4" i="1" s="1"/>
  <c r="O4" i="1"/>
  <c r="AD4" i="1" s="1"/>
  <c r="AI4" i="1" s="1"/>
  <c r="K4" i="1"/>
  <c r="V4" i="1" s="1"/>
  <c r="H4" i="1"/>
  <c r="AH3" i="1"/>
  <c r="AG3" i="1"/>
  <c r="AE3" i="1"/>
  <c r="AA3" i="1"/>
  <c r="Z3" i="1"/>
  <c r="U3" i="1"/>
  <c r="T3" i="1"/>
  <c r="S3" i="1"/>
  <c r="R3" i="1"/>
  <c r="AF3" i="1" s="1"/>
  <c r="O3" i="1"/>
  <c r="AD3" i="1" s="1"/>
  <c r="AI3" i="1" s="1"/>
  <c r="K3" i="1"/>
  <c r="V3" i="1" s="1"/>
  <c r="H3" i="1"/>
  <c r="AH2" i="1"/>
  <c r="AG2" i="1"/>
  <c r="AE2" i="1"/>
  <c r="AA2" i="1"/>
  <c r="Z2" i="1"/>
  <c r="U2" i="1"/>
  <c r="T2" i="1"/>
  <c r="S2" i="1"/>
  <c r="R2" i="1"/>
  <c r="AF2" i="1" s="1"/>
  <c r="O2" i="1"/>
  <c r="AD2" i="1" s="1"/>
  <c r="AI2" i="1" s="1"/>
  <c r="K2" i="1"/>
  <c r="V2" i="1" s="1"/>
  <c r="H2" i="1"/>
  <c r="AI7" i="1" l="1"/>
  <c r="AI11" i="1"/>
  <c r="AI17" i="1"/>
  <c r="AI19" i="1"/>
  <c r="AI32" i="1"/>
  <c r="AI39" i="1"/>
  <c r="AI42" i="1"/>
  <c r="AI46" i="1"/>
  <c r="AI47" i="1"/>
  <c r="AI48" i="1"/>
  <c r="AI49" i="1"/>
  <c r="AI53" i="1"/>
  <c r="AI57" i="1"/>
  <c r="AI59" i="1"/>
  <c r="AI65" i="1"/>
  <c r="AI69" i="1"/>
  <c r="AI73" i="1"/>
  <c r="AI77" i="1"/>
  <c r="AI80" i="1"/>
  <c r="AI86" i="1"/>
  <c r="AI90" i="1"/>
  <c r="AI95" i="1"/>
  <c r="AI99" i="1"/>
  <c r="AI103" i="1"/>
  <c r="AI107" i="1"/>
  <c r="AI110" i="1"/>
  <c r="AI114" i="1"/>
  <c r="AI118" i="1"/>
  <c r="AI122" i="1"/>
  <c r="AI124" i="1"/>
  <c r="AI127" i="1"/>
  <c r="AI132" i="1"/>
  <c r="AI189" i="1"/>
  <c r="AI328" i="1"/>
  <c r="AI23" i="1"/>
  <c r="AI25" i="1"/>
  <c r="AI27" i="1"/>
  <c r="AI29" i="1"/>
  <c r="AI30" i="1"/>
  <c r="AI58" i="1"/>
  <c r="AI85" i="1"/>
  <c r="AI129" i="1"/>
  <c r="AI135" i="1"/>
  <c r="AI139" i="1"/>
  <c r="AI143" i="1"/>
  <c r="AI147" i="1"/>
  <c r="AI151" i="1"/>
  <c r="AI155" i="1"/>
  <c r="AI159" i="1"/>
  <c r="AI169" i="1"/>
  <c r="AI170" i="1"/>
  <c r="AI171" i="1"/>
  <c r="AI172" i="1"/>
  <c r="AI173" i="1"/>
  <c r="AI174" i="1"/>
  <c r="AI175" i="1"/>
  <c r="AI176" i="1"/>
  <c r="AI177" i="1"/>
  <c r="AI178" i="1"/>
  <c r="AI179" i="1"/>
  <c r="AI180" i="1"/>
  <c r="AI181" i="1"/>
  <c r="AI182" i="1"/>
  <c r="AI183" i="1"/>
  <c r="AI185" i="1"/>
  <c r="AI186" i="1"/>
  <c r="AI229" i="1"/>
  <c r="AI232" i="1"/>
  <c r="AI239" i="1"/>
  <c r="AI264" i="1"/>
  <c r="AI266" i="1"/>
  <c r="AI290" i="1"/>
  <c r="AI293" i="1"/>
  <c r="AI303" i="1"/>
  <c r="AI311" i="1"/>
  <c r="AI321" i="1"/>
  <c r="AI322" i="1"/>
  <c r="AI188" i="1"/>
  <c r="AI6" i="1"/>
  <c r="AI22" i="1"/>
  <c r="AI24" i="1"/>
  <c r="AI26" i="1"/>
  <c r="AI28" i="1"/>
  <c r="AI37" i="1"/>
  <c r="AI45" i="1"/>
  <c r="AI5" i="1"/>
  <c r="AI15" i="1"/>
  <c r="AI16" i="1"/>
  <c r="AI18" i="1"/>
  <c r="AI21" i="1"/>
  <c r="AI34" i="1"/>
  <c r="AI35" i="1"/>
  <c r="AI36" i="1"/>
  <c r="AI44" i="1"/>
  <c r="AI51" i="1"/>
  <c r="AI55" i="1"/>
  <c r="AI60" i="1"/>
  <c r="AI67" i="1"/>
  <c r="AI71" i="1"/>
  <c r="AI75" i="1"/>
  <c r="AI79" i="1"/>
  <c r="AI81" i="1"/>
  <c r="AI82" i="1"/>
  <c r="AI83" i="1"/>
  <c r="AI92" i="1"/>
  <c r="AI97" i="1"/>
  <c r="AI101" i="1"/>
  <c r="AI105" i="1"/>
  <c r="AI109" i="1"/>
  <c r="AI112" i="1"/>
  <c r="AI116" i="1"/>
  <c r="AI120" i="1"/>
  <c r="AI123" i="1"/>
  <c r="AI128" i="1"/>
  <c r="AI131" i="1"/>
  <c r="AI163" i="1"/>
  <c r="AI168" i="1"/>
  <c r="AI187" i="1"/>
  <c r="AI192" i="1"/>
  <c r="AI196" i="1"/>
  <c r="AI200" i="1"/>
  <c r="AI204" i="1"/>
  <c r="AI208" i="1"/>
  <c r="AI212" i="1"/>
  <c r="AI220" i="1"/>
  <c r="AI224" i="1"/>
  <c r="AI228" i="1"/>
  <c r="AI235" i="1"/>
  <c r="AI238" i="1"/>
  <c r="AI246" i="1"/>
  <c r="AI247" i="1"/>
  <c r="AI248" i="1"/>
  <c r="AI255" i="1"/>
  <c r="AI258" i="1"/>
  <c r="AI261" i="1"/>
  <c r="AI271" i="1"/>
  <c r="AI275" i="1"/>
  <c r="AI277" i="1"/>
  <c r="AI315" i="1"/>
  <c r="AI316" i="1"/>
  <c r="AI319" i="1"/>
  <c r="AI320" i="1"/>
  <c r="AI325" i="1"/>
  <c r="AI330" i="1"/>
  <c r="AI331" i="1"/>
  <c r="AI272" i="1"/>
  <c r="AI276" i="1"/>
  <c r="AI299" i="1"/>
  <c r="AI541" i="1"/>
  <c r="AI572" i="1"/>
  <c r="AI1426" i="1"/>
  <c r="AI233" i="1"/>
  <c r="AI269" i="1"/>
  <c r="AI282" i="1"/>
  <c r="AI943" i="1"/>
  <c r="AI1225" i="1"/>
  <c r="AI1243" i="1"/>
  <c r="AI1255" i="1"/>
  <c r="AI1274" i="1"/>
  <c r="AI1315" i="1"/>
  <c r="AI1323" i="1"/>
  <c r="AI1331" i="1"/>
  <c r="AI268" i="1"/>
  <c r="AI295" i="1"/>
  <c r="AD428" i="1"/>
  <c r="AI428" i="1" s="1"/>
  <c r="AI259" i="1"/>
  <c r="AI265" i="1"/>
  <c r="AI300" i="1"/>
  <c r="AI312" i="1"/>
  <c r="AI590" i="1"/>
  <c r="AI337" i="1"/>
  <c r="AI347" i="1"/>
  <c r="AI351" i="1"/>
  <c r="AI358" i="1"/>
  <c r="AI362" i="1"/>
  <c r="AI366" i="1"/>
  <c r="AI368" i="1"/>
  <c r="AI374" i="1"/>
  <c r="AI378" i="1"/>
  <c r="AI401" i="1"/>
  <c r="AI404" i="1"/>
  <c r="AI408" i="1"/>
  <c r="AI410" i="1"/>
  <c r="AI414" i="1"/>
  <c r="AI418" i="1"/>
  <c r="AI422" i="1"/>
  <c r="AI426" i="1"/>
  <c r="AI432" i="1"/>
  <c r="AI440" i="1"/>
  <c r="AI450" i="1"/>
  <c r="AI454" i="1"/>
  <c r="AI462" i="1"/>
  <c r="AI470" i="1"/>
  <c r="AI475" i="1"/>
  <c r="AI491" i="1"/>
  <c r="AI498" i="1"/>
  <c r="AI526" i="1"/>
  <c r="AI527" i="1"/>
  <c r="AI528" i="1"/>
  <c r="AI529" i="1"/>
  <c r="AI530" i="1"/>
  <c r="AI531" i="1"/>
  <c r="AI532" i="1"/>
  <c r="AI533" i="1"/>
  <c r="AI534" i="1"/>
  <c r="AI535" i="1"/>
  <c r="AI536" i="1"/>
  <c r="AI537" i="1"/>
  <c r="AI538" i="1"/>
  <c r="AI546" i="1"/>
  <c r="AI550" i="1"/>
  <c r="AI554" i="1"/>
  <c r="AI569" i="1"/>
  <c r="AI574" i="1"/>
  <c r="AI583" i="1"/>
  <c r="AI588" i="1"/>
  <c r="AI594" i="1"/>
  <c r="AI595" i="1"/>
  <c r="AI600" i="1"/>
  <c r="AI601" i="1"/>
  <c r="AI607" i="1"/>
  <c r="AI639" i="1"/>
  <c r="AI684" i="1"/>
  <c r="AI694" i="1"/>
  <c r="AI751" i="1"/>
  <c r="AI800" i="1"/>
  <c r="AI956" i="1"/>
  <c r="AI984" i="1"/>
  <c r="AI999" i="1"/>
  <c r="AI1063" i="1"/>
  <c r="AI1074" i="1"/>
  <c r="AI1111" i="1"/>
  <c r="AI1126" i="1"/>
  <c r="AI249" i="1"/>
  <c r="AI586" i="1"/>
  <c r="AI273" i="1"/>
  <c r="AI292" i="1"/>
  <c r="AI296" i="1"/>
  <c r="AI307" i="1"/>
  <c r="AI332" i="1"/>
  <c r="AI336" i="1"/>
  <c r="AI339" i="1"/>
  <c r="AI348" i="1"/>
  <c r="AI352" i="1"/>
  <c r="AI353" i="1"/>
  <c r="AI361" i="1"/>
  <c r="AI365" i="1"/>
  <c r="AI373" i="1"/>
  <c r="AI377" i="1"/>
  <c r="AI382" i="1"/>
  <c r="AI383" i="1"/>
  <c r="AI384" i="1"/>
  <c r="AI385" i="1"/>
  <c r="AI392" i="1"/>
  <c r="AI393" i="1"/>
  <c r="AI394" i="1"/>
  <c r="AI395" i="1"/>
  <c r="AI396" i="1"/>
  <c r="AI397" i="1"/>
  <c r="AI403" i="1"/>
  <c r="AI407" i="1"/>
  <c r="AI411" i="1"/>
  <c r="AI415" i="1"/>
  <c r="AI419" i="1"/>
  <c r="AI423" i="1"/>
  <c r="AI437" i="1"/>
  <c r="AI441" i="1"/>
  <c r="AI445" i="1"/>
  <c r="AI449" i="1"/>
  <c r="AI453" i="1"/>
  <c r="AI461" i="1"/>
  <c r="AI469" i="1"/>
  <c r="AI474" i="1"/>
  <c r="AI490" i="1"/>
  <c r="AI543" i="1"/>
  <c r="AI544" i="1"/>
  <c r="AI545" i="1"/>
  <c r="AI563" i="1"/>
  <c r="AI568" i="1"/>
  <c r="AI573" i="1"/>
  <c r="AI578" i="1"/>
  <c r="AI582" i="1"/>
  <c r="AI587" i="1"/>
  <c r="AI592" i="1"/>
  <c r="AI599" i="1"/>
  <c r="AI606" i="1"/>
  <c r="AI612" i="1"/>
  <c r="AI613" i="1"/>
  <c r="AI614" i="1"/>
  <c r="AI615" i="1"/>
  <c r="AI616" i="1"/>
  <c r="AI617" i="1"/>
  <c r="AI618" i="1"/>
  <c r="AI619" i="1"/>
  <c r="AI620" i="1"/>
  <c r="AI621" i="1"/>
  <c r="AI622" i="1"/>
  <c r="AI623" i="1"/>
  <c r="AI624" i="1"/>
  <c r="AI625" i="1"/>
  <c r="AI626" i="1"/>
  <c r="AI627" i="1"/>
  <c r="AI628" i="1"/>
  <c r="AI629" i="1"/>
  <c r="AI630" i="1"/>
  <c r="AI631" i="1"/>
  <c r="AI632" i="1"/>
  <c r="AI633" i="1"/>
  <c r="AI714" i="1"/>
  <c r="AI938" i="1"/>
  <c r="AI950" i="1"/>
  <c r="AI974" i="1"/>
  <c r="AI993" i="1"/>
  <c r="AI1031" i="1"/>
  <c r="AI1099" i="1"/>
  <c r="AI1121" i="1"/>
  <c r="AI1491" i="1"/>
  <c r="AI1537" i="1"/>
  <c r="AI691" i="1"/>
  <c r="AI696" i="1"/>
  <c r="AI724" i="1"/>
  <c r="AI729" i="1"/>
  <c r="AI734" i="1"/>
  <c r="AI738" i="1"/>
  <c r="AI743" i="1"/>
  <c r="AI747" i="1"/>
  <c r="AI757" i="1"/>
  <c r="AI767" i="1"/>
  <c r="AI774" i="1"/>
  <c r="AI779" i="1"/>
  <c r="AI783" i="1"/>
  <c r="AI794" i="1"/>
  <c r="AI801" i="1"/>
  <c r="AI802" i="1"/>
  <c r="AI803" i="1"/>
  <c r="AI836" i="1"/>
  <c r="AI837" i="1"/>
  <c r="AI858" i="1"/>
  <c r="AI877" i="1"/>
  <c r="AI900" i="1"/>
  <c r="AI924" i="1"/>
  <c r="AI936" i="1"/>
  <c r="AI962" i="1"/>
  <c r="AI996" i="1"/>
  <c r="AI1002" i="1"/>
  <c r="AI1011" i="1"/>
  <c r="AI1014" i="1"/>
  <c r="AI1021" i="1"/>
  <c r="AI1034" i="1"/>
  <c r="AI1035" i="1"/>
  <c r="AI1036" i="1"/>
  <c r="AI1039" i="1"/>
  <c r="AI1044" i="1"/>
  <c r="AI1061" i="1"/>
  <c r="AI1081" i="1"/>
  <c r="AI1088" i="1"/>
  <c r="AI1118" i="1"/>
  <c r="AI1128" i="1"/>
  <c r="AI1132" i="1"/>
  <c r="AI1172" i="1"/>
  <c r="AI1238" i="1"/>
  <c r="AI1432" i="1"/>
  <c r="AI1501" i="1"/>
  <c r="AI1524" i="1"/>
  <c r="T558" i="1"/>
  <c r="T559" i="1"/>
  <c r="AI649" i="1"/>
  <c r="AI653" i="1"/>
  <c r="AI661" i="1"/>
  <c r="AI662" i="1"/>
  <c r="AI664" i="1"/>
  <c r="AI669" i="1"/>
  <c r="AI670" i="1"/>
  <c r="AI678" i="1"/>
  <c r="AI701" i="1"/>
  <c r="AI711" i="1"/>
  <c r="AI713" i="1"/>
  <c r="AI715" i="1"/>
  <c r="AI718" i="1"/>
  <c r="AI720" i="1"/>
  <c r="AI722" i="1"/>
  <c r="AI726" i="1"/>
  <c r="AI731" i="1"/>
  <c r="AI755" i="1"/>
  <c r="AI780" i="1"/>
  <c r="AI784" i="1"/>
  <c r="AI790" i="1"/>
  <c r="AI805" i="1"/>
  <c r="AI830" i="1"/>
  <c r="AI839" i="1"/>
  <c r="AI863" i="1"/>
  <c r="AI872" i="1"/>
  <c r="AI878" i="1"/>
  <c r="AI881" i="1"/>
  <c r="AI885" i="1"/>
  <c r="AI890" i="1"/>
  <c r="AI916" i="1"/>
  <c r="AI947" i="1"/>
  <c r="AI957" i="1"/>
  <c r="AI958" i="1"/>
  <c r="AI959" i="1"/>
  <c r="AI963" i="1"/>
  <c r="AI983" i="1"/>
  <c r="AI986" i="1"/>
  <c r="AI992" i="1"/>
  <c r="AI998" i="1"/>
  <c r="AI1004" i="1"/>
  <c r="AI1013" i="1"/>
  <c r="AI1015" i="1"/>
  <c r="AI1030" i="1"/>
  <c r="AI1051" i="1"/>
  <c r="AI1057" i="1"/>
  <c r="AI1083" i="1"/>
  <c r="AI1098" i="1"/>
  <c r="AI1101" i="1"/>
  <c r="AI1120" i="1"/>
  <c r="AI1247" i="1"/>
  <c r="AI1259" i="1"/>
  <c r="AI1270" i="1"/>
  <c r="AI1319" i="1"/>
  <c r="AI1327" i="1"/>
  <c r="AI1430" i="1"/>
  <c r="AI1509" i="1"/>
  <c r="AI1557" i="1"/>
  <c r="AI650" i="1"/>
  <c r="AI654" i="1"/>
  <c r="AI655" i="1"/>
  <c r="AI665" i="1"/>
  <c r="AI679" i="1"/>
  <c r="AI688" i="1"/>
  <c r="AI695" i="1"/>
  <c r="AI697" i="1"/>
  <c r="AI699" i="1"/>
  <c r="AI700" i="1"/>
  <c r="AI704" i="1"/>
  <c r="AI708" i="1"/>
  <c r="AI712" i="1"/>
  <c r="AI721" i="1"/>
  <c r="AI732" i="1"/>
  <c r="AI733" i="1"/>
  <c r="AI735" i="1"/>
  <c r="AI737" i="1"/>
  <c r="AI739" i="1"/>
  <c r="AI741" i="1"/>
  <c r="AI742" i="1"/>
  <c r="AI744" i="1"/>
  <c r="AI746" i="1"/>
  <c r="AI748" i="1"/>
  <c r="AI754" i="1"/>
  <c r="AI761" i="1"/>
  <c r="AI769" i="1"/>
  <c r="AI776" i="1"/>
  <c r="AI789" i="1"/>
  <c r="AI792" i="1"/>
  <c r="AI795" i="1"/>
  <c r="AI813" i="1"/>
  <c r="AI815" i="1"/>
  <c r="AI816" i="1"/>
  <c r="AI822" i="1"/>
  <c r="AI823" i="1"/>
  <c r="AI835" i="1"/>
  <c r="AI843" i="1"/>
  <c r="AI854" i="1"/>
  <c r="AI861" i="1"/>
  <c r="AI862" i="1"/>
  <c r="AI866" i="1"/>
  <c r="AI868" i="1"/>
  <c r="AI873" i="1"/>
  <c r="AI882" i="1"/>
  <c r="AI902" i="1"/>
  <c r="AI903" i="1"/>
  <c r="AI906" i="1"/>
  <c r="AI907" i="1"/>
  <c r="AI926" i="1"/>
  <c r="AI927" i="1"/>
  <c r="AI945" i="1"/>
  <c r="AI954" i="1"/>
  <c r="AI967" i="1"/>
  <c r="AI968" i="1"/>
  <c r="AI987" i="1"/>
  <c r="AI988" i="1"/>
  <c r="AI1005" i="1"/>
  <c r="AI1006" i="1"/>
  <c r="AI1017" i="1"/>
  <c r="AI1026" i="1"/>
  <c r="AI1032" i="1"/>
  <c r="AI1046" i="1"/>
  <c r="AI1048" i="1"/>
  <c r="AI1054" i="1"/>
  <c r="AI1060" i="1"/>
  <c r="AI1064" i="1"/>
  <c r="AI1069" i="1"/>
  <c r="AI1071" i="1"/>
  <c r="AI1075" i="1"/>
  <c r="AI1077" i="1"/>
  <c r="AI1084" i="1"/>
  <c r="AI1094" i="1"/>
  <c r="AI1102" i="1"/>
  <c r="AI1106" i="1"/>
  <c r="AI1108" i="1"/>
  <c r="AI1112" i="1"/>
  <c r="AI1114" i="1"/>
  <c r="AI1124" i="1"/>
  <c r="AI1130" i="1"/>
  <c r="AI1134" i="1"/>
  <c r="AI1394" i="1"/>
  <c r="AI1428" i="1"/>
  <c r="AI1446" i="1"/>
  <c r="AI1515" i="1"/>
  <c r="AI1571" i="1"/>
  <c r="R668" i="1"/>
  <c r="AF668" i="1" s="1"/>
  <c r="AI668" i="1" s="1"/>
  <c r="AF781" i="1"/>
  <c r="AI781" i="1" s="1"/>
  <c r="T820" i="1"/>
  <c r="AI1173" i="1"/>
  <c r="AI1174" i="1"/>
  <c r="AI1175" i="1"/>
  <c r="AI1192" i="1"/>
  <c r="AI1207" i="1"/>
  <c r="AI1223" i="1"/>
  <c r="AI1359" i="1"/>
  <c r="AI1403" i="1"/>
  <c r="AI1404" i="1"/>
  <c r="AI1405" i="1"/>
  <c r="AI1406" i="1"/>
  <c r="AI1407" i="1"/>
  <c r="AI1415" i="1"/>
  <c r="AI1421" i="1"/>
  <c r="AI1456" i="1"/>
  <c r="AI1460" i="1"/>
  <c r="AI1461" i="1"/>
  <c r="AI1462" i="1"/>
  <c r="AI1463" i="1"/>
  <c r="AI1471" i="1"/>
  <c r="AI1481" i="1"/>
  <c r="AI1498" i="1"/>
  <c r="AI1506" i="1"/>
  <c r="AI1538" i="1"/>
  <c r="AI1558" i="1"/>
  <c r="AI1624" i="1"/>
  <c r="AI1627" i="1"/>
  <c r="AI1651" i="1"/>
  <c r="AI1660" i="1"/>
  <c r="AI1668" i="1"/>
  <c r="AI1678" i="1"/>
  <c r="AI1694" i="1"/>
  <c r="O2059" i="1"/>
  <c r="AD2059" i="1" s="1"/>
  <c r="AI2059" i="1" s="1"/>
  <c r="AD834" i="1"/>
  <c r="AI834" i="1" s="1"/>
  <c r="AI1136" i="1"/>
  <c r="AI1137" i="1"/>
  <c r="AI1138" i="1"/>
  <c r="AI1139" i="1"/>
  <c r="AI1140" i="1"/>
  <c r="AI1141" i="1"/>
  <c r="AI1142" i="1"/>
  <c r="AI1143" i="1"/>
  <c r="AI1144" i="1"/>
  <c r="AI1145" i="1"/>
  <c r="AI1146" i="1"/>
  <c r="AI1158" i="1"/>
  <c r="AI1165" i="1"/>
  <c r="AI1166" i="1"/>
  <c r="AI1167" i="1"/>
  <c r="AI1168" i="1"/>
  <c r="AI1169" i="1"/>
  <c r="AI1170" i="1"/>
  <c r="AI1171" i="1"/>
  <c r="AI1209" i="1"/>
  <c r="AI1210" i="1"/>
  <c r="AI1211" i="1"/>
  <c r="AI1212" i="1"/>
  <c r="AI1213" i="1"/>
  <c r="AI1214" i="1"/>
  <c r="AI1215" i="1"/>
  <c r="AI1216" i="1"/>
  <c r="AI1217" i="1"/>
  <c r="AI1218" i="1"/>
  <c r="AI1219" i="1"/>
  <c r="AI1220" i="1"/>
  <c r="AI1221" i="1"/>
  <c r="AI1222" i="1"/>
  <c r="AI1230" i="1"/>
  <c r="AI1234" i="1"/>
  <c r="AI1236" i="1"/>
  <c r="AI1252" i="1"/>
  <c r="AI1265" i="1"/>
  <c r="AI1279" i="1"/>
  <c r="AI1283" i="1"/>
  <c r="AI1284" i="1"/>
  <c r="AI1286" i="1"/>
  <c r="AI1287" i="1"/>
  <c r="AI1288" i="1"/>
  <c r="AI1289" i="1"/>
  <c r="AI1295" i="1"/>
  <c r="AI1308" i="1"/>
  <c r="AI1339" i="1"/>
  <c r="AI1343" i="1"/>
  <c r="AI1347" i="1"/>
  <c r="AI1351" i="1"/>
  <c r="AI1355" i="1"/>
  <c r="AI1366" i="1"/>
  <c r="AI1370" i="1"/>
  <c r="AI1374" i="1"/>
  <c r="AI1389" i="1"/>
  <c r="AI1397" i="1"/>
  <c r="AI1416" i="1"/>
  <c r="AI1435" i="1"/>
  <c r="AI1450" i="1"/>
  <c r="AI1451" i="1"/>
  <c r="AI1452" i="1"/>
  <c r="AI1453" i="1"/>
  <c r="AI1454" i="1"/>
  <c r="AI1455" i="1"/>
  <c r="AI1458" i="1"/>
  <c r="AI1459" i="1"/>
  <c r="AI1475" i="1"/>
  <c r="AI1482" i="1"/>
  <c r="AI1496" i="1"/>
  <c r="AI1504" i="1"/>
  <c r="AI1535" i="1"/>
  <c r="AI1542" i="1"/>
  <c r="AI1544" i="1"/>
  <c r="AI1555" i="1"/>
  <c r="AI1562" i="1"/>
  <c r="AI1563" i="1"/>
  <c r="AI1573" i="1"/>
  <c r="AI1574" i="1"/>
  <c r="AI1583" i="1"/>
  <c r="AI1598" i="1"/>
  <c r="AI1604" i="1"/>
  <c r="AI1605" i="1"/>
  <c r="AI1606" i="1"/>
  <c r="AI1607" i="1"/>
  <c r="AI1674" i="1"/>
  <c r="AI1690" i="1"/>
  <c r="AI1706" i="1"/>
  <c r="O2075" i="1"/>
  <c r="AD2075" i="1" s="1"/>
  <c r="AI2075" i="1" s="1"/>
  <c r="R666" i="1"/>
  <c r="AF666" i="1" s="1"/>
  <c r="AI666" i="1" s="1"/>
  <c r="AI1148" i="1"/>
  <c r="AI1155" i="1"/>
  <c r="AI1157" i="1"/>
  <c r="AI1162" i="1"/>
  <c r="AI1163" i="1"/>
  <c r="AI1195" i="1"/>
  <c r="AI1196" i="1"/>
  <c r="AI1197" i="1"/>
  <c r="AI1202" i="1"/>
  <c r="AI1206" i="1"/>
  <c r="AI1231" i="1"/>
  <c r="AI1233" i="1"/>
  <c r="AI1249" i="1"/>
  <c r="AI1266" i="1"/>
  <c r="AI1280" i="1"/>
  <c r="AI1296" i="1"/>
  <c r="AI1299" i="1"/>
  <c r="AI1300" i="1"/>
  <c r="AI1302" i="1"/>
  <c r="AI1304" i="1"/>
  <c r="AI1309" i="1"/>
  <c r="AI1334" i="1"/>
  <c r="AI1336" i="1"/>
  <c r="AI1340" i="1"/>
  <c r="AI1344" i="1"/>
  <c r="AI1348" i="1"/>
  <c r="AI1352" i="1"/>
  <c r="AI1356" i="1"/>
  <c r="AI1361" i="1"/>
  <c r="AI1362" i="1"/>
  <c r="AI1363" i="1"/>
  <c r="AI1367" i="1"/>
  <c r="AI1371" i="1"/>
  <c r="AI1376" i="1"/>
  <c r="AI1377" i="1"/>
  <c r="AI1379" i="1"/>
  <c r="AI1380" i="1"/>
  <c r="AI1381" i="1"/>
  <c r="AI1382" i="1"/>
  <c r="AI1383" i="1"/>
  <c r="AI1384" i="1"/>
  <c r="AI1390" i="1"/>
  <c r="AI1398" i="1"/>
  <c r="AI1402" i="1"/>
  <c r="AI1417" i="1"/>
  <c r="AI1420" i="1"/>
  <c r="AI1436" i="1"/>
  <c r="AI1438" i="1"/>
  <c r="AI1448" i="1"/>
  <c r="AI1449" i="1"/>
  <c r="AI1472" i="1"/>
  <c r="AI1473" i="1"/>
  <c r="AI1479" i="1"/>
  <c r="AI1488" i="1"/>
  <c r="AI1499" i="1"/>
  <c r="AI1507" i="1"/>
  <c r="AI1512" i="1"/>
  <c r="AI1522" i="1"/>
  <c r="AI1526" i="1"/>
  <c r="AI1528" i="1"/>
  <c r="AI1532" i="1"/>
  <c r="AI1539" i="1"/>
  <c r="AI1546" i="1"/>
  <c r="AI1548" i="1"/>
  <c r="AI1559" i="1"/>
  <c r="AI1584" i="1"/>
  <c r="AI1590" i="1"/>
  <c r="AI1614" i="1"/>
  <c r="AI1656" i="1"/>
  <c r="AI1664" i="1"/>
  <c r="AI1670" i="1"/>
  <c r="AI1686" i="1"/>
  <c r="AI1702" i="1"/>
  <c r="AI1728" i="1"/>
  <c r="AI1784" i="1"/>
  <c r="O1613" i="1"/>
  <c r="AD1613" i="1" s="1"/>
  <c r="AI1613" i="1" s="1"/>
  <c r="AI1623" i="1"/>
  <c r="AI1647" i="1"/>
  <c r="AI1648" i="1"/>
  <c r="AI1671" i="1"/>
  <c r="AI1675" i="1"/>
  <c r="AI1679" i="1"/>
  <c r="AI1683" i="1"/>
  <c r="AI1687" i="1"/>
  <c r="AI1691" i="1"/>
  <c r="AI1695" i="1"/>
  <c r="AI1699" i="1"/>
  <c r="AI1703" i="1"/>
  <c r="AI1707" i="1"/>
  <c r="AI1712" i="1"/>
  <c r="AI1737" i="1"/>
  <c r="AI1753" i="1"/>
  <c r="AI1776" i="1"/>
  <c r="AI1787" i="1"/>
  <c r="AI1792" i="1"/>
  <c r="AI1961" i="1"/>
  <c r="O2063" i="1"/>
  <c r="AD2063" i="1" s="1"/>
  <c r="AI2063" i="1" s="1"/>
  <c r="O2079" i="1"/>
  <c r="AD2079" i="1" s="1"/>
  <c r="AI2079" i="1" s="1"/>
  <c r="AI1582" i="1"/>
  <c r="AI1586" i="1"/>
  <c r="AI1612" i="1"/>
  <c r="O1615" i="1"/>
  <c r="AD1615" i="1" s="1"/>
  <c r="AI1615" i="1" s="1"/>
  <c r="AI1629" i="1"/>
  <c r="AI1633" i="1"/>
  <c r="AI1637" i="1"/>
  <c r="AI1641" i="1"/>
  <c r="AI1645" i="1"/>
  <c r="AI1652" i="1"/>
  <c r="AI1653" i="1"/>
  <c r="AI1657" i="1"/>
  <c r="AI1661" i="1"/>
  <c r="AI1665" i="1"/>
  <c r="AI1724" i="1"/>
  <c r="AI1729" i="1"/>
  <c r="AI1738" i="1"/>
  <c r="AI1740" i="1"/>
  <c r="AI1741" i="1"/>
  <c r="AI1745" i="1"/>
  <c r="AI1746" i="1"/>
  <c r="AI1752" i="1"/>
  <c r="AI1754" i="1"/>
  <c r="AI1755" i="1"/>
  <c r="AI1756" i="1"/>
  <c r="AI1758" i="1"/>
  <c r="AI1769" i="1"/>
  <c r="AI1770" i="1"/>
  <c r="AI1773" i="1"/>
  <c r="AI1774" i="1"/>
  <c r="AI1775" i="1"/>
  <c r="AI1785" i="1"/>
  <c r="AI1786" i="1"/>
  <c r="AI1788" i="1"/>
  <c r="AI1789" i="1"/>
  <c r="AI1809" i="1"/>
  <c r="AI1844" i="1"/>
  <c r="AI1845" i="1"/>
  <c r="AI1987" i="1"/>
  <c r="AI2025" i="1"/>
  <c r="O2051" i="1"/>
  <c r="AD2051" i="1" s="1"/>
  <c r="AI2051" i="1" s="1"/>
  <c r="O2067" i="1"/>
  <c r="AD2067" i="1" s="1"/>
  <c r="AI2067" i="1" s="1"/>
  <c r="O2083" i="1"/>
  <c r="AD2083" i="1" s="1"/>
  <c r="AI2083" i="1" s="1"/>
  <c r="AI2120" i="1"/>
  <c r="AI1620" i="1"/>
  <c r="AI1625" i="1"/>
  <c r="AI1626" i="1"/>
  <c r="AI1669" i="1"/>
  <c r="AI1673" i="1"/>
  <c r="AI1677" i="1"/>
  <c r="AI1681" i="1"/>
  <c r="AI1685" i="1"/>
  <c r="AI1689" i="1"/>
  <c r="AI1693" i="1"/>
  <c r="AI1697" i="1"/>
  <c r="AI1701" i="1"/>
  <c r="AI1705" i="1"/>
  <c r="AI1710" i="1"/>
  <c r="AI1714" i="1"/>
  <c r="AI1718" i="1"/>
  <c r="AI1743" i="1"/>
  <c r="AI1744" i="1"/>
  <c r="AI1747" i="1"/>
  <c r="AI1748" i="1"/>
  <c r="AI1750" i="1"/>
  <c r="AI1760" i="1"/>
  <c r="AI1766" i="1"/>
  <c r="AI1767" i="1"/>
  <c r="AI1777" i="1"/>
  <c r="AI1793" i="1"/>
  <c r="AI1800" i="1"/>
  <c r="AI1929" i="1"/>
  <c r="O2055" i="1"/>
  <c r="AD2055" i="1" s="1"/>
  <c r="AI2055" i="1" s="1"/>
  <c r="O2071" i="1"/>
  <c r="AD2071" i="1" s="1"/>
  <c r="AI2071" i="1" s="1"/>
  <c r="AI1751" i="1"/>
  <c r="AI1779" i="1"/>
  <c r="AI1795" i="1"/>
  <c r="AI1813" i="1"/>
  <c r="AI1817" i="1"/>
  <c r="AI1819" i="1"/>
  <c r="AI1821" i="1"/>
  <c r="AI1823" i="1"/>
  <c r="AI1931" i="1"/>
  <c r="AI1952" i="1"/>
  <c r="AI1954" i="1"/>
  <c r="AI2045" i="1"/>
  <c r="AI2048" i="1"/>
  <c r="O2052" i="1"/>
  <c r="AD2052" i="1" s="1"/>
  <c r="AI2052" i="1" s="1"/>
  <c r="O2056" i="1"/>
  <c r="AD2056" i="1" s="1"/>
  <c r="AI2056" i="1" s="1"/>
  <c r="O2060" i="1"/>
  <c r="AD2060" i="1" s="1"/>
  <c r="AI2060" i="1" s="1"/>
  <c r="O2064" i="1"/>
  <c r="AD2064" i="1" s="1"/>
  <c r="AI2064" i="1" s="1"/>
  <c r="O2068" i="1"/>
  <c r="AD2068" i="1" s="1"/>
  <c r="AI2068" i="1" s="1"/>
  <c r="O2072" i="1"/>
  <c r="AD2072" i="1" s="1"/>
  <c r="AI2072" i="1" s="1"/>
  <c r="O2076" i="1"/>
  <c r="AD2076" i="1" s="1"/>
  <c r="AI2076" i="1" s="1"/>
  <c r="O2080" i="1"/>
  <c r="AD2080" i="1" s="1"/>
  <c r="AI2080" i="1" s="1"/>
  <c r="O2084" i="1"/>
  <c r="AD2084" i="1" s="1"/>
  <c r="AI2084" i="1" s="1"/>
  <c r="AI2112" i="1"/>
  <c r="AI1801" i="1"/>
  <c r="AI1803" i="1"/>
  <c r="AI1805" i="1"/>
  <c r="AI1807" i="1"/>
  <c r="AI1832" i="1"/>
  <c r="AI1840" i="1"/>
  <c r="AI1851" i="1"/>
  <c r="AI1860" i="1"/>
  <c r="AI1861" i="1"/>
  <c r="AI1868" i="1"/>
  <c r="AI1869" i="1"/>
  <c r="AI1876" i="1"/>
  <c r="AI1884" i="1"/>
  <c r="AI1893" i="1"/>
  <c r="AI1897" i="1"/>
  <c r="AI1903" i="1"/>
  <c r="AI1913" i="1"/>
  <c r="AI1914" i="1"/>
  <c r="AI1927" i="1"/>
  <c r="AI1933" i="1"/>
  <c r="AI1936" i="1"/>
  <c r="AI1938" i="1"/>
  <c r="AI1939" i="1"/>
  <c r="AI1944" i="1"/>
  <c r="AI1945" i="1"/>
  <c r="AI1946" i="1"/>
  <c r="AI1953" i="1"/>
  <c r="AI1956" i="1"/>
  <c r="AI1958" i="1"/>
  <c r="AI1963" i="1"/>
  <c r="AI1978" i="1"/>
  <c r="AI1979" i="1"/>
  <c r="AI1981" i="1"/>
  <c r="AI1989" i="1"/>
  <c r="AI1991" i="1"/>
  <c r="AI1993" i="1"/>
  <c r="AI2004" i="1"/>
  <c r="AI2005" i="1"/>
  <c r="AI2017" i="1"/>
  <c r="O2049" i="1"/>
  <c r="AD2049" i="1" s="1"/>
  <c r="AI2049" i="1" s="1"/>
  <c r="O2053" i="1"/>
  <c r="AD2053" i="1" s="1"/>
  <c r="AI2053" i="1" s="1"/>
  <c r="O2057" i="1"/>
  <c r="AD2057" i="1" s="1"/>
  <c r="AI2057" i="1" s="1"/>
  <c r="O2061" i="1"/>
  <c r="AD2061" i="1" s="1"/>
  <c r="AI2061" i="1" s="1"/>
  <c r="O2065" i="1"/>
  <c r="AD2065" i="1" s="1"/>
  <c r="AI2065" i="1" s="1"/>
  <c r="O2069" i="1"/>
  <c r="AD2069" i="1" s="1"/>
  <c r="AI2069" i="1" s="1"/>
  <c r="O2073" i="1"/>
  <c r="AD2073" i="1" s="1"/>
  <c r="AI2073" i="1" s="1"/>
  <c r="O2077" i="1"/>
  <c r="AD2077" i="1" s="1"/>
  <c r="AI2077" i="1" s="1"/>
  <c r="O2081" i="1"/>
  <c r="AD2081" i="1" s="1"/>
  <c r="AI2081" i="1" s="1"/>
  <c r="O2085" i="1"/>
  <c r="AD2085" i="1" s="1"/>
  <c r="AI2085" i="1" s="1"/>
  <c r="AI2092" i="1"/>
  <c r="AI2101" i="1"/>
  <c r="AI2109" i="1"/>
  <c r="AI2164" i="1"/>
  <c r="AI2176" i="1"/>
  <c r="AI1826" i="1"/>
  <c r="AI1828" i="1"/>
  <c r="AI1830" i="1"/>
  <c r="AI1833" i="1"/>
  <c r="AI1834" i="1"/>
  <c r="O1848" i="1"/>
  <c r="AD1848" i="1" s="1"/>
  <c r="AI1848" i="1" s="1"/>
  <c r="T1848" i="1"/>
  <c r="AI1853" i="1"/>
  <c r="AI1856" i="1"/>
  <c r="AI1863" i="1"/>
  <c r="AI1871" i="1"/>
  <c r="AI1877" i="1"/>
  <c r="AI1878" i="1"/>
  <c r="AI1885" i="1"/>
  <c r="AI1886" i="1"/>
  <c r="AI1887" i="1"/>
  <c r="AI1894" i="1"/>
  <c r="AI1895" i="1"/>
  <c r="AI1905" i="1"/>
  <c r="AI1907" i="1"/>
  <c r="AI1916" i="1"/>
  <c r="AI1928" i="1"/>
  <c r="AI1934" i="1"/>
  <c r="AI1941" i="1"/>
  <c r="AI1942" i="1"/>
  <c r="AI1943" i="1"/>
  <c r="AI1955" i="1"/>
  <c r="AI1957" i="1"/>
  <c r="AI1968" i="1"/>
  <c r="AI1971" i="1"/>
  <c r="AI1973" i="1"/>
  <c r="AI1976" i="1"/>
  <c r="AI1980" i="1"/>
  <c r="AI1990" i="1"/>
  <c r="AI2000" i="1"/>
  <c r="AI2003" i="1"/>
  <c r="AI2006" i="1"/>
  <c r="AI2007" i="1"/>
  <c r="AI2011" i="1"/>
  <c r="AI2012" i="1"/>
  <c r="AI2013" i="1"/>
  <c r="O2050" i="1"/>
  <c r="AD2050" i="1" s="1"/>
  <c r="AI2050" i="1" s="1"/>
  <c r="O2054" i="1"/>
  <c r="AD2054" i="1" s="1"/>
  <c r="AI2054" i="1" s="1"/>
  <c r="O2058" i="1"/>
  <c r="AD2058" i="1" s="1"/>
  <c r="AI2058" i="1" s="1"/>
  <c r="O2062" i="1"/>
  <c r="AD2062" i="1" s="1"/>
  <c r="AI2062" i="1" s="1"/>
  <c r="O2066" i="1"/>
  <c r="AD2066" i="1" s="1"/>
  <c r="AI2066" i="1" s="1"/>
  <c r="O2070" i="1"/>
  <c r="AD2070" i="1" s="1"/>
  <c r="AI2070" i="1" s="1"/>
  <c r="O2074" i="1"/>
  <c r="AD2074" i="1" s="1"/>
  <c r="AI2074" i="1" s="1"/>
  <c r="O2078" i="1"/>
  <c r="AD2078" i="1" s="1"/>
  <c r="AI2078" i="1" s="1"/>
  <c r="O2082" i="1"/>
  <c r="AD2082" i="1" s="1"/>
  <c r="AI2082" i="1" s="1"/>
  <c r="O2086" i="1"/>
  <c r="AD2086" i="1" s="1"/>
  <c r="AI2086" i="1" s="1"/>
  <c r="AI2091" i="1"/>
  <c r="AI2093" i="1"/>
  <c r="AI2094" i="1"/>
  <c r="AI2098" i="1"/>
  <c r="AI2099" i="1"/>
  <c r="AI2100" i="1"/>
  <c r="AI2106" i="1"/>
  <c r="AI2107" i="1"/>
  <c r="AI2108" i="1"/>
  <c r="AI1949" i="1"/>
  <c r="AI1966" i="1"/>
  <c r="AI1974" i="1"/>
  <c r="AI1994" i="1"/>
  <c r="AI2002" i="1"/>
  <c r="AI2020" i="1"/>
  <c r="AI2046" i="1"/>
  <c r="AI2146" i="1"/>
  <c r="AI2162" i="1"/>
  <c r="AI2179" i="1"/>
  <c r="AI1985" i="1"/>
  <c r="AI2117" i="1"/>
  <c r="AI2166" i="1"/>
  <c r="AI2212" i="1"/>
  <c r="AI2213" i="1"/>
  <c r="AI2228" i="1"/>
  <c r="AI2244" i="1"/>
  <c r="AI2247" i="1"/>
  <c r="AI2137" i="1"/>
  <c r="AI2138" i="1"/>
  <c r="AI2139" i="1"/>
  <c r="AI2140" i="1"/>
  <c r="AI2153" i="1"/>
  <c r="AI2154" i="1"/>
  <c r="AI2155" i="1"/>
  <c r="AI2156" i="1"/>
  <c r="AI2190" i="1"/>
  <c r="AI2206" i="1"/>
  <c r="AI2211" i="1"/>
  <c r="AI2308" i="1"/>
  <c r="AI2127" i="1"/>
  <c r="AI2135" i="1"/>
  <c r="AI2151" i="1"/>
  <c r="AI2159" i="1"/>
  <c r="AI2181" i="1"/>
  <c r="AI2184" i="1"/>
  <c r="AI2185" i="1"/>
  <c r="AI2192" i="1"/>
  <c r="AI2193" i="1"/>
  <c r="AI2200" i="1"/>
  <c r="AI2201" i="1"/>
  <c r="AI2208" i="1"/>
  <c r="AI2222" i="1"/>
  <c r="AI2230" i="1"/>
  <c r="AI2231" i="1"/>
  <c r="AI2238" i="1"/>
  <c r="AI2239" i="1"/>
  <c r="AI2242" i="1"/>
  <c r="AI2252" i="1"/>
  <c r="AI2258" i="1"/>
  <c r="AI2259" i="1"/>
  <c r="AI2260" i="1"/>
  <c r="AI2261" i="1"/>
  <c r="AI2270" i="1"/>
  <c r="AI2279" i="1"/>
  <c r="AI2286" i="1"/>
  <c r="AI2290" i="1"/>
  <c r="AI2306" i="1"/>
  <c r="AI2307" i="1"/>
  <c r="AI2309" i="1"/>
  <c r="AI2314" i="1"/>
  <c r="AI2332" i="1"/>
  <c r="AI2340" i="1"/>
  <c r="AI2348" i="1"/>
  <c r="AI2356" i="1"/>
  <c r="AI2364" i="1"/>
  <c r="AI2372" i="1"/>
  <c r="AI2380" i="1"/>
  <c r="AI2388" i="1"/>
  <c r="AI2396" i="1"/>
  <c r="AI2404" i="1"/>
  <c r="AI2275" i="1"/>
  <c r="AI2298" i="1"/>
  <c r="AI2170" i="1"/>
  <c r="AI2171" i="1"/>
  <c r="AI2178" i="1"/>
  <c r="AI2210" i="1"/>
  <c r="AI2243" i="1"/>
  <c r="AI2250" i="1"/>
  <c r="AI2266" i="1"/>
  <c r="AI2267" i="1"/>
  <c r="AI2268" i="1"/>
  <c r="AI2269" i="1"/>
  <c r="AI2294" i="1"/>
  <c r="AI2297" i="1"/>
  <c r="AI2327" i="1"/>
  <c r="AI2335" i="1"/>
  <c r="AI2343" i="1"/>
  <c r="AI2351" i="1"/>
  <c r="AI2359" i="1"/>
  <c r="AI2367" i="1"/>
  <c r="AI2375" i="1"/>
  <c r="AI2383" i="1"/>
  <c r="AI2391" i="1"/>
  <c r="AI2399" i="1"/>
  <c r="AI2283" i="1"/>
  <c r="AI2291" i="1"/>
  <c r="AI2418" i="1"/>
  <c r="AI2421" i="1"/>
  <c r="AI2434" i="1"/>
  <c r="AI2437" i="1"/>
  <c r="AI2256" i="1"/>
  <c r="AI2264" i="1"/>
  <c r="AI2272" i="1"/>
  <c r="AI2277" i="1"/>
  <c r="AI2313" i="1"/>
  <c r="AI2317" i="1"/>
  <c r="AI2321" i="1"/>
  <c r="AI2325" i="1"/>
  <c r="AI2414" i="1"/>
  <c r="AI2417" i="1"/>
  <c r="AI2420" i="1"/>
  <c r="AI2430" i="1"/>
  <c r="AI2433" i="1"/>
  <c r="AI2436" i="1"/>
  <c r="AI2439" i="1"/>
  <c r="AI2479" i="1"/>
  <c r="AI2278" i="1"/>
  <c r="AI2287" i="1"/>
  <c r="AI2295" i="1"/>
  <c r="AI2326" i="1"/>
  <c r="AI2329" i="1"/>
  <c r="AI2330" i="1"/>
  <c r="AI2333" i="1"/>
  <c r="AI2334" i="1"/>
  <c r="AI2337" i="1"/>
  <c r="AI2338" i="1"/>
  <c r="AI2341" i="1"/>
  <c r="AI2342" i="1"/>
  <c r="AI2345" i="1"/>
  <c r="AI2346" i="1"/>
  <c r="AI2349" i="1"/>
  <c r="AI2350" i="1"/>
  <c r="AI2353" i="1"/>
  <c r="AI2354" i="1"/>
  <c r="AI2357" i="1"/>
  <c r="AI2358" i="1"/>
  <c r="AI2361" i="1"/>
  <c r="AI2362" i="1"/>
  <c r="AI2365" i="1"/>
  <c r="AI2366" i="1"/>
  <c r="AI2369" i="1"/>
  <c r="AI2370" i="1"/>
  <c r="AI2373" i="1"/>
  <c r="AI2374" i="1"/>
  <c r="AI2377" i="1"/>
  <c r="AI2378" i="1"/>
  <c r="AI2381" i="1"/>
  <c r="AI2382" i="1"/>
  <c r="AI2385" i="1"/>
  <c r="AI2386" i="1"/>
  <c r="AI2389" i="1"/>
  <c r="AI2390" i="1"/>
  <c r="AI2393" i="1"/>
  <c r="AI2394" i="1"/>
  <c r="AI2397" i="1"/>
  <c r="AI2398" i="1"/>
  <c r="AI2401" i="1"/>
  <c r="AI2402" i="1"/>
  <c r="AI2405" i="1"/>
  <c r="AI2413" i="1"/>
  <c r="AI2416" i="1"/>
  <c r="AI2429" i="1"/>
  <c r="AI2432" i="1"/>
  <c r="AI2443" i="1"/>
  <c r="AI2499" i="1"/>
  <c r="AI2555" i="1"/>
  <c r="AI2448" i="1"/>
  <c r="AI2458" i="1"/>
  <c r="AI2464" i="1"/>
  <c r="AI2474" i="1"/>
  <c r="AI2480" i="1"/>
  <c r="AI2491" i="1"/>
  <c r="AI2500" i="1"/>
  <c r="AI2505" i="1"/>
  <c r="AI2411" i="1"/>
  <c r="AI2415" i="1"/>
  <c r="AI2419" i="1"/>
  <c r="AI2423" i="1"/>
  <c r="AI2427" i="1"/>
  <c r="AI2431" i="1"/>
  <c r="AI2435" i="1"/>
  <c r="AI2441" i="1"/>
  <c r="AI2494" i="1"/>
  <c r="AI2508" i="1"/>
  <c r="AI2527" i="1"/>
  <c r="AI2544" i="1"/>
  <c r="AI2561" i="1"/>
  <c r="AI2564" i="1"/>
  <c r="AI2566" i="1"/>
  <c r="AI2598" i="1"/>
  <c r="AI2452" i="1"/>
  <c r="AI2460" i="1"/>
  <c r="AI2468" i="1"/>
  <c r="AI2476" i="1"/>
  <c r="AI2484" i="1"/>
  <c r="AI2489" i="1"/>
  <c r="AI2493" i="1"/>
  <c r="AI2496" i="1"/>
  <c r="AI2511" i="1"/>
  <c r="AI2514" i="1"/>
  <c r="AI2520" i="1"/>
  <c r="AI2530" i="1"/>
  <c r="AI2536" i="1"/>
  <c r="AI2546" i="1"/>
  <c r="AI2547" i="1"/>
  <c r="AI2548" i="1"/>
  <c r="AI2549" i="1"/>
  <c r="AI2490" i="1"/>
  <c r="AI2504" i="1"/>
  <c r="AI2516" i="1"/>
  <c r="AI2526" i="1"/>
  <c r="AI2532" i="1"/>
  <c r="AI2542" i="1"/>
  <c r="AI2565" i="1"/>
  <c r="AI2571" i="1"/>
  <c r="AI2613" i="1"/>
  <c r="AI2622" i="1"/>
  <c r="AI2552" i="1"/>
  <c r="AI2562" i="1"/>
  <c r="AI2578" i="1"/>
  <c r="AI2579" i="1"/>
  <c r="AI2580" i="1"/>
  <c r="AI2581" i="1"/>
  <c r="AI2594" i="1"/>
  <c r="AI2595" i="1"/>
  <c r="AI2596" i="1"/>
  <c r="AI2597" i="1"/>
  <c r="AI2605" i="1"/>
  <c r="AI2626" i="1"/>
  <c r="AI2619" i="1"/>
  <c r="AI2627" i="1"/>
  <c r="AI2635" i="1"/>
  <c r="AI2643" i="1"/>
  <c r="AI2568" i="1"/>
  <c r="AI2576" i="1"/>
  <c r="AI2584" i="1"/>
  <c r="AI2592" i="1"/>
  <c r="AI2600" i="1"/>
  <c r="AI2604" i="1"/>
  <c r="AI2608" i="1"/>
  <c r="AI2615" i="1"/>
  <c r="AI2623" i="1"/>
  <c r="AI2631" i="1"/>
  <c r="AI2639" i="1"/>
  <c r="AI27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13000000}">
      <text>
        <r>
          <rPr>
            <sz val="10"/>
            <color rgb="FF000000"/>
            <rFont val="Arial"/>
            <scheme val="minor"/>
          </rPr>
          <t>Ngày 29/07/2022: Ngày hủy niêm yết trên HNX.
- Ngày 08/08/2022: Ngày giao dịch đầu tiên trên UPCoM
	-MY NGUYỄN HOÀNG TRIỆU
----
CTCP Tập đoàn Đầu tư Din Capital
	-Vy Hà Thảo
----
BCTC chỉ đến 2018
	-MY NGUYỄN HOÀNG TRIỆU
----
Chỉ có BCTC theo từng quý
	-Thư Nguyễn Thị Anh</t>
        </r>
      </text>
    </comment>
    <comment ref="K1" authorId="0" shapeId="0" xr:uid="{00000000-0006-0000-0000-000070000000}">
      <text>
        <r>
          <rPr>
            <sz val="10"/>
            <color rgb="FF000000"/>
            <rFont val="Arial"/>
            <scheme val="minor"/>
          </rPr>
          <t>Nợ phải trả bình quân = (Nợ phải trả đầu kỳ + Nợ phải trả cuối kỳ)/2
	-Vy Hà Thảo</t>
        </r>
      </text>
    </comment>
    <comment ref="O1" authorId="0" shapeId="0" xr:uid="{00000000-0006-0000-0000-00006E000000}">
      <text>
        <r>
          <rPr>
            <sz val="10"/>
            <color rgb="FF000000"/>
            <rFont val="Arial"/>
            <scheme val="minor"/>
          </rPr>
          <t>Vốn lưu động = Tài sản ngắn hạn – Nợ phải trả ngắn hạn
	-MY NGUYỄN HOÀNG TRIỆU</t>
        </r>
      </text>
    </comment>
    <comment ref="P1" authorId="0" shapeId="0" xr:uid="{00000000-0006-0000-0000-00006D000000}">
      <text>
        <r>
          <rPr>
            <sz val="10"/>
            <color rgb="FF000000"/>
            <rFont val="Arial"/>
            <scheme val="minor"/>
          </rPr>
          <t>là lợi nhuận sau thuế
	-MY NGUYỄN HOÀNG TRIỆU</t>
        </r>
      </text>
    </comment>
    <comment ref="Q1" authorId="0" shapeId="0" xr:uid="{00000000-0006-0000-0000-00006F000000}">
      <text>
        <r>
          <rPr>
            <sz val="10"/>
            <color rgb="FF000000"/>
            <rFont val="Arial"/>
            <scheme val="minor"/>
          </rPr>
          <t>2 cái này để tính ebit nha
	-MY NGUYỄN HOÀNG TRIỆU</t>
        </r>
      </text>
    </comment>
    <comment ref="S1" authorId="0" shapeId="0" xr:uid="{00000000-0006-0000-0000-000036000000}">
      <text>
        <r>
          <rPr>
            <sz val="10"/>
            <color rgb="FF000000"/>
            <rFont val="Arial"/>
            <scheme val="minor"/>
          </rPr>
          <t>Đòn bẩy tài chính = Nợ/Tổng tài sản
	-MY NGUYỄN HOÀNG TRIỆU</t>
        </r>
      </text>
    </comment>
    <comment ref="T1" authorId="0" shapeId="0" xr:uid="{00000000-0006-0000-0000-000035000000}">
      <text>
        <r>
          <rPr>
            <sz val="10"/>
            <color rgb="FF000000"/>
            <rFont val="Arial"/>
            <scheme val="minor"/>
          </rPr>
          <t>Tỷ số thanh toán hiện hành = Tài sản ngắn hạn/Nợ ngắn hạn
	-MY NGUYỄN HOÀNG TRIỆU</t>
        </r>
      </text>
    </comment>
    <comment ref="U1" authorId="0" shapeId="0" xr:uid="{00000000-0006-0000-0000-000034000000}">
      <text>
        <r>
          <rPr>
            <sz val="10"/>
            <color rgb="FF000000"/>
            <rFont val="Arial"/>
            <scheme val="minor"/>
          </rPr>
          <t>Quy mô doanh nghiệp = ln(Tổng tài sản)
	-MY NGUYỄN HOÀNG TRIỆU</t>
        </r>
      </text>
    </comment>
    <comment ref="V1" authorId="0" shapeId="0" xr:uid="{00000000-0006-0000-0000-000033000000}">
      <text>
        <r>
          <rPr>
            <sz val="10"/>
            <color rgb="FF000000"/>
            <rFont val="Arial"/>
            <scheme val="minor"/>
          </rPr>
          <t>Vòng quay khoản phải trả = Doanh số thường niên/Nợ phải trả bình quân
	-MY NGUYỄN HOÀNG TRIỆU</t>
        </r>
      </text>
    </comment>
    <comment ref="W1" authorId="0" shapeId="0" xr:uid="{00000000-0006-0000-0000-000044000000}">
      <text>
        <r>
          <rPr>
            <sz val="10"/>
            <color rgb="FF000000"/>
            <rFont val="Arial"/>
            <scheme val="minor"/>
          </rPr>
          <t>tvy
	-MY NGUYỄN HOÀNG TRIỆU</t>
        </r>
      </text>
    </comment>
    <comment ref="Y1" authorId="0" shapeId="0" xr:uid="{00000000-0006-0000-0000-000043000000}">
      <text>
        <r>
          <rPr>
            <sz val="10"/>
            <color rgb="FF000000"/>
            <rFont val="Arial"/>
            <scheme val="minor"/>
          </rPr>
          <t>tvy
	-MY NGUYỄN HOÀNG TRIỆU</t>
        </r>
      </text>
    </comment>
    <comment ref="Z1" authorId="0" shapeId="0" xr:uid="{00000000-0006-0000-0000-000042000000}">
      <text>
        <r>
          <rPr>
            <sz val="10"/>
            <color rgb="FF000000"/>
            <rFont val="Arial"/>
            <scheme val="minor"/>
          </rPr>
          <t>tmi
	-MY NGUYỄN HOÀNG TRIỆU</t>
        </r>
      </text>
    </comment>
    <comment ref="AA1" authorId="0" shapeId="0" xr:uid="{00000000-0006-0000-0000-000068000000}">
      <text>
        <r>
          <rPr>
            <sz val="10"/>
            <color rgb="FF000000"/>
            <rFont val="Arial"/>
            <scheme val="minor"/>
          </rPr>
          <t>từ từ điền
	-MY NGUYỄN HOÀNG TRIỆU
np và thư
	-MY NGUYỄN HOÀNG TRIỆU
----
= Doanh số thường niên
	-Phụng Nguyễn Tường Ngọc</t>
        </r>
      </text>
    </comment>
    <comment ref="AB1" authorId="0" shapeId="0" xr:uid="{00000000-0006-0000-0000-000041000000}">
      <text>
        <r>
          <rPr>
            <sz val="10"/>
            <color rgb="FF000000"/>
            <rFont val="Arial"/>
            <scheme val="minor"/>
          </rPr>
          <t>thư
	-MY NGUYỄN HOÀNG TRIỆU</t>
        </r>
      </text>
    </comment>
    <comment ref="AC1" authorId="0" shapeId="0" xr:uid="{00000000-0006-0000-0000-000040000000}">
      <text>
        <r>
          <rPr>
            <sz val="10"/>
            <color rgb="FF000000"/>
            <rFont val="Arial"/>
            <scheme val="minor"/>
          </rPr>
          <t>thư
	-MY NGUYỄN HOÀNG TRIỆU</t>
        </r>
      </text>
    </comment>
    <comment ref="AI1" authorId="0" shapeId="0" xr:uid="{00000000-0006-0000-0000-00003F000000}">
      <text>
        <r>
          <rPr>
            <sz val="10"/>
            <color rgb="FF000000"/>
            <rFont val="Arial"/>
            <scheme val="minor"/>
          </rPr>
          <t>Z Score =1,2A + 1,4B + 3,3C + 0,6D + 1,0E
	-MY NGUYỄN HOÀNG TRIỆU</t>
        </r>
      </text>
    </comment>
    <comment ref="AJ5" authorId="0" shapeId="0" xr:uid="{00000000-0006-0000-0000-000067000000}">
      <text>
        <r>
          <rPr>
            <sz val="10"/>
            <color rgb="FF000000"/>
            <rFont val="Arial"/>
            <scheme val="minor"/>
          </rPr>
          <t>đã check báo thì nó k có doanh thu thiệt á
	-MY NGUYỄN HOÀNG TRIỆU</t>
        </r>
      </text>
    </comment>
    <comment ref="D11" authorId="0" shapeId="0" xr:uid="{00000000-0006-0000-0000-00006A000000}">
      <text>
        <r>
          <rPr>
            <sz val="10"/>
            <color rgb="FF000000"/>
            <rFont val="Arial"/>
            <scheme val="minor"/>
          </rPr>
          <t>chỉ có bctc đến quý 1/2012, đã có thông tin phá sản
	-MY NGUYỄN HOÀNG TRIỆU</t>
        </r>
      </text>
    </comment>
    <comment ref="D15" authorId="0" shapeId="0" xr:uid="{00000000-0006-0000-0000-000069000000}">
      <text>
        <r>
          <rPr>
            <sz val="10"/>
            <color rgb="FF000000"/>
            <rFont val="Arial"/>
            <scheme val="minor"/>
          </rPr>
          <t>BCTC chỉ đến 2012
	-MY NGUYỄN HOÀNG TRIỆU</t>
        </r>
      </text>
    </comment>
    <comment ref="D37" authorId="0" shapeId="0" xr:uid="{00000000-0006-0000-0000-000066000000}">
      <text>
        <r>
          <rPr>
            <sz val="10"/>
            <color rgb="FF000000"/>
            <rFont val="Arial"/>
            <scheme val="minor"/>
          </rPr>
          <t>bctc chỉ đến tháng 6/2021, đã phá sản
	-MY NGUYỄN HOÀNG TRIỆU</t>
        </r>
      </text>
    </comment>
    <comment ref="D41" authorId="0" shapeId="0" xr:uid="{00000000-0006-0000-0000-00006C000000}">
      <text>
        <r>
          <rPr>
            <sz val="10"/>
            <color rgb="FF000000"/>
            <rFont val="Arial"/>
            <scheme val="minor"/>
          </rPr>
          <t>Công ty dừng hoạt động từ Tháng 08.2013
	-Phụng Nguyễn Tường Ngọc</t>
        </r>
      </text>
    </comment>
    <comment ref="D42" authorId="0" shapeId="0" xr:uid="{00000000-0006-0000-0000-00006B000000}">
      <text>
        <r>
          <rPr>
            <sz val="10"/>
            <color rgb="FF000000"/>
            <rFont val="Arial"/>
            <scheme val="minor"/>
          </rPr>
          <t>Thông tin công ty và BCTC chỉ đến năm 2018.
	-Phụng Nguyễn Tường Ngọc</t>
        </r>
      </text>
    </comment>
    <comment ref="F60" authorId="0" shapeId="0" xr:uid="{00000000-0006-0000-0000-000001000000}">
      <text>
        <r>
          <rPr>
            <sz val="10"/>
            <color rgb="FF000000"/>
            <rFont val="Arial"/>
            <scheme val="minor"/>
          </rPr>
          <t>Ngày 28/04/2023, hủy đăng ký giao dịch vì hủy tư cách công ty đại chúng, có thể là cty phá sản hoặc sáp nhập, nhưng tìm cty này thì chưa kiếm ra là ở TH nào. Nhìn 2 năm trước t đoán nó phá sản.
	-MY NGUYỄN HOÀNG TRIỆU</t>
        </r>
      </text>
    </comment>
    <comment ref="D61" authorId="0" shapeId="0" xr:uid="{00000000-0006-0000-0000-000064000000}">
      <text>
        <r>
          <rPr>
            <sz val="10"/>
            <color rgb="FF000000"/>
            <rFont val="Arial"/>
            <scheme val="minor"/>
          </rPr>
          <t>Ngày 20/05/2014, Công ty tiến hành hủy niêm yết do có lỗ lúy kế vượt quá số vốn điều lệ thực góp theo BCTC năm 2013.
	-Phụng Nguyễn Tường Ngọc</t>
        </r>
      </text>
    </comment>
    <comment ref="A139" authorId="0" shapeId="0" xr:uid="{00000000-0006-0000-0000-00003E000000}">
      <text>
        <r>
          <rPr>
            <sz val="10"/>
            <color rgb="FF000000"/>
            <rFont val="Arial"/>
            <scheme val="minor"/>
          </rPr>
          <t>Không có BCTC riêng hoặc hợp nhất, tất cả các nguồn đều ko có
BCTC từng quý thì chỉ có quý 1-2, quý 3-4 ko xuất hiện nên t lấy data trong BCTC của năm 2023 ở mục "số dư đầu năm"
Tổng cộng 1 phản ứng
MY NGUYỄN HOÀNG TRIỆU đã phản ứng bằng ❤️ lúc 2025-02-06 17:33 CH
	-Vy Hà Thảo</t>
        </r>
      </text>
    </comment>
    <comment ref="D148" authorId="0" shapeId="0" xr:uid="{00000000-0006-0000-0000-000063000000}">
      <text>
        <r>
          <rPr>
            <sz val="10"/>
            <color rgb="FF000000"/>
            <rFont val="Arial"/>
            <scheme val="minor"/>
          </rPr>
          <t>bctc chỉ đến 2014
	-MY NGUYỄN HOÀNG TRIỆU</t>
        </r>
      </text>
    </comment>
    <comment ref="D162" authorId="0" shapeId="0" xr:uid="{00000000-0006-0000-0000-000065000000}">
      <text>
        <r>
          <rPr>
            <sz val="10"/>
            <color rgb="FF000000"/>
            <rFont val="Arial"/>
            <scheme val="minor"/>
          </rPr>
          <t>năm 2023 chỉ có bctc theo quý
	-MY NGUYỄN HOÀNG TRIỆU</t>
        </r>
      </text>
    </comment>
    <comment ref="D190" authorId="0" shapeId="0" xr:uid="{00000000-0006-0000-0000-000062000000}">
      <text>
        <r>
          <rPr>
            <sz val="10"/>
            <color rgb="FF000000"/>
            <rFont val="Arial"/>
            <scheme val="minor"/>
          </rPr>
          <t>BCTC chỉ đến quý 2/2022
	-MY NGUYỄN HOÀNG TRIỆU</t>
        </r>
      </text>
    </comment>
    <comment ref="D194" authorId="0" shapeId="0" xr:uid="{00000000-0006-0000-0000-00005F000000}">
      <text>
        <r>
          <rPr>
            <sz val="10"/>
            <color rgb="FF000000"/>
            <rFont val="Arial"/>
            <scheme val="minor"/>
          </rPr>
          <t>đến 2019 thì được sáp nhập vào công ty mẹ
	-MY NGUYỄN HOÀNG TRIỆU</t>
        </r>
      </text>
    </comment>
    <comment ref="D195" authorId="0" shapeId="0" xr:uid="{00000000-0006-0000-0000-00005E000000}">
      <text>
        <r>
          <rPr>
            <sz val="10"/>
            <color rgb="FF000000"/>
            <rFont val="Arial"/>
            <scheme val="minor"/>
          </rPr>
          <t>Ngày 25/10/2013: Công ty chính thức hủy niêm yết trên HNX và tiến hành thủ tục giải thể theo NQ ĐHĐCĐ thường niên 2013
	-MY NGUYỄN HOÀNG TRIỆU</t>
        </r>
      </text>
    </comment>
    <comment ref="E202" authorId="0" shapeId="0" xr:uid="{00000000-0006-0000-0000-00005B000000}">
      <text>
        <r>
          <rPr>
            <sz val="10"/>
            <color rgb="FF000000"/>
            <rFont val="Arial"/>
            <scheme val="minor"/>
          </rPr>
          <t>đã đổi sản niêm yết
	-MY NGUYỄN HOÀNG TRIỆU</t>
        </r>
      </text>
    </comment>
    <comment ref="E205" authorId="0" shapeId="0" xr:uid="{00000000-0006-0000-0000-00005A000000}">
      <text>
        <r>
          <rPr>
            <sz val="10"/>
            <color rgb="FF000000"/>
            <rFont val="Arial"/>
            <scheme val="minor"/>
          </rPr>
          <t>2020 hủy niêm yết trên HNX, đổi sàn sang Upcom
	-MY NGUYỄN HOÀNG TRIỆU</t>
        </r>
      </text>
    </comment>
    <comment ref="D226" authorId="0" shapeId="0" xr:uid="{00000000-0006-0000-0000-000050000000}">
      <text>
        <r>
          <rPr>
            <sz val="10"/>
            <color rgb="FF000000"/>
            <rFont val="Arial"/>
            <scheme val="minor"/>
          </rPr>
          <t>- Ngày 05/06/2020, ngày hủy niêm yết cổ phiếu trên sàn HNX
- Ngày 12/06/2020, ngày giao dịch đầu tiên trên sàn UPCoM với giá tham chiếu 1,800 đ/CP.
- Ngày 17/11/2021 ngày hủy đăng ký giao dịch trên UPCoM .
	-MY NGUYỄN HOÀNG TRIỆU</t>
        </r>
      </text>
    </comment>
    <comment ref="D232" authorId="0" shapeId="0" xr:uid="{00000000-0006-0000-0000-00004F000000}">
      <text>
        <r>
          <rPr>
            <sz val="10"/>
            <color rgb="FF000000"/>
            <rFont val="Arial"/>
            <scheme val="minor"/>
          </rPr>
          <t>chỉ có bctc đến 2018
	-MY NGUYỄN HOÀNG TRIỆU</t>
        </r>
      </text>
    </comment>
    <comment ref="E239" authorId="0" shapeId="0" xr:uid="{00000000-0006-0000-0000-00005C000000}">
      <text>
        <r>
          <rPr>
            <sz val="10"/>
            <color rgb="FF000000"/>
            <rFont val="Arial"/>
            <scheme val="minor"/>
          </rPr>
          <t>đã thay đổi sàn
	-MY NGUYỄN HOÀNG TRIỆU</t>
        </r>
      </text>
    </comment>
    <comment ref="D242" authorId="0" shapeId="0" xr:uid="{00000000-0006-0000-0000-00005D000000}">
      <text>
        <r>
          <rPr>
            <sz val="10"/>
            <color rgb="FF000000"/>
            <rFont val="Arial"/>
            <scheme val="minor"/>
          </rPr>
          <t>chỉ mở bán đến 2015
	-MY NGUYỄN HOÀNG TRIỆU</t>
        </r>
      </text>
    </comment>
    <comment ref="D255" authorId="0" shapeId="0" xr:uid="{00000000-0006-0000-0000-00003D000000}">
      <text>
        <r>
          <rPr>
            <sz val="10"/>
            <color rgb="FF000000"/>
            <rFont val="Arial"/>
            <scheme val="minor"/>
          </rPr>
          <t>Ngày 16/06/2020, ngày hủy niêm yết trên sàn HNX.
	-MY NGUYỄN HOÀNG TRIỆU</t>
        </r>
      </text>
    </comment>
    <comment ref="D262" authorId="0" shapeId="0" xr:uid="{00000000-0006-0000-0000-00003C000000}">
      <text>
        <r>
          <rPr>
            <sz val="10"/>
            <color rgb="FF000000"/>
            <rFont val="Arial"/>
            <scheme val="minor"/>
          </rPr>
          <t>31/10/2013:Công ty bị chấm dứt hoạt động
	-MY NGUYỄN HOÀNG TRIỆU</t>
        </r>
      </text>
    </comment>
    <comment ref="D263" authorId="0" shapeId="0" xr:uid="{00000000-0006-0000-0000-00003B000000}">
      <text>
        <r>
          <rPr>
            <sz val="10"/>
            <color rgb="FF000000"/>
            <rFont val="Arial"/>
            <scheme val="minor"/>
          </rPr>
          <t>k tìm được thông tin phá sản/hủy niêm yết. bctc dừng ở 2013
	-MY NGUYỄN HOÀNG TRIỆU</t>
        </r>
      </text>
    </comment>
    <comment ref="D264" authorId="0" shapeId="0" xr:uid="{00000000-0006-0000-0000-00003A000000}">
      <text>
        <r>
          <rPr>
            <sz val="10"/>
            <color rgb="FF000000"/>
            <rFont val="Arial"/>
            <scheme val="minor"/>
          </rPr>
          <t>Năm 2011, sáp nhập vào Tập đoàn HAPACO. bctc dừng ở 2011
	-MY NGUYỄN HOÀNG TRIỆU</t>
        </r>
      </text>
    </comment>
    <comment ref="D278" authorId="0" shapeId="0" xr:uid="{00000000-0006-0000-0000-000039000000}">
      <text>
        <r>
          <rPr>
            <sz val="10"/>
            <color rgb="FF000000"/>
            <rFont val="Arial"/>
            <scheme val="minor"/>
          </rPr>
          <t>Ngày 10/08/2021 ngày hủy niêm yết trên HNX.
	-MY NGUYỄN HOÀNG TRIỆU</t>
        </r>
      </text>
    </comment>
    <comment ref="D291" authorId="0" shapeId="0" xr:uid="{00000000-0006-0000-0000-000038000000}">
      <text>
        <r>
          <rPr>
            <sz val="10"/>
            <color rgb="FF000000"/>
            <rFont val="Arial"/>
            <scheme val="minor"/>
          </rPr>
          <t>BCTC dừng ở 2020
	-MY NGUYỄN HOÀNG TRIỆU</t>
        </r>
      </text>
    </comment>
    <comment ref="D304" authorId="0" shapeId="0" xr:uid="{00000000-0006-0000-0000-000059000000}">
      <text>
        <r>
          <rPr>
            <sz val="10"/>
            <color rgb="FF000000"/>
            <rFont val="Arial"/>
            <scheme val="minor"/>
          </rPr>
          <t>Năm 2014 ngừng hoạt động.
	-Phụng Nguyễn Tường Ngọc</t>
        </r>
      </text>
    </comment>
    <comment ref="D311" authorId="0" shapeId="0" xr:uid="{00000000-0006-0000-0000-000058000000}">
      <text>
        <r>
          <rPr>
            <sz val="10"/>
            <color rgb="FF000000"/>
            <rFont val="Arial"/>
            <scheme val="minor"/>
          </rPr>
          <t>Đã đổi tên thành CTCP Đầu tư QP Xanh.
	-Phụng Nguyễn Tường Ngọc</t>
        </r>
      </text>
    </comment>
    <comment ref="D338" authorId="0" shapeId="0" xr:uid="{00000000-0006-0000-0000-000053000000}">
      <text>
        <r>
          <rPr>
            <sz val="10"/>
            <color rgb="FF000000"/>
            <rFont val="Arial"/>
            <scheme val="minor"/>
          </rPr>
          <t>Ngưng hoạt động năm 2013.
	-Phụng Nguyễn Tường Ngọc</t>
        </r>
      </text>
    </comment>
    <comment ref="D339" authorId="0" shapeId="0" xr:uid="{00000000-0006-0000-0000-000052000000}">
      <text>
        <r>
          <rPr>
            <sz val="10"/>
            <color rgb="FF000000"/>
            <rFont val="Arial"/>
            <scheme val="minor"/>
          </rPr>
          <t>BCTC chỉ đến năm 2016.
	-Phụng Nguyễn Tường Ngọc</t>
        </r>
      </text>
    </comment>
    <comment ref="D340" authorId="0" shapeId="0" xr:uid="{00000000-0006-0000-0000-000051000000}">
      <text>
        <r>
          <rPr>
            <sz val="10"/>
            <color rgb="FF000000"/>
            <rFont val="Arial"/>
            <scheme val="minor"/>
          </rPr>
          <t>Thông tin BCTC chỉ đến năm 2009.
	-Phụng Nguyễn Tường Ngọc</t>
        </r>
      </text>
    </comment>
    <comment ref="D344" authorId="0" shapeId="0" xr:uid="{00000000-0006-0000-0000-00004E000000}">
      <text>
        <r>
          <rPr>
            <sz val="10"/>
            <color rgb="FF000000"/>
            <rFont val="Arial"/>
            <scheme val="minor"/>
          </rPr>
          <t>Thông tin công ty đến năm 2013.
	-Phụng Nguyễn Tường Ngọc</t>
        </r>
      </text>
    </comment>
    <comment ref="D354" authorId="0" shapeId="0" xr:uid="{00000000-0006-0000-0000-00004D000000}">
      <text>
        <r>
          <rPr>
            <sz val="10"/>
            <color rgb="FF000000"/>
            <rFont val="Arial"/>
            <scheme val="minor"/>
          </rPr>
          <t>thông tin BCTC đến năm 2017.
	-Phụng Nguyễn Tường Ngọc</t>
        </r>
      </text>
    </comment>
    <comment ref="D364" authorId="0" shapeId="0" xr:uid="{00000000-0006-0000-0000-000032000000}">
      <text>
        <r>
          <rPr>
            <sz val="10"/>
            <color rgb="FF000000"/>
            <rFont val="Arial"/>
            <scheme val="minor"/>
          </rPr>
          <t>Có năm tài chính kết thúc vào ngày 30/9 mỗi năm.
	-Phụng Nguyễn Tường Ngọc</t>
        </r>
      </text>
    </comment>
    <comment ref="D382" authorId="0" shapeId="0" xr:uid="{00000000-0006-0000-0000-000031000000}">
      <text>
        <r>
          <rPr>
            <sz val="10"/>
            <color rgb="FF000000"/>
            <rFont val="Arial"/>
            <scheme val="minor"/>
          </rPr>
          <t>Không có BCTC năm 2021, có năm 22 và 23.
	-Phụng Nguyễn Tường Ngọc</t>
        </r>
      </text>
    </comment>
    <comment ref="D383" authorId="0" shapeId="0" xr:uid="{00000000-0006-0000-0000-000030000000}">
      <text>
        <r>
          <rPr>
            <sz val="10"/>
            <color rgb="FF000000"/>
            <rFont val="Arial"/>
            <scheme val="minor"/>
          </rPr>
          <t>- Tên ban đầu: CTCP Xây dựng và Thương mại Long Thành.
- 3/2021 đổi tên thành CTCP Tổng công ty phát triển khu đô thị dân cư mới.
- 2022 lại đổi tên CTCP Tập đoàn GCL.
	-Phụng Nguyễn Tường Ngọc</t>
        </r>
      </text>
    </comment>
    <comment ref="D386" authorId="0" shapeId="0" xr:uid="{00000000-0006-0000-0000-00002F000000}">
      <text>
        <r>
          <rPr>
            <sz val="10"/>
            <color rgb="FF000000"/>
            <rFont val="Arial"/>
            <scheme val="minor"/>
          </rPr>
          <t>Táng 08.20222 bị hủy tư cách công ty đại chúng.
	-Phụng Nguyễn Tường Ngọc</t>
        </r>
      </text>
    </comment>
    <comment ref="D387" authorId="0" shapeId="0" xr:uid="{00000000-0006-0000-0000-00002E000000}">
      <text>
        <r>
          <rPr>
            <sz val="10"/>
            <color rgb="FF000000"/>
            <rFont val="Arial"/>
            <scheme val="minor"/>
          </rPr>
          <t>Thông tin BCTC chỉ đến năm 2019.
	-Phụng Nguyễn Tường Ngọc</t>
        </r>
      </text>
    </comment>
    <comment ref="D391" authorId="0" shapeId="0" xr:uid="{00000000-0006-0000-0000-00002D000000}">
      <text>
        <r>
          <rPr>
            <sz val="10"/>
            <color rgb="FF000000"/>
            <rFont val="Arial"/>
            <scheme val="minor"/>
          </rPr>
          <t>Không có BCTC năm 2023.
	-Phụng Nguyễn Tường Ngọc</t>
        </r>
      </text>
    </comment>
    <comment ref="D392" authorId="0" shapeId="0" xr:uid="{00000000-0006-0000-0000-00002C000000}">
      <text>
        <r>
          <rPr>
            <sz val="10"/>
            <color rgb="FF000000"/>
            <rFont val="Arial"/>
            <scheme val="minor"/>
          </rPr>
          <t>2016 giải thể DN.
	-Phụng Nguyễn Tường Ngọc</t>
        </r>
      </text>
    </comment>
    <comment ref="B393" authorId="0" shapeId="0" xr:uid="{00000000-0006-0000-0000-000026000000}">
      <text>
        <r>
          <rPr>
            <sz val="10"/>
            <color rgb="FF000000"/>
            <rFont val="Arial"/>
            <scheme val="minor"/>
          </rPr>
          <t>Ngày 23/12/2009: Hủy niêm yết trên HNX để sát nhập vào CTCP Mirae
	-Thư Nguyễn Thị Anh</t>
        </r>
      </text>
    </comment>
    <comment ref="D402" authorId="0" shapeId="0" xr:uid="{00000000-0006-0000-0000-00002B000000}">
      <text>
        <r>
          <rPr>
            <sz val="10"/>
            <color rgb="FF000000"/>
            <rFont val="Arial"/>
            <scheme val="minor"/>
          </rPr>
          <t>BCTC chỉ đến năm 2019, thông tin DN đến năm 2022.
	-Phụng Nguyễn Tường Ngọc</t>
        </r>
      </text>
    </comment>
    <comment ref="D409" authorId="0" shapeId="0" xr:uid="{00000000-0006-0000-0000-000029000000}">
      <text>
        <r>
          <rPr>
            <sz val="10"/>
            <color rgb="FF000000"/>
            <rFont val="Arial"/>
            <scheme val="minor"/>
          </rPr>
          <t>Kỳ kế toán kết thúc vào 30/6
	-Phụng Nguyễn Tường Ngọc</t>
        </r>
      </text>
    </comment>
    <comment ref="C412" authorId="0" shapeId="0" xr:uid="{00000000-0006-0000-0000-000025000000}">
      <text>
        <r>
          <rPr>
            <sz val="10"/>
            <color rgb="FF000000"/>
            <rFont val="Arial"/>
            <scheme val="minor"/>
          </rPr>
          <t>Ngày 27/12/2024: Ngày hủy niêm yết trên HNX
	-Thư Nguyễn Thị Anh</t>
        </r>
      </text>
    </comment>
    <comment ref="D412" authorId="0" shapeId="0" xr:uid="{00000000-0006-0000-0000-00002A000000}">
      <text>
        <r>
          <rPr>
            <sz val="10"/>
            <color rgb="FF000000"/>
            <rFont val="Arial"/>
            <scheme val="minor"/>
          </rPr>
          <t>Công ty cổ phần Đầu tư Thiết bị và Xây lắp điện Thiên Trường
	-Phụng Nguyễn Tường Ngọc</t>
        </r>
      </text>
    </comment>
    <comment ref="D415" authorId="0" shapeId="0" xr:uid="{00000000-0006-0000-0000-000024000000}">
      <text>
        <r>
          <rPr>
            <sz val="10"/>
            <color rgb="FF000000"/>
            <rFont val="Arial"/>
            <scheme val="minor"/>
          </rPr>
          <t>Ngày 16/05/2023: Ngày hủy niêm yết trên HNX.
	-Thư Nguyễn Thị Anh</t>
        </r>
      </text>
    </comment>
    <comment ref="D424" authorId="0" shapeId="0" xr:uid="{00000000-0006-0000-0000-000023000000}">
      <text>
        <r>
          <rPr>
            <sz val="10"/>
            <color rgb="FF000000"/>
            <rFont val="Arial"/>
            <scheme val="minor"/>
          </rPr>
          <t>Ngày 19/05/2023: Ngày hủy niêm yết trên HNX.
	-Thư Nguyễn Thị Anh</t>
        </r>
      </text>
    </comment>
    <comment ref="D427" authorId="0" shapeId="0" xr:uid="{00000000-0006-0000-0000-000022000000}">
      <text>
        <r>
          <rPr>
            <sz val="10"/>
            <color rgb="FF000000"/>
            <rFont val="Arial"/>
            <scheme val="minor"/>
          </rPr>
          <t>Ngày 23/05/2024: Ngày hủy niêm yết trên HNX
	-Thư Nguyễn Thị Anh</t>
        </r>
      </text>
    </comment>
    <comment ref="D431" authorId="0" shapeId="0" xr:uid="{00000000-0006-0000-0000-000021000000}">
      <text>
        <r>
          <rPr>
            <sz val="10"/>
            <color rgb="FF000000"/>
            <rFont val="Arial"/>
            <scheme val="minor"/>
          </rPr>
          <t>Ngày 17/05/2024: Ngày hủy niêm yết trên HNX.
	-Thư Nguyễn Thị Anh</t>
        </r>
      </text>
    </comment>
    <comment ref="D434" authorId="0" shapeId="0" xr:uid="{00000000-0006-0000-0000-000020000000}">
      <text>
        <r>
          <rPr>
            <sz val="10"/>
            <color rgb="FF000000"/>
            <rFont val="Arial"/>
            <scheme val="minor"/>
          </rPr>
          <t>Ngày 23/05/2024: Ngày hủy niêm yết trên HNX.
	-Thư Nguyễn Thị Anh</t>
        </r>
      </text>
    </comment>
    <comment ref="D456" authorId="0" shapeId="0" xr:uid="{00000000-0006-0000-0000-00001F000000}">
      <text>
        <r>
          <rPr>
            <sz val="10"/>
            <color rgb="FF000000"/>
            <rFont val="Arial"/>
            <scheme val="minor"/>
          </rPr>
          <t>Ngày 19/05/2023: Ngày hủy niêm yết trên HNX.
	-Thư Nguyễn Thị Anh</t>
        </r>
      </text>
    </comment>
    <comment ref="D459" authorId="0" shapeId="0" xr:uid="{00000000-0006-0000-0000-00001E000000}">
      <text>
        <r>
          <rPr>
            <sz val="10"/>
            <color rgb="FF000000"/>
            <rFont val="Arial"/>
            <scheme val="minor"/>
          </rPr>
          <t>Ngày 05/05/2021: Ngày hủy niêm yết trên HNX .
	-Thư Nguyễn Thị Anh</t>
        </r>
      </text>
    </comment>
    <comment ref="G466" authorId="0" shapeId="0" xr:uid="{00000000-0006-0000-0000-000047000000}">
      <text>
        <r>
          <rPr>
            <sz val="10"/>
            <color rgb="FF000000"/>
            <rFont val="Arial"/>
            <scheme val="minor"/>
          </rPr>
          <t>Chỉ có báo cáo tài chính theo quý
	-Thư Nguyễn Thị Anh</t>
        </r>
      </text>
    </comment>
    <comment ref="G472" authorId="0" shapeId="0" xr:uid="{00000000-0006-0000-0000-000046000000}">
      <text>
        <r>
          <rPr>
            <sz val="10"/>
            <color rgb="FF000000"/>
            <rFont val="Arial"/>
            <scheme val="minor"/>
          </rPr>
          <t>Huỷ niêm yết vào năm 2015
	-Thư Nguyễn Thị Anh</t>
        </r>
      </text>
    </comment>
    <comment ref="N476" authorId="0" shapeId="0" xr:uid="{00000000-0006-0000-0000-000028000000}">
      <text>
        <r>
          <rPr>
            <sz val="10"/>
            <color rgb="FF000000"/>
            <rFont val="Arial"/>
            <scheme val="minor"/>
          </rPr>
          <t>Cộng doanh thu hoạt động
	-Thư Nguyễn Thị Anh</t>
        </r>
      </text>
    </comment>
    <comment ref="Q476" authorId="0" shapeId="0" xr:uid="{00000000-0006-0000-0000-000027000000}">
      <text>
        <r>
          <rPr>
            <sz val="10"/>
            <color rgb="FF000000"/>
            <rFont val="Arial"/>
            <scheme val="minor"/>
          </rPr>
          <t>Cộng chi phí hoạt động
	-Thư Nguyễn Thị Anh</t>
        </r>
      </text>
    </comment>
    <comment ref="D492" authorId="0" shapeId="0" xr:uid="{00000000-0006-0000-0000-00001D000000}">
      <text>
        <r>
          <rPr>
            <sz val="10"/>
            <color rgb="FF000000"/>
            <rFont val="Arial"/>
            <scheme val="minor"/>
          </rPr>
          <t>Ngày 25/05/2020, ngày hủy niêm yết cổ phiếu trên sàn HNX.
	-Thư Nguyễn Thị Anh</t>
        </r>
      </text>
    </comment>
    <comment ref="D495" authorId="0" shapeId="0" xr:uid="{00000000-0006-0000-0000-00001C000000}">
      <text>
        <r>
          <rPr>
            <sz val="10"/>
            <color rgb="FF000000"/>
            <rFont val="Arial"/>
            <scheme val="minor"/>
          </rPr>
          <t>Ngày 11/09/2024: Ngày hủy niêm yết trên HNX.
	-Thư Nguyễn Thị Anh</t>
        </r>
      </text>
    </comment>
    <comment ref="D503" authorId="0" shapeId="0" xr:uid="{00000000-0006-0000-0000-00001B000000}">
      <text>
        <r>
          <rPr>
            <sz val="10"/>
            <color rgb="FF000000"/>
            <rFont val="Arial"/>
            <scheme val="minor"/>
          </rPr>
          <t>Ngày 08/06/2018: Hủy niêm yết trên sàn HNX.
	-Thư Nguyễn Thị Anh</t>
        </r>
      </text>
    </comment>
    <comment ref="D506" authorId="0" shapeId="0" xr:uid="{00000000-0006-0000-0000-00001A000000}">
      <text>
        <r>
          <rPr>
            <sz val="10"/>
            <color rgb="FF000000"/>
            <rFont val="Arial"/>
            <scheme val="minor"/>
          </rPr>
          <t>Ngày 29/06/2018, hủy niêm yết trên sàn HNX (Chấm dứt sự tồn tại do hợp nhất vào CTCP Tập đoàn Mai Linh)
	-Thư Nguyễn Thị Anh</t>
        </r>
      </text>
    </comment>
    <comment ref="D509" authorId="0" shapeId="0" xr:uid="{00000000-0006-0000-0000-000019000000}">
      <text>
        <r>
          <rPr>
            <sz val="10"/>
            <color rgb="FF000000"/>
            <rFont val="Arial"/>
            <scheme val="minor"/>
          </rPr>
          <t>Ngày 25/05/2021: Ngày hủy niêm yết trên HNX.
	-Thư Nguyễn Thị Anh</t>
        </r>
      </text>
    </comment>
    <comment ref="D549" authorId="0" shapeId="0" xr:uid="{00000000-0006-0000-0000-000061000000}">
      <text>
        <r>
          <rPr>
            <sz val="10"/>
            <color rgb="FF000000"/>
            <rFont val="Arial"/>
            <scheme val="minor"/>
          </rPr>
          <t>công ty dừng sản xuất, hủy niêm yết trên HNX để tái cơ cấu từ năm 2017, BCTC gần nhất lằ từ 2018
	-Vy Hà Thảo</t>
        </r>
      </text>
    </comment>
    <comment ref="D550" authorId="0" shapeId="0" xr:uid="{00000000-0006-0000-0000-000060000000}">
      <text>
        <r>
          <rPr>
            <sz val="10"/>
            <color rgb="FF000000"/>
            <rFont val="Arial"/>
            <scheme val="minor"/>
          </rPr>
          <t>ko tìm thấy BCTC
	-Vy Hà Thảo</t>
        </r>
      </text>
    </comment>
    <comment ref="D560" authorId="0" shapeId="0" xr:uid="{00000000-0006-0000-0000-000057000000}">
      <text>
        <r>
          <rPr>
            <sz val="10"/>
            <color rgb="FF000000"/>
            <rFont val="Arial"/>
            <scheme val="minor"/>
          </rPr>
          <t>BCTC dừng ở năm 2014
	-Vy Hà Thảo</t>
        </r>
      </text>
    </comment>
    <comment ref="D561" authorId="0" shapeId="0" xr:uid="{00000000-0006-0000-0000-000056000000}">
      <text>
        <r>
          <rPr>
            <sz val="10"/>
            <color rgb="FF000000"/>
            <rFont val="Arial"/>
            <scheme val="minor"/>
          </rPr>
          <t>BCTC dừng ở năm 2019
	-Vy Hà Thảo</t>
        </r>
      </text>
    </comment>
    <comment ref="D564" authorId="0" shapeId="0" xr:uid="{00000000-0006-0000-0000-000055000000}">
      <text>
        <r>
          <rPr>
            <sz val="10"/>
            <color rgb="FF000000"/>
            <rFont val="Arial"/>
            <scheme val="minor"/>
          </rPr>
          <t>ctcp chứng khoán tiên phong (tiền thân là phương đông), nay ở sàn HOSE
	-Vy Hà Thảo</t>
        </r>
      </text>
    </comment>
    <comment ref="E564" authorId="0" shapeId="0" xr:uid="{00000000-0006-0000-0000-000054000000}">
      <text>
        <r>
          <rPr>
            <sz val="10"/>
            <color rgb="FF000000"/>
            <rFont val="Arial"/>
            <scheme val="minor"/>
          </rPr>
          <t>HOSE
	-Vy Hà Thảo</t>
        </r>
      </text>
    </comment>
    <comment ref="D579" authorId="0" shapeId="0" xr:uid="{00000000-0006-0000-0000-00004C000000}">
      <text>
        <r>
          <rPr>
            <sz val="10"/>
            <color rgb="FF000000"/>
            <rFont val="Arial"/>
            <scheme val="minor"/>
          </rPr>
          <t>CTCP Vận tải biển Global Pacific
	-Vy Hà Thảo</t>
        </r>
      </text>
    </comment>
    <comment ref="D582" authorId="0" shapeId="0" xr:uid="{00000000-0006-0000-0000-00004B000000}">
      <text>
        <r>
          <rPr>
            <sz val="10"/>
            <color rgb="FF000000"/>
            <rFont val="Arial"/>
            <scheme val="minor"/>
          </rPr>
          <t>CTCP Tập đoàn Đầu tư Din Capital
	-Vy Hà Thảo</t>
        </r>
      </text>
    </comment>
    <comment ref="E585" authorId="0" shapeId="0" xr:uid="{00000000-0006-0000-0000-00004A000000}">
      <text>
        <r>
          <rPr>
            <sz val="10"/>
            <color rgb="FF000000"/>
            <rFont val="Arial"/>
            <scheme val="minor"/>
          </rPr>
          <t>Năm 2022 hủy niêm yết tại HNX, giờ giao dịch trên sàn Upcom
	-Vy Hà Thảo</t>
        </r>
      </text>
    </comment>
    <comment ref="E600" authorId="0" shapeId="0" xr:uid="{00000000-0006-0000-0000-000049000000}">
      <text>
        <r>
          <rPr>
            <sz val="10"/>
            <color rgb="FF000000"/>
            <rFont val="Arial"/>
            <scheme val="minor"/>
          </rPr>
          <t>Upcom
	-Vy Hà Thảo</t>
        </r>
      </text>
    </comment>
    <comment ref="E603" authorId="0" shapeId="0" xr:uid="{00000000-0006-0000-0000-000048000000}">
      <text>
        <r>
          <rPr>
            <sz val="10"/>
            <color rgb="FF000000"/>
            <rFont val="Arial"/>
            <scheme val="minor"/>
          </rPr>
          <t>Upcom
	-Vy Hà Thảo</t>
        </r>
      </text>
    </comment>
    <comment ref="E609" authorId="0" shapeId="0" xr:uid="{00000000-0006-0000-0000-000045000000}">
      <text>
        <r>
          <rPr>
            <sz val="10"/>
            <color rgb="FF000000"/>
            <rFont val="Arial"/>
            <scheme val="minor"/>
          </rPr>
          <t>Upcom
	-Vy Hà Thảo</t>
        </r>
      </text>
    </comment>
    <comment ref="D633" authorId="0" shapeId="0" xr:uid="{00000000-0006-0000-0000-000037000000}">
      <text>
        <r>
          <rPr>
            <sz val="10"/>
            <color rgb="FF000000"/>
            <rFont val="Arial"/>
            <scheme val="minor"/>
          </rPr>
          <t>CTCP Tư vấn đầu tư PP Enterprise
	-Vy Hà Thảo</t>
        </r>
      </text>
    </comment>
    <comment ref="E750" authorId="0" shapeId="0" xr:uid="{00000000-0006-0000-0000-000012000000}">
      <text>
        <r>
          <rPr>
            <sz val="10"/>
            <color rgb="FF000000"/>
            <rFont val="Arial"/>
            <scheme val="minor"/>
          </rPr>
          <t>Ngày 29/07/2022: Ngày hủy niêm yết trên HNX.
- Ngày 08/08/2022: Ngày giao dịch đầu tiên trên UPCoM
	-MY NGUYỄN HOÀNG TRIỆU</t>
        </r>
      </text>
    </comment>
    <comment ref="D940" authorId="0" shapeId="0" xr:uid="{00000000-0006-0000-0000-000018000000}">
      <text>
        <r>
          <rPr>
            <sz val="10"/>
            <color rgb="FF000000"/>
            <rFont val="Arial"/>
            <scheme val="minor"/>
          </rPr>
          <t>Không có tài liệu về BCTC tổng cả năm hoặc quý IV.
	-Phụng Nguyễn Tường Ngọc</t>
        </r>
      </text>
    </comment>
    <comment ref="D977" authorId="0" shapeId="0" xr:uid="{00000000-0006-0000-0000-000017000000}">
      <text>
        <r>
          <rPr>
            <sz val="10"/>
            <color rgb="FF000000"/>
            <rFont val="Arial"/>
            <scheme val="minor"/>
          </rPr>
          <t>BCTC chỉ đến năm 2019, sàn OTC.
	-Phụng Nguyễn Tường Ngọc</t>
        </r>
      </text>
    </comment>
    <comment ref="E1008" authorId="0" shapeId="0" xr:uid="{00000000-0006-0000-0000-000016000000}">
      <text>
        <r>
          <rPr>
            <sz val="10"/>
            <color rgb="FF000000"/>
            <rFont val="Arial"/>
            <scheme val="minor"/>
          </rPr>
          <t>OTC
	-Phụng Nguyễn Tường Ngọc</t>
        </r>
      </text>
    </comment>
    <comment ref="D1018" authorId="0" shapeId="0" xr:uid="{00000000-0006-0000-0000-000014000000}">
      <text>
        <r>
          <rPr>
            <sz val="10"/>
            <color rgb="FF000000"/>
            <rFont val="Arial"/>
            <scheme val="minor"/>
          </rPr>
          <t>BCTC đến 2016.
	-Phụng Nguyễn Tường Ngọc</t>
        </r>
      </text>
    </comment>
    <comment ref="E1018" authorId="0" shapeId="0" xr:uid="{00000000-0006-0000-0000-000015000000}">
      <text>
        <r>
          <rPr>
            <sz val="10"/>
            <color rgb="FF000000"/>
            <rFont val="Arial"/>
            <scheme val="minor"/>
          </rPr>
          <t>OTC
	-Phụng Nguyễn Tường Ngọc</t>
        </r>
      </text>
    </comment>
    <comment ref="D1019" authorId="0" shapeId="0" xr:uid="{00000000-0006-0000-0000-000011000000}">
      <text>
        <r>
          <rPr>
            <sz val="10"/>
            <color rgb="FF000000"/>
            <rFont val="Arial"/>
            <scheme val="minor"/>
          </rPr>
          <t>2021: năm tài chính kết thúc vào 31/3/2022.
2022: năm tài chính kết thúc vào 31/3/2023.
2023: năm tài chính kết thúc vào 31/3/2024.
	-Phụng Nguyễn Tường Ngọc</t>
        </r>
      </text>
    </comment>
    <comment ref="D1028" authorId="0" shapeId="0" xr:uid="{00000000-0006-0000-0000-000010000000}">
      <text>
        <r>
          <rPr>
            <sz val="10"/>
            <color rgb="FF000000"/>
            <rFont val="Arial"/>
            <scheme val="minor"/>
          </rPr>
          <t>Không có BCTC tổng năm 2023.
	-Phụng Nguyễn Tường Ngọc</t>
        </r>
      </text>
    </comment>
    <comment ref="D1080" authorId="0" shapeId="0" xr:uid="{00000000-0006-0000-0000-00000F000000}">
      <text>
        <r>
          <rPr>
            <sz val="10"/>
            <color rgb="FF000000"/>
            <rFont val="Arial"/>
            <scheme val="minor"/>
          </rPr>
          <t>BCTC đến năm 2018.
	-Phụng Nguyễn Tường Ngọc</t>
        </r>
      </text>
    </comment>
    <comment ref="E1080" authorId="0" shapeId="0" xr:uid="{00000000-0006-0000-0000-00000E000000}">
      <text>
        <r>
          <rPr>
            <sz val="10"/>
            <color rgb="FF000000"/>
            <rFont val="Arial"/>
            <scheme val="minor"/>
          </rPr>
          <t>OTC
	-Phụng Nguyễn Tường Ngọc</t>
        </r>
      </text>
    </comment>
    <comment ref="D1117" authorId="0" shapeId="0" xr:uid="{00000000-0006-0000-0000-00000D000000}">
      <text>
        <r>
          <rPr>
            <sz val="10"/>
            <color rgb="FF000000"/>
            <rFont val="Arial"/>
            <scheme val="minor"/>
          </rPr>
          <t>Không có BCTC năm 2023.
	-Phụng Nguyễn Tường Ngọc</t>
        </r>
      </text>
    </comment>
    <comment ref="D1127" authorId="0" shapeId="0" xr:uid="{00000000-0006-0000-0000-00000C000000}">
      <text>
        <r>
          <rPr>
            <sz val="10"/>
            <color rgb="FF000000"/>
            <rFont val="Arial"/>
            <scheme val="minor"/>
          </rPr>
          <t>OTC-BCTC đến năm 2010.
	-Phụng Nguyễn Tường Ngọc</t>
        </r>
      </text>
    </comment>
    <comment ref="D1146" authorId="0" shapeId="0" xr:uid="{00000000-0006-0000-0000-00000B000000}">
      <text>
        <r>
          <rPr>
            <sz val="10"/>
            <color rgb="FF000000"/>
            <rFont val="Arial"/>
            <scheme val="minor"/>
          </rPr>
          <t>BCTC đến năm 2013 (OTC).
	-Phụng Nguyễn Tường Ngọc</t>
        </r>
      </text>
    </comment>
    <comment ref="D1155" authorId="0" shapeId="0" xr:uid="{00000000-0006-0000-0000-00000A000000}">
      <text>
        <r>
          <rPr>
            <sz val="10"/>
            <color rgb="FF000000"/>
            <rFont val="Arial"/>
            <scheme val="minor"/>
          </rPr>
          <t>Không có BCTC tổng năm 2022, 2023.
	-Phụng Nguyễn Tường Ngọc
----
2020
	-Phụng Nguyễn Tường Ngọc</t>
        </r>
      </text>
    </comment>
    <comment ref="D1156" authorId="0" shapeId="0" xr:uid="{00000000-0006-0000-0000-000009000000}">
      <text>
        <r>
          <rPr>
            <sz val="10"/>
            <color rgb="FF000000"/>
            <rFont val="Arial"/>
            <scheme val="minor"/>
          </rPr>
          <t>2020
	-Phụng Nguyễn Tường Ngọc</t>
        </r>
      </text>
    </comment>
    <comment ref="D1172" authorId="0" shapeId="0" xr:uid="{00000000-0006-0000-0000-000008000000}">
      <text>
        <r>
          <rPr>
            <sz val="10"/>
            <color rgb="FF000000"/>
            <rFont val="Arial"/>
            <scheme val="minor"/>
          </rPr>
          <t>OTC
	-Phụng Nguyễn Tường Ngọc</t>
        </r>
      </text>
    </comment>
    <comment ref="D1183" authorId="0" shapeId="0" xr:uid="{00000000-0006-0000-0000-000007000000}">
      <text>
        <r>
          <rPr>
            <sz val="10"/>
            <color rgb="FF000000"/>
            <rFont val="Arial"/>
            <scheme val="minor"/>
          </rPr>
          <t>thông tin đến năm 2017
	-Phụng Nguyễn Tường Ngọc</t>
        </r>
      </text>
    </comment>
    <comment ref="D1186" authorId="0" shapeId="0" xr:uid="{00000000-0006-0000-0000-000006000000}">
      <text>
        <r>
          <rPr>
            <sz val="10"/>
            <color rgb="FF000000"/>
            <rFont val="Arial"/>
            <scheme val="minor"/>
          </rPr>
          <t>OTC
	-Phụng Nguyễn Tường Ngọc</t>
        </r>
      </text>
    </comment>
    <comment ref="D1189" authorId="0" shapeId="0" xr:uid="{00000000-0006-0000-0000-000005000000}">
      <text>
        <r>
          <rPr>
            <sz val="10"/>
            <color rgb="FF000000"/>
            <rFont val="Arial"/>
            <scheme val="minor"/>
          </rPr>
          <t>Khác
	-Phụng Nguyễn Tường Ngọc</t>
        </r>
      </text>
    </comment>
    <comment ref="D1284" authorId="0" shapeId="0" xr:uid="{00000000-0006-0000-0000-000003000000}">
      <text>
        <r>
          <rPr>
            <sz val="10"/>
            <color rgb="FF000000"/>
            <rFont val="Arial"/>
            <scheme val="minor"/>
          </rPr>
          <t>kết thúc 30/6
	-Phụng Nguyễn Tường Ngọc</t>
        </r>
      </text>
    </comment>
    <comment ref="D1876" authorId="0" shapeId="0" xr:uid="{00000000-0006-0000-0000-000004000000}">
      <text>
        <r>
          <rPr>
            <sz val="10"/>
            <color rgb="FF000000"/>
            <rFont val="Arial"/>
            <scheme val="minor"/>
          </rPr>
          <t>2021: bctc đến 31/3/2022
2022: bctc đến 31/3/2023
2023: bctc đến 31/3/2024
	-Phụng Nguyễn Tường Ngọc</t>
        </r>
      </text>
    </comment>
    <comment ref="C1963" authorId="0" shapeId="0" xr:uid="{00000000-0006-0000-0000-000002000000}">
      <text>
        <r>
          <rPr>
            <sz val="10"/>
            <color rgb="FF000000"/>
            <rFont val="Arial"/>
            <scheme val="minor"/>
          </rPr>
          <t>Trùng doanh nghiệp
	-Thư Nguyễn Thị Anh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07" authorId="0" shapeId="0" xr:uid="{00000000-0006-0000-0100-000003000000}">
      <text>
        <r>
          <rPr>
            <sz val="10"/>
            <color rgb="FF000000"/>
            <rFont val="Arial"/>
            <scheme val="minor"/>
          </rPr>
          <t>Không có BCTC năm 2023.
	-Phụng Nguyễn Tường Ngọc</t>
        </r>
      </text>
    </comment>
    <comment ref="A203" authorId="0" shapeId="0" xr:uid="{00000000-0006-0000-0100-000001000000}">
      <text>
        <r>
          <rPr>
            <sz val="10"/>
            <color rgb="FF000000"/>
            <rFont val="Arial"/>
            <scheme val="minor"/>
          </rPr>
          <t xml:space="preserve">BCTC quý 4 (báo cáo tìm trên mạng) (BCTC riêng chứ không phải hợp nhất)
</t>
        </r>
      </text>
    </comment>
    <comment ref="A206" authorId="0" shapeId="0" xr:uid="{00000000-0006-0000-0100-000002000000}">
      <text>
        <r>
          <rPr>
            <sz val="10"/>
            <color rgb="FF000000"/>
            <rFont val="Arial"/>
            <scheme val="minor"/>
          </rPr>
          <t>BCTC quý 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4" authorId="0" shapeId="0" xr:uid="{00000000-0006-0000-0600-000001000000}">
      <text>
        <r>
          <rPr>
            <sz val="10"/>
            <color rgb="FF000000"/>
            <rFont val="Arial"/>
            <scheme val="minor"/>
          </rPr>
          <t>Ngày 04/02/2025: Ngày hủy niêm yết trên HOSE.
	-MY NGUYỄN HOÀNG TRIỆU</t>
        </r>
      </text>
    </comment>
  </commentList>
</comments>
</file>

<file path=xl/sharedStrings.xml><?xml version="1.0" encoding="utf-8"?>
<sst xmlns="http://schemas.openxmlformats.org/spreadsheetml/2006/main" count="12689" uniqueCount="5546">
  <si>
    <t>LINK BCTC</t>
  </si>
  <si>
    <t>STT</t>
  </si>
  <si>
    <t>MÃ</t>
  </si>
  <si>
    <t>TÊN</t>
  </si>
  <si>
    <t>SÀN</t>
  </si>
  <si>
    <t>Năm thành lập</t>
  </si>
  <si>
    <t>Năm</t>
  </si>
  <si>
    <t>Tài sản ngắn hạn</t>
  </si>
  <si>
    <t>Tổng tài sản</t>
  </si>
  <si>
    <t>Tổng nợ</t>
  </si>
  <si>
    <t>Nợ phải trả bình quân</t>
  </si>
  <si>
    <t>Nợ ngắn hạn</t>
  </si>
  <si>
    <t>Tổng vốn chủ sở hữu</t>
  </si>
  <si>
    <t>Doanh số thường niên</t>
  </si>
  <si>
    <t>Vốn lưu động</t>
  </si>
  <si>
    <t>Lợi nhuận giữ lại</t>
  </si>
  <si>
    <t>Chi phí hoạt động</t>
  </si>
  <si>
    <t>Lợi nhuận trước lãi và thuế (EBIT)</t>
  </si>
  <si>
    <t>Đòn bẩy tài chính (financial leverage)</t>
  </si>
  <si>
    <t>Tỉ số thanh toán hiện hành</t>
  </si>
  <si>
    <t>Quy mô doanh nghiệp</t>
  </si>
  <si>
    <t>Vòng quay khoản phải trả</t>
  </si>
  <si>
    <t>Giá cổ phiếu</t>
  </si>
  <si>
    <t>[edited] giá cổ phiếu</t>
  </si>
  <si>
    <t>Số lượng cổ phiếu</t>
  </si>
  <si>
    <t>Giá trị thị trường của VCSH</t>
  </si>
  <si>
    <t>Số năm HĐ của DN</t>
  </si>
  <si>
    <t>Tỷ lệ lạm phát VN</t>
  </si>
  <si>
    <t>Tăng trưởng GDP</t>
  </si>
  <si>
    <t>A
(Vốn lưu động/Tổng tài sản)</t>
  </si>
  <si>
    <t>B
(Lợi nhuận giữ lại/ Tổng tài sản</t>
  </si>
  <si>
    <t>C
(EBIT/Tổng tài sản)</t>
  </si>
  <si>
    <t>D
(Giá trị thị trường VCSH/Tổng nợ)</t>
  </si>
  <si>
    <t>E
(Doanh số/Tổng nợ)</t>
  </si>
  <si>
    <t>ZSCORE</t>
  </si>
  <si>
    <t>Ghi chú</t>
  </si>
  <si>
    <t>ACB 2021</t>
  </si>
  <si>
    <t>ACB</t>
  </si>
  <si>
    <t>Ngân hàng Thương mại Cổ phần Á Châu</t>
  </si>
  <si>
    <t>HNX</t>
  </si>
  <si>
    <t>19.37</t>
  </si>
  <si>
    <t>BCTC ngân hàng k có nợ ngắn hạn và ts ngắn hạn</t>
  </si>
  <si>
    <t>ACB 2022</t>
  </si>
  <si>
    <t>15.37</t>
  </si>
  <si>
    <t>ACB 2023</t>
  </si>
  <si>
    <t>ACM 2021</t>
  </si>
  <si>
    <t>ACM</t>
  </si>
  <si>
    <t>CTCP Tập đoàn Khoáng sản Á Cường</t>
  </si>
  <si>
    <t>BCTC k ghi nhận doanh số và thuế TNDN</t>
  </si>
  <si>
    <t>ACM 2022</t>
  </si>
  <si>
    <t>0.8</t>
  </si>
  <si>
    <t>không có chi phí bán hàng</t>
  </si>
  <si>
    <t>ACM 2023</t>
  </si>
  <si>
    <t>0.6</t>
  </si>
  <si>
    <t>ADC 2021</t>
  </si>
  <si>
    <t>ADC</t>
  </si>
  <si>
    <t>CTCP Mĩ thuật và Truyền thông</t>
  </si>
  <si>
    <t>16.41</t>
  </si>
  <si>
    <t>ADC 2022</t>
  </si>
  <si>
    <t>15.19</t>
  </si>
  <si>
    <t>ADC 2023</t>
  </si>
  <si>
    <t>17.17</t>
  </si>
  <si>
    <t>AGC</t>
  </si>
  <si>
    <t>CTCP Cà phê An Giang</t>
  </si>
  <si>
    <t>ALT 2021</t>
  </si>
  <si>
    <t>ALT</t>
  </si>
  <si>
    <t>CTCP Văn hóa Tân Bình</t>
  </si>
  <si>
    <t>17.62</t>
  </si>
  <si>
    <t>ALT 2022</t>
  </si>
  <si>
    <t>12.54</t>
  </si>
  <si>
    <t>ALT 2023</t>
  </si>
  <si>
    <t>12.50</t>
  </si>
  <si>
    <t>ALV</t>
  </si>
  <si>
    <t>CTCP Khoáng sản Vinas A Lưới</t>
  </si>
  <si>
    <t>AMC 2021</t>
  </si>
  <si>
    <t>AMC</t>
  </si>
  <si>
    <t>Công ty cổ phần Khoáng sản Á Châu</t>
  </si>
  <si>
    <t>19.23</t>
  </si>
  <si>
    <t>AMC 2022</t>
  </si>
  <si>
    <t>19.53</t>
  </si>
  <si>
    <t>AMC 2023</t>
  </si>
  <si>
    <t>15.93</t>
  </si>
  <si>
    <t>AME 2021</t>
  </si>
  <si>
    <t>AME</t>
  </si>
  <si>
    <t>CTCP Alphanam E&amp;C</t>
  </si>
  <si>
    <t>k có chi phí bán hàng</t>
  </si>
  <si>
    <t>AME 2022</t>
  </si>
  <si>
    <t>AME 2023</t>
  </si>
  <si>
    <t>AMV 2021</t>
  </si>
  <si>
    <t>AMV</t>
  </si>
  <si>
    <t>CTCP Sản xuất Kinh doanh Dược và Trang thiết bị Y tế Việt Mỹ</t>
  </si>
  <si>
    <t>13.76</t>
  </si>
  <si>
    <t>AMV 2022</t>
  </si>
  <si>
    <t>AMV 2023</t>
  </si>
  <si>
    <t>API 2021</t>
  </si>
  <si>
    <t>API</t>
  </si>
  <si>
    <t>CTCP Đầu tư Châu Á - Thái Bình Dương</t>
  </si>
  <si>
    <t>34.54</t>
  </si>
  <si>
    <t>API 2022</t>
  </si>
  <si>
    <t xml:space="preserve">8.60	</t>
  </si>
  <si>
    <t>API 2023</t>
  </si>
  <si>
    <t xml:space="preserve">5.70	</t>
  </si>
  <si>
    <t>APP 2021</t>
  </si>
  <si>
    <t>APP</t>
  </si>
  <si>
    <t>CTCP Phát triển Phụ gia và Sản phẩm Dầu mỏ</t>
  </si>
  <si>
    <t>APP 2022</t>
  </si>
  <si>
    <t>APP 2023</t>
  </si>
  <si>
    <t>APS 2021</t>
  </si>
  <si>
    <t>APS</t>
  </si>
  <si>
    <t>CTCP Chứng khoán Châu Á – Thái Bình Dương</t>
  </si>
  <si>
    <t xml:space="preserve"> 39.3</t>
  </si>
  <si>
    <t>APS 2022</t>
  </si>
  <si>
    <t>APS 2023</t>
  </si>
  <si>
    <t>ARM 2021</t>
  </si>
  <si>
    <t>ARM</t>
  </si>
  <si>
    <t>CTCP Xuất nhập khẩu Hàng không</t>
  </si>
  <si>
    <t>46.51</t>
  </si>
  <si>
    <t>ARM 2022</t>
  </si>
  <si>
    <t xml:space="preserve">47.46 </t>
  </si>
  <si>
    <t>ARM 2023</t>
  </si>
  <si>
    <t xml:space="preserve">29.25 </t>
  </si>
  <si>
    <t>ASA</t>
  </si>
  <si>
    <t>Công ty cổ phần Liên doanh SANA WMT</t>
  </si>
  <si>
    <t>ATS 2021</t>
  </si>
  <si>
    <t>ATS</t>
  </si>
  <si>
    <t>CTCP Suất ăn công nghiệp Atesco</t>
  </si>
  <si>
    <t>ATS 2022</t>
  </si>
  <si>
    <t>ATS 2023</t>
  </si>
  <si>
    <t>AVS</t>
  </si>
  <si>
    <t>CTCP Chứng khoán Âu Việt</t>
  </si>
  <si>
    <t>B82</t>
  </si>
  <si>
    <t>CTCP 482</t>
  </si>
  <si>
    <t>BAX_2021-2023</t>
  </si>
  <si>
    <t>BAX</t>
  </si>
  <si>
    <t>CTCP Thống Nhất</t>
  </si>
  <si>
    <t>56.90</t>
  </si>
  <si>
    <t>Chỉ có chi phí quản lý doanh nghiệp</t>
  </si>
  <si>
    <t>62.88</t>
  </si>
  <si>
    <t>38.47</t>
  </si>
  <si>
    <t>BBS_2021</t>
  </si>
  <si>
    <t>BBS</t>
  </si>
  <si>
    <t>Công ty cổ phần VICEM Bao bì Bút Sơn</t>
  </si>
  <si>
    <t xml:space="preserve">        9.70</t>
  </si>
  <si>
    <t>BBS_2022</t>
  </si>
  <si>
    <t xml:space="preserve">        8.67</t>
  </si>
  <si>
    <t>BBS_2023</t>
  </si>
  <si>
    <t>2021 (đã điều chỉnh)</t>
  </si>
  <si>
    <t>BCC</t>
  </si>
  <si>
    <t>CTCP Xi măng Bỉm Sơn</t>
  </si>
  <si>
    <t>BCC_2022</t>
  </si>
  <si>
    <t xml:space="preserve">        7.87</t>
  </si>
  <si>
    <t>BBC_2023</t>
  </si>
  <si>
    <t xml:space="preserve">        9.20 </t>
  </si>
  <si>
    <t>BDB_2021</t>
  </si>
  <si>
    <t>BDB</t>
  </si>
  <si>
    <t>CTCP Sách và Thiết bị Bình Định</t>
  </si>
  <si>
    <t xml:space="preserve">        10.14</t>
  </si>
  <si>
    <t>BDB_2022</t>
  </si>
  <si>
    <t xml:space="preserve">        9.37</t>
  </si>
  <si>
    <t>BDB_2023</t>
  </si>
  <si>
    <t xml:space="preserve">       8.71</t>
  </si>
  <si>
    <t>BED_2021</t>
  </si>
  <si>
    <t>BED</t>
  </si>
  <si>
    <t>CTCP Sách và Thiết bị trường học Đà Nẵng</t>
  </si>
  <si>
    <t xml:space="preserve">        39.73</t>
  </si>
  <si>
    <t>BED_2022</t>
  </si>
  <si>
    <t xml:space="preserve">        36.02</t>
  </si>
  <si>
    <t>BED_2023</t>
  </si>
  <si>
    <t xml:space="preserve">        13.35</t>
  </si>
  <si>
    <t>BHT_2021</t>
  </si>
  <si>
    <t>BHT</t>
  </si>
  <si>
    <t>CTCP Đầu tư Xây dựng Bạch Đằng TMC</t>
  </si>
  <si>
    <t>BHT_2022</t>
  </si>
  <si>
    <t>BHV</t>
  </si>
  <si>
    <t>CTCP Viglacera Bá Hiến</t>
  </si>
  <si>
    <t>BII_2021</t>
  </si>
  <si>
    <t>BII</t>
  </si>
  <si>
    <t>Công ty cổ phần Đầu tư và Phát triển Công nghiệp Bảo Thư</t>
  </si>
  <si>
    <t>Upcom</t>
  </si>
  <si>
    <t>BII_2022</t>
  </si>
  <si>
    <t>BII_2023</t>
  </si>
  <si>
    <t xml:space="preserve">        0.6</t>
  </si>
  <si>
    <t>BKC_2021</t>
  </si>
  <si>
    <t>BKC</t>
  </si>
  <si>
    <t>CTCP Khoáng sản Bắc Kạn</t>
  </si>
  <si>
    <t>BKC_2022</t>
  </si>
  <si>
    <t>BKC_2023</t>
  </si>
  <si>
    <t>BLF-2021</t>
  </si>
  <si>
    <t>BLF</t>
  </si>
  <si>
    <t>CTCP Thủy sản Bạc Liêu</t>
  </si>
  <si>
    <t>BLF-2022</t>
  </si>
  <si>
    <t>BLF-2023</t>
  </si>
  <si>
    <t xml:space="preserve">        4.0</t>
  </si>
  <si>
    <t>BPC_2021</t>
  </si>
  <si>
    <t>BPC</t>
  </si>
  <si>
    <t>Công ty cổ phần Vicem Bao bì Bỉm Sơn</t>
  </si>
  <si>
    <t xml:space="preserve">        12.57 </t>
  </si>
  <si>
    <t>BPC_2022</t>
  </si>
  <si>
    <t xml:space="preserve">       8.62</t>
  </si>
  <si>
    <t>BPC_2023</t>
  </si>
  <si>
    <t xml:space="preserve">        9.21</t>
  </si>
  <si>
    <t>BSC_2021</t>
  </si>
  <si>
    <t>BSC</t>
  </si>
  <si>
    <t>CTCP Dịch vụ Bến Thành</t>
  </si>
  <si>
    <t>BSC_2022</t>
  </si>
  <si>
    <t xml:space="preserve">        12.48</t>
  </si>
  <si>
    <t>BSC_2023</t>
  </si>
  <si>
    <t xml:space="preserve">        12.00</t>
  </si>
  <si>
    <t>BST_2021</t>
  </si>
  <si>
    <t>BST</t>
  </si>
  <si>
    <t>CTCP Sách - Thiết bị Bình Thuận</t>
  </si>
  <si>
    <t>BST_2022</t>
  </si>
  <si>
    <t xml:space="preserve">        13.67</t>
  </si>
  <si>
    <t>BST_2023</t>
  </si>
  <si>
    <t xml:space="preserve">        15.71</t>
  </si>
  <si>
    <t>BTH_2021</t>
  </si>
  <si>
    <t>BTH</t>
  </si>
  <si>
    <t>CTCP Chế tạo Biến thế và Vật liệu điện Hà Nội</t>
  </si>
  <si>
    <t>BTH_2022</t>
  </si>
  <si>
    <t xml:space="preserve">        16.54</t>
  </si>
  <si>
    <t>BTH 2023</t>
  </si>
  <si>
    <t xml:space="preserve">        13.91</t>
  </si>
  <si>
    <t>BTS_2021</t>
  </si>
  <si>
    <t>BTS</t>
  </si>
  <si>
    <t>Công ty cổ phần Xi măng Vicem Bút Sơn</t>
  </si>
  <si>
    <t xml:space="preserve">        10.45</t>
  </si>
  <si>
    <t>Báo cáo điều chỉnh</t>
  </si>
  <si>
    <t>BTS_2022</t>
  </si>
  <si>
    <t xml:space="preserve">        6.29</t>
  </si>
  <si>
    <t>BTS_2023</t>
  </si>
  <si>
    <t xml:space="preserve">        5.50</t>
  </si>
  <si>
    <t>BVS_2021</t>
  </si>
  <si>
    <t>BVS</t>
  </si>
  <si>
    <t>CTCP Chứng khoán Bảo Việt</t>
  </si>
  <si>
    <t>36.16</t>
  </si>
  <si>
    <t>Xem lại</t>
  </si>
  <si>
    <t>BVS_2022</t>
  </si>
  <si>
    <t xml:space="preserve">        19.45</t>
  </si>
  <si>
    <t>BVS_2023</t>
  </si>
  <si>
    <t xml:space="preserve">        24.92</t>
  </si>
  <si>
    <t>BXH_2021</t>
  </si>
  <si>
    <t>BXH</t>
  </si>
  <si>
    <t>Công ty cổ phần VICEM Bao bì Hải Phòng</t>
  </si>
  <si>
    <t xml:space="preserve">        16.36</t>
  </si>
  <si>
    <t>BXH_2022</t>
  </si>
  <si>
    <t xml:space="preserve">        10.41</t>
  </si>
  <si>
    <t>BXH_2023</t>
  </si>
  <si>
    <t xml:space="preserve">        18.99</t>
  </si>
  <si>
    <t>C92_2021</t>
  </si>
  <si>
    <t>C92</t>
  </si>
  <si>
    <t>CTCP Xây dựng và Đầu tư 492</t>
  </si>
  <si>
    <t>C92_2022</t>
  </si>
  <si>
    <t>CTCP Xây dựng và Đầu tư 493</t>
  </si>
  <si>
    <t>C92_2023</t>
  </si>
  <si>
    <t>CTCP Xây dựng và Đầu tư 494</t>
  </si>
  <si>
    <t>CAN_2021</t>
  </si>
  <si>
    <t>CAN</t>
  </si>
  <si>
    <t>CTCP Đồ hộp Hạ Long</t>
  </si>
  <si>
    <t xml:space="preserve">        51.54</t>
  </si>
  <si>
    <t>Báo cáo tài chính hợp nhất</t>
  </si>
  <si>
    <t>CAN_2022</t>
  </si>
  <si>
    <t xml:space="preserve">        45.69</t>
  </si>
  <si>
    <t>CAN_2023</t>
  </si>
  <si>
    <t xml:space="preserve">        66.29 </t>
  </si>
  <si>
    <t>CAP_2021</t>
  </si>
  <si>
    <t>CAP</t>
  </si>
  <si>
    <t>CTCP Lâm Nông sản Thực phẩm Yên Bái</t>
  </si>
  <si>
    <t xml:space="preserve">        26.22</t>
  </si>
  <si>
    <t>CAP_2022</t>
  </si>
  <si>
    <t xml:space="preserve">        34.26</t>
  </si>
  <si>
    <t>CAP_2023</t>
  </si>
  <si>
    <t xml:space="preserve">       49.69</t>
  </si>
  <si>
    <t>CCM_2021</t>
  </si>
  <si>
    <t>CCM</t>
  </si>
  <si>
    <t>CTCP Khoáng sản &amp; Xi măng Cần Thơ</t>
  </si>
  <si>
    <t xml:space="preserve">        45.71</t>
  </si>
  <si>
    <t>CCM_2022</t>
  </si>
  <si>
    <t xml:space="preserve">        50.13</t>
  </si>
  <si>
    <t>CCM_2023</t>
  </si>
  <si>
    <t xml:space="preserve">        32.11</t>
  </si>
  <si>
    <t>CDN_2021</t>
  </si>
  <si>
    <t>CDN</t>
  </si>
  <si>
    <t>Công ty cổ phần Cảng Đà Nẵng</t>
  </si>
  <si>
    <t>CDN_2022</t>
  </si>
  <si>
    <t xml:space="preserve">        25.99</t>
  </si>
  <si>
    <t>CDN_2023</t>
  </si>
  <si>
    <t xml:space="preserve">        26.44</t>
  </si>
  <si>
    <t>CEO_2021</t>
  </si>
  <si>
    <t>CEO</t>
  </si>
  <si>
    <t>CTCP Tập đoàn C.E.O</t>
  </si>
  <si>
    <t xml:space="preserve">        50.49</t>
  </si>
  <si>
    <t>CEO_2022</t>
  </si>
  <si>
    <t xml:space="preserve">        12.68</t>
  </si>
  <si>
    <t>CEO_2023</t>
  </si>
  <si>
    <t xml:space="preserve">        21.62</t>
  </si>
  <si>
    <t>CIC</t>
  </si>
  <si>
    <t>CTCP Đầu tư và Xây dựng COTEC</t>
  </si>
  <si>
    <t>CJC_2021</t>
  </si>
  <si>
    <t>CJC</t>
  </si>
  <si>
    <t>CTCP Cơ điện Miền Trung</t>
  </si>
  <si>
    <t>CJC_2022</t>
  </si>
  <si>
    <t xml:space="preserve">        30.0</t>
  </si>
  <si>
    <t>CJC_2023</t>
  </si>
  <si>
    <t>CKV_2021</t>
  </si>
  <si>
    <t>CKV</t>
  </si>
  <si>
    <t>CTCP COKYVINA</t>
  </si>
  <si>
    <t xml:space="preserve">        11.82</t>
  </si>
  <si>
    <t>Điều chỉnh</t>
  </si>
  <si>
    <t>CKV_2022</t>
  </si>
  <si>
    <t xml:space="preserve">        16.57</t>
  </si>
  <si>
    <t>CKV_2023</t>
  </si>
  <si>
    <t xml:space="preserve">        12.13</t>
  </si>
  <si>
    <t>CLH_2021</t>
  </si>
  <si>
    <t>CLH</t>
  </si>
  <si>
    <t>Công ty cổ phần Xi măng La Hiên VVMI</t>
  </si>
  <si>
    <t xml:space="preserve">        20.22</t>
  </si>
  <si>
    <t>CLH_2022</t>
  </si>
  <si>
    <t xml:space="preserve">        24.17</t>
  </si>
  <si>
    <t>CLH_2023</t>
  </si>
  <si>
    <t xml:space="preserve">        23.59</t>
  </si>
  <si>
    <t>CLM_2021</t>
  </si>
  <si>
    <t>CLM</t>
  </si>
  <si>
    <t>CTCP Xuất nhập khẩu Than - Vinacomin</t>
  </si>
  <si>
    <t>CLM_2022</t>
  </si>
  <si>
    <t>CLM_2023</t>
  </si>
  <si>
    <t xml:space="preserve">        56.76</t>
  </si>
  <si>
    <t>cmc-2021</t>
  </si>
  <si>
    <t>CMC</t>
  </si>
  <si>
    <t>CTCP Đầu tư CMC</t>
  </si>
  <si>
    <t>cmc-2022</t>
  </si>
  <si>
    <t>cmc-2023</t>
  </si>
  <si>
    <t>cmistone-2021</t>
  </si>
  <si>
    <t>CMI</t>
  </si>
  <si>
    <t>Công ty cổ phần CMISTONE Việt Nam</t>
  </si>
  <si>
    <t>cmistone-2022</t>
  </si>
  <si>
    <t>cmistone-2023</t>
  </si>
  <si>
    <t>cmh-2021</t>
  </si>
  <si>
    <t>CMS</t>
  </si>
  <si>
    <t>Công ty cổ phần Tập đoàn CMH Group</t>
  </si>
  <si>
    <t>cmh-2022</t>
  </si>
  <si>
    <t>cmh-2023</t>
  </si>
  <si>
    <t>tstCT-2021</t>
  </si>
  <si>
    <t>CPC</t>
  </si>
  <si>
    <t>CTCP Thuốc sát trùng Cần Thơ</t>
  </si>
  <si>
    <t>18.70</t>
  </si>
  <si>
    <t>tstCT-2022</t>
  </si>
  <si>
    <t xml:space="preserve">        12.55</t>
  </si>
  <si>
    <t>tstCT-2023</t>
  </si>
  <si>
    <t xml:space="preserve">        15.43</t>
  </si>
  <si>
    <t>XDTN-2021</t>
  </si>
  <si>
    <t>CSC</t>
  </si>
  <si>
    <t>CTCP Đầu tư và Xây dựng Thành Nam</t>
  </si>
  <si>
    <t xml:space="preserve">        76.79</t>
  </si>
  <si>
    <t>XDTN-2022</t>
  </si>
  <si>
    <t xml:space="preserve">        24.93</t>
  </si>
  <si>
    <t>XDTN-2023</t>
  </si>
  <si>
    <t xml:space="preserve">        23.67 </t>
  </si>
  <si>
    <t>ct6-2021</t>
  </si>
  <si>
    <t>CT6</t>
  </si>
  <si>
    <t>CTCP Công trình 6</t>
  </si>
  <si>
    <t>ct6-2023</t>
  </si>
  <si>
    <t xml:space="preserve">       6.0</t>
  </si>
  <si>
    <t>CTA</t>
  </si>
  <si>
    <t>CTCP Vinavico</t>
  </si>
  <si>
    <t>PHÁ SẢN NĂM 2017 - 2018</t>
  </si>
  <si>
    <t>ctbhd-2021</t>
  </si>
  <si>
    <t>CTB</t>
  </si>
  <si>
    <t>CTCP Chế tạo Bơm Hải Dương</t>
  </si>
  <si>
    <t>ctbhd-2022</t>
  </si>
  <si>
    <t xml:space="preserve">        11.97</t>
  </si>
  <si>
    <t>ctbhd-2023</t>
  </si>
  <si>
    <t xml:space="preserve">        16.91</t>
  </si>
  <si>
    <t>CTC 2021</t>
  </si>
  <si>
    <t>CTC</t>
  </si>
  <si>
    <t>CTCP Tập đoàn Hoàng Kim Tây Nguyên</t>
  </si>
  <si>
    <t>CTC 2022</t>
  </si>
  <si>
    <t xml:space="preserve">        2.0 </t>
  </si>
  <si>
    <t>CTC 2023</t>
  </si>
  <si>
    <t>CTM</t>
  </si>
  <si>
    <t>CTCP Đầu tư Xây dựng và Khai thác mỏ Vinavico</t>
  </si>
  <si>
    <t>takara-2021</t>
  </si>
  <si>
    <t>CTP</t>
  </si>
  <si>
    <t>CTCP Hòa Bình Takara</t>
  </si>
  <si>
    <t>takara-2022</t>
  </si>
  <si>
    <t>takara-2023</t>
  </si>
  <si>
    <t>ckvitein-2021</t>
  </si>
  <si>
    <t>CTS</t>
  </si>
  <si>
    <t>Công ty cổ phần Chứng khoán Ngân hàng Công thương Việt Nam</t>
  </si>
  <si>
    <t xml:space="preserve">        33.16</t>
  </si>
  <si>
    <t>ckvietin-2022</t>
  </si>
  <si>
    <t xml:space="preserve">        12.65</t>
  </si>
  <si>
    <t>ckvietin-2023</t>
  </si>
  <si>
    <t xml:space="preserve">        28.30</t>
  </si>
  <si>
    <t>vinacomin-2021</t>
  </si>
  <si>
    <t>CTT</t>
  </si>
  <si>
    <t>CTCP Chế tạo máy Vinacomin</t>
  </si>
  <si>
    <t xml:space="preserve">        11.35</t>
  </si>
  <si>
    <t>vinacomin-2022</t>
  </si>
  <si>
    <t xml:space="preserve">        13.47</t>
  </si>
  <si>
    <t>vinacomin-2023</t>
  </si>
  <si>
    <t xml:space="preserve">        15.94 </t>
  </si>
  <si>
    <t>CTV</t>
  </si>
  <si>
    <t>Công ty cổ phần Đầu tư-Sản xuất và Thương mại Việt Nam</t>
  </si>
  <si>
    <t>KHÔNG TÌM THẤY BCTC</t>
  </si>
  <si>
    <t>CTX-2021</t>
  </si>
  <si>
    <t>CTX</t>
  </si>
  <si>
    <t>Tổng CTCP Đầu tư Xây dựng và Thương mại Việt Nam</t>
  </si>
  <si>
    <t>CTX-2022</t>
  </si>
  <si>
    <t>CTX-2023</t>
  </si>
  <si>
    <t>CVN</t>
  </si>
  <si>
    <t>Công ty cổ phần Vinam</t>
  </si>
  <si>
    <t>CVT 2021</t>
  </si>
  <si>
    <t>CVT</t>
  </si>
  <si>
    <t>CTCP CMC</t>
  </si>
  <si>
    <t>HSX</t>
  </si>
  <si>
    <t>45.50</t>
  </si>
  <si>
    <t>CVT 2022</t>
  </si>
  <si>
    <t>41.45</t>
  </si>
  <si>
    <t>CVT 2023</t>
  </si>
  <si>
    <t>30.80</t>
  </si>
  <si>
    <t>CX8 2021</t>
  </si>
  <si>
    <t>CX8</t>
  </si>
  <si>
    <t>Công ty cổ phần Đầu tư và Xây lắp Constrexim số 8</t>
  </si>
  <si>
    <t xml:space="preserve">        6.52</t>
  </si>
  <si>
    <t>CX8 2022</t>
  </si>
  <si>
    <t xml:space="preserve">        5.33</t>
  </si>
  <si>
    <t>CX8 2023</t>
  </si>
  <si>
    <t xml:space="preserve">        7.21</t>
  </si>
  <si>
    <t>D11 2021</t>
  </si>
  <si>
    <t>D11</t>
  </si>
  <si>
    <t>CTCP Địa ốc 11</t>
  </si>
  <si>
    <t xml:space="preserve">        30.89</t>
  </si>
  <si>
    <t>D11 2022</t>
  </si>
  <si>
    <t xml:space="preserve">        11.00</t>
  </si>
  <si>
    <t>D11 2023</t>
  </si>
  <si>
    <t xml:space="preserve">        12.90</t>
  </si>
  <si>
    <t>DAD_2021</t>
  </si>
  <si>
    <t>DAD</t>
  </si>
  <si>
    <t>CTCP Đầu tư và Phát triển Giáo dục Đà Nẵng</t>
  </si>
  <si>
    <t xml:space="preserve">        20.49</t>
  </si>
  <si>
    <t>DAD_2022</t>
  </si>
  <si>
    <t>DAD_2023</t>
  </si>
  <si>
    <t xml:space="preserve">        18.52</t>
  </si>
  <si>
    <t>DAE 2021</t>
  </si>
  <si>
    <t>DAE</t>
  </si>
  <si>
    <t>CTCP Sách Giáo dục tại Tp. Đà Nẵng</t>
  </si>
  <si>
    <t xml:space="preserve">        15.69</t>
  </si>
  <si>
    <t>DAE 2022</t>
  </si>
  <si>
    <t xml:space="preserve">        14.19</t>
  </si>
  <si>
    <t>DAE 2023</t>
  </si>
  <si>
    <t xml:space="preserve">        13.26</t>
  </si>
  <si>
    <t>DBC 2021</t>
  </si>
  <si>
    <t>DBC</t>
  </si>
  <si>
    <t>CTCP Tập đoàn Dabaco Việt Nam</t>
  </si>
  <si>
    <t xml:space="preserve">        29.91</t>
  </si>
  <si>
    <t>DBC 2022</t>
  </si>
  <si>
    <t>DBC 2023</t>
  </si>
  <si>
    <t xml:space="preserve">        23.57</t>
  </si>
  <si>
    <t>DBT 2021</t>
  </si>
  <si>
    <t>DBT</t>
  </si>
  <si>
    <t>CTCP Dược phẩm Bến Tre</t>
  </si>
  <si>
    <t xml:space="preserve">        12.68 </t>
  </si>
  <si>
    <t>DBT 2022</t>
  </si>
  <si>
    <t xml:space="preserve">        8.97</t>
  </si>
  <si>
    <t>DBT 2023</t>
  </si>
  <si>
    <t xml:space="preserve">        10.70</t>
  </si>
  <si>
    <t>DC2 2021</t>
  </si>
  <si>
    <t>DC2</t>
  </si>
  <si>
    <t>CTCP Đầu tư Phát triển - Xây dựng số 2</t>
  </si>
  <si>
    <t xml:space="preserve">       12.81</t>
  </si>
  <si>
    <t>DC2 2022</t>
  </si>
  <si>
    <t xml:space="preserve">        5.52 </t>
  </si>
  <si>
    <t>DC2 2023</t>
  </si>
  <si>
    <t xml:space="preserve">        4.60</t>
  </si>
  <si>
    <t>DC4 2021</t>
  </si>
  <si>
    <t>DC4</t>
  </si>
  <si>
    <t>CTCP Xây dựng DIC Holdings</t>
  </si>
  <si>
    <t xml:space="preserve">        18.83</t>
  </si>
  <si>
    <t>DC4 2022</t>
  </si>
  <si>
    <t xml:space="preserve">       5.71</t>
  </si>
  <si>
    <t>DC4 2023</t>
  </si>
  <si>
    <t xml:space="preserve">        8.80</t>
  </si>
  <si>
    <t>DCS</t>
  </si>
  <si>
    <t>CTCP Tập đoàn Đại Châu</t>
  </si>
  <si>
    <t>DGC 2021</t>
  </si>
  <si>
    <t>DGC</t>
  </si>
  <si>
    <t>CTCP Tập đoàn Hóa chất Đức Giang</t>
  </si>
  <si>
    <t xml:space="preserve">        65.12 </t>
  </si>
  <si>
    <t>DGC 2022</t>
  </si>
  <si>
    <t xml:space="preserve">        54.46</t>
  </si>
  <si>
    <t>DGC 2023</t>
  </si>
  <si>
    <t xml:space="preserve">        91.90</t>
  </si>
  <si>
    <t>DGL</t>
  </si>
  <si>
    <t>CTCP Hóa chất Đức Giang – Lào Cai</t>
  </si>
  <si>
    <t>DHI</t>
  </si>
  <si>
    <t>Công ty cổ phần In Diên Hồng</t>
  </si>
  <si>
    <t>DHP 2021</t>
  </si>
  <si>
    <t>DHP</t>
  </si>
  <si>
    <t>CTCP Điện Cơ Hải Phòng</t>
  </si>
  <si>
    <t xml:space="preserve">       10.13</t>
  </si>
  <si>
    <t>DHP 2022</t>
  </si>
  <si>
    <t xml:space="preserve">        10.21</t>
  </si>
  <si>
    <t>DHP 2023</t>
  </si>
  <si>
    <t xml:space="preserve">        9.85</t>
  </si>
  <si>
    <t>DHT 2021</t>
  </si>
  <si>
    <t>DHT</t>
  </si>
  <si>
    <t>CTCP Dược phẩm Hà Tây</t>
  </si>
  <si>
    <t xml:space="preserve">        14.89</t>
  </si>
  <si>
    <t>DHT 2022</t>
  </si>
  <si>
    <t xml:space="preserve">        13.51</t>
  </si>
  <si>
    <t>DHT 2023</t>
  </si>
  <si>
    <t xml:space="preserve">        22.37</t>
  </si>
  <si>
    <t>DTH 2021</t>
  </si>
  <si>
    <t>DTH</t>
  </si>
  <si>
    <t>CTCP Dược Vật tư Y Tế Thanh Hóa</t>
  </si>
  <si>
    <t>NaN</t>
  </si>
  <si>
    <t>DTH 2022</t>
  </si>
  <si>
    <t xml:space="preserve">        12.91</t>
  </si>
  <si>
    <t>DTH 2023</t>
  </si>
  <si>
    <t xml:space="preserve">        13.30</t>
  </si>
  <si>
    <t>DID 2021</t>
  </si>
  <si>
    <t>DID</t>
  </si>
  <si>
    <t>CTCP DIC - Đồng Tiến</t>
  </si>
  <si>
    <t>13.53</t>
  </si>
  <si>
    <t>DID 2022</t>
  </si>
  <si>
    <t xml:space="preserve">	3.40</t>
  </si>
  <si>
    <t>DID 2023</t>
  </si>
  <si>
    <t>4.00</t>
  </si>
  <si>
    <t>DIH 2021</t>
  </si>
  <si>
    <t>DIH</t>
  </si>
  <si>
    <t>CTCP Đầu tư Phát triển Xây dựng - Hội An</t>
  </si>
  <si>
    <t xml:space="preserve">        49.02</t>
  </si>
  <si>
    <t>DIH 2022</t>
  </si>
  <si>
    <t xml:space="preserve">        21.87</t>
  </si>
  <si>
    <t>DIH 2023</t>
  </si>
  <si>
    <t xml:space="preserve">        22.00</t>
  </si>
  <si>
    <t>DL1 2021</t>
  </si>
  <si>
    <t>DL1</t>
  </si>
  <si>
    <t>CTCP Tập đoàn Alpha Seven</t>
  </si>
  <si>
    <t>DL1 2022</t>
  </si>
  <si>
    <t xml:space="preserve">        3.00</t>
  </si>
  <si>
    <t>DL1 2023</t>
  </si>
  <si>
    <t xml:space="preserve">        4.20</t>
  </si>
  <si>
    <t>DLR 2021</t>
  </si>
  <si>
    <t>DLR</t>
  </si>
  <si>
    <t>CTCP Địa ốc Đà Lạt</t>
  </si>
  <si>
    <t>DLR 2022</t>
  </si>
  <si>
    <t>năm này k có chi phí bán hàng</t>
  </si>
  <si>
    <t>DLR 2023</t>
  </si>
  <si>
    <t>DNC 2021</t>
  </si>
  <si>
    <t>DNC</t>
  </si>
  <si>
    <t>CTCP Điện nước Lắp máy Hải Phòng</t>
  </si>
  <si>
    <t xml:space="preserve">        33.91</t>
  </si>
  <si>
    <t>DNC 2022</t>
  </si>
  <si>
    <t xml:space="preserve">        28.55</t>
  </si>
  <si>
    <t>DNC 2023</t>
  </si>
  <si>
    <t xml:space="preserve">        33.78</t>
  </si>
  <si>
    <t>DNM 2021</t>
  </si>
  <si>
    <t>DNM</t>
  </si>
  <si>
    <t>Tổng Công ty cổ phần Y tế Danameco</t>
  </si>
  <si>
    <t xml:space="preserve">        35.67</t>
  </si>
  <si>
    <t>DNM 2022</t>
  </si>
  <si>
    <t xml:space="preserve">        13.00</t>
  </si>
  <si>
    <t>DNM 2023</t>
  </si>
  <si>
    <t xml:space="preserve">        16.80 </t>
  </si>
  <si>
    <t>DNP 2021</t>
  </si>
  <si>
    <t>DNP</t>
  </si>
  <si>
    <t>CTCP Nhựa Đồng Nai</t>
  </si>
  <si>
    <t>DNP 2022</t>
  </si>
  <si>
    <t xml:space="preserve">        24.0</t>
  </si>
  <si>
    <t>DNP 2023</t>
  </si>
  <si>
    <t xml:space="preserve">       22.0</t>
  </si>
  <si>
    <t>DP3 2021</t>
  </si>
  <si>
    <t>DP3</t>
  </si>
  <si>
    <t>CTCP Dược phẩm Trung ương 3</t>
  </si>
  <si>
    <t xml:space="preserve">        37.91</t>
  </si>
  <si>
    <t>DP3 2022</t>
  </si>
  <si>
    <t xml:space="preserve">        33.25</t>
  </si>
  <si>
    <t>DP3 2023</t>
  </si>
  <si>
    <t xml:space="preserve">        62.79 </t>
  </si>
  <si>
    <t>DPC 2021</t>
  </si>
  <si>
    <t>DPC</t>
  </si>
  <si>
    <t>CTCP Nhựa Đà Nẵng</t>
  </si>
  <si>
    <t xml:space="preserve">        27.51</t>
  </si>
  <si>
    <t>DPC 2022</t>
  </si>
  <si>
    <t xml:space="preserve">        14.00 </t>
  </si>
  <si>
    <t>DPC 2023</t>
  </si>
  <si>
    <t xml:space="preserve">       12.70</t>
  </si>
  <si>
    <t>DPS</t>
  </si>
  <si>
    <t>Công ty cổ phần Đầu tư Phát triển Sóc Sơn</t>
  </si>
  <si>
    <t>DST 2021</t>
  </si>
  <si>
    <t>DST</t>
  </si>
  <si>
    <t>CTCP Đầu tư Sao Thăng Long</t>
  </si>
  <si>
    <t>DST 2022</t>
  </si>
  <si>
    <t>DST 2023</t>
  </si>
  <si>
    <t>DXP 2021</t>
  </si>
  <si>
    <t>DXP</t>
  </si>
  <si>
    <t>Công ty cổ phần Cảng Đoạn Xá</t>
  </si>
  <si>
    <t xml:space="preserve">       16.40 </t>
  </si>
  <si>
    <t>DXP 2022</t>
  </si>
  <si>
    <t xml:space="preserve">        6.87  </t>
  </si>
  <si>
    <t>DXP 2023</t>
  </si>
  <si>
    <t xml:space="preserve">        12.35 </t>
  </si>
  <si>
    <t>DZM 2021</t>
  </si>
  <si>
    <t>DZM</t>
  </si>
  <si>
    <t>CTCP Chế tạo máy Dzĩ An</t>
  </si>
  <si>
    <t>DZM 2022</t>
  </si>
  <si>
    <t>BCTC 2 năm không khớp, chênh nhau khá lớn</t>
  </si>
  <si>
    <t>DZM 2023</t>
  </si>
  <si>
    <t>E1SSHN30</t>
  </si>
  <si>
    <t>Chứng chỉ quỹ ETF SSIAM-HNX30</t>
  </si>
  <si>
    <t>EBS 2021</t>
  </si>
  <si>
    <t>EBS</t>
  </si>
  <si>
    <t>CTCP Sách Giáo dục tại Tp.Hà Nội</t>
  </si>
  <si>
    <t>8.95</t>
  </si>
  <si>
    <t>EBS 2022</t>
  </si>
  <si>
    <t>EBS 2023</t>
  </si>
  <si>
    <t>11.69</t>
  </si>
  <si>
    <t>ECI 2021</t>
  </si>
  <si>
    <t>ECI</t>
  </si>
  <si>
    <t>CTCP Tập Đoàn ECI</t>
  </si>
  <si>
    <t xml:space="preserve">        16.40</t>
  </si>
  <si>
    <t>ECI 2022</t>
  </si>
  <si>
    <t xml:space="preserve">        27.14</t>
  </si>
  <si>
    <t>ECI 2023</t>
  </si>
  <si>
    <t xml:space="preserve">        24.50</t>
  </si>
  <si>
    <t>EFI 2021</t>
  </si>
  <si>
    <t>EFI</t>
  </si>
  <si>
    <t>CTCP Đầu tư Tài chính Giáo dục</t>
  </si>
  <si>
    <t>EFI 2022</t>
  </si>
  <si>
    <t>EFI 2023</t>
  </si>
  <si>
    <t>EID 2021</t>
  </si>
  <si>
    <t>EID</t>
  </si>
  <si>
    <t>CTCP Đầu tư và Phát triển giáo dục Hà Nội</t>
  </si>
  <si>
    <t xml:space="preserve">        20.78</t>
  </si>
  <si>
    <t>EID 2022</t>
  </si>
  <si>
    <t xml:space="preserve">        19.40 </t>
  </si>
  <si>
    <t>EID 2023</t>
  </si>
  <si>
    <t xml:space="preserve">        19.81</t>
  </si>
  <si>
    <t>FDT</t>
  </si>
  <si>
    <t>Công ty cổ phần Fiditour</t>
  </si>
  <si>
    <t>FID 2021</t>
  </si>
  <si>
    <t>FID</t>
  </si>
  <si>
    <t>CTCP Đầu tư và Phát triển Doanh nghiệp Việt Nam</t>
  </si>
  <si>
    <t>FID 2022</t>
  </si>
  <si>
    <t>FID 2023</t>
  </si>
  <si>
    <t>G20 2021</t>
  </si>
  <si>
    <t>G20</t>
  </si>
  <si>
    <t>CTCP Đầu tư Dệt may Vĩnh Phúc</t>
  </si>
  <si>
    <t xml:space="preserve">        2.0</t>
  </si>
  <si>
    <t>G20 2022</t>
  </si>
  <si>
    <t xml:space="preserve">        0.9</t>
  </si>
  <si>
    <t>G20 2023</t>
  </si>
  <si>
    <t xml:space="preserve">        0.7</t>
  </si>
  <si>
    <t>GBS</t>
  </si>
  <si>
    <t>CTCP Chứng khoán Golden Bridge Việt Nam</t>
  </si>
  <si>
    <t>GFC</t>
  </si>
  <si>
    <t>CTCP Thủy sản Gentraco</t>
  </si>
  <si>
    <t>GHA</t>
  </si>
  <si>
    <t>CTCP HAPACO Hải Âu</t>
  </si>
  <si>
    <t>GLT 2021</t>
  </si>
  <si>
    <t>GLT</t>
  </si>
  <si>
    <t>Công ty cổ phần Kỹ thuật điện Toàn Cầu</t>
  </si>
  <si>
    <t xml:space="preserve">        22.42</t>
  </si>
  <si>
    <t>GLT 2022</t>
  </si>
  <si>
    <t>GLT 2023</t>
  </si>
  <si>
    <t xml:space="preserve">        17.43</t>
  </si>
  <si>
    <t>GMX 2021</t>
  </si>
  <si>
    <t>GMX</t>
  </si>
  <si>
    <t>Công ty cổ phần Gạch Ngói Gốm Xây dựng Mỹ Xuân</t>
  </si>
  <si>
    <t xml:space="preserve">        14.90</t>
  </si>
  <si>
    <t>GMX 2022</t>
  </si>
  <si>
    <t>GMX 2023</t>
  </si>
  <si>
    <t xml:space="preserve">        17.19</t>
  </si>
  <si>
    <t>HAD 2021</t>
  </si>
  <si>
    <t>HAD</t>
  </si>
  <si>
    <t>CTCP Bia Hà Nội - Hải Dương</t>
  </si>
  <si>
    <t xml:space="preserve">        14.21</t>
  </si>
  <si>
    <t>HAD 2022</t>
  </si>
  <si>
    <t xml:space="preserve">        12.89</t>
  </si>
  <si>
    <t>HAD 2023</t>
  </si>
  <si>
    <t xml:space="preserve">        16.72</t>
  </si>
  <si>
    <t>HAT 2021</t>
  </si>
  <si>
    <t>HAT</t>
  </si>
  <si>
    <t>CTCP Thương mại Bia Hà Nội</t>
  </si>
  <si>
    <t xml:space="preserve">        18.70 </t>
  </si>
  <si>
    <t>HAT 2022</t>
  </si>
  <si>
    <t xml:space="preserve">        17.95</t>
  </si>
  <si>
    <t>HAT 2023</t>
  </si>
  <si>
    <t xml:space="preserve">        40.32</t>
  </si>
  <si>
    <t>HBB</t>
  </si>
  <si>
    <t>Ngân hàng Thương mại Cổ phần Nhà Hà Nội</t>
  </si>
  <si>
    <t>HBE</t>
  </si>
  <si>
    <t>CTCP Sách - Thiết bị trường học Hà Tĩnh</t>
  </si>
  <si>
    <t>HBS 2021</t>
  </si>
  <si>
    <t>HBS</t>
  </si>
  <si>
    <t>CTCP Chứng khoán Hòa Bình</t>
  </si>
  <si>
    <t xml:space="preserve">       13.75</t>
  </si>
  <si>
    <t>HBS 2022</t>
  </si>
  <si>
    <t xml:space="preserve">        4.47 </t>
  </si>
  <si>
    <t>HBS 2023</t>
  </si>
  <si>
    <t xml:space="preserve">        6.83</t>
  </si>
  <si>
    <t>HCC 2021</t>
  </si>
  <si>
    <t>HCC</t>
  </si>
  <si>
    <t>CTCP Bê tông Hoà Cầm - Intimex</t>
  </si>
  <si>
    <t xml:space="preserve">        9.47</t>
  </si>
  <si>
    <t>HCC 2022</t>
  </si>
  <si>
    <t xml:space="preserve">       7.37</t>
  </si>
  <si>
    <t>HCC 2023</t>
  </si>
  <si>
    <t xml:space="preserve"> 9.63</t>
  </si>
  <si>
    <t>HCT 2021</t>
  </si>
  <si>
    <t>HCT</t>
  </si>
  <si>
    <t>CTCP Thương mại Dịch vụ Vận tải Xi măng Hải Phòng</t>
  </si>
  <si>
    <t>11.93</t>
  </si>
  <si>
    <t>HCT 2022</t>
  </si>
  <si>
    <t>16.77</t>
  </si>
  <si>
    <t>HCT 2023</t>
  </si>
  <si>
    <t>9.70</t>
  </si>
  <si>
    <t>HDA 2021</t>
  </si>
  <si>
    <t>HDA</t>
  </si>
  <si>
    <t>CTCP Hãng sơn Đông Á</t>
  </si>
  <si>
    <t xml:space="preserve">        15.22</t>
  </si>
  <si>
    <t>HDA 2022</t>
  </si>
  <si>
    <t>HDA 2023</t>
  </si>
  <si>
    <t xml:space="preserve">        4.90</t>
  </si>
  <si>
    <t>HDO</t>
  </si>
  <si>
    <t>CTCP Hưng Đạo Container</t>
  </si>
  <si>
    <t>HEV 2021</t>
  </si>
  <si>
    <t>HEV</t>
  </si>
  <si>
    <t>CTCP Sách Đại học - Dạy nghề</t>
  </si>
  <si>
    <t xml:space="preserve">        25.77</t>
  </si>
  <si>
    <t>HEV 2022</t>
  </si>
  <si>
    <t xml:space="preserve">        34.48</t>
  </si>
  <si>
    <t>HEV 2023</t>
  </si>
  <si>
    <t xml:space="preserve">        30.00</t>
  </si>
  <si>
    <t>HGM 2021</t>
  </si>
  <si>
    <t>HGM</t>
  </si>
  <si>
    <t>Công ty cổ phần Cơ khí và Khoáng sản Hà Giang</t>
  </si>
  <si>
    <t xml:space="preserve">        27.31</t>
  </si>
  <si>
    <t>HGM 2022</t>
  </si>
  <si>
    <t xml:space="preserve">        31.98</t>
  </si>
  <si>
    <t>HGM 2023</t>
  </si>
  <si>
    <t xml:space="preserve">        33.22</t>
  </si>
  <si>
    <t>HHC 2021</t>
  </si>
  <si>
    <t>HHC</t>
  </si>
  <si>
    <t>CTCP Bánh kẹo Hải Hà</t>
  </si>
  <si>
    <t xml:space="preserve">        89.0</t>
  </si>
  <si>
    <t>HHC 2022</t>
  </si>
  <si>
    <t xml:space="preserve">        105.0</t>
  </si>
  <si>
    <t>HHC 2023</t>
  </si>
  <si>
    <t xml:space="preserve">        112.5</t>
  </si>
  <si>
    <t>HHG_2021</t>
  </si>
  <si>
    <t>HHG</t>
  </si>
  <si>
    <t>CTCP Hoàng Hà</t>
  </si>
  <si>
    <t>HHG_2022</t>
  </si>
  <si>
    <t>HHG_2023</t>
  </si>
  <si>
    <t>HHL</t>
  </si>
  <si>
    <t>CTCP Hồng Hà Long An</t>
  </si>
  <si>
    <t>HJS_2021</t>
  </si>
  <si>
    <t>HJS</t>
  </si>
  <si>
    <t>CTCP Thủy điện Nậm Mu</t>
  </si>
  <si>
    <t xml:space="preserve">        25.72</t>
  </si>
  <si>
    <t>HJS_2022</t>
  </si>
  <si>
    <t xml:space="preserve">        34.63</t>
  </si>
  <si>
    <t>HJS_2023</t>
  </si>
  <si>
    <t xml:space="preserve">        41.71</t>
  </si>
  <si>
    <t>HKB_2021</t>
  </si>
  <si>
    <t>HKB</t>
  </si>
  <si>
    <t>CTCP Nông nghiệp và Thực phẩm Hà Nội - Kinh Bắc</t>
  </si>
  <si>
    <t>HKB_2022</t>
  </si>
  <si>
    <t>HKB_2023</t>
  </si>
  <si>
    <t>HKT_2021</t>
  </si>
  <si>
    <t>HKT</t>
  </si>
  <si>
    <t>CTCP Chè Hiệp Khánh</t>
  </si>
  <si>
    <t>HKT_2022</t>
  </si>
  <si>
    <t>HKT_2023</t>
  </si>
  <si>
    <t>HLC_2021</t>
  </si>
  <si>
    <t>HLC</t>
  </si>
  <si>
    <t>CTCP Than Hà Lầm - Vinacomin</t>
  </si>
  <si>
    <t xml:space="preserve">        12.38</t>
  </si>
  <si>
    <t>HLC_2022</t>
  </si>
  <si>
    <t>HLC_2023</t>
  </si>
  <si>
    <t xml:space="preserve">        11.29</t>
  </si>
  <si>
    <t>HLD_2021</t>
  </si>
  <si>
    <t>HLD</t>
  </si>
  <si>
    <t>CTCP Đầu tư và Phát triển Bất động sản HUDLAND</t>
  </si>
  <si>
    <t xml:space="preserve">        23.86</t>
  </si>
  <si>
    <t>HLD_2022</t>
  </si>
  <si>
    <t>HLD_2023</t>
  </si>
  <si>
    <t xml:space="preserve">        16.20</t>
  </si>
  <si>
    <t>HLY_2021</t>
  </si>
  <si>
    <t>HLY</t>
  </si>
  <si>
    <t>CTCP Gốm Xây Dựng Yên Hưng</t>
  </si>
  <si>
    <t>HLY_2022</t>
  </si>
  <si>
    <t>HLY_2023</t>
  </si>
  <si>
    <t>HMH_2021</t>
  </si>
  <si>
    <t>HMH</t>
  </si>
  <si>
    <t>CTCP Hải Minh</t>
  </si>
  <si>
    <t xml:space="preserve">        16.48</t>
  </si>
  <si>
    <t>HMH_2022</t>
  </si>
  <si>
    <t xml:space="preserve">        11.60</t>
  </si>
  <si>
    <t>HMH_2023</t>
  </si>
  <si>
    <t xml:space="preserve">        16.00</t>
  </si>
  <si>
    <t>HNM_2021</t>
  </si>
  <si>
    <t>HNM</t>
  </si>
  <si>
    <t>CTCP Sữa Hà Nội</t>
  </si>
  <si>
    <t>14.0</t>
  </si>
  <si>
    <t>HNM_2022</t>
  </si>
  <si>
    <t>HNM_2023</t>
  </si>
  <si>
    <t>HOM_2021</t>
  </si>
  <si>
    <t>HOM</t>
  </si>
  <si>
    <t>Công ty cổ phần Xi măng VICEM Hoàng Mai</t>
  </si>
  <si>
    <t>HOM_2022</t>
  </si>
  <si>
    <t>HOM_2023</t>
  </si>
  <si>
    <t>HPC_2021</t>
  </si>
  <si>
    <t>HPC</t>
  </si>
  <si>
    <t>CTCP Chứng khoán Hải Phòng</t>
  </si>
  <si>
    <t>HPC_2022</t>
  </si>
  <si>
    <t>HPC_2023</t>
  </si>
  <si>
    <t>HPM_2021</t>
  </si>
  <si>
    <t>HPM</t>
  </si>
  <si>
    <t>CTCP Xây dựng Thương mại và Khoáng sản Hoàng Phúc</t>
  </si>
  <si>
    <t>HPM_2022</t>
  </si>
  <si>
    <t>37.2</t>
  </si>
  <si>
    <t>HPM_2023</t>
  </si>
  <si>
    <t>12.0</t>
  </si>
  <si>
    <t>HPR</t>
  </si>
  <si>
    <t>CTCP Đầu tư Xây dựng Hồng Phát</t>
  </si>
  <si>
    <t>HPS</t>
  </si>
  <si>
    <t>CTCP Đá Xây dựng Hoà Phát</t>
  </si>
  <si>
    <t>HSC</t>
  </si>
  <si>
    <t>CTCP Hacinco</t>
  </si>
  <si>
    <t>HST_2021</t>
  </si>
  <si>
    <t>HST</t>
  </si>
  <si>
    <t>Công ty cổ phần Phát hành Sách và Thiết bị Trường học Hưng Yên</t>
  </si>
  <si>
    <t>HST_2022</t>
  </si>
  <si>
    <t>HST_2023</t>
  </si>
  <si>
    <t>HTB</t>
  </si>
  <si>
    <t>CTCP Xây dựng Huy Thắng</t>
  </si>
  <si>
    <t>HTC_2021</t>
  </si>
  <si>
    <t>HTC</t>
  </si>
  <si>
    <t>CTCP Thương mại Hóc Môn</t>
  </si>
  <si>
    <t>18.22</t>
  </si>
  <si>
    <t>HTC_2022</t>
  </si>
  <si>
    <t>12.91</t>
  </si>
  <si>
    <t>HTC_2023</t>
  </si>
  <si>
    <t>20.73</t>
  </si>
  <si>
    <t>HTP_2021</t>
  </si>
  <si>
    <t>HTP</t>
  </si>
  <si>
    <t>CTCP In Sách giáo khoa Hoà Phát</t>
  </si>
  <si>
    <t xml:space="preserve">        40.9</t>
  </si>
  <si>
    <t>HTP_2022</t>
  </si>
  <si>
    <t xml:space="preserve">        37.4</t>
  </si>
  <si>
    <t>HTP_2023</t>
  </si>
  <si>
    <t>HUT_2021</t>
  </si>
  <si>
    <t>HUT</t>
  </si>
  <si>
    <t>CTCP Tasco</t>
  </si>
  <si>
    <t>HUT_2022</t>
  </si>
  <si>
    <t>HUT_2023</t>
  </si>
  <si>
    <t>HVA</t>
  </si>
  <si>
    <t>Công ty cổ phần Nông nghiệp xanh Hưng Việt</t>
  </si>
  <si>
    <t>HVT_2021</t>
  </si>
  <si>
    <t>HVT</t>
  </si>
  <si>
    <t>CTCP Hóa chất Việt Trì</t>
  </si>
  <si>
    <t xml:space="preserve">        18.46</t>
  </si>
  <si>
    <t>HVT_2022</t>
  </si>
  <si>
    <t xml:space="preserve">        15.77</t>
  </si>
  <si>
    <t>HVT_2023</t>
  </si>
  <si>
    <t xml:space="preserve">        19.53</t>
  </si>
  <si>
    <t>ICG_2021</t>
  </si>
  <si>
    <t>ICG</t>
  </si>
  <si>
    <t>CTCP Xây dựng Sông Hồng</t>
  </si>
  <si>
    <t xml:space="preserve">	13.51</t>
  </si>
  <si>
    <t>ICG_2022</t>
  </si>
  <si>
    <t>4.79</t>
  </si>
  <si>
    <t>ICG_2023</t>
  </si>
  <si>
    <t>6.82</t>
  </si>
  <si>
    <t>IDJ_2021</t>
  </si>
  <si>
    <t>IDJ</t>
  </si>
  <si>
    <t>CTCP Đầu tư Tài chính Quốc tế và Phát triển Doanh nghiệp IDJ</t>
  </si>
  <si>
    <t>IDJ_2022</t>
  </si>
  <si>
    <t xml:space="preserve">        7.70</t>
  </si>
  <si>
    <t>IDJ_2023</t>
  </si>
  <si>
    <t xml:space="preserve">        6.30</t>
  </si>
  <si>
    <t>IDV_2021</t>
  </si>
  <si>
    <t>IDV</t>
  </si>
  <si>
    <t>CTCP Phát triển Hạ tầng Vĩnh Phúc</t>
  </si>
  <si>
    <t xml:space="preserve">        37.71</t>
  </si>
  <si>
    <t>IDV_2022</t>
  </si>
  <si>
    <t xml:space="preserve">        19.66</t>
  </si>
  <si>
    <t>IDV_2023</t>
  </si>
  <si>
    <t xml:space="preserve">        30.62</t>
  </si>
  <si>
    <t>ILC_2021</t>
  </si>
  <si>
    <t>ILC</t>
  </si>
  <si>
    <t>CTCP Hợp tác Lao động với Nước ngoài</t>
  </si>
  <si>
    <t xml:space="preserve">        9.0</t>
  </si>
  <si>
    <t>ILC_2022</t>
  </si>
  <si>
    <t>ILC_2023</t>
  </si>
  <si>
    <t>INC_2021</t>
  </si>
  <si>
    <t>INC</t>
  </si>
  <si>
    <t>CTCP Tư vấn Đầu tư IDICO</t>
  </si>
  <si>
    <t xml:space="preserve">        9.82</t>
  </si>
  <si>
    <t>INC_2022</t>
  </si>
  <si>
    <t xml:space="preserve">        21.25</t>
  </si>
  <si>
    <t>INC_2023</t>
  </si>
  <si>
    <t xml:space="preserve">        19.47</t>
  </si>
  <si>
    <t>INN_2021</t>
  </si>
  <si>
    <t>INN</t>
  </si>
  <si>
    <t>CTCP Bao bì và In Nông nghiệp</t>
  </si>
  <si>
    <t xml:space="preserve">        33.29</t>
  </si>
  <si>
    <t>INN_2022</t>
  </si>
  <si>
    <t>35.23</t>
  </si>
  <si>
    <t>INN_2023</t>
  </si>
  <si>
    <t xml:space="preserve">        42.54</t>
  </si>
  <si>
    <t>ITQ_2021</t>
  </si>
  <si>
    <t>ITQ</t>
  </si>
  <si>
    <t>Công ty cổ phần Tập đoàn Thiên Quang</t>
  </si>
  <si>
    <t>ITQ_2022</t>
  </si>
  <si>
    <t>ITQ_2023</t>
  </si>
  <si>
    <t>IVS_2021</t>
  </si>
  <si>
    <t>IVS</t>
  </si>
  <si>
    <t>Công ty cổ phần Chứng khoán Đầu tư Việt Nam</t>
  </si>
  <si>
    <t>IVS_2022</t>
  </si>
  <si>
    <t>IVS_2023</t>
  </si>
  <si>
    <t>KBT</t>
  </si>
  <si>
    <t>CTCP Gạch ngói Kiên Giang</t>
  </si>
  <si>
    <t>KDM_2021</t>
  </si>
  <si>
    <t>KDM</t>
  </si>
  <si>
    <t>CTCP Tập đoàn GCL</t>
  </si>
  <si>
    <t xml:space="preserve">       9.44 </t>
  </si>
  <si>
    <t>KDM_2022</t>
  </si>
  <si>
    <t xml:space="preserve">       9.25</t>
  </si>
  <si>
    <t>KDM_2023</t>
  </si>
  <si>
    <t>KHB</t>
  </si>
  <si>
    <t>CTCP Khoáng sản Hòa Bình</t>
  </si>
  <si>
    <t>KHL</t>
  </si>
  <si>
    <t>Công ty cổ phần Khoáng sản và Vật liệu Xây dựng Hưng Long</t>
  </si>
  <si>
    <t>KKC_2021</t>
  </si>
  <si>
    <t>KKC</t>
  </si>
  <si>
    <t>CTCP Tập đoàn Thành Thái</t>
  </si>
  <si>
    <t>KKC_2022</t>
  </si>
  <si>
    <t>KKC_2023</t>
  </si>
  <si>
    <t>KLF</t>
  </si>
  <si>
    <t>CTCP Liên doanh Đầu tư Quốc tế KLF</t>
  </si>
  <si>
    <t>KLS</t>
  </si>
  <si>
    <t>CTCP Chứng khoán Kim Long</t>
  </si>
  <si>
    <t>KMF_2021</t>
  </si>
  <si>
    <t>KMF</t>
  </si>
  <si>
    <t>CTCP Mirae Fiber</t>
  </si>
  <si>
    <t>Khác</t>
  </si>
  <si>
    <t>KMF_2022</t>
  </si>
  <si>
    <t>KMF_2023</t>
  </si>
  <si>
    <t>KMT_2021</t>
  </si>
  <si>
    <t>KMT</t>
  </si>
  <si>
    <t>Công ty cổ phần Kim khí miền Trung</t>
  </si>
  <si>
    <t>KMT_2022</t>
  </si>
  <si>
    <t>KMT_2023</t>
  </si>
  <si>
    <t>9.33</t>
  </si>
  <si>
    <t>KSD_2021</t>
  </si>
  <si>
    <t>KSD</t>
  </si>
  <si>
    <t>Công ty cổ phần Đầu tư DNA</t>
  </si>
  <si>
    <t>KSD_2022</t>
  </si>
  <si>
    <t>KSD_2023</t>
  </si>
  <si>
    <t>KSK</t>
  </si>
  <si>
    <t>Công ty cổ phần Khoáng sản Luyện kim màu</t>
  </si>
  <si>
    <t>KSQ_2021</t>
  </si>
  <si>
    <t>KSQ</t>
  </si>
  <si>
    <t>CTCP CNC Capital Việt Nam</t>
  </si>
  <si>
    <t>KSQ_2022</t>
  </si>
  <si>
    <t>KSQ_2023</t>
  </si>
  <si>
    <t>KST_2021</t>
  </si>
  <si>
    <t>KST</t>
  </si>
  <si>
    <t>Công ty cổ phần KASATI</t>
  </si>
  <si>
    <t xml:space="preserve">       9.80</t>
  </si>
  <si>
    <t>KST_2022</t>
  </si>
  <si>
    <t xml:space="preserve">        11.86</t>
  </si>
  <si>
    <t>KST_2023</t>
  </si>
  <si>
    <t xml:space="preserve">       13.33</t>
  </si>
  <si>
    <t>KTS_2021</t>
  </si>
  <si>
    <t>KTS</t>
  </si>
  <si>
    <t>Công ty cổ phần Đường Kon Tum</t>
  </si>
  <si>
    <t xml:space="preserve">        21.93</t>
  </si>
  <si>
    <t>KTS_2022</t>
  </si>
  <si>
    <t xml:space="preserve">        14.39</t>
  </si>
  <si>
    <t>KTS_2023</t>
  </si>
  <si>
    <t xml:space="preserve">        46.50</t>
  </si>
  <si>
    <t>KTT_2021</t>
  </si>
  <si>
    <t>KTT</t>
  </si>
  <si>
    <t xml:space="preserve">CTCP Tập đoàn Đầu tư KTT </t>
  </si>
  <si>
    <t xml:space="preserve">        18.0</t>
  </si>
  <si>
    <t>KTT_2022</t>
  </si>
  <si>
    <t>KTT_2023</t>
  </si>
  <si>
    <t>KVC_2021</t>
  </si>
  <si>
    <t>KVC</t>
  </si>
  <si>
    <t>CTCP Sản xuất Xuất nhập khẩu Inox Kim Vĩ</t>
  </si>
  <si>
    <t xml:space="preserve">        8.0</t>
  </si>
  <si>
    <t>KVC_2022</t>
  </si>
  <si>
    <t>KVC_2023</t>
  </si>
  <si>
    <t>L14_2021</t>
  </si>
  <si>
    <t>L14</t>
  </si>
  <si>
    <t>Công ty cổ phần LICOGI 14</t>
  </si>
  <si>
    <t>222.73</t>
  </si>
  <si>
    <t>L14_2022</t>
  </si>
  <si>
    <t>50.85</t>
  </si>
  <si>
    <t>L14_2023</t>
  </si>
  <si>
    <t>44.45</t>
  </si>
  <si>
    <t>L18_2021</t>
  </si>
  <si>
    <t>L18</t>
  </si>
  <si>
    <t>CTCP Đầu tư và Xây dựng số 18</t>
  </si>
  <si>
    <t xml:space="preserve">        52.10</t>
  </si>
  <si>
    <t>L18_2022</t>
  </si>
  <si>
    <t xml:space="preserve">        16.76</t>
  </si>
  <si>
    <t>L18_2023</t>
  </si>
  <si>
    <t>L35_2021</t>
  </si>
  <si>
    <t>L35</t>
  </si>
  <si>
    <t>CTCP Cơ khí Lắp máy Lilama</t>
  </si>
  <si>
    <t>L35_2022</t>
  </si>
  <si>
    <t>L35_2023</t>
  </si>
  <si>
    <t>L43_2021</t>
  </si>
  <si>
    <t>L43</t>
  </si>
  <si>
    <t>CTCP Lilama 45.3</t>
  </si>
  <si>
    <t>Không có chi phí bán hàng</t>
  </si>
  <si>
    <t>L43_2022</t>
  </si>
  <si>
    <t>L43_2023</t>
  </si>
  <si>
    <t>L44_2021</t>
  </si>
  <si>
    <t>L44</t>
  </si>
  <si>
    <t>CTCP Lilama 45.4</t>
  </si>
  <si>
    <t>L61_2021</t>
  </si>
  <si>
    <t>L61</t>
  </si>
  <si>
    <t>CTCP Lilama 69-1</t>
  </si>
  <si>
    <t>L61_2022</t>
  </si>
  <si>
    <t xml:space="preserve">        5.0</t>
  </si>
  <si>
    <t>L61_2023</t>
  </si>
  <si>
    <t>L62_2021</t>
  </si>
  <si>
    <t>L62</t>
  </si>
  <si>
    <t>CTCP Lilama 69-2</t>
  </si>
  <si>
    <t>L62_2022</t>
  </si>
  <si>
    <t>L62_2023</t>
  </si>
  <si>
    <t xml:space="preserve"> tổng nợ phải trả lớn hơn tổng tài sản hiện có nên VCSH âm, Không có chi phí bán hàng</t>
  </si>
  <si>
    <t>LAS_2021</t>
  </si>
  <si>
    <t>LAS</t>
  </si>
  <si>
    <t>Công ty cổ phần Supe Phốt phát và Hóa chất Lâm Thao</t>
  </si>
  <si>
    <t>18.52</t>
  </si>
  <si>
    <t>LAS_2022</t>
  </si>
  <si>
    <t>6.88</t>
  </si>
  <si>
    <t>LAS_2023</t>
  </si>
  <si>
    <t>13.45</t>
  </si>
  <si>
    <t>LBE_2021</t>
  </si>
  <si>
    <t>LBE</t>
  </si>
  <si>
    <t>CTCP Sách và Thiết bị trường học Long An</t>
  </si>
  <si>
    <t xml:space="preserve">        13.20</t>
  </si>
  <si>
    <t>LBE_2022</t>
  </si>
  <si>
    <t xml:space="preserve">        21.94 </t>
  </si>
  <si>
    <t>LBE_2023</t>
  </si>
  <si>
    <t>Hợp nhất</t>
  </si>
  <si>
    <t>LCD_2021</t>
  </si>
  <si>
    <t>LCD</t>
  </si>
  <si>
    <t>CTCP Lắp máy - Thí nghiệm Cơ điện</t>
  </si>
  <si>
    <t>LCD_2022</t>
  </si>
  <si>
    <t>LCD_2023</t>
  </si>
  <si>
    <t>LCS_2021</t>
  </si>
  <si>
    <t>LCS</t>
  </si>
  <si>
    <t>CTCP Licogi 166</t>
  </si>
  <si>
    <t>LDP_2021</t>
  </si>
  <si>
    <t>LDP</t>
  </si>
  <si>
    <t>CTCP Dược Lâm Đồng - Ladophar</t>
  </si>
  <si>
    <t xml:space="preserve">        37.5</t>
  </si>
  <si>
    <t>LDP_2022</t>
  </si>
  <si>
    <t>LDP_2023</t>
  </si>
  <si>
    <t>LHC_2021</t>
  </si>
  <si>
    <t>LHC</t>
  </si>
  <si>
    <t>CTCP Đầu tư và Xây dựng Thủy lợi Lâm Đồng</t>
  </si>
  <si>
    <t xml:space="preserve">        48.22 </t>
  </si>
  <si>
    <t>LHC_2022</t>
  </si>
  <si>
    <t xml:space="preserve">        48.29 </t>
  </si>
  <si>
    <t>LHC_2023</t>
  </si>
  <si>
    <t xml:space="preserve">        50.44</t>
  </si>
  <si>
    <t>LIG_2021</t>
  </si>
  <si>
    <t>LIG</t>
  </si>
  <si>
    <t>CTCP Licogi 13</t>
  </si>
  <si>
    <t xml:space="preserve">       18.48</t>
  </si>
  <si>
    <t>LIG_2022</t>
  </si>
  <si>
    <t xml:space="preserve">       3.70</t>
  </si>
  <si>
    <t>LIG_2023</t>
  </si>
  <si>
    <t xml:space="preserve">        4.30</t>
  </si>
  <si>
    <t>LM7_2021</t>
  </si>
  <si>
    <t>LM7</t>
  </si>
  <si>
    <t>CTCP Lilama 7</t>
  </si>
  <si>
    <t>LM7_2022</t>
  </si>
  <si>
    <t>LM7_2023</t>
  </si>
  <si>
    <t>L05_2021</t>
  </si>
  <si>
    <t>LO5</t>
  </si>
  <si>
    <t>CTCP Lilama 5</t>
  </si>
  <si>
    <t>LO5_2022</t>
  </si>
  <si>
    <t xml:space="preserve">        1.0 </t>
  </si>
  <si>
    <t>LO5_2023</t>
  </si>
  <si>
    <t>LTC_2021</t>
  </si>
  <si>
    <t>LTC</t>
  </si>
  <si>
    <t>Công ty cổ phần Điện nhẹ Viễn thông</t>
  </si>
  <si>
    <t>5.0</t>
  </si>
  <si>
    <t>Hợp nhất, Không có chi phí bán hàng</t>
  </si>
  <si>
    <t>LTC_2022</t>
  </si>
  <si>
    <t>LTC_2023</t>
  </si>
  <si>
    <t>LUT_2021</t>
  </si>
  <si>
    <t>LUT</t>
  </si>
  <si>
    <t>CTCP Đầu tư Xây dựng Lương Tài</t>
  </si>
  <si>
    <t>MAC_2021</t>
  </si>
  <si>
    <t>MAC</t>
  </si>
  <si>
    <t>CTCP Cung ứng và Dịch vụ Kỹ thuật Hàng Hải</t>
  </si>
  <si>
    <t>9.90</t>
  </si>
  <si>
    <t>MAC_2022</t>
  </si>
  <si>
    <t>8.85</t>
  </si>
  <si>
    <t>MAC_2023</t>
  </si>
  <si>
    <t>MAS_2021</t>
  </si>
  <si>
    <t>MAS</t>
  </si>
  <si>
    <t>Công ty cổ phần Dịch vụ Hàng không Sân bay Đà Nẵng</t>
  </si>
  <si>
    <t xml:space="preserve">        46.5</t>
  </si>
  <si>
    <t>MAS_2022</t>
  </si>
  <si>
    <t xml:space="preserve">        38.0</t>
  </si>
  <si>
    <t>MAS_2023</t>
  </si>
  <si>
    <t xml:space="preserve">        35.9</t>
  </si>
  <si>
    <t>MAX</t>
  </si>
  <si>
    <t>CTCP Khai khoáng và Cơ khí Hữu nghị Vĩnh Sinh</t>
  </si>
  <si>
    <t>Lý do huỷ niêm yết</t>
  </si>
  <si>
    <t>MBG_2021</t>
  </si>
  <si>
    <t>MBG</t>
  </si>
  <si>
    <t>Công ty cổ phần Đầu tư Phát triển Xây dựng và Thương mại Việt Nam</t>
  </si>
  <si>
    <t xml:space="preserve">        14.77 </t>
  </si>
  <si>
    <t>MBG_2022</t>
  </si>
  <si>
    <t xml:space="preserve">        4.00</t>
  </si>
  <si>
    <t>MBG_2023</t>
  </si>
  <si>
    <t xml:space="preserve">        4.40</t>
  </si>
  <si>
    <t>MBS_2021</t>
  </si>
  <si>
    <t>MBS</t>
  </si>
  <si>
    <t>Công ty cổ phần Chứng khoán MB</t>
  </si>
  <si>
    <t xml:space="preserve">       22.48</t>
  </si>
  <si>
    <t>MBS_2022</t>
  </si>
  <si>
    <t xml:space="preserve">        8.92</t>
  </si>
  <si>
    <t>MBS_2023</t>
  </si>
  <si>
    <t xml:space="preserve">        18.94</t>
  </si>
  <si>
    <t>MCC_2021</t>
  </si>
  <si>
    <t>MCC</t>
  </si>
  <si>
    <t>CTCP Gạch ngói cao cấp</t>
  </si>
  <si>
    <t xml:space="preserve">        10.18</t>
  </si>
  <si>
    <t>MCC_2022</t>
  </si>
  <si>
    <t xml:space="preserve">        9.50</t>
  </si>
  <si>
    <t>MCC_2023</t>
  </si>
  <si>
    <t xml:space="preserve">        11.52  </t>
  </si>
  <si>
    <t>MCF_2021</t>
  </si>
  <si>
    <t>MCF</t>
  </si>
  <si>
    <t>CTCP Xây lắp Cơ khí và Lương thực Thực phẩm</t>
  </si>
  <si>
    <t xml:space="preserve">        8.15 </t>
  </si>
  <si>
    <t>MCF_2022</t>
  </si>
  <si>
    <t xml:space="preserve">        6.34</t>
  </si>
  <si>
    <t>MCF_2023</t>
  </si>
  <si>
    <t xml:space="preserve">      7.95 </t>
  </si>
  <si>
    <t>MCL</t>
  </si>
  <si>
    <t>CTCP Phát triển Nhà và Sản xuất Vật liệu xây dựng Chí Linh</t>
  </si>
  <si>
    <t>MCO_2021</t>
  </si>
  <si>
    <t>MCO</t>
  </si>
  <si>
    <t>CTCP Đầu tư và Xây dựng BDC Việt Nam</t>
  </si>
  <si>
    <t>MCO_2022</t>
  </si>
  <si>
    <t>MCO_2023</t>
  </si>
  <si>
    <t>MDC_2021</t>
  </si>
  <si>
    <t>MDC</t>
  </si>
  <si>
    <t>Công ty cổ phần Than Mông Dương - Vinacomin</t>
  </si>
  <si>
    <t xml:space="preserve">        10.92 </t>
  </si>
  <si>
    <t>MDC_2022</t>
  </si>
  <si>
    <t xml:space="preserve">        6.22 </t>
  </si>
  <si>
    <t>MDC_2023</t>
  </si>
  <si>
    <t xml:space="preserve">       10.71</t>
  </si>
  <si>
    <t>MEC_2021</t>
  </si>
  <si>
    <t>MEC</t>
  </si>
  <si>
    <t>CTCP Someco Sông Đà</t>
  </si>
  <si>
    <t>Hợp nhất, không có chi phí bán hàng</t>
  </si>
  <si>
    <t>MEC_2022</t>
  </si>
  <si>
    <t>Công ty mẹ (không có hợp nhất), không có chi phí bán hàng</t>
  </si>
  <si>
    <t>MEC_2023</t>
  </si>
  <si>
    <t>MHL_2021</t>
  </si>
  <si>
    <t>MHL</t>
  </si>
  <si>
    <t>CTCP Minh Hữu Liên</t>
  </si>
  <si>
    <t>MHL_2022</t>
  </si>
  <si>
    <t>MHL_2023</t>
  </si>
  <si>
    <t>MIH</t>
  </si>
  <si>
    <t>CTCP Xuất nhập khẩu Khoáng sản Hà Nam</t>
  </si>
  <si>
    <t>MIM_2021</t>
  </si>
  <si>
    <t>MIM</t>
  </si>
  <si>
    <t>CTCP Khoáng sản và Cơ khí</t>
  </si>
  <si>
    <t>MKV_2021</t>
  </si>
  <si>
    <t>MKV</t>
  </si>
  <si>
    <t>CTCP Dược Thú y Cai Lậy</t>
  </si>
  <si>
    <t xml:space="preserve">        13.53</t>
  </si>
  <si>
    <t>MKV_2022</t>
  </si>
  <si>
    <t xml:space="preserve">        10.71</t>
  </si>
  <si>
    <t>MKV_2023</t>
  </si>
  <si>
    <t xml:space="preserve">       10.80</t>
  </si>
  <si>
    <t>MLS_2021</t>
  </si>
  <si>
    <t>MLS</t>
  </si>
  <si>
    <t>Công ty cổ phần Chăn nuôi - Mitraco</t>
  </si>
  <si>
    <t xml:space="preserve">        35.5</t>
  </si>
  <si>
    <t>MLS_2022</t>
  </si>
  <si>
    <t>MLS_2023</t>
  </si>
  <si>
    <t xml:space="preserve">        11.0</t>
  </si>
  <si>
    <t>MNC_2021</t>
  </si>
  <si>
    <t>MNC</t>
  </si>
  <si>
    <t>CTCP Tập đoàn Mai Linh Miền Trung</t>
  </si>
  <si>
    <t>MNC_2022</t>
  </si>
  <si>
    <t>MNC_2023</t>
  </si>
  <si>
    <t>MPT_2021</t>
  </si>
  <si>
    <t>MPT</t>
  </si>
  <si>
    <t>CTCP May Phú Thành</t>
  </si>
  <si>
    <t>MPT_2022</t>
  </si>
  <si>
    <t>MPT_2023</t>
  </si>
  <si>
    <t>MSC</t>
  </si>
  <si>
    <t>Công ty cổ phần Dịch vụ Phú Nhuận</t>
  </si>
  <si>
    <t>MSI</t>
  </si>
  <si>
    <t>CTCP Chứng khoán Maritime</t>
  </si>
  <si>
    <t>MST_2021</t>
  </si>
  <si>
    <t>MST</t>
  </si>
  <si>
    <t>CTCP Xây dựng 1.1.6.8</t>
  </si>
  <si>
    <t>MST_2022</t>
  </si>
  <si>
    <t xml:space="preserve">        3.64</t>
  </si>
  <si>
    <t>MST_2023</t>
  </si>
  <si>
    <t>NAG_2021</t>
  </si>
  <si>
    <t>NAG</t>
  </si>
  <si>
    <t>Công ty cổ phần Nagakawa Việt Nam</t>
  </si>
  <si>
    <t>9.98</t>
  </si>
  <si>
    <t>NAG_2022</t>
  </si>
  <si>
    <t>NAG_2023</t>
  </si>
  <si>
    <t>NBC_2021</t>
  </si>
  <si>
    <t>NBC</t>
  </si>
  <si>
    <t>Công ty cổ phần Than Núi Béo – Vinacomin</t>
  </si>
  <si>
    <t>NBC_2022</t>
  </si>
  <si>
    <t xml:space="preserve">        7.16</t>
  </si>
  <si>
    <t>NBC_2023</t>
  </si>
  <si>
    <t xml:space="preserve">        11.37</t>
  </si>
  <si>
    <t>NPB_2021</t>
  </si>
  <si>
    <t>NBP</t>
  </si>
  <si>
    <t>CTCP Nhiệt điện Ninh Bình</t>
  </si>
  <si>
    <t xml:space="preserve">       14.72 </t>
  </si>
  <si>
    <t>NBP_2022</t>
  </si>
  <si>
    <t xml:space="preserve">        11.90</t>
  </si>
  <si>
    <t>NBP_2023</t>
  </si>
  <si>
    <t xml:space="preserve">        13.75 </t>
  </si>
  <si>
    <t>NDF</t>
  </si>
  <si>
    <t>CTCP Chế biến thực phẩm nông sản xuất khẩu Nam Định</t>
  </si>
  <si>
    <t>NDN_2021</t>
  </si>
  <si>
    <t>NDN</t>
  </si>
  <si>
    <t>CTCP Đầu tư Phát triển Nhà Đà Nẵng</t>
  </si>
  <si>
    <t xml:space="preserve">       17.63</t>
  </si>
  <si>
    <t>NDN_2022</t>
  </si>
  <si>
    <t xml:space="preserve">        7.00</t>
  </si>
  <si>
    <t>NDN_2023</t>
  </si>
  <si>
    <t xml:space="preserve">       9.70 </t>
  </si>
  <si>
    <t>NDX_2021</t>
  </si>
  <si>
    <t>NDX</t>
  </si>
  <si>
    <t>CTCP Xây lắp Phát triển Nhà Đà Nẵng</t>
  </si>
  <si>
    <t xml:space="preserve">        8.55</t>
  </si>
  <si>
    <t>NDX_2022</t>
  </si>
  <si>
    <t xml:space="preserve">        4.65</t>
  </si>
  <si>
    <t>NDX_2023</t>
  </si>
  <si>
    <t xml:space="preserve">       5.99</t>
  </si>
  <si>
    <t>NET_2021</t>
  </si>
  <si>
    <t>NET</t>
  </si>
  <si>
    <t>CTCP Bột giặt Net</t>
  </si>
  <si>
    <t xml:space="preserve">        45.08  </t>
  </si>
  <si>
    <t>NET_2022</t>
  </si>
  <si>
    <t xml:space="preserve">        37.88</t>
  </si>
  <si>
    <t>NET_2023</t>
  </si>
  <si>
    <t xml:space="preserve">        60.87</t>
  </si>
  <si>
    <t>NFC_2021</t>
  </si>
  <si>
    <t>NFC</t>
  </si>
  <si>
    <t>CTCP Phân lân Ninh Bình</t>
  </si>
  <si>
    <t xml:space="preserve">      10.37</t>
  </si>
  <si>
    <t>NFC_2022</t>
  </si>
  <si>
    <t>NFC_2023</t>
  </si>
  <si>
    <t xml:space="preserve">        17.15 </t>
  </si>
  <si>
    <t>HNX_2021</t>
  </si>
  <si>
    <t>NGC</t>
  </si>
  <si>
    <t>CTCP Chế biến Thủy sản Xuất khẩu Ngô Quyền</t>
  </si>
  <si>
    <t>NHA_2021</t>
  </si>
  <si>
    <t>NHA</t>
  </si>
  <si>
    <t>Tổng Công ty Đầu tư Phát triển Nhà và Đô thị Nam Hà Nội</t>
  </si>
  <si>
    <t xml:space="preserve">        53.66 </t>
  </si>
  <si>
    <t>NHA_2022</t>
  </si>
  <si>
    <t xml:space="preserve">        11.30 </t>
  </si>
  <si>
    <t>NHA_2023</t>
  </si>
  <si>
    <t>NHC_2021</t>
  </si>
  <si>
    <t>NHC</t>
  </si>
  <si>
    <t>CTCP Gạch Ngói Nhị Hiệp</t>
  </si>
  <si>
    <t xml:space="preserve">       28.68</t>
  </si>
  <si>
    <t>NHC_2022</t>
  </si>
  <si>
    <t xml:space="preserve">       29.13</t>
  </si>
  <si>
    <t>NHC_2023</t>
  </si>
  <si>
    <t xml:space="preserve">        33.00</t>
  </si>
  <si>
    <t>NHP</t>
  </si>
  <si>
    <t>CTCP Sản xuất Xuất nhập khẩu NHP</t>
  </si>
  <si>
    <t>NIS</t>
  </si>
  <si>
    <t>CTCP Dịch vụ Hạ tầng mạng</t>
  </si>
  <si>
    <t>NLC</t>
  </si>
  <si>
    <t>CTCP Thủy điện Nà Lơi</t>
  </si>
  <si>
    <t>NPS</t>
  </si>
  <si>
    <t>CTCP May Phú Thịnh - Nhà Bè</t>
  </si>
  <si>
    <t>NSN</t>
  </si>
  <si>
    <t>CTCP Xây dựng 565</t>
  </si>
  <si>
    <t>ns-2021</t>
  </si>
  <si>
    <t>NST</t>
  </si>
  <si>
    <t>CTCP Ngân Sơn</t>
  </si>
  <si>
    <t xml:space="preserve">        8.93</t>
  </si>
  <si>
    <t>ns-2022</t>
  </si>
  <si>
    <t xml:space="preserve">        5.44</t>
  </si>
  <si>
    <t>ns-2023</t>
  </si>
  <si>
    <t xml:space="preserve">        6.59 </t>
  </si>
  <si>
    <t>ntp-2021</t>
  </si>
  <si>
    <t>NTP</t>
  </si>
  <si>
    <t>CTCP Nhựa Thiếu niên Tiền Phong</t>
  </si>
  <si>
    <t xml:space="preserve">        42.19</t>
  </si>
  <si>
    <t>ntp-2022</t>
  </si>
  <si>
    <t>ntp-2023</t>
  </si>
  <si>
    <t xml:space="preserve">       34.48 </t>
  </si>
  <si>
    <t>nvb-2021</t>
  </si>
  <si>
    <t>NVB</t>
  </si>
  <si>
    <t>Ngân hàng Thương mại cổ phần Quốc Dân</t>
  </si>
  <si>
    <t xml:space="preserve">        25.48</t>
  </si>
  <si>
    <t>nvb-2022</t>
  </si>
  <si>
    <t xml:space="preserve">        19.50</t>
  </si>
  <si>
    <t>nvb-2023</t>
  </si>
  <si>
    <t xml:space="preserve">       10.50</t>
  </si>
  <si>
    <t>NVC</t>
  </si>
  <si>
    <t>CTCP Nam Vang</t>
  </si>
  <si>
    <t>one-2021</t>
  </si>
  <si>
    <t>ONE</t>
  </si>
  <si>
    <t>CTCP Truyền thông số 1</t>
  </si>
  <si>
    <t>7.79</t>
  </si>
  <si>
    <t>one-2022</t>
  </si>
  <si>
    <t>CTCP Truyền thông số 2</t>
  </si>
  <si>
    <t>5.59</t>
  </si>
  <si>
    <t>one-2023</t>
  </si>
  <si>
    <t>CTCP Truyền thông số 3</t>
  </si>
  <si>
    <t>5.50</t>
  </si>
  <si>
    <t>tps-2021</t>
  </si>
  <si>
    <t>ORS</t>
  </si>
  <si>
    <t>Công ty cổ phần Chứng khoán Phương Đông</t>
  </si>
  <si>
    <t xml:space="preserve">        20.00</t>
  </si>
  <si>
    <t>tps-2022</t>
  </si>
  <si>
    <t xml:space="preserve">        6.64</t>
  </si>
  <si>
    <t>tps-2023</t>
  </si>
  <si>
    <t>bbdk-2021</t>
  </si>
  <si>
    <t>PBP</t>
  </si>
  <si>
    <t>Công ty cổ phần Bao bì Dầu khí Việt Nam</t>
  </si>
  <si>
    <t xml:space="preserve">        12.36 </t>
  </si>
  <si>
    <t>bbdk-2022</t>
  </si>
  <si>
    <t xml:space="preserve">        10.62</t>
  </si>
  <si>
    <t>bbdk-2023</t>
  </si>
  <si>
    <t xml:space="preserve">        10.65 </t>
  </si>
  <si>
    <t>pce-2021</t>
  </si>
  <si>
    <t>PCE</t>
  </si>
  <si>
    <t>Công ty cổ phần Phân bón và Hóa chất Dầu khí Miền Trung</t>
  </si>
  <si>
    <t xml:space="preserve">       17.48 </t>
  </si>
  <si>
    <t>pce-2022</t>
  </si>
  <si>
    <t xml:space="preserve">        19.93</t>
  </si>
  <si>
    <t>pce-2023</t>
  </si>
  <si>
    <t xml:space="preserve">       18.42 </t>
  </si>
  <si>
    <t>pcg-2021</t>
  </si>
  <si>
    <t>PCG</t>
  </si>
  <si>
    <t>CTCP Đầu tư và Phát triển Gas Đô Thị</t>
  </si>
  <si>
    <t>pcg-2022</t>
  </si>
  <si>
    <t>pcg-2023</t>
  </si>
  <si>
    <t>pcn-2021</t>
  </si>
  <si>
    <t>PCN</t>
  </si>
  <si>
    <t>Công ty cổ phần Hóa phẩm dầu khí DMC - miền Bắc</t>
  </si>
  <si>
    <t>OTC</t>
  </si>
  <si>
    <t>pcn-2022</t>
  </si>
  <si>
    <t>pcn-2023</t>
  </si>
  <si>
    <t>pct-2021</t>
  </si>
  <si>
    <t>PCT</t>
  </si>
  <si>
    <t>Công ty cổ phần Dịch vụ Vận tải Dầu khí Cửu Long</t>
  </si>
  <si>
    <t xml:space="preserve">        7.33</t>
  </si>
  <si>
    <t>pct-2022</t>
  </si>
  <si>
    <t xml:space="preserve">       4.90 </t>
  </si>
  <si>
    <t>pct-2023</t>
  </si>
  <si>
    <t xml:space="preserve">        7.20</t>
  </si>
  <si>
    <t>pdb-2021</t>
  </si>
  <si>
    <t>PDB</t>
  </si>
  <si>
    <t>CTCP Pacific Dinco</t>
  </si>
  <si>
    <t>pdb-2022</t>
  </si>
  <si>
    <t xml:space="preserve">       9.71 </t>
  </si>
  <si>
    <t>pdb-2023</t>
  </si>
  <si>
    <t xml:space="preserve">        8.38 </t>
  </si>
  <si>
    <t>pdc-2021</t>
  </si>
  <si>
    <t>PDC</t>
  </si>
  <si>
    <t>Công ty cổ phần Du lịch Dầu khí Phương Đông</t>
  </si>
  <si>
    <t>pdc-2022</t>
  </si>
  <si>
    <t>pdc-2023</t>
  </si>
  <si>
    <t>pen-2021</t>
  </si>
  <si>
    <t>PEN</t>
  </si>
  <si>
    <t>Công ty cổ phần Xây lắp III Petrolimex</t>
  </si>
  <si>
    <t>pen-2022</t>
  </si>
  <si>
    <t>pen-2023</t>
  </si>
  <si>
    <t>pgs-2021</t>
  </si>
  <si>
    <t>PGS</t>
  </si>
  <si>
    <t>CTCP Kinh doanh Khí Miền Nam</t>
  </si>
  <si>
    <t>20.49</t>
  </si>
  <si>
    <t>pgs-2022</t>
  </si>
  <si>
    <t>22.37</t>
  </si>
  <si>
    <t>pgs-2023</t>
  </si>
  <si>
    <t>25.88</t>
  </si>
  <si>
    <t>pgt-2021</t>
  </si>
  <si>
    <t>PGT</t>
  </si>
  <si>
    <t>CTCP PGT Holdings</t>
  </si>
  <si>
    <t>pgt-2022</t>
  </si>
  <si>
    <t>pgt-2023</t>
  </si>
  <si>
    <t>phc-2021</t>
  </si>
  <si>
    <t>PHC</t>
  </si>
  <si>
    <t>Công ty cổ phần Xây dựng Phục Hưng Holdings</t>
  </si>
  <si>
    <t xml:space="preserve">        14.38</t>
  </si>
  <si>
    <t>phc-2022</t>
  </si>
  <si>
    <t xml:space="preserve">        5.31</t>
  </si>
  <si>
    <t>phc-2023</t>
  </si>
  <si>
    <t xml:space="preserve">       6.37</t>
  </si>
  <si>
    <t>php-2021</t>
  </si>
  <si>
    <t>PHP</t>
  </si>
  <si>
    <t>Công ty cổ phần Cảng Hải Phòng</t>
  </si>
  <si>
    <t xml:space="preserve">        25.40</t>
  </si>
  <si>
    <t>php-2022</t>
  </si>
  <si>
    <t xml:space="preserve">        15.77 </t>
  </si>
  <si>
    <t>php-2023</t>
  </si>
  <si>
    <t xml:space="preserve">        20.35</t>
  </si>
  <si>
    <t>phs-2021</t>
  </si>
  <si>
    <t>PHS</t>
  </si>
  <si>
    <t>CTCP Chứng khoán Phú Hưng</t>
  </si>
  <si>
    <t xml:space="preserve">        18.36</t>
  </si>
  <si>
    <t>phs-2022</t>
  </si>
  <si>
    <t xml:space="preserve">       14.46</t>
  </si>
  <si>
    <t>phs-2023</t>
  </si>
  <si>
    <t xml:space="preserve">        16.34</t>
  </si>
  <si>
    <t>pic-2021</t>
  </si>
  <si>
    <t>PIC</t>
  </si>
  <si>
    <t>CTCP Đầu tư Điện lực 3</t>
  </si>
  <si>
    <t xml:space="preserve">        9.86</t>
  </si>
  <si>
    <t>pic-2022</t>
  </si>
  <si>
    <t>CTCP Đầu tư Điện lực 4</t>
  </si>
  <si>
    <t xml:space="preserve">        13.90</t>
  </si>
  <si>
    <t>pic-2023</t>
  </si>
  <si>
    <t>CTCP Đầu tư Điện lực 5</t>
  </si>
  <si>
    <t xml:space="preserve">        14.53 </t>
  </si>
  <si>
    <t>piv-2021</t>
  </si>
  <si>
    <t>PIV</t>
  </si>
  <si>
    <t>CTCP PIV</t>
  </si>
  <si>
    <t>piv-2022</t>
  </si>
  <si>
    <t>piv-2023</t>
  </si>
  <si>
    <t>PJC</t>
  </si>
  <si>
    <t>CTCP Thương mại và Vận tải Petrolimex Hà Nội</t>
  </si>
  <si>
    <t>pjc-2022</t>
  </si>
  <si>
    <t>pjc-2023</t>
  </si>
  <si>
    <t>plc-2021</t>
  </si>
  <si>
    <t>PLC</t>
  </si>
  <si>
    <t>Tổng Công ty Hóa dầu Petrolimex-CTCP</t>
  </si>
  <si>
    <t xml:space="preserve">        35.92 </t>
  </si>
  <si>
    <t>plc-2022</t>
  </si>
  <si>
    <t xml:space="preserve">       21.63</t>
  </si>
  <si>
    <t>plc-2023</t>
  </si>
  <si>
    <t xml:space="preserve">       29.80 </t>
  </si>
  <si>
    <t>pmb-2021</t>
  </si>
  <si>
    <t>PMB</t>
  </si>
  <si>
    <t>Công ty cổ phần Phân bón và Hóa chất Dầu khí Miền Bắc</t>
  </si>
  <si>
    <t xml:space="preserve">       12.65</t>
  </si>
  <si>
    <t>pmb-2022</t>
  </si>
  <si>
    <t xml:space="preserve">        9.24</t>
  </si>
  <si>
    <t>pmb-2023</t>
  </si>
  <si>
    <t>pmc-2021</t>
  </si>
  <si>
    <t>PMC</t>
  </si>
  <si>
    <t>CTCP Dược phẩm Dược liệu Pharmedic</t>
  </si>
  <si>
    <t xml:space="preserve">        46.59</t>
  </si>
  <si>
    <t>pmc-2022</t>
  </si>
  <si>
    <t xml:space="preserve">        62.76</t>
  </si>
  <si>
    <t>pmc-2024</t>
  </si>
  <si>
    <t xml:space="preserve">        76.36</t>
  </si>
  <si>
    <t>pmp-2021</t>
  </si>
  <si>
    <t>PMP</t>
  </si>
  <si>
    <t>Công ty cổ phần Bao bì Đạm Phú Mỹ</t>
  </si>
  <si>
    <t>pmp-2022</t>
  </si>
  <si>
    <t xml:space="preserve">        10.26</t>
  </si>
  <si>
    <t>pmp-2023</t>
  </si>
  <si>
    <t xml:space="preserve">        11.53 </t>
  </si>
  <si>
    <t>pms-2021</t>
  </si>
  <si>
    <t>PMS</t>
  </si>
  <si>
    <t>CTCP Cơ khí Xăng dầu</t>
  </si>
  <si>
    <t xml:space="preserve">        17.56</t>
  </si>
  <si>
    <t>pms-2022</t>
  </si>
  <si>
    <t xml:space="preserve">        18.39</t>
  </si>
  <si>
    <t>pms-2023</t>
  </si>
  <si>
    <t xml:space="preserve">       25.92</t>
  </si>
  <si>
    <t>pot-2021</t>
  </si>
  <si>
    <t>POT</t>
  </si>
  <si>
    <t>CTCP Thiết bị Bưu điện</t>
  </si>
  <si>
    <t>17.87</t>
  </si>
  <si>
    <t>pot-2022</t>
  </si>
  <si>
    <t>17.64</t>
  </si>
  <si>
    <t>pot-2023</t>
  </si>
  <si>
    <t>16.91</t>
  </si>
  <si>
    <t>ppe-2021</t>
  </si>
  <si>
    <t>PPE</t>
  </si>
  <si>
    <t>Công ty cổ phần Tư vấn Điện lực Dầu khí Việt Nam</t>
  </si>
  <si>
    <t>ppe-2022</t>
  </si>
  <si>
    <t>ppe-2023</t>
  </si>
  <si>
    <t>ppp-2021</t>
  </si>
  <si>
    <t>PPP</t>
  </si>
  <si>
    <t>CTCP Dược phẩm Phong Phú</t>
  </si>
  <si>
    <t>ppp-2022</t>
  </si>
  <si>
    <t xml:space="preserve">       10.93</t>
  </si>
  <si>
    <t>ppp-2023</t>
  </si>
  <si>
    <t xml:space="preserve">       13.87 </t>
  </si>
  <si>
    <t>pps-2021</t>
  </si>
  <si>
    <t>PPS</t>
  </si>
  <si>
    <t>CTCP Dịch vụ Kỹ thuật Điện lực Dầu khí Việt Nam</t>
  </si>
  <si>
    <t xml:space="preserve">        10.49</t>
  </si>
  <si>
    <t>pps-2023</t>
  </si>
  <si>
    <t xml:space="preserve">        8.47</t>
  </si>
  <si>
    <t xml:space="preserve">       9.79</t>
  </si>
  <si>
    <t>ppy-2021</t>
  </si>
  <si>
    <t>PPY</t>
  </si>
  <si>
    <t>CTCP Xăng dầu Dầu khí Phú Yên</t>
  </si>
  <si>
    <t xml:space="preserve">        15.80</t>
  </si>
  <si>
    <t>ppy-2022</t>
  </si>
  <si>
    <t xml:space="preserve">        6.67</t>
  </si>
  <si>
    <t>ppy-2023</t>
  </si>
  <si>
    <t>prc-2021</t>
  </si>
  <si>
    <t>PRC</t>
  </si>
  <si>
    <t>CTCP Logistics Portserco</t>
  </si>
  <si>
    <t xml:space="preserve">        6.74 </t>
  </si>
  <si>
    <t>prc-2022</t>
  </si>
  <si>
    <t xml:space="preserve">        14.61</t>
  </si>
  <si>
    <t>prc-2023</t>
  </si>
  <si>
    <t xml:space="preserve">        21.41</t>
  </si>
  <si>
    <t>psc-2021</t>
  </si>
  <si>
    <t>PSC</t>
  </si>
  <si>
    <t>Công ty cổ phần Vận tải và Dịch vụ Petrolimex Sài Gòn</t>
  </si>
  <si>
    <t xml:space="preserve">       12.83</t>
  </si>
  <si>
    <t>psc-2022</t>
  </si>
  <si>
    <t>psc-2023</t>
  </si>
  <si>
    <t xml:space="preserve">        11.16</t>
  </si>
  <si>
    <t>psd-2021</t>
  </si>
  <si>
    <t>PSD</t>
  </si>
  <si>
    <t>Công ty cổ phần Dịch vụ Phân phối Tổng hợp Dầu khí</t>
  </si>
  <si>
    <t xml:space="preserve">        17.60</t>
  </si>
  <si>
    <t>psd-2022</t>
  </si>
  <si>
    <t xml:space="preserve">        12.34 </t>
  </si>
  <si>
    <t>psd-2023</t>
  </si>
  <si>
    <t xml:space="preserve">        12.71</t>
  </si>
  <si>
    <t>pse-2021</t>
  </si>
  <si>
    <t>PSE</t>
  </si>
  <si>
    <t>Công ty cổ phần Phân bón và Hóa chất Dầu khí Đông Nam Bộ</t>
  </si>
  <si>
    <t xml:space="preserve">        13.37 </t>
  </si>
  <si>
    <t>pse-2023</t>
  </si>
  <si>
    <t xml:space="preserve">       9.35</t>
  </si>
  <si>
    <t xml:space="preserve">        9.55</t>
  </si>
  <si>
    <t>psi-2021</t>
  </si>
  <si>
    <t>PSI</t>
  </si>
  <si>
    <t>Công ty cổ phần Chứng khoán Dầu khí</t>
  </si>
  <si>
    <t>PSI 2022</t>
  </si>
  <si>
    <t>PSI 2023</t>
  </si>
  <si>
    <t>PSW 2021</t>
  </si>
  <si>
    <t>PSW</t>
  </si>
  <si>
    <t>Công ty cổ phần Phân bón và Hóa chất Dầu khí Tây Nam Bộ</t>
  </si>
  <si>
    <t xml:space="preserve">        16.43</t>
  </si>
  <si>
    <t>PSW 2022</t>
  </si>
  <si>
    <t xml:space="preserve">        6.94</t>
  </si>
  <si>
    <t>PSW 2023</t>
  </si>
  <si>
    <t xml:space="preserve">        7.54</t>
  </si>
  <si>
    <t>PTD 2021</t>
  </si>
  <si>
    <t>PTD</t>
  </si>
  <si>
    <t>CTCP Thiết kế - Xây dựng - Thương mại Phúc Thịnh</t>
  </si>
  <si>
    <t>PTD 2022</t>
  </si>
  <si>
    <t xml:space="preserve">        10.99</t>
  </si>
  <si>
    <t>PTD 2023</t>
  </si>
  <si>
    <t xml:space="preserve">        4.74</t>
  </si>
  <si>
    <t>PTI 2021</t>
  </si>
  <si>
    <t>PTI</t>
  </si>
  <si>
    <t>Tổng CTCP Bảo hiểm Bưu điện</t>
  </si>
  <si>
    <t>39.34</t>
  </si>
  <si>
    <t>PTI 2022</t>
  </si>
  <si>
    <t>33.27</t>
  </si>
  <si>
    <t>PTI 2023</t>
  </si>
  <si>
    <t>24.47</t>
  </si>
  <si>
    <t>PTS 2021</t>
  </si>
  <si>
    <t>PTS</t>
  </si>
  <si>
    <t>CTCP Vận tải và Dịch vụ Petrolimex Hải Phòng</t>
  </si>
  <si>
    <t xml:space="preserve">        9.75</t>
  </si>
  <si>
    <t>PTS 2022</t>
  </si>
  <si>
    <t xml:space="preserve">        8.85 </t>
  </si>
  <si>
    <t>PTS 2023</t>
  </si>
  <si>
    <t xml:space="preserve">        8.19 </t>
  </si>
  <si>
    <t>PV2 2021</t>
  </si>
  <si>
    <t>PV2</t>
  </si>
  <si>
    <t>Công ty cổ phần Đầu tư PV2</t>
  </si>
  <si>
    <t>PV2 2022</t>
  </si>
  <si>
    <t>PV2 2023</t>
  </si>
  <si>
    <t>PVB 2021</t>
  </si>
  <si>
    <t>PVB</t>
  </si>
  <si>
    <t>Công ty cổ phần Bọc ống Dầu khí Việt Nam</t>
  </si>
  <si>
    <t>PVB 2022</t>
  </si>
  <si>
    <t>PVB 2023</t>
  </si>
  <si>
    <t>PVC 2021</t>
  </si>
  <si>
    <t>PVC</t>
  </si>
  <si>
    <t>Tổng Công ty Hóa chất và Dịch vụ Dầu khí</t>
  </si>
  <si>
    <t xml:space="preserve">        12.51</t>
  </si>
  <si>
    <t>PVC 2022</t>
  </si>
  <si>
    <t>PVC 2023</t>
  </si>
  <si>
    <t xml:space="preserve">        14.93</t>
  </si>
  <si>
    <t>PVE 2021</t>
  </si>
  <si>
    <t>PVE</t>
  </si>
  <si>
    <t>Tổng Công ty Tư vấn Thiết kế Dầu khí-CTCP</t>
  </si>
  <si>
    <t>PVE 2022</t>
  </si>
  <si>
    <t>PVE 2023</t>
  </si>
  <si>
    <t>bc tới quý 2</t>
  </si>
  <si>
    <t>PVG 2021</t>
  </si>
  <si>
    <t>PVG</t>
  </si>
  <si>
    <t>CTCP Kinh doanh LPG Việt Nam</t>
  </si>
  <si>
    <t xml:space="preserve">       12.27  </t>
  </si>
  <si>
    <t>PVG 2022</t>
  </si>
  <si>
    <t>PVG 2023</t>
  </si>
  <si>
    <t xml:space="preserve">        8.21</t>
  </si>
  <si>
    <t>PVI 2021</t>
  </si>
  <si>
    <t>PVI</t>
  </si>
  <si>
    <t>CTCP PVI</t>
  </si>
  <si>
    <t xml:space="preserve">      40.18</t>
  </si>
  <si>
    <t>k có chi bán hàng</t>
  </si>
  <si>
    <t>PVI 2022</t>
  </si>
  <si>
    <t xml:space="preserve">        42.3</t>
  </si>
  <si>
    <t>PVI 2023</t>
  </si>
  <si>
    <t xml:space="preserve">        42.06</t>
  </si>
  <si>
    <t>PVL 2021</t>
  </si>
  <si>
    <t>PVL</t>
  </si>
  <si>
    <t>CTCP Đầu tư Nhà Đất Việt</t>
  </si>
  <si>
    <t>PVL 2022</t>
  </si>
  <si>
    <t>PVL 2023</t>
  </si>
  <si>
    <t>PVR 2021</t>
  </si>
  <si>
    <t>PVR</t>
  </si>
  <si>
    <t>CTCP Đầu tư PVR Hà Nội</t>
  </si>
  <si>
    <t>PVR 2022</t>
  </si>
  <si>
    <t>PVR 2023</t>
  </si>
  <si>
    <t>PVS 2021</t>
  </si>
  <si>
    <t>PVS</t>
  </si>
  <si>
    <t>Tổng CTCP Dịch vụ Kỹ thuật Dầu khí Việt Nam</t>
  </si>
  <si>
    <t>PVS 2022</t>
  </si>
  <si>
    <t>PVS 2023</t>
  </si>
  <si>
    <t>PVV 2021</t>
  </si>
  <si>
    <t>PVV</t>
  </si>
  <si>
    <t>CTCP Đầu tư Xây dựng Vinaconex 39</t>
  </si>
  <si>
    <t>PVV 2022</t>
  </si>
  <si>
    <t>PVV 2023</t>
  </si>
  <si>
    <t>PVX 2021</t>
  </si>
  <si>
    <t>PVX</t>
  </si>
  <si>
    <t>Tổng Công ty cổ phần Xây lắp Dầu khí Việt Nam</t>
  </si>
  <si>
    <t>PVX 2022</t>
  </si>
  <si>
    <t>PVX 2023</t>
  </si>
  <si>
    <t>PXA 2021</t>
  </si>
  <si>
    <t>PXA</t>
  </si>
  <si>
    <t>Công ty cổ phần Đầu tư &amp; Thương mại Dầu khí Nghệ An</t>
  </si>
  <si>
    <t>PXA 2022</t>
  </si>
  <si>
    <t>PXA 2023</t>
  </si>
  <si>
    <t>QHD 2021</t>
  </si>
  <si>
    <t>QHD</t>
  </si>
  <si>
    <t>CTCP Que hàn điện Việt Đức</t>
  </si>
  <si>
    <t>QHD 2022</t>
  </si>
  <si>
    <t>QHD 2023</t>
  </si>
  <si>
    <t>QNC 2021</t>
  </si>
  <si>
    <t>QNC</t>
  </si>
  <si>
    <t>CTCP Xi măng và Xây dựng Quảng Ninh</t>
  </si>
  <si>
    <t>QNC 2022</t>
  </si>
  <si>
    <t>QNC 2023</t>
  </si>
  <si>
    <t>QST 2021</t>
  </si>
  <si>
    <t>QST</t>
  </si>
  <si>
    <t>CTCP Sách và Thiết bị trường học Quảng Ninh</t>
  </si>
  <si>
    <t>QST 2022</t>
  </si>
  <si>
    <t>QST 2023</t>
  </si>
  <si>
    <t>QTC 2021</t>
  </si>
  <si>
    <t>QTC</t>
  </si>
  <si>
    <t>CTCP Công trình Giao thông Vận tải Quảng Nam</t>
  </si>
  <si>
    <t>QTC 2022</t>
  </si>
  <si>
    <t>QTC 2023</t>
  </si>
  <si>
    <t>RCL 2021</t>
  </si>
  <si>
    <t>RCL</t>
  </si>
  <si>
    <t>CTCP Địa ốc Chợ Lớn</t>
  </si>
  <si>
    <t>RCL 2022</t>
  </si>
  <si>
    <t>RCL 2023</t>
  </si>
  <si>
    <t>RHC</t>
  </si>
  <si>
    <t>CTCP Thủy điện Ry Ninh II</t>
  </si>
  <si>
    <t>S55 2021</t>
  </si>
  <si>
    <t>S55</t>
  </si>
  <si>
    <t>CTCP Sông Đà 505</t>
  </si>
  <si>
    <t>S55 2022</t>
  </si>
  <si>
    <t>S55 2023</t>
  </si>
  <si>
    <t>S64</t>
  </si>
  <si>
    <t>CTCP Sông Đà 6.04</t>
  </si>
  <si>
    <t>S74 2021</t>
  </si>
  <si>
    <t>S74</t>
  </si>
  <si>
    <t>CTCP Sông Đà 7.04</t>
  </si>
  <si>
    <t>S74 2022</t>
  </si>
  <si>
    <t>S74 2023</t>
  </si>
  <si>
    <t>S91</t>
  </si>
  <si>
    <t>CTCP Sông Đà 9.01</t>
  </si>
  <si>
    <t>S99 2021</t>
  </si>
  <si>
    <t>S99</t>
  </si>
  <si>
    <t>CTCP SCI</t>
  </si>
  <si>
    <t>S99 2022</t>
  </si>
  <si>
    <t>S99 2023</t>
  </si>
  <si>
    <t>SAF 2021</t>
  </si>
  <si>
    <t>SAF</t>
  </si>
  <si>
    <t>CTCP Lương thực Thực phẩm Safoco</t>
  </si>
  <si>
    <t>SAF 2022</t>
  </si>
  <si>
    <t>SAF 2023</t>
  </si>
  <si>
    <t>SAP 2021</t>
  </si>
  <si>
    <t>SAP</t>
  </si>
  <si>
    <t>CTCP In Sách giáo khoa tại Tp.Hồ Chí Minh</t>
  </si>
  <si>
    <t>SAP 2022</t>
  </si>
  <si>
    <t>SAP 2023</t>
  </si>
  <si>
    <t>SCI 2021</t>
  </si>
  <si>
    <t>SCI</t>
  </si>
  <si>
    <t>CTCP SCI E&amp;C</t>
  </si>
  <si>
    <t>SCI 2022</t>
  </si>
  <si>
    <t>SCI 2023</t>
  </si>
  <si>
    <t>SCJ 2021</t>
  </si>
  <si>
    <t>SCJ</t>
  </si>
  <si>
    <t>CTCP Xi măng Sài Sơn</t>
  </si>
  <si>
    <t>SCJ 2022</t>
  </si>
  <si>
    <t>SCJ 2023</t>
  </si>
  <si>
    <t>SCL 2021</t>
  </si>
  <si>
    <t>SCL</t>
  </si>
  <si>
    <t>CTCP Sông Đà Cao Cường</t>
  </si>
  <si>
    <t>SCL 2022</t>
  </si>
  <si>
    <t>SCL 2023</t>
  </si>
  <si>
    <t>SD2 2021</t>
  </si>
  <si>
    <t>SD2</t>
  </si>
  <si>
    <t>CTCP Sông Đà 2</t>
  </si>
  <si>
    <t>SD2 2022</t>
  </si>
  <si>
    <t>SD2 2023</t>
  </si>
  <si>
    <t>SD4 2021</t>
  </si>
  <si>
    <t>SD4</t>
  </si>
  <si>
    <t>CTCP Sông Đà 4</t>
  </si>
  <si>
    <t>SD4 2022</t>
  </si>
  <si>
    <t>SD4 2023</t>
  </si>
  <si>
    <t>SD5 2021</t>
  </si>
  <si>
    <t>SD5</t>
  </si>
  <si>
    <t>CTCP Sông Đà 5</t>
  </si>
  <si>
    <t>SD5 2022</t>
  </si>
  <si>
    <t>SD5 2023</t>
  </si>
  <si>
    <t>SD6 2021</t>
  </si>
  <si>
    <t>SD6</t>
  </si>
  <si>
    <t>CTCP Sông Đà 6</t>
  </si>
  <si>
    <t>SD6 2022</t>
  </si>
  <si>
    <t>SD6 2023</t>
  </si>
  <si>
    <t>SD7 2021</t>
  </si>
  <si>
    <t>SD7</t>
  </si>
  <si>
    <t>CTCP Sông Đà 7</t>
  </si>
  <si>
    <t>SD7 2022</t>
  </si>
  <si>
    <t>SD7 2023</t>
  </si>
  <si>
    <t>SD9 2021</t>
  </si>
  <si>
    <t>SD9</t>
  </si>
  <si>
    <t>CTCP Sông Đà 9</t>
  </si>
  <si>
    <t>SD9 2022</t>
  </si>
  <si>
    <t>SD9 2023</t>
  </si>
  <si>
    <t>SDA 2021</t>
  </si>
  <si>
    <t>SDA</t>
  </si>
  <si>
    <t>CTCP Simco Sông Đà</t>
  </si>
  <si>
    <t>SDA 2022</t>
  </si>
  <si>
    <t>SDA 2023</t>
  </si>
  <si>
    <t>SDC 2021</t>
  </si>
  <si>
    <t>SDC</t>
  </si>
  <si>
    <t>CTCP Tư vấn Sông Đà</t>
  </si>
  <si>
    <t>SDC 2022</t>
  </si>
  <si>
    <t>SDC 2023</t>
  </si>
  <si>
    <t>SDD 2021</t>
  </si>
  <si>
    <t>SDD</t>
  </si>
  <si>
    <t>CTCP Đầu tư và Xây lắp Sông Đà</t>
  </si>
  <si>
    <t>SDD 2022</t>
  </si>
  <si>
    <t>SDD 2023</t>
  </si>
  <si>
    <t>SDE</t>
  </si>
  <si>
    <t>Công ty cổ phần Kỹ thuật Điện Sông Đà</t>
  </si>
  <si>
    <t>SDG 2021</t>
  </si>
  <si>
    <t>SDG</t>
  </si>
  <si>
    <t>CTCP Sadico Cần Thơ</t>
  </si>
  <si>
    <t>SDG 2022</t>
  </si>
  <si>
    <t>SDG 2023</t>
  </si>
  <si>
    <t>SDH</t>
  </si>
  <si>
    <t>CTCP Xây dựng hạ tầng Sông Đà</t>
  </si>
  <si>
    <t>SDN 2021</t>
  </si>
  <si>
    <t>SDN</t>
  </si>
  <si>
    <t>CTCP Sơn Đồng Nai</t>
  </si>
  <si>
    <t>SDN 2022</t>
  </si>
  <si>
    <t>SDN 2023</t>
  </si>
  <si>
    <t>SDP 2021</t>
  </si>
  <si>
    <t>SDP</t>
  </si>
  <si>
    <t>Công ty cổ phần Đầu tư và Thương mại Dầu khí Sông Đà</t>
  </si>
  <si>
    <t>SDP 2022</t>
  </si>
  <si>
    <t>SDP 2023</t>
  </si>
  <si>
    <t>SDS</t>
  </si>
  <si>
    <t>CTCP Xây lắp và Đầu tư Sông Đà</t>
  </si>
  <si>
    <t>SDT 2021</t>
  </si>
  <si>
    <t>SDT</t>
  </si>
  <si>
    <t>CTCP Sông Đà 10</t>
  </si>
  <si>
    <t>SDT 2022</t>
  </si>
  <si>
    <t>SDT 2023</t>
  </si>
  <si>
    <t>SDU 2021</t>
  </si>
  <si>
    <t>SDU</t>
  </si>
  <si>
    <t>CTCP Đầu tư Xây dựng và Phát triển Đô thị Sông Đà</t>
  </si>
  <si>
    <t>SDU 2022</t>
  </si>
  <si>
    <t>SDU 2023</t>
  </si>
  <si>
    <t>SDY 2021</t>
  </si>
  <si>
    <t>SDY</t>
  </si>
  <si>
    <t>CTCP Xi măng Sông Đà Yaly</t>
  </si>
  <si>
    <t>SDY 2022</t>
  </si>
  <si>
    <t>SDY 2023</t>
  </si>
  <si>
    <t>SEB 2021</t>
  </si>
  <si>
    <t>SEB</t>
  </si>
  <si>
    <t>CTCP Đầu tư và Phát triển Điện miền Trung</t>
  </si>
  <si>
    <t>SEB 2022</t>
  </si>
  <si>
    <t>SEB 2023</t>
  </si>
  <si>
    <t>SED 2021</t>
  </si>
  <si>
    <t>SED</t>
  </si>
  <si>
    <t>CTCP Đầu tư và Phát triển giáo dục Phương Nam</t>
  </si>
  <si>
    <t>SED 2022</t>
  </si>
  <si>
    <t>SED 2023</t>
  </si>
  <si>
    <t>SEL</t>
  </si>
  <si>
    <t>CTCP Sông Đà 11 Thăng Long</t>
  </si>
  <si>
    <t>SFN 2021</t>
  </si>
  <si>
    <t>SFN</t>
  </si>
  <si>
    <t>CTCP Dệt lưới Sài Gòn</t>
  </si>
  <si>
    <t>SFN 2022</t>
  </si>
  <si>
    <t>SFN 2023</t>
  </si>
  <si>
    <t>SGC 2021</t>
  </si>
  <si>
    <t>SGC</t>
  </si>
  <si>
    <t>CTCP Xuất nhập khẩu Sa Giang</t>
  </si>
  <si>
    <t>SGC 2022</t>
  </si>
  <si>
    <t>SGC 2023</t>
  </si>
  <si>
    <t>SGD 2021</t>
  </si>
  <si>
    <t>SGD</t>
  </si>
  <si>
    <t>Công ty cổ phần Sách Giáo dục tại T.P Hồ Chí Minh</t>
  </si>
  <si>
    <t>SGD 2022</t>
  </si>
  <si>
    <t>SGD 2023</t>
  </si>
  <si>
    <t>SGH 2021</t>
  </si>
  <si>
    <t>SGH</t>
  </si>
  <si>
    <t>CTCP Khách sạn Sài Gòn</t>
  </si>
  <si>
    <t>SGH 2022</t>
  </si>
  <si>
    <t>SGH 2023</t>
  </si>
  <si>
    <t>SGO</t>
  </si>
  <si>
    <t>Công ty cổ phần Dầu thực vật Sài Gòn</t>
  </si>
  <si>
    <t>SHB 2021</t>
  </si>
  <si>
    <t>SHB</t>
  </si>
  <si>
    <t>Ngân hàng Thương mại cổ phần Sài Gòn - Hà Nội</t>
  </si>
  <si>
    <t>SHB 2022</t>
  </si>
  <si>
    <t>SHB 2023</t>
  </si>
  <si>
    <t>SHC 2021</t>
  </si>
  <si>
    <t>SHC</t>
  </si>
  <si>
    <t>CTCP Hàng Hải Sài Gòn</t>
  </si>
  <si>
    <t>SHC 2022</t>
  </si>
  <si>
    <t>SHC 2023</t>
  </si>
  <si>
    <t>SHN 2021</t>
  </si>
  <si>
    <t>SHN</t>
  </si>
  <si>
    <t>CTCP Đầu tư Tổng hợp Hà Nội</t>
  </si>
  <si>
    <t>SHN 2022</t>
  </si>
  <si>
    <t>SHN 2023</t>
  </si>
  <si>
    <t>SHS 2021</t>
  </si>
  <si>
    <t>SHS</t>
  </si>
  <si>
    <t>CTCP Chứng Khoán Sài Gòn Hà Nội</t>
  </si>
  <si>
    <t>SHS 2022</t>
  </si>
  <si>
    <t>SHS 2023</t>
  </si>
  <si>
    <t>SIC</t>
  </si>
  <si>
    <t>Công ty cổ phần Đầu tư - Phát triển Sông Đà</t>
  </si>
  <si>
    <t>SJ1</t>
  </si>
  <si>
    <t>CTCP Nông Nghiệp Hùng Hậu</t>
  </si>
  <si>
    <t>SJC</t>
  </si>
  <si>
    <t>CTCP Sông Đà 1.01</t>
  </si>
  <si>
    <t>SJE 2021</t>
  </si>
  <si>
    <t>SJE</t>
  </si>
  <si>
    <t>CTCP Sông Đà 11</t>
  </si>
  <si>
    <t>SJE 2022</t>
  </si>
  <si>
    <t>SJE 2023</t>
  </si>
  <si>
    <t>SKS</t>
  </si>
  <si>
    <t>Công ty cổ phần Công trình Giao thông Sông Đà</t>
  </si>
  <si>
    <t>SLS 2021</t>
  </si>
  <si>
    <t>SLS</t>
  </si>
  <si>
    <t>Công ty cổ phần Mía đường Sơn La</t>
  </si>
  <si>
    <t>BCTC kết thúc vào 30/6</t>
  </si>
  <si>
    <t>SLS 2022</t>
  </si>
  <si>
    <t>SLS 2023</t>
  </si>
  <si>
    <t>SME</t>
  </si>
  <si>
    <t>CTCP Chứng khoán SME</t>
  </si>
  <si>
    <t>SMN 2021</t>
  </si>
  <si>
    <t>SMN</t>
  </si>
  <si>
    <t>CTCP Sách và Thiết bị Giáo dục Miền Nam</t>
  </si>
  <si>
    <t>SMN 2022</t>
  </si>
  <si>
    <t>SMN 2023</t>
  </si>
  <si>
    <t>SMT 2021</t>
  </si>
  <si>
    <t>SMT</t>
  </si>
  <si>
    <t>CTCP Sametel</t>
  </si>
  <si>
    <t>SMT 2022</t>
  </si>
  <si>
    <t>SMT 2023</t>
  </si>
  <si>
    <t>SNG</t>
  </si>
  <si>
    <t>Công ty TNHH MTV Sông Đà 10.1</t>
  </si>
  <si>
    <t>SPI 2021</t>
  </si>
  <si>
    <t>SPI</t>
  </si>
  <si>
    <t>CTCP Spiral Galaxy</t>
  </si>
  <si>
    <t>SPI 2022</t>
  </si>
  <si>
    <t>SPI 2023</t>
  </si>
  <si>
    <t>SPP</t>
  </si>
  <si>
    <t>Công ty cổ phần Bao bì Nhựa Sài Gòn</t>
  </si>
  <si>
    <t>SRA 2021</t>
  </si>
  <si>
    <t>SRA</t>
  </si>
  <si>
    <t>CTCP Sara Việt Nam</t>
  </si>
  <si>
    <t>SRA 2022</t>
  </si>
  <si>
    <t>SRA 2023</t>
  </si>
  <si>
    <t>SSM 2021</t>
  </si>
  <si>
    <t>SSM</t>
  </si>
  <si>
    <t>CTCP Chế tạo Kết cấu Thép VNECO.SSM</t>
  </si>
  <si>
    <t>SSM 2022</t>
  </si>
  <si>
    <t>SSM 2023</t>
  </si>
  <si>
    <t>SSS</t>
  </si>
  <si>
    <t>CTCP Sông Đà 6.06</t>
  </si>
  <si>
    <t>STC 2021</t>
  </si>
  <si>
    <t>STC</t>
  </si>
  <si>
    <t>CTCP Sách và Thiết bị trường học Tp. Hồ Chí Minh</t>
  </si>
  <si>
    <t>STC 2022</t>
  </si>
  <si>
    <t>STC 2023</t>
  </si>
  <si>
    <t>STP 2021</t>
  </si>
  <si>
    <t>STP</t>
  </si>
  <si>
    <t>CTCP Công nghiệp Thương mại Sông Đà</t>
  </si>
  <si>
    <t>STP 2022</t>
  </si>
  <si>
    <t>STP 2023</t>
  </si>
  <si>
    <t>SVN 2021</t>
  </si>
  <si>
    <t>SVN</t>
  </si>
  <si>
    <t>CTCP Tập đoàn Vexilla Việt Nam</t>
  </si>
  <si>
    <t>SVN 2022</t>
  </si>
  <si>
    <t>SVN 2023</t>
  </si>
  <si>
    <t>SVS</t>
  </si>
  <si>
    <t>CTCP Chứng khoán Sao Việt</t>
  </si>
  <si>
    <t>TA9 2021</t>
  </si>
  <si>
    <t>TA9</t>
  </si>
  <si>
    <t>CTCP Xây lắp Thành An 96</t>
  </si>
  <si>
    <t>TA9 2022</t>
  </si>
  <si>
    <t>TA9 2023</t>
  </si>
  <si>
    <t>TAG</t>
  </si>
  <si>
    <t>CTCP Thế giới số Trần Anh</t>
  </si>
  <si>
    <t>TAS</t>
  </si>
  <si>
    <t>CTCP Chứng khoán Tràng An</t>
  </si>
  <si>
    <t>TBX 2021</t>
  </si>
  <si>
    <t>TBX</t>
  </si>
  <si>
    <t>CTCP Xi măng Thái Bình</t>
  </si>
  <si>
    <t>TBX 2022</t>
  </si>
  <si>
    <t>TBX 2023</t>
  </si>
  <si>
    <t>TC6 2021</t>
  </si>
  <si>
    <t>TC6</t>
  </si>
  <si>
    <t>Công ty cổ phần Than Cọc Sáu - Vinacomin</t>
  </si>
  <si>
    <t>TC6 2022</t>
  </si>
  <si>
    <t>TC6 2023</t>
  </si>
  <si>
    <t>TCS</t>
  </si>
  <si>
    <t>CTCP Than Cao Sơn - TKV</t>
  </si>
  <si>
    <t>TDN 2021</t>
  </si>
  <si>
    <t>TDN</t>
  </si>
  <si>
    <t>CTCP Than Đèo Nai - Vinacomin</t>
  </si>
  <si>
    <t>TDN 2022</t>
  </si>
  <si>
    <t>TDN 2023</t>
  </si>
  <si>
    <t>TEG 2021</t>
  </si>
  <si>
    <t>TEG</t>
  </si>
  <si>
    <t>CTCP Năng lượng và Bất động sản Trường Thành</t>
  </si>
  <si>
    <t>TEG 2022</t>
  </si>
  <si>
    <t>TEG 2023</t>
  </si>
  <si>
    <t>TET 2021</t>
  </si>
  <si>
    <t>TET</t>
  </si>
  <si>
    <t>CTCP Vải sợi May mặc Miền Bắc</t>
  </si>
  <si>
    <t>TET 2022</t>
  </si>
  <si>
    <t>TET 2023</t>
  </si>
  <si>
    <t>TFC 2021</t>
  </si>
  <si>
    <t>TFC</t>
  </si>
  <si>
    <t>CTCP Trang</t>
  </si>
  <si>
    <t>TFC 2022</t>
  </si>
  <si>
    <t>TFC 2023</t>
  </si>
  <si>
    <t>TH1</t>
  </si>
  <si>
    <t>CTCP Xuất nhập khẩu Tổng hợp I Việt Nam</t>
  </si>
  <si>
    <t>THB 2021</t>
  </si>
  <si>
    <t>THB</t>
  </si>
  <si>
    <t>CTCP Bia Hà Nội - Thanh Hóa</t>
  </si>
  <si>
    <t>THB 2022</t>
  </si>
  <si>
    <t>THB 2023</t>
  </si>
  <si>
    <t>THS 2021</t>
  </si>
  <si>
    <t>THS</t>
  </si>
  <si>
    <t>Công ty cổ phần Thanh Hoa - Sông Đà</t>
  </si>
  <si>
    <t>THS 2022</t>
  </si>
  <si>
    <t>THS 2023</t>
  </si>
  <si>
    <t>THT 2021</t>
  </si>
  <si>
    <t>THT</t>
  </si>
  <si>
    <t>Công ty cổ phần Than Hà Tu - Vinacomin</t>
  </si>
  <si>
    <t>THT 2022</t>
  </si>
  <si>
    <t>THT 2023</t>
  </si>
  <si>
    <t>THV</t>
  </si>
  <si>
    <t>CTCP Tập đoàn Thái Hòa Việt Nam</t>
  </si>
  <si>
    <t>TIG 2021</t>
  </si>
  <si>
    <t>TIG</t>
  </si>
  <si>
    <t>CTCP Tập đoàn Đầu tư Thăng Long</t>
  </si>
  <si>
    <t>TIG 2022</t>
  </si>
  <si>
    <t>TIG 2023</t>
  </si>
  <si>
    <t>TJC 2021</t>
  </si>
  <si>
    <t>TJC</t>
  </si>
  <si>
    <t>Công ty cổ phần Dịch vụ Vận tải và Thương mại</t>
  </si>
  <si>
    <t>TJC 2022</t>
  </si>
  <si>
    <t>TJC 2023</t>
  </si>
  <si>
    <t>TKC</t>
  </si>
  <si>
    <t>CTCP Xây dựng và Kinh doanh Địa ốc Tân Kỷ</t>
  </si>
  <si>
    <t>TKU 2021</t>
  </si>
  <si>
    <t>TKU</t>
  </si>
  <si>
    <t>CTCP Công nghiệp Tung Kuang</t>
  </si>
  <si>
    <t>TKU 2022</t>
  </si>
  <si>
    <t>TKU 2023</t>
  </si>
  <si>
    <t>TLC</t>
  </si>
  <si>
    <t>CTCP Viễn thông Thăng Long</t>
  </si>
  <si>
    <t>TMB 2021</t>
  </si>
  <si>
    <t>TMB</t>
  </si>
  <si>
    <t>CTCP Kinh doanh than Miền Bắc - Vinacomin</t>
  </si>
  <si>
    <t>TMB 2022</t>
  </si>
  <si>
    <t>TMB 2023</t>
  </si>
  <si>
    <t>TMC 2021</t>
  </si>
  <si>
    <t>TMC</t>
  </si>
  <si>
    <t>CTCP Thương mại - Xuất nhập khẩu Thủ Đức</t>
  </si>
  <si>
    <t>TMC 2022</t>
  </si>
  <si>
    <t>TMC 2023</t>
  </si>
  <si>
    <t>TMX 2021</t>
  </si>
  <si>
    <t>TMX</t>
  </si>
  <si>
    <t>Công ty cổ phần VICEM Thương mại Xi măng</t>
  </si>
  <si>
    <t>TMX 2022</t>
  </si>
  <si>
    <t>TMX 2023</t>
  </si>
  <si>
    <t>TNG 2021</t>
  </si>
  <si>
    <t>TNG</t>
  </si>
  <si>
    <t>CTCP Đầu tư và Thương mại TNG</t>
  </si>
  <si>
    <t>TNG 2022</t>
  </si>
  <si>
    <t>TNG 2023</t>
  </si>
  <si>
    <t>TPH 2021</t>
  </si>
  <si>
    <t>TPH</t>
  </si>
  <si>
    <t>CTCP In Sách giáo khoa tại T.P Hà Nội</t>
  </si>
  <si>
    <t>TPH 2022</t>
  </si>
  <si>
    <t>TPH 2023</t>
  </si>
  <si>
    <t>TPP 2021</t>
  </si>
  <si>
    <t>TPP</t>
  </si>
  <si>
    <t>CTCP Tân Phú Việt Nam</t>
  </si>
  <si>
    <t>TPP 2022</t>
  </si>
  <si>
    <t>TPP 2023</t>
  </si>
  <si>
    <t>TSB</t>
  </si>
  <si>
    <t>CTCP Ắc quy Tia sáng</t>
  </si>
  <si>
    <t>TSM</t>
  </si>
  <si>
    <t>CTCP Xi măng Tiên Sơn Hà Tây</t>
  </si>
  <si>
    <t>TST</t>
  </si>
  <si>
    <t>CTCP Dịch vụ Kỹ thuật Viễn thông</t>
  </si>
  <si>
    <t>TTB</t>
  </si>
  <si>
    <t>Công ty cổ phần Tập đoàn Tiến Bộ</t>
  </si>
  <si>
    <t>TTC_2021</t>
  </si>
  <si>
    <t>TTC</t>
  </si>
  <si>
    <t>CTCP Gạch men Thanh Thanh</t>
  </si>
  <si>
    <t>TTC_2022</t>
  </si>
  <si>
    <t>TTC_2023</t>
  </si>
  <si>
    <t>TTH_2021</t>
  </si>
  <si>
    <t>TTH</t>
  </si>
  <si>
    <t>Công ty cổ phần Thương Mại và Dịch Vụ Tiến Thành</t>
  </si>
  <si>
    <t>TTH_2022</t>
  </si>
  <si>
    <t>TTH_2023</t>
  </si>
  <si>
    <t>TTZ_2021</t>
  </si>
  <si>
    <t>TTZ</t>
  </si>
  <si>
    <t>Công ty cổ phần Đầu tư Xây dựng và Công nghệ Tiến Trung</t>
  </si>
  <si>
    <t>TTZ_2022</t>
  </si>
  <si>
    <t>TTZ_2023</t>
  </si>
  <si>
    <t>TV2_2021</t>
  </si>
  <si>
    <t>TV2</t>
  </si>
  <si>
    <t>CTCP Tư vấn Xây dựng Điện 2</t>
  </si>
  <si>
    <t>TV2_2022</t>
  </si>
  <si>
    <t>CTCP Tư vấn Xây dựng Điện 3</t>
  </si>
  <si>
    <t>TV2_2023</t>
  </si>
  <si>
    <t>CTCP Tư vấn Xây dựng Điện 4</t>
  </si>
  <si>
    <t>TV3_2021</t>
  </si>
  <si>
    <t>TV3</t>
  </si>
  <si>
    <t>TV3_2022</t>
  </si>
  <si>
    <t>TV3_2023</t>
  </si>
  <si>
    <t>CTCP Tư vấn Xây dựng Điện 5</t>
  </si>
  <si>
    <t>TV4_2021</t>
  </si>
  <si>
    <t>TV4</t>
  </si>
  <si>
    <t>TV4_2022</t>
  </si>
  <si>
    <t>TV4_2023</t>
  </si>
  <si>
    <t>CTCP Tư vấn Xây dựng Điện 6</t>
  </si>
  <si>
    <t>TVC_2021</t>
  </si>
  <si>
    <t>TVC</t>
  </si>
  <si>
    <t>Công ty cổ phần Tập đoàn Quản lý Tài sản Trí Việt</t>
  </si>
  <si>
    <t>TVC_2022</t>
  </si>
  <si>
    <t>TVC_2023</t>
  </si>
  <si>
    <t>TVD_2021</t>
  </si>
  <si>
    <t>TVD</t>
  </si>
  <si>
    <t>Công ty cổ phần Than Vàng Danh - Vinacomin</t>
  </si>
  <si>
    <t>TVD_2022</t>
  </si>
  <si>
    <t>TVD_2023</t>
  </si>
  <si>
    <t>TXM_2021</t>
  </si>
  <si>
    <t>TXM</t>
  </si>
  <si>
    <t>Công ty cổ phần VICEM Thạch cao Xi măng</t>
  </si>
  <si>
    <t>TXM_2022</t>
  </si>
  <si>
    <t>TXM_2023</t>
  </si>
  <si>
    <t>UNI_2021</t>
  </si>
  <si>
    <t>UNI</t>
  </si>
  <si>
    <t>CTCP Đầu Tư Và Phát Triển Sao Mai Việt</t>
  </si>
  <si>
    <t>UNI_2022</t>
  </si>
  <si>
    <t>UNI_2023</t>
  </si>
  <si>
    <t>Chỉ có chi phí quản lý DN</t>
  </si>
  <si>
    <t>V12_2021</t>
  </si>
  <si>
    <t>V12</t>
  </si>
  <si>
    <t>CTCP Xây dựng số 12</t>
  </si>
  <si>
    <t>V12_2022</t>
  </si>
  <si>
    <t>CTCP Xây dựng số 13</t>
  </si>
  <si>
    <t>V12_2023</t>
  </si>
  <si>
    <t>CTCP Xây dựng số 14</t>
  </si>
  <si>
    <t>V21_2021</t>
  </si>
  <si>
    <t>V21</t>
  </si>
  <si>
    <t>CTCP VINACONEX 21</t>
  </si>
  <si>
    <t>V21_2022</t>
  </si>
  <si>
    <t>CTCP VINACONEX 22</t>
  </si>
  <si>
    <t>V21_2023</t>
  </si>
  <si>
    <t>CTCP VINACONEX 23</t>
  </si>
  <si>
    <t>VAT</t>
  </si>
  <si>
    <t>CTCP VT Vạn Xuân</t>
  </si>
  <si>
    <t>VBC_2021</t>
  </si>
  <si>
    <t>VBC</t>
  </si>
  <si>
    <t>CTCP Nhựa Bao bì Vinh</t>
  </si>
  <si>
    <t>VBC_2022</t>
  </si>
  <si>
    <t>VBC_2023</t>
  </si>
  <si>
    <t>VBH_2021</t>
  </si>
  <si>
    <t>VBH</t>
  </si>
  <si>
    <t>CTCP Điện tử Bình Hòa</t>
  </si>
  <si>
    <t>VBH_2022</t>
  </si>
  <si>
    <t>VBH_2023</t>
  </si>
  <si>
    <t>VC1_2021</t>
  </si>
  <si>
    <t>VC1</t>
  </si>
  <si>
    <t>CTCP Xây dựng số 1</t>
  </si>
  <si>
    <t>VC1_2022</t>
  </si>
  <si>
    <t>CTCP Xây dựng số 2</t>
  </si>
  <si>
    <t>VC1_2023</t>
  </si>
  <si>
    <t>CTCP Xây dựng số 3</t>
  </si>
  <si>
    <t>VC2_2021</t>
  </si>
  <si>
    <t>VC2</t>
  </si>
  <si>
    <t xml:space="preserve">CTCP Đầu tư và Xây dựng Vina2 </t>
  </si>
  <si>
    <t>VC2_2022</t>
  </si>
  <si>
    <t>CTCP Đầu tư và Xây dựng Vina3</t>
  </si>
  <si>
    <t>VC2_2023</t>
  </si>
  <si>
    <t>CTCP Đầu tư và Xây dựng Vina4</t>
  </si>
  <si>
    <t>VC3_2021</t>
  </si>
  <si>
    <t>VC3</t>
  </si>
  <si>
    <t>CTCP Tập đoàn Nam Mê Kông</t>
  </si>
  <si>
    <t>VC3_2022</t>
  </si>
  <si>
    <t>VC3_2023</t>
  </si>
  <si>
    <t>VC6_2021</t>
  </si>
  <si>
    <t>VC6</t>
  </si>
  <si>
    <t>Công ty cổ phần Xây dựng và Đầu tư Visicons</t>
  </si>
  <si>
    <t>VC6_2022</t>
  </si>
  <si>
    <t>VC6_2023</t>
  </si>
  <si>
    <t>VC7_2021</t>
  </si>
  <si>
    <t>VC7</t>
  </si>
  <si>
    <t>CTCP Tập đoàn BGI</t>
  </si>
  <si>
    <t>VC7_2022</t>
  </si>
  <si>
    <t>VC7_2023</t>
  </si>
  <si>
    <t>VC9_2021</t>
  </si>
  <si>
    <t>VC9</t>
  </si>
  <si>
    <t>CTCP Xây dựng số 9</t>
  </si>
  <si>
    <t>VC9_2022</t>
  </si>
  <si>
    <t>VC9_2023</t>
  </si>
  <si>
    <t>VCC_2021</t>
  </si>
  <si>
    <t>VCC</t>
  </si>
  <si>
    <t>CTCP Vinaconex 25</t>
  </si>
  <si>
    <t>VCC_2022</t>
  </si>
  <si>
    <t>VCC_2023</t>
  </si>
  <si>
    <t>VCG_2021</t>
  </si>
  <si>
    <t>VCG</t>
  </si>
  <si>
    <t>Tổng CTCP Xuất nhập khẩu và Xây dựng Việt Nam</t>
  </si>
  <si>
    <t>VCG_2022</t>
  </si>
  <si>
    <t>VCG_2023</t>
  </si>
  <si>
    <t>VCH</t>
  </si>
  <si>
    <t>CTCP Đầu tư và Phát triển Hạ tầng Vinaconex</t>
  </si>
  <si>
    <t>VCM_2021</t>
  </si>
  <si>
    <t>VCM</t>
  </si>
  <si>
    <t>CTCP Nhân lực và Thương mại Vinaconex</t>
  </si>
  <si>
    <t>VCM_2022</t>
  </si>
  <si>
    <t>VCM_2023</t>
  </si>
  <si>
    <t>VCR_2021</t>
  </si>
  <si>
    <t>VCR</t>
  </si>
  <si>
    <t>CTCP Đầu tư và Phát triển Du lịch Vinaconex</t>
  </si>
  <si>
    <t>VCR_2022</t>
  </si>
  <si>
    <t>VCR_2023</t>
  </si>
  <si>
    <t>VCS_2021</t>
  </si>
  <si>
    <t>VCS</t>
  </si>
  <si>
    <t>Công ty cổ phần Vicostone</t>
  </si>
  <si>
    <t>VCS_2022</t>
  </si>
  <si>
    <t>VCS_2023</t>
  </si>
  <si>
    <t>VCV</t>
  </si>
  <si>
    <t>CTCP Vận tải Vinaconex</t>
  </si>
  <si>
    <t>VDL_2021</t>
  </si>
  <si>
    <t>VDL</t>
  </si>
  <si>
    <t>CTCP Thực phẩm Lâm Đồng</t>
  </si>
  <si>
    <t>VDL_2022</t>
  </si>
  <si>
    <t>VDL_2023</t>
  </si>
  <si>
    <t>VDS_2021</t>
  </si>
  <si>
    <t>VDS</t>
  </si>
  <si>
    <t>CTCP Chứng khoán Rồng Việt</t>
  </si>
  <si>
    <t>VDS_2022</t>
  </si>
  <si>
    <t>VDS_2023</t>
  </si>
  <si>
    <t>VE1_2021</t>
  </si>
  <si>
    <t>VE1</t>
  </si>
  <si>
    <t>CTCP Xây dựng điện VNECO 1</t>
  </si>
  <si>
    <t>VE1_2022</t>
  </si>
  <si>
    <t>CTCP Xây dựng điện VNECO 2</t>
  </si>
  <si>
    <t>VE1_2023</t>
  </si>
  <si>
    <t>CTCP Xây dựng điện VNECO 3</t>
  </si>
  <si>
    <t>VE2_2021</t>
  </si>
  <si>
    <t>VE2</t>
  </si>
  <si>
    <t>Công ty cổ phần Xây dựng điện VNECO 2</t>
  </si>
  <si>
    <t>VE3_2021</t>
  </si>
  <si>
    <t>VE3</t>
  </si>
  <si>
    <t>CTCP Xây dựng Điện VNECO 3</t>
  </si>
  <si>
    <t>VE3_2022</t>
  </si>
  <si>
    <t>VE3_2023</t>
  </si>
  <si>
    <t>VE4_2021</t>
  </si>
  <si>
    <t>VE4</t>
  </si>
  <si>
    <t>CTCP Xây dựng điện VNECO4</t>
  </si>
  <si>
    <t>VE4_2022</t>
  </si>
  <si>
    <t>VE4_2023</t>
  </si>
  <si>
    <t>VE8_2021</t>
  </si>
  <si>
    <t>VE8</t>
  </si>
  <si>
    <t>Công ty cổ phần Xây dựng điện VNECO 8</t>
  </si>
  <si>
    <t>VE8_2022</t>
  </si>
  <si>
    <t>VE8_2023</t>
  </si>
  <si>
    <t>VE9_2021</t>
  </si>
  <si>
    <t>VE9</t>
  </si>
  <si>
    <t>CTCP Đầu tư và xây dựng VNECO 9</t>
  </si>
  <si>
    <t>VE9_2022</t>
  </si>
  <si>
    <t>VE9_2023</t>
  </si>
  <si>
    <t>VFR_2021</t>
  </si>
  <si>
    <t>VFR</t>
  </si>
  <si>
    <t>CTCP Vận tải và Thuê tàu</t>
  </si>
  <si>
    <t>VFR_2022</t>
  </si>
  <si>
    <t>VFR_2023</t>
  </si>
  <si>
    <t>VGC_2021</t>
  </si>
  <si>
    <t>VGC</t>
  </si>
  <si>
    <t>Tổng Công ty Viglacera - CTCP</t>
  </si>
  <si>
    <t>VGC_2022</t>
  </si>
  <si>
    <t>VGC_2023</t>
  </si>
  <si>
    <t>VGP_2021</t>
  </si>
  <si>
    <t>VGP</t>
  </si>
  <si>
    <t>CTCP Cảng Rau quả</t>
  </si>
  <si>
    <t>VGP_2022</t>
  </si>
  <si>
    <t>VGP_2023</t>
  </si>
  <si>
    <t>VGS_2021</t>
  </si>
  <si>
    <t>VGS</t>
  </si>
  <si>
    <t>CTCP Ống thép Việt Đức VG PIPE</t>
  </si>
  <si>
    <t>VGS_2022</t>
  </si>
  <si>
    <t>VGS_2023</t>
  </si>
  <si>
    <t>VHL_2021</t>
  </si>
  <si>
    <t>VHL</t>
  </si>
  <si>
    <t>CTCP Viglacera Hạ Long</t>
  </si>
  <si>
    <t>VHL_2022</t>
  </si>
  <si>
    <t>VHL_2023</t>
  </si>
  <si>
    <t>VIE_2021</t>
  </si>
  <si>
    <t>VIE</t>
  </si>
  <si>
    <t>CTCP Công nghệ Viễn thông VITECO</t>
  </si>
  <si>
    <t>VIE_2022</t>
  </si>
  <si>
    <t>VIE_2023</t>
  </si>
  <si>
    <t>VIG_2021</t>
  </si>
  <si>
    <t>VIG</t>
  </si>
  <si>
    <t>CTCP Chứng khoán Thương mại và Công nghiệp Việt Nam</t>
  </si>
  <si>
    <t>VIG_2022</t>
  </si>
  <si>
    <t>VIG_2023</t>
  </si>
  <si>
    <t>VIT_2021</t>
  </si>
  <si>
    <t>VIT</t>
  </si>
  <si>
    <t>CTCP Viglacera Tiên Sơn</t>
  </si>
  <si>
    <t>VIT_2022</t>
  </si>
  <si>
    <t>VIT_2023</t>
  </si>
  <si>
    <t>VIX_2021</t>
  </si>
  <si>
    <t>VIX</t>
  </si>
  <si>
    <t>Công ty cổ phần Chứng khoán VIX</t>
  </si>
  <si>
    <t>VIX_2022</t>
  </si>
  <si>
    <t>VIX_2023</t>
  </si>
  <si>
    <t>VKC_2021</t>
  </si>
  <si>
    <t>VKC</t>
  </si>
  <si>
    <t>Công ty cổ phần VKC Holdings</t>
  </si>
  <si>
    <t>VKC_2022</t>
  </si>
  <si>
    <t>VKC_2023</t>
  </si>
  <si>
    <t>VLA_2021</t>
  </si>
  <si>
    <t>VLA</t>
  </si>
  <si>
    <t>CTCP Đầu tư và Phát triển Công nghệ Văn Lang</t>
  </si>
  <si>
    <t>VLA_2022</t>
  </si>
  <si>
    <t>VLA_2023</t>
  </si>
  <si>
    <t>VMC_2021</t>
  </si>
  <si>
    <t>VMC</t>
  </si>
  <si>
    <t>CTCP Vimeco</t>
  </si>
  <si>
    <t>VMC_2022</t>
  </si>
  <si>
    <t>VMC_2023</t>
  </si>
  <si>
    <t>VMG_2021</t>
  </si>
  <si>
    <t>VMG</t>
  </si>
  <si>
    <t>CTCP Thương mại và Dịch vụ Dầu khí Vũng Tàu</t>
  </si>
  <si>
    <t>VMG_2022</t>
  </si>
  <si>
    <t>VMG_2023</t>
  </si>
  <si>
    <t>VMI</t>
  </si>
  <si>
    <t>CTCP Khoáng sản và Đầu tư VISACO</t>
  </si>
  <si>
    <t>VMS_2021</t>
  </si>
  <si>
    <t>VMS</t>
  </si>
  <si>
    <t>CTCP Phát triển Hàng hải</t>
  </si>
  <si>
    <t>VMS_2022</t>
  </si>
  <si>
    <t>VMS_2023</t>
  </si>
  <si>
    <t>VNC_2021</t>
  </si>
  <si>
    <t>VNC</t>
  </si>
  <si>
    <t>CTCP Tập đoàn Vinacontrol</t>
  </si>
  <si>
    <t>VNC_2022</t>
  </si>
  <si>
    <t>VNC_2023</t>
  </si>
  <si>
    <t>VND_2021</t>
  </si>
  <si>
    <t>VND</t>
  </si>
  <si>
    <t>Công ty cổ phần Chứng khoán VNDIRECT</t>
  </si>
  <si>
    <t>VND_2022</t>
  </si>
  <si>
    <t>VND_2023</t>
  </si>
  <si>
    <t>VNF_2021</t>
  </si>
  <si>
    <t>VNF</t>
  </si>
  <si>
    <t>Công ty cổ phần Vinafreight</t>
  </si>
  <si>
    <t>VNF_2022</t>
  </si>
  <si>
    <t>VNF_2023</t>
  </si>
  <si>
    <t>VNR_2021</t>
  </si>
  <si>
    <t>VNR</t>
  </si>
  <si>
    <t>Tổng CTCP Tái bảo hiểm quốc gia Việt Nam</t>
  </si>
  <si>
    <t>VNR_2022</t>
  </si>
  <si>
    <t>VNR_2023</t>
  </si>
  <si>
    <t>VNT_2021</t>
  </si>
  <si>
    <t>VNT</t>
  </si>
  <si>
    <t>Công ty cổ phần Giao nhận Vận tải Ngoại thương</t>
  </si>
  <si>
    <t>VNT_2022</t>
  </si>
  <si>
    <t>VNT_2023</t>
  </si>
  <si>
    <t>VSA_2021</t>
  </si>
  <si>
    <t>VSA</t>
  </si>
  <si>
    <t>Công ty cổ phần Đại lý Hàng hải Việt Nam</t>
  </si>
  <si>
    <t>VSA_2022</t>
  </si>
  <si>
    <t>VSA_2023</t>
  </si>
  <si>
    <t>VTC_2021</t>
  </si>
  <si>
    <t>VTC</t>
  </si>
  <si>
    <t>CTCP Viễn thông VTC</t>
  </si>
  <si>
    <t>VTC_2022</t>
  </si>
  <si>
    <t>VTC_2023</t>
  </si>
  <si>
    <t>VTH_2021</t>
  </si>
  <si>
    <t>VTH</t>
  </si>
  <si>
    <t>CTCP Dây cáp điện Việt Thái</t>
  </si>
  <si>
    <t>VTH_2022</t>
  </si>
  <si>
    <t>VTH_2023</t>
  </si>
  <si>
    <t>VTL_2021</t>
  </si>
  <si>
    <t>VTL</t>
  </si>
  <si>
    <t>CTCP Vang Thăng Long</t>
  </si>
  <si>
    <t>VTL_2022</t>
  </si>
  <si>
    <t>VTL_2023</t>
  </si>
  <si>
    <t>VTS_2021</t>
  </si>
  <si>
    <t>VTS</t>
  </si>
  <si>
    <t>CTCP Viglacera Từ Sơn</t>
  </si>
  <si>
    <t>VTS_2022</t>
  </si>
  <si>
    <t>VTS_2023</t>
  </si>
  <si>
    <t>VTV_2021</t>
  </si>
  <si>
    <t>VTV</t>
  </si>
  <si>
    <t>CTCP Năng lượng và Môi trường VICEM</t>
  </si>
  <si>
    <t>VTV_2022</t>
  </si>
  <si>
    <t>VTV_2023</t>
  </si>
  <si>
    <t>VXB</t>
  </si>
  <si>
    <t>CTCP Vật liệu xây dựng Bến Tre</t>
  </si>
  <si>
    <t>WCS_2021</t>
  </si>
  <si>
    <t>WCS</t>
  </si>
  <si>
    <t>CTCP Bến xe Miền Tây</t>
  </si>
  <si>
    <t>WCS_2022</t>
  </si>
  <si>
    <t>WCS_2023</t>
  </si>
  <si>
    <t>WSS_2021</t>
  </si>
  <si>
    <t>WSS</t>
  </si>
  <si>
    <t>CTCP Chứng khoán Phố Wall</t>
  </si>
  <si>
    <t>WSS_2022</t>
  </si>
  <si>
    <t>WSS_2023</t>
  </si>
  <si>
    <t>XMC_2021</t>
  </si>
  <si>
    <t>XMC</t>
  </si>
  <si>
    <t>Công ty cổ phần Đầu Tư và Xây Dựng Xuân Mai</t>
  </si>
  <si>
    <t>XMC_2022</t>
  </si>
  <si>
    <t>XMC_2023</t>
  </si>
  <si>
    <t>YSC</t>
  </si>
  <si>
    <t>CTCP Hapaco Yên Sơn</t>
  </si>
  <si>
    <t>AAA_2021</t>
  </si>
  <si>
    <t>AAA</t>
  </si>
  <si>
    <t xml:space="preserve">CTCP Nhựa An Phát Xanh </t>
  </si>
  <si>
    <t>AAA_2022</t>
  </si>
  <si>
    <t>AAA_2023</t>
  </si>
  <si>
    <t>AAM_2021</t>
  </si>
  <si>
    <t>AAM</t>
  </si>
  <si>
    <t>CTCP Thủy sản Mekong</t>
  </si>
  <si>
    <t>AAM_2022</t>
  </si>
  <si>
    <t>AAM_2023</t>
  </si>
  <si>
    <t>ABT_2021</t>
  </si>
  <si>
    <t>ABT</t>
  </si>
  <si>
    <t>CTCP Xuất nhập khẩu Thủy sản Bến Tre</t>
  </si>
  <si>
    <t>ABT_2022</t>
  </si>
  <si>
    <t>ABT_2023</t>
  </si>
  <si>
    <t>ACC_2021</t>
  </si>
  <si>
    <t>ACC</t>
  </si>
  <si>
    <t>Công ty cổ phần Bê tông Becamex</t>
  </si>
  <si>
    <t>ACC_2022</t>
  </si>
  <si>
    <t>ACC_2023</t>
  </si>
  <si>
    <t>ACL_2021</t>
  </si>
  <si>
    <t>ACL</t>
  </si>
  <si>
    <t>Công ty cổ phần Xuất nhập khẩu Thủy sản Cửu Long An Giang</t>
  </si>
  <si>
    <t>ACL_2022</t>
  </si>
  <si>
    <t>ACL_2023</t>
  </si>
  <si>
    <t>ADS_2021</t>
  </si>
  <si>
    <t>ADS</t>
  </si>
  <si>
    <t>Công ty cổ phần Damsan</t>
  </si>
  <si>
    <t>ADS_2022</t>
  </si>
  <si>
    <t>ADS_2023</t>
  </si>
  <si>
    <t>AGF_2021</t>
  </si>
  <si>
    <t>AGF</t>
  </si>
  <si>
    <t>CTCP Xuất nhập khẩu Thủy sản An Giang</t>
  </si>
  <si>
    <t>AGF_2022</t>
  </si>
  <si>
    <t>AGF_2023</t>
  </si>
  <si>
    <t>AGM_2021</t>
  </si>
  <si>
    <t>AGM</t>
  </si>
  <si>
    <t>Công ty cổ phần Xuất nhập khẩu An Giang</t>
  </si>
  <si>
    <t>AGM_2022</t>
  </si>
  <si>
    <t>AGM_2023</t>
  </si>
  <si>
    <t>AGR_2021</t>
  </si>
  <si>
    <t>AGR</t>
  </si>
  <si>
    <t>CTCP Chứng khoán Nông nghiệp và Phát triển Nông thôn</t>
  </si>
  <si>
    <t>AGR_2022</t>
  </si>
  <si>
    <t>AGR_2023</t>
  </si>
  <si>
    <t>AMD</t>
  </si>
  <si>
    <t>Công ty cổ phần Đầu tư và Khoáng sản AMD Group</t>
  </si>
  <si>
    <t>ANV_2021</t>
  </si>
  <si>
    <t>ANV</t>
  </si>
  <si>
    <t>CTCP Nam Việt</t>
  </si>
  <si>
    <t>ANV_2022</t>
  </si>
  <si>
    <t>ANV_2023</t>
  </si>
  <si>
    <t>APC_2021</t>
  </si>
  <si>
    <t>APC</t>
  </si>
  <si>
    <t>CTCP Chiếu xạ An Phú</t>
  </si>
  <si>
    <t>APC_2022</t>
  </si>
  <si>
    <t>APC_2023</t>
  </si>
  <si>
    <t>APG_2021</t>
  </si>
  <si>
    <t>APG</t>
  </si>
  <si>
    <t>CTCP Chứng khoán An Phát</t>
  </si>
  <si>
    <t>APG_2022</t>
  </si>
  <si>
    <t>APG_2023</t>
  </si>
  <si>
    <t>ASM_2021</t>
  </si>
  <si>
    <t>ASM</t>
  </si>
  <si>
    <t>CTCP Tập đoàn Sao Mai</t>
  </si>
  <si>
    <t>ASM_2022</t>
  </si>
  <si>
    <t>ASM_2023</t>
  </si>
  <si>
    <t>ASP_2021</t>
  </si>
  <si>
    <t>ASP</t>
  </si>
  <si>
    <t>CTCP Tập đoàn Dầu khí An Pha</t>
  </si>
  <si>
    <t>ASP_2022</t>
  </si>
  <si>
    <t>ASP_2023</t>
  </si>
  <si>
    <t>ATG</t>
  </si>
  <si>
    <t>CTCP An Trường An</t>
  </si>
  <si>
    <t>BAS</t>
  </si>
  <si>
    <t>CTCP Basa</t>
  </si>
  <si>
    <t>BBC_2021</t>
  </si>
  <si>
    <t>BBC</t>
  </si>
  <si>
    <t>CTCP Bibica</t>
  </si>
  <si>
    <t>BBC_2022</t>
  </si>
  <si>
    <t>BBT</t>
  </si>
  <si>
    <t>CTCP Bông Bạch Tuyết</t>
  </si>
  <si>
    <t>BCE_2021</t>
  </si>
  <si>
    <t>BCE</t>
  </si>
  <si>
    <t>CTCP Xây dựng và Giao thông Bình Dương</t>
  </si>
  <si>
    <t>BCE_2022</t>
  </si>
  <si>
    <t>BCE_2023</t>
  </si>
  <si>
    <t>BCG_2021</t>
  </si>
  <si>
    <t>BCG</t>
  </si>
  <si>
    <t>Công ty cổ phần Bamboo Capital</t>
  </si>
  <si>
    <t>BCG_2022</t>
  </si>
  <si>
    <t>BCG_2023</t>
  </si>
  <si>
    <t>BFC_2021</t>
  </si>
  <si>
    <t>BFC</t>
  </si>
  <si>
    <t>Công ty cổ phần Phân bón Bình Điền</t>
  </si>
  <si>
    <t>BFC_2022</t>
  </si>
  <si>
    <t>BFC_2023</t>
  </si>
  <si>
    <t>BHN_2021</t>
  </si>
  <si>
    <t>BHN</t>
  </si>
  <si>
    <t>Tổng CTCP Bia - Rượu - Nước giải khát Hà Nội</t>
  </si>
  <si>
    <t>BHN_2022</t>
  </si>
  <si>
    <t>BHN_2023</t>
  </si>
  <si>
    <t>BIC_2021</t>
  </si>
  <si>
    <t>BIC</t>
  </si>
  <si>
    <t>Tổng CTCP Bảo hiểm Ngân hàng Đầu tư và phát triển Việt Nam</t>
  </si>
  <si>
    <t>BIC_2022</t>
  </si>
  <si>
    <t>BIC_2023</t>
  </si>
  <si>
    <t>BID_2021</t>
  </si>
  <si>
    <t>BID</t>
  </si>
  <si>
    <t>Ngân hàng Thương mại cổ phần Đầu tư và Phát triển Việt Nam</t>
  </si>
  <si>
    <t>BID_2022</t>
  </si>
  <si>
    <t>BID_2023</t>
  </si>
  <si>
    <t>BMC_2021</t>
  </si>
  <si>
    <t>BMC</t>
  </si>
  <si>
    <t>Công ty cổ phần Khoáng sản Bình Định</t>
  </si>
  <si>
    <t>BMC_2022</t>
  </si>
  <si>
    <t>BMC_2023</t>
  </si>
  <si>
    <t>BMI_2021</t>
  </si>
  <si>
    <t>BMI</t>
  </si>
  <si>
    <t>Tổng CTCP Bảo Minh</t>
  </si>
  <si>
    <t>BMI_2022</t>
  </si>
  <si>
    <t>BMI_2023</t>
  </si>
  <si>
    <t>BMP_2021</t>
  </si>
  <si>
    <t>BMP</t>
  </si>
  <si>
    <t>CTCP Nhựa Bình Minh</t>
  </si>
  <si>
    <t>BMP_2022</t>
  </si>
  <si>
    <t>BMP_2023</t>
  </si>
  <si>
    <t>BRC_2021</t>
  </si>
  <si>
    <t>BRC</t>
  </si>
  <si>
    <t>CTCP Cao su Bến Thành</t>
  </si>
  <si>
    <t>BRC_2022</t>
  </si>
  <si>
    <t>BRC_2023</t>
  </si>
  <si>
    <t>BSI_2021</t>
  </si>
  <si>
    <t>BSI</t>
  </si>
  <si>
    <t>Công ty cổ phần Chứng khoán Ngân hàng Đầu tư và Phát triển Việt Nam</t>
  </si>
  <si>
    <t>BSI_2022</t>
  </si>
  <si>
    <t>BSI_2023</t>
  </si>
  <si>
    <t>BTP_2021</t>
  </si>
  <si>
    <t>BTP</t>
  </si>
  <si>
    <t>CTCP Nhiệt điện Bà Rịa</t>
  </si>
  <si>
    <t>BTP_2022</t>
  </si>
  <si>
    <t>BTP_2023</t>
  </si>
  <si>
    <t>BTT_2021</t>
  </si>
  <si>
    <t>BTT</t>
  </si>
  <si>
    <t>CTCP Thương mại - Dịch vụ Bến Thành</t>
  </si>
  <si>
    <t>BTT_2022</t>
  </si>
  <si>
    <t>BTT_2023</t>
  </si>
  <si>
    <t>BVH_2021</t>
  </si>
  <si>
    <t>BVH</t>
  </si>
  <si>
    <t>Tập đoàn Bảo Việt</t>
  </si>
  <si>
    <t>BVH_2022</t>
  </si>
  <si>
    <t>BVH_2023</t>
  </si>
  <si>
    <t>C32_2021</t>
  </si>
  <si>
    <t>C32</t>
  </si>
  <si>
    <t>CTCP Đầu tư Xây dựng 3-2</t>
  </si>
  <si>
    <t>C32_2022</t>
  </si>
  <si>
    <t>CTCP Đầu tư Xây dựng 3-3</t>
  </si>
  <si>
    <t>C32_2023</t>
  </si>
  <si>
    <t>CTCP Đầu tư Xây dựng 3-4</t>
  </si>
  <si>
    <t>C47_2021</t>
  </si>
  <si>
    <t>C47</t>
  </si>
  <si>
    <t>CTCP Xây dựng 47</t>
  </si>
  <si>
    <t>C47_2022</t>
  </si>
  <si>
    <t>C47_2023</t>
  </si>
  <si>
    <t>CAV_2021</t>
  </si>
  <si>
    <t>CAV</t>
  </si>
  <si>
    <t>Công ty cổ phần Dây Cáp Điện Việt Nam</t>
  </si>
  <si>
    <t>CAV_2022</t>
  </si>
  <si>
    <t>CAV_2023</t>
  </si>
  <si>
    <t>CCI_2021</t>
  </si>
  <si>
    <t>CCI</t>
  </si>
  <si>
    <t>CTCP Đầu tư Phát triển Công nghiệp - Thương mại Củ Chi</t>
  </si>
  <si>
    <t>CCI_2022</t>
  </si>
  <si>
    <t>CCI_2023</t>
  </si>
  <si>
    <t>CCL_2021</t>
  </si>
  <si>
    <t>CCL</t>
  </si>
  <si>
    <t>Công ty cổ phần Đầu tư và Phát triển Đô thị Dầu khí Cửu Long</t>
  </si>
  <si>
    <t>CCL_2022</t>
  </si>
  <si>
    <t>CCL_2023</t>
  </si>
  <si>
    <t>CDC_2021</t>
  </si>
  <si>
    <t>CDC</t>
  </si>
  <si>
    <t>CTCP Chương Dương</t>
  </si>
  <si>
    <t>CDC_2022</t>
  </si>
  <si>
    <t>CDC_2023</t>
  </si>
  <si>
    <t>CHP_2021</t>
  </si>
  <si>
    <t>CHP</t>
  </si>
  <si>
    <t>CTCP Thủy điện miền Trung</t>
  </si>
  <si>
    <t>CHP_2022</t>
  </si>
  <si>
    <t>CHP_2023</t>
  </si>
  <si>
    <t>CIG_2021</t>
  </si>
  <si>
    <t>CIG</t>
  </si>
  <si>
    <t>CTCP COMA18</t>
  </si>
  <si>
    <t>CIG_2022</t>
  </si>
  <si>
    <t>CTCP COMA19</t>
  </si>
  <si>
    <t>CIG_2023</t>
  </si>
  <si>
    <t>CTCP COMA20</t>
  </si>
  <si>
    <t>CII_2021</t>
  </si>
  <si>
    <t>CII</t>
  </si>
  <si>
    <t>Công ty cổ phần Đầu tư Hạ tầng Kỹ thuật T.P Hồ Chí Minh</t>
  </si>
  <si>
    <t>CII_2022</t>
  </si>
  <si>
    <t>CII_2023</t>
  </si>
  <si>
    <t>CLC_2021</t>
  </si>
  <si>
    <t>CLC</t>
  </si>
  <si>
    <t>CTCP Cát Lợi</t>
  </si>
  <si>
    <t>CLC_2022</t>
  </si>
  <si>
    <t>CLC_2023</t>
  </si>
  <si>
    <t>CLG</t>
  </si>
  <si>
    <t>CTCP Đầu tư và Phát triển Nhà đất COTEC</t>
  </si>
  <si>
    <r>
      <rPr>
        <sz val="13"/>
        <rFont val="Times New Roman"/>
        <family val="1"/>
      </rPr>
      <t xml:space="preserve">Năm 2021 thuộc trường CK bị huỷ niêm yết bắt buộc </t>
    </r>
    <r>
      <rPr>
        <u/>
        <sz val="13"/>
        <color rgb="FF1155CC"/>
        <rFont val="Times New Roman"/>
        <family val="1"/>
      </rPr>
      <t>link</t>
    </r>
  </si>
  <si>
    <t>CLL_2021</t>
  </si>
  <si>
    <t>CLL</t>
  </si>
  <si>
    <t>Công ty cổ phần Cảng Cát Lái</t>
  </si>
  <si>
    <t>CLL_2022</t>
  </si>
  <si>
    <t>CLL_2023</t>
  </si>
  <si>
    <t>CLP</t>
  </si>
  <si>
    <t>CTCP Thủy Sản Cửu Long</t>
  </si>
  <si>
    <t>CLW_2021</t>
  </si>
  <si>
    <t>CLW</t>
  </si>
  <si>
    <t>CTCP Cấp nước Chợ Lớn</t>
  </si>
  <si>
    <t>CLW_2022</t>
  </si>
  <si>
    <t>CLW_2023</t>
  </si>
  <si>
    <t>CMG_2021</t>
  </si>
  <si>
    <t>CMG</t>
  </si>
  <si>
    <t>CTCP Tập đoàn Công nghệ CMC</t>
  </si>
  <si>
    <t>CMG_2022</t>
  </si>
  <si>
    <t>CMG_2023</t>
  </si>
  <si>
    <t>CMT_2021</t>
  </si>
  <si>
    <t>CMT</t>
  </si>
  <si>
    <t>CTCP Công nghệ Mạng và Truyền thông</t>
  </si>
  <si>
    <t>CMT_2022</t>
  </si>
  <si>
    <t>CMT_2023</t>
  </si>
  <si>
    <t>CMV_2021</t>
  </si>
  <si>
    <t>CMV</t>
  </si>
  <si>
    <t>CTCP Thương nghiệp Cà Mau</t>
  </si>
  <si>
    <t>CMV_2022</t>
  </si>
  <si>
    <t>CMV_2023</t>
  </si>
  <si>
    <t>CMX_2021</t>
  </si>
  <si>
    <t>CMX</t>
  </si>
  <si>
    <t>CTCP Chế biến và Xuất nhập khẩu Thủy sản Cà Mau</t>
  </si>
  <si>
    <t>CMX_2022</t>
  </si>
  <si>
    <t>CMX_2023</t>
  </si>
  <si>
    <t>CNG_2021</t>
  </si>
  <si>
    <t>CNG</t>
  </si>
  <si>
    <t>Công ty cổ phần CNG Việt Nam</t>
  </si>
  <si>
    <t>CNG_2022</t>
  </si>
  <si>
    <t>CNG_2023</t>
  </si>
  <si>
    <t>COM_2021</t>
  </si>
  <si>
    <t>COM</t>
  </si>
  <si>
    <t>CTCP Vật tư - Xăng dầu</t>
  </si>
  <si>
    <t>COM_2022</t>
  </si>
  <si>
    <t>COM_2023</t>
  </si>
  <si>
    <t>CSG_2021</t>
  </si>
  <si>
    <t>CSG</t>
  </si>
  <si>
    <t>CTCP Cáp Sài Gòn</t>
  </si>
  <si>
    <t>CSG_2022</t>
  </si>
  <si>
    <t>CSG_2023</t>
  </si>
  <si>
    <t>CSM_2021</t>
  </si>
  <si>
    <t>CSM</t>
  </si>
  <si>
    <t>CTCP Công nghiệp Cao su Miền Nam</t>
  </si>
  <si>
    <t>CSM_2022</t>
  </si>
  <si>
    <t>CSM_2023</t>
  </si>
  <si>
    <t>CSV_2021</t>
  </si>
  <si>
    <t>CSV</t>
  </si>
  <si>
    <t>CTCP Hóa chất Cơ bản miền Nam</t>
  </si>
  <si>
    <t>CSV_2022</t>
  </si>
  <si>
    <t>CSV_2023</t>
  </si>
  <si>
    <t>CTD_2021</t>
  </si>
  <si>
    <t>CTD</t>
  </si>
  <si>
    <t>CTCP Xây dựng Coteccons</t>
  </si>
  <si>
    <t>CTD_2022</t>
  </si>
  <si>
    <t>CTD_2023</t>
  </si>
  <si>
    <t>CTF_2021</t>
  </si>
  <si>
    <t>CTF</t>
  </si>
  <si>
    <t>Công ty cổ phần City Auto</t>
  </si>
  <si>
    <t>CTF_2022</t>
  </si>
  <si>
    <t>CTF_2023</t>
  </si>
  <si>
    <t>CTG_2021</t>
  </si>
  <si>
    <t>CTG</t>
  </si>
  <si>
    <t>Ngân hàng Thương mại Cổ phần Công thương Việt Nam</t>
  </si>
  <si>
    <t>CTG_2022</t>
  </si>
  <si>
    <t>CTG_2023</t>
  </si>
  <si>
    <t>CTI_2021</t>
  </si>
  <si>
    <t>CTI</t>
  </si>
  <si>
    <t>CTCP Đầu tư Phát triển Cường Thuận IDICO</t>
  </si>
  <si>
    <t>CTI_2022</t>
  </si>
  <si>
    <t>CTI_2023</t>
  </si>
  <si>
    <t>CYC_2021</t>
  </si>
  <si>
    <t>CYC</t>
  </si>
  <si>
    <t>CTCP Gạch men Chang Yih</t>
  </si>
  <si>
    <t>CYC_2022</t>
  </si>
  <si>
    <t>CYC_2023</t>
  </si>
  <si>
    <t>D2D_2021</t>
  </si>
  <si>
    <t>D2D</t>
  </si>
  <si>
    <t>CTCP Phát triển Đô thị Công nghiệp Số 2</t>
  </si>
  <si>
    <t>D2D_2022</t>
  </si>
  <si>
    <t>CTCP Phát triển Đô thị Công nghiệp Số 3</t>
  </si>
  <si>
    <t>D2D_2023</t>
  </si>
  <si>
    <t>CTCP Phát triển Đô thị Công nghiệp Số 4</t>
  </si>
  <si>
    <t>DAG_2021</t>
  </si>
  <si>
    <t>DAG</t>
  </si>
  <si>
    <t>CTCP Tập đoàn Nhựa Đông Á</t>
  </si>
  <si>
    <t>DAG_2022</t>
  </si>
  <si>
    <t>DAG_2023</t>
  </si>
  <si>
    <t>DAH_2021</t>
  </si>
  <si>
    <t>DAH</t>
  </si>
  <si>
    <t>Công ty cổ phần Tập đoàn Khách sạn Đông Á</t>
  </si>
  <si>
    <t>DAH_2022</t>
  </si>
  <si>
    <t>DAH_2023</t>
  </si>
  <si>
    <t>DAT_2021</t>
  </si>
  <si>
    <t>DAT</t>
  </si>
  <si>
    <t>CTCP Đầu tư Du lịch và Phát triển Thủy sản</t>
  </si>
  <si>
    <r>
      <rPr>
        <b/>
        <u/>
        <sz val="13"/>
        <color rgb="FF1155CC"/>
        <rFont val="Times New Roman"/>
        <family val="1"/>
      </rPr>
      <t>DAT_2022</t>
    </r>
    <r>
      <rPr>
        <b/>
        <sz val="13"/>
        <rFont val="Times New Roman"/>
        <family val="1"/>
      </rPr>
      <t>f</t>
    </r>
  </si>
  <si>
    <t>DAT_2023</t>
  </si>
  <si>
    <t>DCC</t>
  </si>
  <si>
    <t>CTCP Xây dựng Công nghiệp DESCON</t>
  </si>
  <si>
    <t>DCL_2021</t>
  </si>
  <si>
    <t>DCL</t>
  </si>
  <si>
    <t>CTCP Dược phẩm Cửu Long</t>
  </si>
  <si>
    <t>DCL_2022</t>
  </si>
  <si>
    <t>DCL_2023</t>
  </si>
  <si>
    <t>DCM_2021</t>
  </si>
  <si>
    <t>DCM</t>
  </si>
  <si>
    <t>CTCP Phân bón Dầu khí Cà Mau</t>
  </si>
  <si>
    <t>DCM_2022</t>
  </si>
  <si>
    <t>DCM_2023</t>
  </si>
  <si>
    <t>DGW_2021</t>
  </si>
  <si>
    <t>DGW</t>
  </si>
  <si>
    <t>Công ty cổ phần Thế giới số</t>
  </si>
  <si>
    <t>DGW_2022</t>
  </si>
  <si>
    <t>DGW_2023</t>
  </si>
  <si>
    <t>DHA_2021</t>
  </si>
  <si>
    <t>DHA</t>
  </si>
  <si>
    <t>CTCP Hóa An</t>
  </si>
  <si>
    <t>DHA_2022</t>
  </si>
  <si>
    <t>DHA_2023</t>
  </si>
  <si>
    <t>DHC_2021</t>
  </si>
  <si>
    <t>DHC</t>
  </si>
  <si>
    <t>CTCP Đông Hải Bến Tre</t>
  </si>
  <si>
    <t>DHC_2022</t>
  </si>
  <si>
    <t>DHC_2023</t>
  </si>
  <si>
    <t>DHG_2021</t>
  </si>
  <si>
    <t>DHG</t>
  </si>
  <si>
    <t>CTCP Dược Hậu Giang</t>
  </si>
  <si>
    <t>DHG_2022</t>
  </si>
  <si>
    <t>DHG_2023</t>
  </si>
  <si>
    <t>DHM_2021</t>
  </si>
  <si>
    <t>DHM</t>
  </si>
  <si>
    <t>Công ty cổ phần Thương mại và Khai thác Khoáng sản Dương Hiếu</t>
  </si>
  <si>
    <t>DHM_2022</t>
  </si>
  <si>
    <t>346.493.476.15
5</t>
  </si>
  <si>
    <t>Xem lại chi phí quản lý doanh nghiệp</t>
  </si>
  <si>
    <t>https://static2.vietstock.vn/data/UPCOM/2021/BCTC/VN/NAM/DIC_Baocaotaichinh_2021_Kiemtoan_Hopnhat/1_dic_2023_4_4_3b489fb_bctc_kiem_toan_hop_nhat_2021.PDF</t>
  </si>
  <si>
    <t>DIC</t>
  </si>
  <si>
    <t>CTCP Đầu tư và Thương mại DIC</t>
  </si>
  <si>
    <t>https://static2.vietstock.vn/data/UPCOM/2022/BCTC/VN/NAM/DIC_Baocaotaichinh_2022_Kiemtoan_Hopnhat/1_dic_2023_9_11_9e46742_bctc_hop_nhat_duoc_kiem_toan_2022.PDF</t>
  </si>
  <si>
    <t>https://static2.vietstock.vn/data/UPCOM/2023/BCTC/VN/NAM/DIC_Baocaotaichinh_2023_Kiemtoan_Hopnhat/2_dic_2024_6_21_e38fe06_hnx_cbtt_bctc_hop_nhat_nam_2023_duoc_kiem_toan.pdf</t>
  </si>
  <si>
    <t>DIG_2021</t>
  </si>
  <si>
    <t>DIG</t>
  </si>
  <si>
    <t>Tổng công ty Cổ phần Đầu tư Phát triển xây dựng</t>
  </si>
  <si>
    <t>DIG_2023</t>
  </si>
  <si>
    <t>DLG_2021</t>
  </si>
  <si>
    <t>DLG</t>
  </si>
  <si>
    <t>CTCP Tập đoàn Đức Long Gia Lai</t>
  </si>
  <si>
    <t>DLG_2022</t>
  </si>
  <si>
    <t>DLG_2023</t>
  </si>
  <si>
    <t>DMC_2021</t>
  </si>
  <si>
    <t>DMC</t>
  </si>
  <si>
    <t>CTCP Xuất nhập khẩu Y tế Domesco</t>
  </si>
  <si>
    <t>DMC_2022</t>
  </si>
  <si>
    <t>DMC_2023</t>
  </si>
  <si>
    <t>DPM_2021</t>
  </si>
  <si>
    <t>DPM</t>
  </si>
  <si>
    <t>Tổng Công ty Phân bón và Hóa chất Dầu khí-CTCP</t>
  </si>
  <si>
    <t>DPM_2022</t>
  </si>
  <si>
    <t>DPM_2023</t>
  </si>
  <si>
    <t>DPR_2021</t>
  </si>
  <si>
    <t>DPR</t>
  </si>
  <si>
    <t>CTCP Cao su Đồng Phú</t>
  </si>
  <si>
    <t>DPR_2022</t>
  </si>
  <si>
    <t>DPR_2023</t>
  </si>
  <si>
    <t>DQC_2021</t>
  </si>
  <si>
    <t>DQC</t>
  </si>
  <si>
    <t>CTCP Bóng đèn Điện Quang</t>
  </si>
  <si>
    <t>DQC_2022</t>
  </si>
  <si>
    <t>DQC_2023</t>
  </si>
  <si>
    <t>DRC_2021</t>
  </si>
  <si>
    <t>DRC</t>
  </si>
  <si>
    <t>CTCP Cao su Đà Nẵng</t>
  </si>
  <si>
    <t>DRC_2022</t>
  </si>
  <si>
    <t>DRC_2023</t>
  </si>
  <si>
    <t>DRH_2021</t>
  </si>
  <si>
    <t>DRH</t>
  </si>
  <si>
    <t>Công ty cổ phần Đầu tư Căn nhà Mơ ước</t>
  </si>
  <si>
    <t>DRH_2022</t>
  </si>
  <si>
    <t>DRH_2023</t>
  </si>
  <si>
    <t>DRL_2021</t>
  </si>
  <si>
    <t>DRL</t>
  </si>
  <si>
    <t>CTCP Thủy điện – Điện lực 3</t>
  </si>
  <si>
    <t>DRL_2022</t>
  </si>
  <si>
    <t>CTCP Thủy điện – Điện lực 4</t>
  </si>
  <si>
    <t>DRL_2023</t>
  </si>
  <si>
    <t>CTCP Thủy điện – Điện lực 5</t>
  </si>
  <si>
    <t>DSN_2021</t>
  </si>
  <si>
    <t>DSN</t>
  </si>
  <si>
    <t>CTCP Công viên nước Đầm Sen</t>
  </si>
  <si>
    <t>DSN_2022</t>
  </si>
  <si>
    <t>DSN_2023</t>
  </si>
  <si>
    <t>DTA_2021</t>
  </si>
  <si>
    <t>DTA</t>
  </si>
  <si>
    <t>CTCP Đệ Tam</t>
  </si>
  <si>
    <t>DTA_2022</t>
  </si>
  <si>
    <t>DTA_2023</t>
  </si>
  <si>
    <t>DTL_2021</t>
  </si>
  <si>
    <t>DTL</t>
  </si>
  <si>
    <t>CTCP Đại Thiên Lộc</t>
  </si>
  <si>
    <t>DTL_2022</t>
  </si>
  <si>
    <t>DTT_2021</t>
  </si>
  <si>
    <t>DTT</t>
  </si>
  <si>
    <t>CTCP Kỹ nghệ Đô Thành</t>
  </si>
  <si>
    <t>DTT_2022</t>
  </si>
  <si>
    <t>DTT_2023</t>
  </si>
  <si>
    <t>DVD</t>
  </si>
  <si>
    <t>CTCP Dược phẩm Viễn Đông</t>
  </si>
  <si>
    <t>DVP_2021</t>
  </si>
  <si>
    <t>DVP</t>
  </si>
  <si>
    <t>Công ty cổ phần Đầu tư và Phát triển Cảng Đình Vũ</t>
  </si>
  <si>
    <t>DVP_2022</t>
  </si>
  <si>
    <t>DVP_2023</t>
  </si>
  <si>
    <t>DXG_2021</t>
  </si>
  <si>
    <t>DXG</t>
  </si>
  <si>
    <t>CTCP Dịch vụ và Xây dựng Địa ốc Đất Xanh</t>
  </si>
  <si>
    <t>DXG_2022</t>
  </si>
  <si>
    <t>DXG_2023</t>
  </si>
  <si>
    <t>DXV_2021</t>
  </si>
  <si>
    <t>DXV</t>
  </si>
  <si>
    <t>CTCP VICEM Vật liệu Xây dựng Đà Nẵng</t>
  </si>
  <si>
    <t>DXV_2022</t>
  </si>
  <si>
    <t>DXV_2023</t>
  </si>
  <si>
    <t>EIB_2021</t>
  </si>
  <si>
    <t>EIB</t>
  </si>
  <si>
    <t>Ngân hàng Thương mại Cổ phần Xuất nhập khẩu Việt Nam</t>
  </si>
  <si>
    <t>EIB_2022</t>
  </si>
  <si>
    <t>EIB_2023</t>
  </si>
  <si>
    <t>ELC_2021</t>
  </si>
  <si>
    <t>ELC</t>
  </si>
  <si>
    <t>CTCP Đầu tư Phát triển Công nghệ Điện tử Viễn thông</t>
  </si>
  <si>
    <t>ELC_2022</t>
  </si>
  <si>
    <t>ELC_2023</t>
  </si>
  <si>
    <t>EMC</t>
  </si>
  <si>
    <t>Công ty cổ phần Cơ điện Thủ Đức</t>
  </si>
  <si>
    <t>EVE_2021</t>
  </si>
  <si>
    <t>EVE</t>
  </si>
  <si>
    <t>Công ty cổ phần Everpia Việt Nam</t>
  </si>
  <si>
    <t>EVE_2022</t>
  </si>
  <si>
    <t>EVE_2023</t>
  </si>
  <si>
    <t>FBT</t>
  </si>
  <si>
    <t>CTCP Xuất nhập khẩu Lâm Thủy sản Bến Tre</t>
  </si>
  <si>
    <t>FCM_2021</t>
  </si>
  <si>
    <t>FCM</t>
  </si>
  <si>
    <t>Công ty cổ phần Khoáng sản FECON</t>
  </si>
  <si>
    <t>FCM_2022</t>
  </si>
  <si>
    <t>FCM_2023</t>
  </si>
  <si>
    <t>FCN_2021</t>
  </si>
  <si>
    <t>FCN</t>
  </si>
  <si>
    <t>Công ty cổ phần FECON</t>
  </si>
  <si>
    <t>FCN_2022</t>
  </si>
  <si>
    <t>FCN_2023</t>
  </si>
  <si>
    <t>FDC_2021</t>
  </si>
  <si>
    <t>FDC</t>
  </si>
  <si>
    <t>CTCP Ngoại thương và Phát triển Đầu tư Thành phố Hồ Chí Minh</t>
  </si>
  <si>
    <t>FDC_2022</t>
  </si>
  <si>
    <t>FDC_2023</t>
  </si>
  <si>
    <t>FIT_2021</t>
  </si>
  <si>
    <t>FIT</t>
  </si>
  <si>
    <t>Công ty cổ phần Tập đoàn F.I.T</t>
  </si>
  <si>
    <t>FIT_2022</t>
  </si>
  <si>
    <t>FIT_2023</t>
  </si>
  <si>
    <t>FLC</t>
  </si>
  <si>
    <t>Công ty cổ phần Tập đoàn FLC</t>
  </si>
  <si>
    <t>FMC_2021</t>
  </si>
  <si>
    <t>FMC</t>
  </si>
  <si>
    <t>CTCP Thực phẩm Sao Ta</t>
  </si>
  <si>
    <t>FMC_2022</t>
  </si>
  <si>
    <t>FMC_2023</t>
  </si>
  <si>
    <t>FPC</t>
  </si>
  <si>
    <t>CTCP Full Power</t>
  </si>
  <si>
    <t>FPT_2021</t>
  </si>
  <si>
    <t>FPT</t>
  </si>
  <si>
    <t>CTCP FPT</t>
  </si>
  <si>
    <t>FPT_2023</t>
  </si>
  <si>
    <t>FRT_2021</t>
  </si>
  <si>
    <t>FRT</t>
  </si>
  <si>
    <t>Công ty cổ phần Bán lẻ Kỹ thuật số FPT</t>
  </si>
  <si>
    <t>FRT_2022</t>
  </si>
  <si>
    <t>FRT_2023</t>
  </si>
  <si>
    <t>https://static2.vietstock.vn/data/HOSE/2021/BCTC/VN/QUY%204/FTM_Baocaotaichinh_Q4_2021.pdf</t>
  </si>
  <si>
    <t>FTM</t>
  </si>
  <si>
    <t>CTCP Đầu tư và Phát triển Đức Quân</t>
  </si>
  <si>
    <t>https://static2.vietstock.vn/data/UPCOM/2022/BCTC/VN/NAM/FTM_Baocaotaichinh_2022_Kiemtoan.pdf</t>
  </si>
  <si>
    <t>https://static2.vietstock.vn/data/UPCOM/2023/BCTC/VN/NAM/FTM_Baocaotaichinh_2023_Kiemtoan/1_ftm_2024_4_4_53bf13a_bctc_nam_2023.pdf</t>
  </si>
  <si>
    <t>FTS_2021</t>
  </si>
  <si>
    <t>FTS</t>
  </si>
  <si>
    <t>CTCP Chứng khoán FPT</t>
  </si>
  <si>
    <t>FTS_2022</t>
  </si>
  <si>
    <t>FTS_2023</t>
  </si>
  <si>
    <t>GAS_2021</t>
  </si>
  <si>
    <t>GAS</t>
  </si>
  <si>
    <t>Tổng Công ty Khí Việt Nam-CTCP</t>
  </si>
  <si>
    <t>GAS_2022</t>
  </si>
  <si>
    <t>GAS_2023</t>
  </si>
  <si>
    <t>GDT_2021</t>
  </si>
  <si>
    <t>GDT</t>
  </si>
  <si>
    <t>CTCP Chế biến Gỗ Đức Thành</t>
  </si>
  <si>
    <t>GDT_2022</t>
  </si>
  <si>
    <t>GDT_2023</t>
  </si>
  <si>
    <t>GIL_2021</t>
  </si>
  <si>
    <t>GIL</t>
  </si>
  <si>
    <t>CTCP Sản xuất Kinh doanh Xuất nhập khẩu Bình Thạnh</t>
  </si>
  <si>
    <t>GIL_2022</t>
  </si>
  <si>
    <t>GIL_2023</t>
  </si>
  <si>
    <t>GMC</t>
  </si>
  <si>
    <t>CTCP Sản xuất Thương mại May Sài Gòn</t>
  </si>
  <si>
    <t>GMD_2021</t>
  </si>
  <si>
    <t>GMD</t>
  </si>
  <si>
    <t>CTCP Gemadept</t>
  </si>
  <si>
    <t>GDM_2022</t>
  </si>
  <si>
    <t>GDM_2023</t>
  </si>
  <si>
    <t>GSP_2021</t>
  </si>
  <si>
    <t>GSP</t>
  </si>
  <si>
    <t>Công ty cổ phần Vận tải Sản phẩm khí quốc tế</t>
  </si>
  <si>
    <t>GSP_2022</t>
  </si>
  <si>
    <t>GSP_2023</t>
  </si>
  <si>
    <t>GTA_2021</t>
  </si>
  <si>
    <t>GTA</t>
  </si>
  <si>
    <t>CTCP Chế biến Gỗ Thuận An</t>
  </si>
  <si>
    <t>GTA_2022</t>
  </si>
  <si>
    <t>GTA_2023</t>
  </si>
  <si>
    <t>GTN</t>
  </si>
  <si>
    <t>Công ty cổ phần GTNFOODS</t>
  </si>
  <si>
    <t>HAG_2021</t>
  </si>
  <si>
    <t>HAG</t>
  </si>
  <si>
    <t>CTCP Hoàng Anh Gia Lai</t>
  </si>
  <si>
    <t>HAG_2022</t>
  </si>
  <si>
    <t>HAG_2023</t>
  </si>
  <si>
    <t>HAH_2021</t>
  </si>
  <si>
    <t>HAH</t>
  </si>
  <si>
    <t>CTCP Vận tải và Xếp dỡ Hải An</t>
  </si>
  <si>
    <t>HAH_2022</t>
  </si>
  <si>
    <t>HAH_2023</t>
  </si>
  <si>
    <t>HAI</t>
  </si>
  <si>
    <t>CTCP Nông dược H.A.I</t>
  </si>
  <si>
    <t>HAP_2021</t>
  </si>
  <si>
    <t>HAP</t>
  </si>
  <si>
    <t>CTCP Tập đoàn Hapaco</t>
  </si>
  <si>
    <t>HAP_2022</t>
  </si>
  <si>
    <t>HAP_2023</t>
  </si>
  <si>
    <t>HAR_2021</t>
  </si>
  <si>
    <t>HAR</t>
  </si>
  <si>
    <t>CTCP Đầu tư Thương mại Bất động sản An Dương Thảo Điền</t>
  </si>
  <si>
    <t>HAR_2022</t>
  </si>
  <si>
    <t>HAR_2023</t>
  </si>
  <si>
    <t>HAS_2021</t>
  </si>
  <si>
    <t>HAS</t>
  </si>
  <si>
    <t>CTCP HACISCO</t>
  </si>
  <si>
    <t>HAS_2022</t>
  </si>
  <si>
    <t>HAS_2023</t>
  </si>
  <si>
    <t>HAX_2021</t>
  </si>
  <si>
    <t>HAX</t>
  </si>
  <si>
    <t>CTCP Dịch vụ Ô tô Hàng Xanh</t>
  </si>
  <si>
    <t>HAX_2022</t>
  </si>
  <si>
    <t>HAX_2023</t>
  </si>
  <si>
    <t>HBC</t>
  </si>
  <si>
    <t>Công ty cổ phần Xây dựng và Kinh doanh Địa ốc Hoà Bình</t>
  </si>
  <si>
    <t>HCD_2021</t>
  </si>
  <si>
    <t>HCD</t>
  </si>
  <si>
    <t>CTCP Đầu tư Sản xuất và Thương mại HCD</t>
  </si>
  <si>
    <t>HCD_2022</t>
  </si>
  <si>
    <t>HCD_2023</t>
  </si>
  <si>
    <t>HCM_2021</t>
  </si>
  <si>
    <t>HCM</t>
  </si>
  <si>
    <t>CTCP Chứng khoán Thành phố Hồ Chí Minh</t>
  </si>
  <si>
    <t>HCM_2022</t>
  </si>
  <si>
    <t>HCM_2023</t>
  </si>
  <si>
    <t>hdc-2021</t>
  </si>
  <si>
    <t>HDC</t>
  </si>
  <si>
    <t>CTCP Phát triển nhà Bà Rịa-Vũng Tàu</t>
  </si>
  <si>
    <t>hdc-2022</t>
  </si>
  <si>
    <t>hdc-2023</t>
  </si>
  <si>
    <t>hdg-2021</t>
  </si>
  <si>
    <t>HDG</t>
  </si>
  <si>
    <t>CTCP Tập đoàn Hà Đô</t>
  </si>
  <si>
    <t>hdg-2022</t>
  </si>
  <si>
    <t>hdg-2023</t>
  </si>
  <si>
    <t>hhs-2021</t>
  </si>
  <si>
    <t>HHS</t>
  </si>
  <si>
    <t>CTCP Đầu tư Dịch vụ Hoàng Huy</t>
  </si>
  <si>
    <t>hhs-2022</t>
  </si>
  <si>
    <t>hhs-2023</t>
  </si>
  <si>
    <t>hid-2021</t>
  </si>
  <si>
    <t>HID</t>
  </si>
  <si>
    <t>CTCP Đầu tư và Tư vấn Hà Long</t>
  </si>
  <si>
    <t>hid-2022</t>
  </si>
  <si>
    <t>hid-2023</t>
  </si>
  <si>
    <t>hlg-2021</t>
  </si>
  <si>
    <t>HLG</t>
  </si>
  <si>
    <t>CTCP Tập đoàn Hoàng Long</t>
  </si>
  <si>
    <t>hlg-2022</t>
  </si>
  <si>
    <t>hlg-2023</t>
  </si>
  <si>
    <t>hmc-2021</t>
  </si>
  <si>
    <t>HMC</t>
  </si>
  <si>
    <t>CTCP Kim khí Thành phố Hồ Chí Minh - Vnsteel</t>
  </si>
  <si>
    <t>hmc-2022</t>
  </si>
  <si>
    <t>hmc-2023</t>
  </si>
  <si>
    <t>hng-2021</t>
  </si>
  <si>
    <t>HNG</t>
  </si>
  <si>
    <t>Công ty cổ phần Nông nghiệp Quốc tế Hoàng Anh Gia Lai</t>
  </si>
  <si>
    <t>hng-2022</t>
  </si>
  <si>
    <t>hng-2023</t>
  </si>
  <si>
    <t>hot-2021</t>
  </si>
  <si>
    <t>HOT</t>
  </si>
  <si>
    <t>Công ty cổ phần Du lịch - Dịch vụ Hội An</t>
  </si>
  <si>
    <t>hot-2022</t>
  </si>
  <si>
    <t>hot-2023</t>
  </si>
  <si>
    <t>hpg-2021</t>
  </si>
  <si>
    <t>HPG</t>
  </si>
  <si>
    <t>Công ty cổ phần Tập đoàn Hòa Phát</t>
  </si>
  <si>
    <t>hpg-2022</t>
  </si>
  <si>
    <t>hpg-2023</t>
  </si>
  <si>
    <t>hqc-2021</t>
  </si>
  <si>
    <t>HQC</t>
  </si>
  <si>
    <t>Công ty cổ phần Tư vấn-Thương mại-Dịch vụ Địa ốc Hoàng Quân</t>
  </si>
  <si>
    <t>hqc-2022</t>
  </si>
  <si>
    <t>hqc-2023</t>
  </si>
  <si>
    <t>hrc-2021</t>
  </si>
  <si>
    <t>HRC</t>
  </si>
  <si>
    <t>CTCP Cao su Hòa Bình</t>
  </si>
  <si>
    <t>hrc-2022</t>
  </si>
  <si>
    <t>hrc-2023</t>
  </si>
  <si>
    <t>hsg-2021</t>
  </si>
  <si>
    <t>HSG</t>
  </si>
  <si>
    <t>CTCP Tập đoàn Hoa Sen</t>
  </si>
  <si>
    <t>hsg-2022</t>
  </si>
  <si>
    <t>hsg-2023</t>
  </si>
  <si>
    <t>ht1-221</t>
  </si>
  <si>
    <t>HT1</t>
  </si>
  <si>
    <t>CTCP Xi Măng Hà Tiên 1</t>
  </si>
  <si>
    <t>ht1-2021</t>
  </si>
  <si>
    <t>HT2</t>
  </si>
  <si>
    <t>CTCP Xi Măng Hà Tiên 2</t>
  </si>
  <si>
    <t>ht1-2022</t>
  </si>
  <si>
    <t>HT3</t>
  </si>
  <si>
    <t>CTCP Xi Măng Hà Tiên 3</t>
  </si>
  <si>
    <t>CTCP Xi măng Hà Tiên 2</t>
  </si>
  <si>
    <t>hti-2021</t>
  </si>
  <si>
    <t>HTI</t>
  </si>
  <si>
    <t>CTCP Đầu tư phát triển hạ tầng IDICO</t>
  </si>
  <si>
    <t>hti-2022</t>
  </si>
  <si>
    <t>hti-2023</t>
  </si>
  <si>
    <t>htl-2021</t>
  </si>
  <si>
    <t>HTL</t>
  </si>
  <si>
    <t>CTCP Kỹ thuật và Ô tô Trường Long</t>
  </si>
  <si>
    <t>htl-2022</t>
  </si>
  <si>
    <t>htl-2023</t>
  </si>
  <si>
    <t>htv-2021</t>
  </si>
  <si>
    <t>HTV</t>
  </si>
  <si>
    <t>CTCP Logistics Vicem</t>
  </si>
  <si>
    <t>htv-2022</t>
  </si>
  <si>
    <t>htv-2023</t>
  </si>
  <si>
    <t>hu1-2021</t>
  </si>
  <si>
    <t>HU1</t>
  </si>
  <si>
    <t>CTCP Đầu tư và Xây dựng HUD1</t>
  </si>
  <si>
    <t>hu1-2022</t>
  </si>
  <si>
    <t>CTCP Đầu tư và Xây dựng HUD2</t>
  </si>
  <si>
    <t>hu1-2023</t>
  </si>
  <si>
    <t>CTCP Đầu tư và Xây dựng HUD3</t>
  </si>
  <si>
    <t>hu3-2021</t>
  </si>
  <si>
    <t>HU3</t>
  </si>
  <si>
    <t>Công ty cổ phần Đầu tư và Xây dựng HUD3</t>
  </si>
  <si>
    <t>hu3-2022</t>
  </si>
  <si>
    <t>Công ty cổ phần Đầu tư và Xây dựng HUD4</t>
  </si>
  <si>
    <t>hu3-2023</t>
  </si>
  <si>
    <t>Công ty cổ phần Đầu tư và Xây dựng HUD5</t>
  </si>
  <si>
    <t>HVG</t>
  </si>
  <si>
    <t>CTCP Hùng Vương</t>
  </si>
  <si>
    <t>hvx-2021</t>
  </si>
  <si>
    <t>HVX</t>
  </si>
  <si>
    <t>CTCP Xi măng Vicem Hải Vân</t>
  </si>
  <si>
    <t>hvx-2022</t>
  </si>
  <si>
    <t>hvx-2023</t>
  </si>
  <si>
    <t>icf-2021</t>
  </si>
  <si>
    <t>ICF</t>
  </si>
  <si>
    <t>CTCP Đầu tư Thương mại Thủy Sản</t>
  </si>
  <si>
    <t>icf-2022</t>
  </si>
  <si>
    <t>icf-2023</t>
  </si>
  <si>
    <t>idi-2021</t>
  </si>
  <si>
    <t>IDI</t>
  </si>
  <si>
    <t>CTCP Đầu tư và Phát triển Đa Quốc Gia I.D.I</t>
  </si>
  <si>
    <t>idi-2022</t>
  </si>
  <si>
    <t>idi-2023</t>
  </si>
  <si>
    <t>ijc-2021</t>
  </si>
  <si>
    <t>IJC</t>
  </si>
  <si>
    <t>CTCP Phát triển Hạ tầng Kỹ thuật</t>
  </si>
  <si>
    <t>ijc-2022</t>
  </si>
  <si>
    <t>ijc-2023</t>
  </si>
  <si>
    <t>imp-2021</t>
  </si>
  <si>
    <t>IMP</t>
  </si>
  <si>
    <t>CTCP Dược phẩm IMEXPHARM</t>
  </si>
  <si>
    <t>imp-2022</t>
  </si>
  <si>
    <t>imp-2023</t>
  </si>
  <si>
    <t>ITA</t>
  </si>
  <si>
    <t>CTCP Đầu tư và Công nghiệp Tân Tạo</t>
  </si>
  <si>
    <t>itc-2021</t>
  </si>
  <si>
    <t>ITC</t>
  </si>
  <si>
    <t>CTCP Đầu tư - Kinh doanh nhà</t>
  </si>
  <si>
    <t>itc-2022</t>
  </si>
  <si>
    <t>itc-2023</t>
  </si>
  <si>
    <t>itd-2021</t>
  </si>
  <si>
    <t>ITD</t>
  </si>
  <si>
    <t>CTCP Công nghệ Tiên Phong</t>
  </si>
  <si>
    <t>itd-2022</t>
  </si>
  <si>
    <t>itd-2023</t>
  </si>
  <si>
    <t>jvc-2021</t>
  </si>
  <si>
    <t>JVC</t>
  </si>
  <si>
    <t>Công ty cổ phần Thiết bị Y tế Việt Nhật</t>
  </si>
  <si>
    <t>jvc-2022</t>
  </si>
  <si>
    <t>jvc-2023</t>
  </si>
  <si>
    <t>KAC</t>
  </si>
  <si>
    <t>CTCP Đầu tư Địa ốc Khang An</t>
  </si>
  <si>
    <t>KHÔNG CÓ BCTC TỪ NĂM 2018</t>
  </si>
  <si>
    <t>kbc-2021</t>
  </si>
  <si>
    <t>KBC</t>
  </si>
  <si>
    <t>Tổng Công ty Phát triển Đô thị Kinh Bắc-CTCP</t>
  </si>
  <si>
    <t>kbc-2022</t>
  </si>
  <si>
    <t>kbc-2023</t>
  </si>
  <si>
    <t>kdc-2021</t>
  </si>
  <si>
    <t>KDC</t>
  </si>
  <si>
    <t>CTCP Tập đoàn Kido</t>
  </si>
  <si>
    <t>kdc-2022</t>
  </si>
  <si>
    <t>kdc-2023</t>
  </si>
  <si>
    <t>kdh-2021</t>
  </si>
  <si>
    <t>KDH</t>
  </si>
  <si>
    <t>CTCP Đầu tư Kinh doanh nhà Khang Điền</t>
  </si>
  <si>
    <t>kdh-2022</t>
  </si>
  <si>
    <t>kdh-2023</t>
  </si>
  <si>
    <t>KHA</t>
  </si>
  <si>
    <t>CTCP Đầu tư và Dịch vụ Khánh Hội</t>
  </si>
  <si>
    <t>khp-2021</t>
  </si>
  <si>
    <t>KHP</t>
  </si>
  <si>
    <t>CTCP Điện lực Khánh Hòa</t>
  </si>
  <si>
    <t>khp-2023</t>
  </si>
  <si>
    <t>kmr-2021</t>
  </si>
  <si>
    <t>KMR</t>
  </si>
  <si>
    <t>CTCP Mirae</t>
  </si>
  <si>
    <t>kmr-2022</t>
  </si>
  <si>
    <t>kmr-2023</t>
  </si>
  <si>
    <t>kpf-2021</t>
  </si>
  <si>
    <t>KPF</t>
  </si>
  <si>
    <t>CTCP Tư vấn Dự án Quốc tế KPF</t>
  </si>
  <si>
    <t>kpf-2022</t>
  </si>
  <si>
    <t>kpf-2023</t>
  </si>
  <si>
    <t>KSA</t>
  </si>
  <si>
    <t>CTCP Công nghiệp Khoáng sản Bình Thuận</t>
  </si>
  <si>
    <t>ksb-2021</t>
  </si>
  <si>
    <t>KSB</t>
  </si>
  <si>
    <t>CTCP Khoáng sản và Xây dựng Bình Dương</t>
  </si>
  <si>
    <t>ksb-2022</t>
  </si>
  <si>
    <t>ksb-2023</t>
  </si>
  <si>
    <t>ksh-2021</t>
  </si>
  <si>
    <t>KSH</t>
  </si>
  <si>
    <t>CTCP Đầu tư và Phát triển KSH</t>
  </si>
  <si>
    <t>ksh-2022</t>
  </si>
  <si>
    <t>ksh-2023</t>
  </si>
  <si>
    <t>l10-2021</t>
  </si>
  <si>
    <t>L10</t>
  </si>
  <si>
    <t>Công ty cổ phần Lilama 10</t>
  </si>
  <si>
    <t>l10-2023</t>
  </si>
  <si>
    <t>laf-2021</t>
  </si>
  <si>
    <t>LAF</t>
  </si>
  <si>
    <t>CTCP Chế biến Hàng xuất khẩu Long An</t>
  </si>
  <si>
    <t>laf-2022</t>
  </si>
  <si>
    <t>laf-2023</t>
  </si>
  <si>
    <t>lbm-2021</t>
  </si>
  <si>
    <t>LBM</t>
  </si>
  <si>
    <t>CTCP Khoáng sản và Vật liệu xây dựng Lâm Đồng</t>
  </si>
  <si>
    <t>lbm-2022</t>
  </si>
  <si>
    <t>lbm-2023</t>
  </si>
  <si>
    <t>lcg-2021-22-23</t>
  </si>
  <si>
    <t>LCG</t>
  </si>
  <si>
    <t>Công ty cổ phần LIZEN</t>
  </si>
  <si>
    <t>lcm-2021-22-23</t>
  </si>
  <si>
    <t>LCM</t>
  </si>
  <si>
    <t>CTCP Khai thác và Chế biến Khoáng sản Lào Cai</t>
  </si>
  <si>
    <t>LDG</t>
  </si>
  <si>
    <t>CTCP Đầu tư LDG</t>
  </si>
  <si>
    <t>lgc-2021-22-23</t>
  </si>
  <si>
    <t>LGC</t>
  </si>
  <si>
    <t>CTCP Đầu tư Cầu đường CII</t>
  </si>
  <si>
    <t>lgl-2021-22-23</t>
  </si>
  <si>
    <t>LGL</t>
  </si>
  <si>
    <t>Công ty cổ phần Đầu tư và Phát triển Đô thị Long Giang</t>
  </si>
  <si>
    <t>lhg-2021</t>
  </si>
  <si>
    <t>LHG</t>
  </si>
  <si>
    <t>CTCP Long Hậu</t>
  </si>
  <si>
    <t>lhg-2022</t>
  </si>
  <si>
    <t>lhg-2023</t>
  </si>
  <si>
    <t>lix-2021-22</t>
  </si>
  <si>
    <t>LIX</t>
  </si>
  <si>
    <t>CTCP Bột giặt Lix</t>
  </si>
  <si>
    <t>lix-2023</t>
  </si>
  <si>
    <t>lm8-2021-22-23</t>
  </si>
  <si>
    <t>LM8</t>
  </si>
  <si>
    <t>CTCP Lilama 18</t>
  </si>
  <si>
    <t>lss-2021-22</t>
  </si>
  <si>
    <t>LSS</t>
  </si>
  <si>
    <t>CTCP Mía đường Lam Sơn</t>
  </si>
  <si>
    <t>lss-2023</t>
  </si>
  <si>
    <t>mbb-21</t>
  </si>
  <si>
    <t>MBB</t>
  </si>
  <si>
    <t>Ngân hàng Thương mại Cổ phần Quân đội</t>
  </si>
  <si>
    <t>mbb-22</t>
  </si>
  <si>
    <t>mbb-23</t>
  </si>
  <si>
    <t>MCG</t>
  </si>
  <si>
    <t>CTCP Cơ điện và Xây dựng Việt Nam</t>
  </si>
  <si>
    <t>BCTC GẦN NHẤT NĂM 2020</t>
  </si>
  <si>
    <t>mcp-2021</t>
  </si>
  <si>
    <t>MCP</t>
  </si>
  <si>
    <t>Công ty cổ phần In và Bao bì Mỹ Châu</t>
  </si>
  <si>
    <t>mcp-2022</t>
  </si>
  <si>
    <t>mcp-2023</t>
  </si>
  <si>
    <t>MCV</t>
  </si>
  <si>
    <t>CTCP Cavico Việt Nam Khai thác Mỏ và Xây dựng</t>
  </si>
  <si>
    <t>BCTC GẦN NHẤT NĂM 2011</t>
  </si>
  <si>
    <t>mdg-2021</t>
  </si>
  <si>
    <t>MDG</t>
  </si>
  <si>
    <t>CTCP miền Đông</t>
  </si>
  <si>
    <t>mdg-2022</t>
  </si>
  <si>
    <t>mdg-2023</t>
  </si>
  <si>
    <t>mhc-2021-22</t>
  </si>
  <si>
    <t>MHC</t>
  </si>
  <si>
    <t>CTCP MHC</t>
  </si>
  <si>
    <t>mhc-2023</t>
  </si>
  <si>
    <t>MKP</t>
  </si>
  <si>
    <t>CTCP Hóa - Dược phẩm MEKOPHAR</t>
  </si>
  <si>
    <t>UPCOM</t>
  </si>
  <si>
    <t>MPC</t>
  </si>
  <si>
    <t>CTCP Tập đoàn Thủy sản Minh Phú</t>
  </si>
  <si>
    <t>masan-2021</t>
  </si>
  <si>
    <t>MSN</t>
  </si>
  <si>
    <t>CTCP Tập đoàn MaSan</t>
  </si>
  <si>
    <t>masan-2022</t>
  </si>
  <si>
    <t>masan-2023</t>
  </si>
  <si>
    <t>tgdd-2021-22-23</t>
  </si>
  <si>
    <t>MWG</t>
  </si>
  <si>
    <t>Công ty cổ phần Đầu tư Thế giới Di động</t>
  </si>
  <si>
    <t>naf-2021</t>
  </si>
  <si>
    <t>NAF</t>
  </si>
  <si>
    <t>CTCP Nafoods Group</t>
  </si>
  <si>
    <t>naf-2022</t>
  </si>
  <si>
    <t>naf-2023</t>
  </si>
  <si>
    <t>nav-2021-22-23</t>
  </si>
  <si>
    <t>NAV</t>
  </si>
  <si>
    <t>nbb-2021-22-23</t>
  </si>
  <si>
    <t>NBB</t>
  </si>
  <si>
    <t>CTCP Đầu tư Năm Bảy Bảy</t>
  </si>
  <si>
    <t>nct-21-22-23</t>
  </si>
  <si>
    <t>NCT</t>
  </si>
  <si>
    <t>CTCP Dịch vụ Hàng hóa Nội Bài</t>
  </si>
  <si>
    <t>NHS</t>
  </si>
  <si>
    <t>CTCP Đường Ninh Hòa</t>
  </si>
  <si>
    <t>NHW</t>
  </si>
  <si>
    <t>CTCP Ngô Han</t>
  </si>
  <si>
    <t>NKD</t>
  </si>
  <si>
    <t>CTCP Chế biến Thực phẩm Kinh Đô Miền Bắc</t>
  </si>
  <si>
    <t>BCTC GẦN NHẤT 2010</t>
  </si>
  <si>
    <t>nkg-21</t>
  </si>
  <si>
    <t>NKG</t>
  </si>
  <si>
    <t>CTCP Thép Nam Kim</t>
  </si>
  <si>
    <t>nkg-22</t>
  </si>
  <si>
    <t>nkg-23</t>
  </si>
  <si>
    <t>NLG</t>
  </si>
  <si>
    <t>Công ty cổ phần Đầu tư Nam Long</t>
  </si>
  <si>
    <t>nnc-21-22-23</t>
  </si>
  <si>
    <t>NNC</t>
  </si>
  <si>
    <t>CTCP Đá Núi Nhỏ</t>
  </si>
  <si>
    <t>nsc-21-22-23</t>
  </si>
  <si>
    <t>NSC</t>
  </si>
  <si>
    <t>Công ty cổ phần Giống cây trồng Trung ương</t>
  </si>
  <si>
    <t>nt2-21-22-23</t>
  </si>
  <si>
    <t>NT2</t>
  </si>
  <si>
    <t>CTCP Điện lực Dầu khí Nhơn Trạch 2</t>
  </si>
  <si>
    <t>CTCP Điện lực Dầu khí Nhơn Trạch 3</t>
  </si>
  <si>
    <t>CTCP Điện lực Dầu khí Nhơn Trạch 4</t>
  </si>
  <si>
    <t>ntl-21-22-23</t>
  </si>
  <si>
    <t>NTL</t>
  </si>
  <si>
    <t>CTCP Phát triển Đô thị Từ Liêm</t>
  </si>
  <si>
    <t>nvl-21</t>
  </si>
  <si>
    <t>NVL</t>
  </si>
  <si>
    <t>Công ty cổ phần Tập đoàn Đầu tư Địa ốc No Va</t>
  </si>
  <si>
    <t>nvl-22</t>
  </si>
  <si>
    <t>nvl-23</t>
  </si>
  <si>
    <t>NVN</t>
  </si>
  <si>
    <t>CTCP Nhà Việt Nam</t>
  </si>
  <si>
    <t>NVT-21</t>
  </si>
  <si>
    <t>NVT</t>
  </si>
  <si>
    <t>CTCP Bất động sản Du lịch Ninh Vân Bay</t>
  </si>
  <si>
    <t>NVT-22</t>
  </si>
  <si>
    <t>ogc-21</t>
  </si>
  <si>
    <t>OGC</t>
  </si>
  <si>
    <t>CTCP Tập đoàn Đại Dương</t>
  </si>
  <si>
    <t>ogc-22</t>
  </si>
  <si>
    <t>ogc-23</t>
  </si>
  <si>
    <t>opc-21</t>
  </si>
  <si>
    <t>OPC</t>
  </si>
  <si>
    <t>Công ty cổ phần Dược phẩm OPC</t>
  </si>
  <si>
    <t>opc-22</t>
  </si>
  <si>
    <t>opc-23</t>
  </si>
  <si>
    <t>pac-21</t>
  </si>
  <si>
    <t>PAC</t>
  </si>
  <si>
    <t>CTCP Pin Ắc quy Miền Nam</t>
  </si>
  <si>
    <t>pac-22</t>
  </si>
  <si>
    <t>pac-23</t>
  </si>
  <si>
    <t>pan-21</t>
  </si>
  <si>
    <t>PAN</t>
  </si>
  <si>
    <t>CTCP Tập đoàn PAN</t>
  </si>
  <si>
    <t>pan-22</t>
  </si>
  <si>
    <t>pan-23</t>
  </si>
  <si>
    <t>pci-21</t>
  </si>
  <si>
    <t>PC1</t>
  </si>
  <si>
    <t>Công ty cổ phần Xây lắp điện 1</t>
  </si>
  <si>
    <t>pci-22</t>
  </si>
  <si>
    <t>pci-23</t>
  </si>
  <si>
    <t>pdn-21</t>
  </si>
  <si>
    <t>PDN</t>
  </si>
  <si>
    <t>CTCP Cảng Đồng Nai</t>
  </si>
  <si>
    <t>pdn-22</t>
  </si>
  <si>
    <t>pdn-23</t>
  </si>
  <si>
    <t>pdr-21</t>
  </si>
  <si>
    <t>PDR</t>
  </si>
  <si>
    <t>Công ty cổ phần Phát triển Bất động sản Phát Đạt</t>
  </si>
  <si>
    <t>pdr-22</t>
  </si>
  <si>
    <t>pdr-23</t>
  </si>
  <si>
    <t>pet-21-22-23</t>
  </si>
  <si>
    <t>PET</t>
  </si>
  <si>
    <t>Tổng CTCP Dịch vụ Tổng hợp Dầu khí</t>
  </si>
  <si>
    <t>pgc-22</t>
  </si>
  <si>
    <t>PGC</t>
  </si>
  <si>
    <t>Tổng Công ty Gas Petrolimex-CTCP</t>
  </si>
  <si>
    <t>pgc-23</t>
  </si>
  <si>
    <t>pgd-21-22-23</t>
  </si>
  <si>
    <t>PGD</t>
  </si>
  <si>
    <t>CTCP Phân phối Khí thấp áp Dầu khí Việt Nam</t>
  </si>
  <si>
    <t>pgi-21</t>
  </si>
  <si>
    <t>PGI</t>
  </si>
  <si>
    <t>Tổng Công ty cổ phần Bảo hiểm Petrolimex</t>
  </si>
  <si>
    <t>pgi22</t>
  </si>
  <si>
    <t>pgi-23</t>
  </si>
  <si>
    <t>phr-21</t>
  </si>
  <si>
    <t>PHR</t>
  </si>
  <si>
    <t>Công ty cổ phần Cao su Phước Hòa</t>
  </si>
  <si>
    <t>phr-22</t>
  </si>
  <si>
    <t>phr-23</t>
  </si>
  <si>
    <t>PHT</t>
  </si>
  <si>
    <t>CTCP Sản xuất và Thương mại Phúc Tiến</t>
  </si>
  <si>
    <t>BCTC GẦN NHẤT NĂM 2012</t>
  </si>
  <si>
    <t>pjt-21</t>
  </si>
  <si>
    <t>PIT</t>
  </si>
  <si>
    <t>CTCP Xuất nhập khẩu Petrolimex</t>
  </si>
  <si>
    <t>pjt-22</t>
  </si>
  <si>
    <t>pjt-23</t>
  </si>
  <si>
    <t>PJT</t>
  </si>
  <si>
    <t>CTCP Vận tải Xăng dầu Đường thủy Petrolimex</t>
  </si>
  <si>
    <t>PNC</t>
  </si>
  <si>
    <t>CTCP Văn hóa Phương Nam</t>
  </si>
  <si>
    <t>pnj-23</t>
  </si>
  <si>
    <t>PNJ</t>
  </si>
  <si>
    <t>CTCP Vàng bạc Đá quý Phú Nhuận</t>
  </si>
  <si>
    <t>png-22</t>
  </si>
  <si>
    <t>POM</t>
  </si>
  <si>
    <t>CTCP Thép Pomina</t>
  </si>
  <si>
    <t>ppc-21-22-23</t>
  </si>
  <si>
    <t>PPC</t>
  </si>
  <si>
    <t>CTCP Nhiệt điện Phả Lại</t>
  </si>
  <si>
    <t>PPI</t>
  </si>
  <si>
    <t>CTCP Đầu tư và Phát triển Dự án Hạ tầng Thái Bình Dương</t>
  </si>
  <si>
    <t>BCTC DỪNG Ở QUÝ 1 NĂM 2023</t>
  </si>
  <si>
    <t>ptb-21</t>
  </si>
  <si>
    <t>PTB</t>
  </si>
  <si>
    <t>CTCP Phú Tài</t>
  </si>
  <si>
    <t>ptb-22</t>
  </si>
  <si>
    <t>ptb-23</t>
  </si>
  <si>
    <t>ptc-21</t>
  </si>
  <si>
    <t>PTC</t>
  </si>
  <si>
    <t>CTCP Đầu tư và Xây dựng Bưu điện</t>
  </si>
  <si>
    <t>ptc-22</t>
  </si>
  <si>
    <t>ptc-23</t>
  </si>
  <si>
    <t>PTL 2021</t>
  </si>
  <si>
    <t>PTL</t>
  </si>
  <si>
    <t>CTCP Victory Group</t>
  </si>
  <si>
    <t>PTL 2022</t>
  </si>
  <si>
    <t>PTL 2023</t>
  </si>
  <si>
    <t>PVD 2021</t>
  </si>
  <si>
    <t>PVD</t>
  </si>
  <si>
    <t>Tổng CTCP Khoan và Dịch vụ Khoan Dầu khí</t>
  </si>
  <si>
    <t>PVD 2022</t>
  </si>
  <si>
    <t>PVD 2023</t>
  </si>
  <si>
    <t>PVF</t>
  </si>
  <si>
    <t>Tổng Công ty Tài chính Cổ phần Dầu khí Việt Nam</t>
  </si>
  <si>
    <t>PVT 2021</t>
  </si>
  <si>
    <t>PVT</t>
  </si>
  <si>
    <t>Tổng công ty Cổ phần Vận tải Dầu khí</t>
  </si>
  <si>
    <t>PVT 2022</t>
  </si>
  <si>
    <t>PVT 2023</t>
  </si>
  <si>
    <t>PXI</t>
  </si>
  <si>
    <t>CTCP Xây dựng công nghiệp và dân dụng Dầu khí</t>
  </si>
  <si>
    <t>PXS</t>
  </si>
  <si>
    <t>CTCP Kết cấu Kim loại và Lắp máy Dầu khí</t>
  </si>
  <si>
    <t>PXT</t>
  </si>
  <si>
    <t>CTCP Xây lắp Đường ống Bể chứa Dầu khí</t>
  </si>
  <si>
    <t>QBS</t>
  </si>
  <si>
    <t>CTCP Xuất nhập khẩu Quảng Bình</t>
  </si>
  <si>
    <t>QCG 2021</t>
  </si>
  <si>
    <t>QCG</t>
  </si>
  <si>
    <t>CTCP Quốc Cường Gia Lai</t>
  </si>
  <si>
    <t>QCG 2022</t>
  </si>
  <si>
    <t>QCG 2023</t>
  </si>
  <si>
    <t>RAL 2021</t>
  </si>
  <si>
    <t>RAL</t>
  </si>
  <si>
    <t>CTCP Bóng đèn Phích nước Rạng Đông</t>
  </si>
  <si>
    <t>RAL 2022</t>
  </si>
  <si>
    <t>RAL 2023</t>
  </si>
  <si>
    <t>RDP 2021</t>
  </si>
  <si>
    <t>RDP</t>
  </si>
  <si>
    <t>CTCP Rạng Đông Holding</t>
  </si>
  <si>
    <t>RDP 2022</t>
  </si>
  <si>
    <t>RDP 2023</t>
  </si>
  <si>
    <t>REE 2021</t>
  </si>
  <si>
    <t>REE</t>
  </si>
  <si>
    <t>CTCP Cơ điện lạnh</t>
  </si>
  <si>
    <t>REE 2022</t>
  </si>
  <si>
    <t>REE 2023</t>
  </si>
  <si>
    <t>RIC</t>
  </si>
  <si>
    <t>CTCP Quốc tế Hoàng Gia</t>
  </si>
  <si>
    <t>ROS</t>
  </si>
  <si>
    <t>CTCP Xây dựng FLC Faros</t>
  </si>
  <si>
    <t>S4A 2021</t>
  </si>
  <si>
    <t>S4A</t>
  </si>
  <si>
    <t>CTCP Thủy điện Sê San 4A</t>
  </si>
  <si>
    <t>S4A 2022</t>
  </si>
  <si>
    <t>S4A 2023</t>
  </si>
  <si>
    <t>SAB 2021</t>
  </si>
  <si>
    <t>SAB</t>
  </si>
  <si>
    <t>Tổng CTCP Bia - Rượu - Nước giải khát Sài Gòn</t>
  </si>
  <si>
    <t>SAB 2022</t>
  </si>
  <si>
    <t>SAB 2023</t>
  </si>
  <si>
    <t>SAM 2021</t>
  </si>
  <si>
    <t>SAM</t>
  </si>
  <si>
    <t>CTCP SAM Holdings</t>
  </si>
  <si>
    <t>SAM 2022</t>
  </si>
  <si>
    <t>SAM 2023</t>
  </si>
  <si>
    <t>SAV 2021</t>
  </si>
  <si>
    <t>SAV</t>
  </si>
  <si>
    <t>CTCP Hợp tác kinh tế và Xuất nhập khẩu SAVIMEX</t>
  </si>
  <si>
    <t>SAV 2022</t>
  </si>
  <si>
    <t>SBA 2021</t>
  </si>
  <si>
    <t>SBA</t>
  </si>
  <si>
    <t>CTCP Sông Ba</t>
  </si>
  <si>
    <t>SBA 2022</t>
  </si>
  <si>
    <t>SBA 2023</t>
  </si>
  <si>
    <t>SBC</t>
  </si>
  <si>
    <t>CTCP Vận tải và Giao nhận bia Sài Gòn</t>
  </si>
  <si>
    <t>SBT 2021</t>
  </si>
  <si>
    <t>SBT</t>
  </si>
  <si>
    <t>CTCP Thành Thành Công - Biên Hòa</t>
  </si>
  <si>
    <t>kỳ BCTC kết thúc vào 30/06/2022</t>
  </si>
  <si>
    <t>SBT 2022</t>
  </si>
  <si>
    <t>kỳ BCTC kết thúc vào 30/06/2023</t>
  </si>
  <si>
    <t>SBT 2023</t>
  </si>
  <si>
    <t>kỳ BCTC kết thúc vào 30/06/2024</t>
  </si>
  <si>
    <t>SBV 2021</t>
  </si>
  <si>
    <t>SBV</t>
  </si>
  <si>
    <t>Công ty cổ phần Siam Brothers Việt Nam</t>
  </si>
  <si>
    <t>SBV 2022</t>
  </si>
  <si>
    <t>SBV 2023</t>
  </si>
  <si>
    <t>SC5 2021</t>
  </si>
  <si>
    <t>SC5</t>
  </si>
  <si>
    <t>CTCP Xây dựng số 5</t>
  </si>
  <si>
    <t>SC5 2022</t>
  </si>
  <si>
    <t>SC5 2023</t>
  </si>
  <si>
    <t>SCD</t>
  </si>
  <si>
    <t>CTCP Nước giải khát Chương Dương</t>
  </si>
  <si>
    <t>SCR 2021</t>
  </si>
  <si>
    <t>SCR</t>
  </si>
  <si>
    <t>CTCP Địa ốc Sài Gòn Thương Tín</t>
  </si>
  <si>
    <t>SCR 22</t>
  </si>
  <si>
    <t>SCR 23</t>
  </si>
  <si>
    <t>SEC</t>
  </si>
  <si>
    <t>CTCP Mía đường Nhiệt điện Gia Lai</t>
  </si>
  <si>
    <t>SFC 21</t>
  </si>
  <si>
    <t>SFC</t>
  </si>
  <si>
    <t>CTCP Nhiên liệu Sài Gòn</t>
  </si>
  <si>
    <t>SFC 22</t>
  </si>
  <si>
    <t>SFC 23</t>
  </si>
  <si>
    <t>SFG 21</t>
  </si>
  <si>
    <t>SFG</t>
  </si>
  <si>
    <t>CTCP Phân bón Miền Nam</t>
  </si>
  <si>
    <t>SFG 22</t>
  </si>
  <si>
    <t>SFG 23</t>
  </si>
  <si>
    <t>SFI 21</t>
  </si>
  <si>
    <t>SFI</t>
  </si>
  <si>
    <t>CTCP Đại lý Vận tải SAFI</t>
  </si>
  <si>
    <t>SFI 22</t>
  </si>
  <si>
    <t>SFI 23</t>
  </si>
  <si>
    <t>SGT 21</t>
  </si>
  <si>
    <t>SGT</t>
  </si>
  <si>
    <t>CTCP Công nghệ Viễn thông Sài Gòn</t>
  </si>
  <si>
    <t>SGT 22</t>
  </si>
  <si>
    <t>SGT 23</t>
  </si>
  <si>
    <t>SHA 21</t>
  </si>
  <si>
    <t>SHA</t>
  </si>
  <si>
    <t>CTCP Sơn Hà Sài Gòn</t>
  </si>
  <si>
    <t>SHA 22</t>
  </si>
  <si>
    <t>SHA 23</t>
  </si>
  <si>
    <t>SHI 21</t>
  </si>
  <si>
    <t>SHI</t>
  </si>
  <si>
    <t>Công ty cổ phần Quốc tế Sơn Hà</t>
  </si>
  <si>
    <t>SHI 22</t>
  </si>
  <si>
    <t>SHI 23</t>
  </si>
  <si>
    <t>SHP 21</t>
  </si>
  <si>
    <t>SHP</t>
  </si>
  <si>
    <t>Công ty cổ phần Thủy điện Miền Nam</t>
  </si>
  <si>
    <t>SHP 22</t>
  </si>
  <si>
    <t>SHP 23</t>
  </si>
  <si>
    <t>SII</t>
  </si>
  <si>
    <t>Công ty cổ phần Hạ tầng nước Sài Gòn</t>
  </si>
  <si>
    <t>SJD_2021</t>
  </si>
  <si>
    <t>SJD</t>
  </si>
  <si>
    <t>CTCP Thủy điện Cần Đơn</t>
  </si>
  <si>
    <t>SJD_2022</t>
  </si>
  <si>
    <t>SJD_2023</t>
  </si>
  <si>
    <t>SJF</t>
  </si>
  <si>
    <t>CTCP Đầu tư Sao Thái Dương</t>
  </si>
  <si>
    <t>SJS_2021</t>
  </si>
  <si>
    <t>SJS</t>
  </si>
  <si>
    <t>CTCP Đầu tư Phát triển Đô thị và Khu Công nghiệp Sông Đà</t>
  </si>
  <si>
    <t>SJS_2022</t>
  </si>
  <si>
    <t>SJS_2023</t>
  </si>
  <si>
    <t>SKG_2021</t>
  </si>
  <si>
    <t>SKG</t>
  </si>
  <si>
    <t>CTCP Tàu cao tốc Superdong – Kiên Giang</t>
  </si>
  <si>
    <t>SKG_2022</t>
  </si>
  <si>
    <t>SKG_2023</t>
  </si>
  <si>
    <t>SMA_2021</t>
  </si>
  <si>
    <t>SMA</t>
  </si>
  <si>
    <t>CTCP Thiết bị Phụ tùng Sài Gòn</t>
  </si>
  <si>
    <t>SMA_2022</t>
  </si>
  <si>
    <t>SMA_2023</t>
  </si>
  <si>
    <t>SMC_2021</t>
  </si>
  <si>
    <t>SMC</t>
  </si>
  <si>
    <t>CTCP Đầu tư Thương mại SMC</t>
  </si>
  <si>
    <t>SMC_2022</t>
  </si>
  <si>
    <t>SMC_2023</t>
  </si>
  <si>
    <t>SPM_2021</t>
  </si>
  <si>
    <t>SPM</t>
  </si>
  <si>
    <t>CTCP S.P.M</t>
  </si>
  <si>
    <t>SPM_2022</t>
  </si>
  <si>
    <t>SPM_2023</t>
  </si>
  <si>
    <t>SRC_2021</t>
  </si>
  <si>
    <t>SRC</t>
  </si>
  <si>
    <t>CTCP Cao Su Sao Vàng</t>
  </si>
  <si>
    <t>SRC_2022</t>
  </si>
  <si>
    <t>SRC_2023</t>
  </si>
  <si>
    <t>SRF_2021</t>
  </si>
  <si>
    <t>SRF</t>
  </si>
  <si>
    <t>CTCP SEAREFICO</t>
  </si>
  <si>
    <t>SRF_2022</t>
  </si>
  <si>
    <t>SRF_2023</t>
  </si>
  <si>
    <t>SSC_2021</t>
  </si>
  <si>
    <t>SSC</t>
  </si>
  <si>
    <t>CTCP Giống cây trồng Miền Nam</t>
  </si>
  <si>
    <t>SSC_2022</t>
  </si>
  <si>
    <t>SSC_2023</t>
  </si>
  <si>
    <t>SSI_2021</t>
  </si>
  <si>
    <t>SSI</t>
  </si>
  <si>
    <t>Công ty cổ phần Chứng khoán SSI</t>
  </si>
  <si>
    <t>SSI_2022</t>
  </si>
  <si>
    <t>SSI_2023</t>
  </si>
  <si>
    <t>ST8_2021</t>
  </si>
  <si>
    <t>ST8</t>
  </si>
  <si>
    <t>CTCP Đầu tư phát triển ST8</t>
  </si>
  <si>
    <t>ST8_2022</t>
  </si>
  <si>
    <t>CTCP Đầu tư phát triển ST9</t>
  </si>
  <si>
    <t>ST8_2023</t>
  </si>
  <si>
    <t>CTCP Đầu tư phát triển ST10</t>
  </si>
  <si>
    <t>STB_2021</t>
  </si>
  <si>
    <t>STB</t>
  </si>
  <si>
    <t>Ngân hàng Thương mại Cổ phần Sài Gòn Thương Tín</t>
  </si>
  <si>
    <t>STB_2022</t>
  </si>
  <si>
    <t>STB_2023</t>
  </si>
  <si>
    <t>STG_2021</t>
  </si>
  <si>
    <t>STG</t>
  </si>
  <si>
    <t>CTCP Kho vận Miền Nam</t>
  </si>
  <si>
    <t>STG_2022</t>
  </si>
  <si>
    <t>STG_2023</t>
  </si>
  <si>
    <t>STK_2021</t>
  </si>
  <si>
    <t>STK</t>
  </si>
  <si>
    <t>Công ty cổ phần Sợi Thế Kỷ</t>
  </si>
  <si>
    <t>STK_2022</t>
  </si>
  <si>
    <t>STK_2023</t>
  </si>
  <si>
    <t>Công ty cổ phần Vận chuyển Sài Gòn Tourist</t>
  </si>
  <si>
    <t>SVC_2021</t>
  </si>
  <si>
    <t>SVC</t>
  </si>
  <si>
    <t>CTCP Dịch vụ tổng hợp Sài Gòn</t>
  </si>
  <si>
    <t>SVC_2022</t>
  </si>
  <si>
    <t>SVC_2023</t>
  </si>
  <si>
    <t>SVI_2021</t>
  </si>
  <si>
    <t>SVI</t>
  </si>
  <si>
    <t>CTCP Bao bì Biên Hòa</t>
  </si>
  <si>
    <t>SVI_2022</t>
  </si>
  <si>
    <t>SVI_2023</t>
  </si>
  <si>
    <t>SVT_2021</t>
  </si>
  <si>
    <t>SVT</t>
  </si>
  <si>
    <t>CTCP Công nghệ Sài Gòn Viễn Đông</t>
  </si>
  <si>
    <t>SVT_2022</t>
  </si>
  <si>
    <t>SVT_2023</t>
  </si>
  <si>
    <t>SZC_2021</t>
  </si>
  <si>
    <t>SZC</t>
  </si>
  <si>
    <t>Công ty cổ phần Sonadezi Châu Đức</t>
  </si>
  <si>
    <t>SZC_2022</t>
  </si>
  <si>
    <t>SZC_2023</t>
  </si>
  <si>
    <t>SZL_2021</t>
  </si>
  <si>
    <t>SZL</t>
  </si>
  <si>
    <t>Công ty cổ phần Sonadezi Long Thành</t>
  </si>
  <si>
    <t>SZL_2022</t>
  </si>
  <si>
    <t>SZL_2023</t>
  </si>
  <si>
    <t>TAC</t>
  </si>
  <si>
    <t>CTCP Dầu Thực vật Tường An</t>
  </si>
  <si>
    <t>TBC_2021</t>
  </si>
  <si>
    <t>TBC</t>
  </si>
  <si>
    <t>Công ty cổ phần Thủy điện Thác Bà</t>
  </si>
  <si>
    <t>TBC_2022</t>
  </si>
  <si>
    <t>TBC_2023</t>
  </si>
  <si>
    <t>TCH_2021</t>
  </si>
  <si>
    <t>TCH</t>
  </si>
  <si>
    <t>Công ty cổ phần Đầu tư Dịch vụ Tài chính Hoàng Huy</t>
  </si>
  <si>
    <t>TCH_2022</t>
  </si>
  <si>
    <t>TCH_2023</t>
  </si>
  <si>
    <t>TCL_2021</t>
  </si>
  <si>
    <t>TCL</t>
  </si>
  <si>
    <t>CTCP Đại lý Giao nhận Vận tải Xếp dỡ Tân Cảng</t>
  </si>
  <si>
    <t>TCL_2022</t>
  </si>
  <si>
    <t>TCL_2023</t>
  </si>
  <si>
    <t>TCM_2021</t>
  </si>
  <si>
    <t>TCM</t>
  </si>
  <si>
    <t>CTCP Dệt may - Đầu tư - Thương mại Thành Công</t>
  </si>
  <si>
    <t>TCM_2022</t>
  </si>
  <si>
    <t>TCM_2023</t>
  </si>
  <si>
    <t>TCO_2021</t>
  </si>
  <si>
    <t>TCO</t>
  </si>
  <si>
    <t>CTCP TCO Holdings</t>
  </si>
  <si>
    <t>TCO_2022</t>
  </si>
  <si>
    <t>TCO_2023</t>
  </si>
  <si>
    <t>TCR_2021</t>
  </si>
  <si>
    <t>TCR</t>
  </si>
  <si>
    <t>CTCP Công nghiệp Gốm sứ Taicera</t>
  </si>
  <si>
    <t>TCR_2022</t>
  </si>
  <si>
    <t>TCR_2023</t>
  </si>
  <si>
    <t>TCT_2021</t>
  </si>
  <si>
    <t>TCT</t>
  </si>
  <si>
    <t>CTCP Cáp treo Núi Bà Tây Ninh</t>
  </si>
  <si>
    <t>TCT_2022</t>
  </si>
  <si>
    <t>TCT_2023</t>
  </si>
  <si>
    <t>TDC_2021</t>
  </si>
  <si>
    <t>TDC</t>
  </si>
  <si>
    <t>CTCP Kinh doanh và Phát triển Bình Dương</t>
  </si>
  <si>
    <t>TDC_2022</t>
  </si>
  <si>
    <t>TDC_2023</t>
  </si>
  <si>
    <t>TDH_2021</t>
  </si>
  <si>
    <t>TDH</t>
  </si>
  <si>
    <t>CTCP Phát triển Nhà Thủ Đức</t>
  </si>
  <si>
    <t>TDH_2022</t>
  </si>
  <si>
    <t>TDH_2023</t>
  </si>
  <si>
    <t>TDW_2021</t>
  </si>
  <si>
    <t>TDW</t>
  </si>
  <si>
    <t>CTCP Cấp nước Thủ Đức</t>
  </si>
  <si>
    <t>TDW_2022</t>
  </si>
  <si>
    <t>TDW_2023</t>
  </si>
  <si>
    <t>THG_2021</t>
  </si>
  <si>
    <t>THG</t>
  </si>
  <si>
    <t>CTCP Đầu tư và Xây dựng Tiền Giang</t>
  </si>
  <si>
    <t>THG_2022</t>
  </si>
  <si>
    <t>THG_2023</t>
  </si>
  <si>
    <t>TIC</t>
  </si>
  <si>
    <t>CTCP Đầu tư Điện Tây Nguyên</t>
  </si>
  <si>
    <t>TIE</t>
  </si>
  <si>
    <t>CTCP TIE</t>
  </si>
  <si>
    <t>TIP_2021</t>
  </si>
  <si>
    <t>TIP</t>
  </si>
  <si>
    <t>Công ty cổ phần Phát triển Khu Công nghiệp Tín Nghĩa</t>
  </si>
  <si>
    <t>TIP_2022</t>
  </si>
  <si>
    <t>TIP_2023</t>
  </si>
  <si>
    <t>TIX_2021</t>
  </si>
  <si>
    <t>TIX</t>
  </si>
  <si>
    <t>CTCP Sản xuất Kinh doanh Xuất nhập khẩu Dịch vụ và Đầu tư Tân Bình</t>
  </si>
  <si>
    <t>TIX_2022</t>
  </si>
  <si>
    <t>TIX_2023</t>
  </si>
  <si>
    <t>TLG_2021</t>
  </si>
  <si>
    <t>TLG</t>
  </si>
  <si>
    <t>CTCP Tập đoàn Thiên Long</t>
  </si>
  <si>
    <t>TLG_2022</t>
  </si>
  <si>
    <t>TLG_2023</t>
  </si>
  <si>
    <t>TLH_2021</t>
  </si>
  <si>
    <t>TLH</t>
  </si>
  <si>
    <t>CTCP Tập đoàn Thép Tiến Lên</t>
  </si>
  <si>
    <t>TLH_2022</t>
  </si>
  <si>
    <t>TLH_2023</t>
  </si>
  <si>
    <t>TMP_2021</t>
  </si>
  <si>
    <t>TMP</t>
  </si>
  <si>
    <t>Công ty cổ phần Thủy điện Thác Mơ</t>
  </si>
  <si>
    <t>TMP_2022</t>
  </si>
  <si>
    <t>TMP_2023</t>
  </si>
  <si>
    <t>TMS_2021</t>
  </si>
  <si>
    <t>TMS</t>
  </si>
  <si>
    <t>CTCP Transimex</t>
  </si>
  <si>
    <t>TMS_2022</t>
  </si>
  <si>
    <t>TMS_2023</t>
  </si>
  <si>
    <t>TMT_2021</t>
  </si>
  <si>
    <t>TMT</t>
  </si>
  <si>
    <t>CTCP Ô tô TMT</t>
  </si>
  <si>
    <t>TMT_2022</t>
  </si>
  <si>
    <t>TMT_2023</t>
  </si>
  <si>
    <t>TNA_2021</t>
  </si>
  <si>
    <t>TNA</t>
  </si>
  <si>
    <t>CTCP Thương mại Xuất nhập khẩu Thiên Nam</t>
  </si>
  <si>
    <t>TNA_2022</t>
  </si>
  <si>
    <t>TNA_2023</t>
  </si>
  <si>
    <t>BÁO CÁO TÀI CHÍNH QUÝ 4/2023</t>
  </si>
  <si>
    <t>TNC_2021</t>
  </si>
  <si>
    <t>TNC</t>
  </si>
  <si>
    <t>CTCP Cao su Thống Nhất</t>
  </si>
  <si>
    <t>TNC_2022</t>
  </si>
  <si>
    <t>TNC_2023</t>
  </si>
  <si>
    <t>TNT</t>
  </si>
  <si>
    <t>CTCP Tài nguyên</t>
  </si>
  <si>
    <t>TPC_2021</t>
  </si>
  <si>
    <t>TPC</t>
  </si>
  <si>
    <t>CTCP Nhựa Tân Đại Hưng</t>
  </si>
  <si>
    <t>TPC_2022</t>
  </si>
  <si>
    <t>TPC_2023</t>
  </si>
  <si>
    <t>TRA_2021</t>
  </si>
  <si>
    <t>TRA</t>
  </si>
  <si>
    <t>CTCP TRAPHACO</t>
  </si>
  <si>
    <t>TRA_2022</t>
  </si>
  <si>
    <t>TRA_2023</t>
  </si>
  <si>
    <t>TRC_2021</t>
  </si>
  <si>
    <t>TRC</t>
  </si>
  <si>
    <t>CTCP Cao su Tây Ninh</t>
  </si>
  <si>
    <t>TRC_2022</t>
  </si>
  <si>
    <t>TRC_2023</t>
  </si>
  <si>
    <t>TSC_2021</t>
  </si>
  <si>
    <t>TSC</t>
  </si>
  <si>
    <t>CTCP Vật tư kỹ thuật Nông nghiệp Cần Thơ</t>
  </si>
  <si>
    <t>TSC_2022</t>
  </si>
  <si>
    <t>TSC_2023</t>
  </si>
  <si>
    <t>TTF_2021</t>
  </si>
  <si>
    <t>TTF</t>
  </si>
  <si>
    <t>CTCP Tập đoàn Kỹ nghệ Gỗ Trường Thành</t>
  </si>
  <si>
    <t>TTF_2022</t>
  </si>
  <si>
    <t>TTF_2023</t>
  </si>
  <si>
    <t>TVS_2021</t>
  </si>
  <si>
    <t>TVS</t>
  </si>
  <si>
    <t>CTCP Chứng khoán Thiên Việt</t>
  </si>
  <si>
    <t>TVS_2022</t>
  </si>
  <si>
    <t>TVS_2023</t>
  </si>
  <si>
    <t>TYA_2021</t>
  </si>
  <si>
    <t>TYA</t>
  </si>
  <si>
    <t>CTCP Dây và Cáp điện Taya Việt Nam</t>
  </si>
  <si>
    <t>TYA_2022</t>
  </si>
  <si>
    <t>TYA_2023</t>
  </si>
  <si>
    <t>UIC_2021</t>
  </si>
  <si>
    <t>UIC</t>
  </si>
  <si>
    <t>CTCP Đầu tư Phát triển Nhà và Đô thị Idico</t>
  </si>
  <si>
    <t>UIC_2022</t>
  </si>
  <si>
    <t>UIC_2023</t>
  </si>
  <si>
    <t>VAF_2021</t>
  </si>
  <si>
    <t>VAF</t>
  </si>
  <si>
    <t>Công ty cổ phần Phân lân nung chảy Văn Điển</t>
  </si>
  <si>
    <t>VAF_2022</t>
  </si>
  <si>
    <t>VAF_2023</t>
  </si>
  <si>
    <t>VCB_2021</t>
  </si>
  <si>
    <t>VCB</t>
  </si>
  <si>
    <t>Ngân hàng Thương mại cổ phần Ngoại thương Việt Nam</t>
  </si>
  <si>
    <t>VCB_2022</t>
  </si>
  <si>
    <t>VCB_2023</t>
  </si>
  <si>
    <t>VCF_2021</t>
  </si>
  <si>
    <t>VCF</t>
  </si>
  <si>
    <t>CTCP VinaCafé Biên Hòa</t>
  </si>
  <si>
    <t>VCF_2022</t>
  </si>
  <si>
    <t>VCF_2023</t>
  </si>
  <si>
    <t>VFG_2021</t>
  </si>
  <si>
    <t>VFG</t>
  </si>
  <si>
    <t>CTCP Khử trùng Việt Nam</t>
  </si>
  <si>
    <t>VFG_2022</t>
  </si>
  <si>
    <t>VFG_2023</t>
  </si>
  <si>
    <t>VHC_2021</t>
  </si>
  <si>
    <t>VHC</t>
  </si>
  <si>
    <t>CTCP Vĩnh Hoàn</t>
  </si>
  <si>
    <t>VHC_2022</t>
  </si>
  <si>
    <t>VHC_2023</t>
  </si>
  <si>
    <t>TRI</t>
  </si>
  <si>
    <t>CTCP Nước giải khát Sài Gòn</t>
  </si>
  <si>
    <t>TS4</t>
  </si>
  <si>
    <t>Công ty cổ phần Thủy sản số 4</t>
  </si>
  <si>
    <t>TV1</t>
  </si>
  <si>
    <t>Công ty cổ phần Tư vấn Xây dựng Điện 1</t>
  </si>
  <si>
    <t>VHG</t>
  </si>
  <si>
    <t>CTCP Đầu tư Cao Su Quảng Nam</t>
  </si>
  <si>
    <t>UDC</t>
  </si>
  <si>
    <t>Công ty cổ phần Xây dựng và Phát triển Đô thị tỉnh Bà Rịa-Vũng Tàu</t>
  </si>
  <si>
    <t>VIC_2021</t>
  </si>
  <si>
    <t>VIC</t>
  </si>
  <si>
    <t>Tập đoàn Vingroup - CTCP</t>
  </si>
  <si>
    <t>VIC_2022</t>
  </si>
  <si>
    <t>VIC_2023</t>
  </si>
  <si>
    <t>VID_2021</t>
  </si>
  <si>
    <t>VID</t>
  </si>
  <si>
    <t>CTCP Đầu tư Phát triển Thương mại Viễn Đông</t>
  </si>
  <si>
    <t>VID_2022</t>
  </si>
  <si>
    <t>VJC_2023</t>
  </si>
  <si>
    <t>VIP_2021</t>
  </si>
  <si>
    <t>VIP</t>
  </si>
  <si>
    <t>CTCP Vận tải Xăng dầu VIPCO</t>
  </si>
  <si>
    <t>VIP_2022</t>
  </si>
  <si>
    <t>VIP_2023</t>
  </si>
  <si>
    <t>VIS</t>
  </si>
  <si>
    <t>CTCP Thép Việt Ý</t>
  </si>
  <si>
    <t>VJC_2021</t>
  </si>
  <si>
    <t>VJC</t>
  </si>
  <si>
    <t>Công ty cổ phần Hàng không VietJet</t>
  </si>
  <si>
    <t>VJC_2022</t>
  </si>
  <si>
    <t>vmd</t>
  </si>
  <si>
    <t>VMD</t>
  </si>
  <si>
    <t>Công ty cổ phần Y Dược phẩm Vimedimex</t>
  </si>
  <si>
    <t>vna</t>
  </si>
  <si>
    <t>VNA</t>
  </si>
  <si>
    <t>CTCP Vận tải Biển Vinaship</t>
  </si>
  <si>
    <t>vne</t>
  </si>
  <si>
    <t>VNE</t>
  </si>
  <si>
    <t>Tổng công ty Cổ phần Xây dựng điện Việt Nam</t>
  </si>
  <si>
    <t>vng</t>
  </si>
  <si>
    <t>VNG</t>
  </si>
  <si>
    <t>CTCP Du lịch Thành Thành Công</t>
  </si>
  <si>
    <t>VNH</t>
  </si>
  <si>
    <t>CTCP Thủy hải sản Việt Nhật</t>
  </si>
  <si>
    <t>vnl-21</t>
  </si>
  <si>
    <t>VNL</t>
  </si>
  <si>
    <t>Công ty cổ phần Logistics Vinalink</t>
  </si>
  <si>
    <t>vnl-22</t>
  </si>
  <si>
    <t>vnl-23</t>
  </si>
  <si>
    <t>vnm-21</t>
  </si>
  <si>
    <t>VNM</t>
  </si>
  <si>
    <t>CTCP Sữa Việt Nam</t>
  </si>
  <si>
    <t>vnm-22</t>
  </si>
  <si>
    <t>vnm-23</t>
  </si>
  <si>
    <t>vns-21</t>
  </si>
  <si>
    <t>VNS</t>
  </si>
  <si>
    <t>CTCP Ánh Dương Việt Nam</t>
  </si>
  <si>
    <t>vns-22</t>
  </si>
  <si>
    <t>vns-23</t>
  </si>
  <si>
    <t>vos-21</t>
  </si>
  <si>
    <t>VOS</t>
  </si>
  <si>
    <t>CTCP Vận tải biển Việt Nam</t>
  </si>
  <si>
    <t>vos-22</t>
  </si>
  <si>
    <t>vos-23</t>
  </si>
  <si>
    <t>vph-21</t>
  </si>
  <si>
    <t>VPH</t>
  </si>
  <si>
    <t>CTCP Vạn Phát Hưng</t>
  </si>
  <si>
    <t>vph-22</t>
  </si>
  <si>
    <t>ph-23</t>
  </si>
  <si>
    <t>VPK</t>
  </si>
  <si>
    <t>CTCP Bao bì dầu thực vật</t>
  </si>
  <si>
    <t>VPL</t>
  </si>
  <si>
    <t>Công ty TNHH Một thành viên Vinpearl</t>
  </si>
  <si>
    <t>vps-21</t>
  </si>
  <si>
    <t>VPS</t>
  </si>
  <si>
    <t>CTCP Thuốc sát trùng Việt Nam</t>
  </si>
  <si>
    <t>vps-22</t>
  </si>
  <si>
    <t>vps-23</t>
  </si>
  <si>
    <t>vrc-21</t>
  </si>
  <si>
    <t>VRC</t>
  </si>
  <si>
    <t>CTCP Xây lắp và Địa ốc Vũng Tàu</t>
  </si>
  <si>
    <t>vrc-22</t>
  </si>
  <si>
    <t>vrc-23</t>
  </si>
  <si>
    <t>vsc-21</t>
  </si>
  <si>
    <t>VSC</t>
  </si>
  <si>
    <t>Công ty cổ phần Tập đoàn Container Việt Nam</t>
  </si>
  <si>
    <t>vsc-22</t>
  </si>
  <si>
    <t>vsc-23</t>
  </si>
  <si>
    <t>vsh-21</t>
  </si>
  <si>
    <t>VSH</t>
  </si>
  <si>
    <t>CTCP Thủy điện Vĩnh Sơn - Sông Hinh</t>
  </si>
  <si>
    <t>vsh-22</t>
  </si>
  <si>
    <t>vsh-23</t>
  </si>
  <si>
    <t>vsi-21</t>
  </si>
  <si>
    <t>VSI</t>
  </si>
  <si>
    <t>CTCP Đầu tư và Xây dựng Cấp thoát nước</t>
  </si>
  <si>
    <t>vsi-22</t>
  </si>
  <si>
    <t>vsi-23</t>
  </si>
  <si>
    <t>vtb-21</t>
  </si>
  <si>
    <t>VTB</t>
  </si>
  <si>
    <t>CTCP Viettronics Tân Bình</t>
  </si>
  <si>
    <t>vtb-22</t>
  </si>
  <si>
    <t>vtb-23</t>
  </si>
  <si>
    <t>VTF</t>
  </si>
  <si>
    <t>CTCP Thức ăn Chăn nuôi Việt Thắng</t>
  </si>
  <si>
    <t>vto-21</t>
  </si>
  <si>
    <t>VTO</t>
  </si>
  <si>
    <t>CTCP Vận tải Xăng dầu VITACO</t>
  </si>
  <si>
    <t>vto-22</t>
  </si>
  <si>
    <t>vto-23</t>
  </si>
  <si>
    <t>evf-21</t>
  </si>
  <si>
    <r>
      <rPr>
        <b/>
        <sz val="13"/>
        <color rgb="FF000000"/>
        <rFont val="Times New Roman"/>
        <family val="1"/>
      </rPr>
      <t>EVF</t>
    </r>
  </si>
  <si>
    <t>Công ty Tài chính cổ phần Điện lực</t>
  </si>
  <si>
    <t>evf-22</t>
  </si>
  <si>
    <r>
      <rPr>
        <b/>
        <sz val="13"/>
        <color rgb="FF000000"/>
        <rFont val="Times New Roman"/>
        <family val="1"/>
      </rPr>
      <t>EVF</t>
    </r>
  </si>
  <si>
    <t>evf-23</t>
  </si>
  <si>
    <r>
      <rPr>
        <b/>
        <sz val="13"/>
        <color rgb="FF000000"/>
        <rFont val="Times New Roman"/>
        <family val="1"/>
      </rPr>
      <t>EVF</t>
    </r>
  </si>
  <si>
    <t>hdb-21</t>
  </si>
  <si>
    <t>HDB</t>
  </si>
  <si>
    <t>Ngân hàng TMCP Phát triển T.P Hồ Chí Minh</t>
  </si>
  <si>
    <t>hdb-22</t>
  </si>
  <si>
    <t>hd-23</t>
  </si>
  <si>
    <t>lpb-21</t>
  </si>
  <si>
    <r>
      <rPr>
        <b/>
        <sz val="13"/>
        <color rgb="FF000000"/>
        <rFont val="Times New Roman"/>
        <family val="1"/>
      </rPr>
      <t>LPB</t>
    </r>
  </si>
  <si>
    <t>Ngân hàng Thương mại cổ phần Lộc Phát Việt Nam</t>
  </si>
  <si>
    <t>lpb-22</t>
  </si>
  <si>
    <r>
      <rPr>
        <b/>
        <sz val="13"/>
        <color rgb="FF000000"/>
        <rFont val="Times New Roman"/>
        <family val="1"/>
      </rPr>
      <t>LPB</t>
    </r>
  </si>
  <si>
    <t>lpb-23</t>
  </si>
  <si>
    <r>
      <rPr>
        <b/>
        <sz val="13"/>
        <color rgb="FF000000"/>
        <rFont val="Times New Roman"/>
        <family val="1"/>
      </rPr>
      <t>LPB</t>
    </r>
  </si>
  <si>
    <t>msb-21</t>
  </si>
  <si>
    <r>
      <rPr>
        <b/>
        <sz val="13"/>
        <color rgb="FF000000"/>
        <rFont val="Times New Roman"/>
        <family val="1"/>
      </rPr>
      <t>MSB</t>
    </r>
  </si>
  <si>
    <t>Ngân hàng Thương mại cổ phần Hàng hải Việt Nam</t>
  </si>
  <si>
    <t>msb-22</t>
  </si>
  <si>
    <r>
      <rPr>
        <b/>
        <sz val="13"/>
        <color rgb="FF000000"/>
        <rFont val="Times New Roman"/>
        <family val="1"/>
      </rPr>
      <t>MSB</t>
    </r>
  </si>
  <si>
    <t>msb-23</t>
  </si>
  <si>
    <r>
      <rPr>
        <b/>
        <sz val="13"/>
        <color rgb="FF000000"/>
        <rFont val="Times New Roman"/>
        <family val="1"/>
      </rPr>
      <t>MSB</t>
    </r>
  </si>
  <si>
    <t>nab-21</t>
  </si>
  <si>
    <r>
      <rPr>
        <b/>
        <sz val="13"/>
        <color rgb="FF000000"/>
        <rFont val="Times New Roman"/>
        <family val="1"/>
      </rPr>
      <t>NAB</t>
    </r>
  </si>
  <si>
    <t>Ngân hàng Thương mại cổ phần Nam Á</t>
  </si>
  <si>
    <t>nab-22</t>
  </si>
  <si>
    <r>
      <rPr>
        <b/>
        <sz val="13"/>
        <color rgb="FF000000"/>
        <rFont val="Times New Roman"/>
        <family val="1"/>
      </rPr>
      <t>NAB</t>
    </r>
  </si>
  <si>
    <t>nab-23</t>
  </si>
  <si>
    <r>
      <rPr>
        <b/>
        <sz val="13"/>
        <color rgb="FF000000"/>
        <rFont val="Times New Roman"/>
        <family val="1"/>
      </rPr>
      <t>NAB</t>
    </r>
  </si>
  <si>
    <t>ocb-21</t>
  </si>
  <si>
    <r>
      <rPr>
        <b/>
        <sz val="13"/>
        <color rgb="FF000000"/>
        <rFont val="Times New Roman"/>
        <family val="1"/>
      </rPr>
      <t>OCB</t>
    </r>
  </si>
  <si>
    <t>Ngân hàng Thương mại cổ phần Phương Đông</t>
  </si>
  <si>
    <t>ocb-22</t>
  </si>
  <si>
    <r>
      <rPr>
        <b/>
        <sz val="13"/>
        <color rgb="FF000000"/>
        <rFont val="Times New Roman"/>
        <family val="1"/>
      </rPr>
      <t>OCB</t>
    </r>
  </si>
  <si>
    <t>ocb-23</t>
  </si>
  <si>
    <r>
      <rPr>
        <b/>
        <sz val="13"/>
        <color rgb="FF000000"/>
        <rFont val="Times New Roman"/>
        <family val="1"/>
      </rPr>
      <t>OCB</t>
    </r>
  </si>
  <si>
    <t>shb-21</t>
  </si>
  <si>
    <r>
      <rPr>
        <b/>
        <sz val="13"/>
        <color rgb="FF000000"/>
        <rFont val="Times New Roman"/>
        <family val="1"/>
      </rPr>
      <t>SHB</t>
    </r>
  </si>
  <si>
    <t>shb-22</t>
  </si>
  <si>
    <r>
      <rPr>
        <b/>
        <sz val="13"/>
        <color rgb="FF000000"/>
        <rFont val="Times New Roman"/>
        <family val="1"/>
      </rPr>
      <t>SHB</t>
    </r>
  </si>
  <si>
    <t>shb-23</t>
  </si>
  <si>
    <r>
      <rPr>
        <b/>
        <sz val="13"/>
        <color rgb="FF000000"/>
        <rFont val="Times New Roman"/>
        <family val="1"/>
      </rPr>
      <t>SHB</t>
    </r>
  </si>
  <si>
    <t>ssb-21</t>
  </si>
  <si>
    <r>
      <rPr>
        <b/>
        <sz val="13"/>
        <color rgb="FF000000"/>
        <rFont val="Times New Roman"/>
        <family val="1"/>
      </rPr>
      <t>SSB</t>
    </r>
  </si>
  <si>
    <t>Ngân hàng Thương mại cổ phần Đông Nam Á</t>
  </si>
  <si>
    <t>ssb-22</t>
  </si>
  <si>
    <r>
      <rPr>
        <b/>
        <sz val="13"/>
        <color rgb="FF000000"/>
        <rFont val="Times New Roman"/>
        <family val="1"/>
      </rPr>
      <t>SSB</t>
    </r>
  </si>
  <si>
    <t>ssb-23</t>
  </si>
  <si>
    <r>
      <rPr>
        <b/>
        <sz val="13"/>
        <color rgb="FF000000"/>
        <rFont val="Times New Roman"/>
        <family val="1"/>
      </rPr>
      <t>SSB</t>
    </r>
  </si>
  <si>
    <t>stb-21</t>
  </si>
  <si>
    <r>
      <rPr>
        <b/>
        <sz val="13"/>
        <color rgb="FF000000"/>
        <rFont val="Times New Roman"/>
        <family val="1"/>
      </rPr>
      <t>STB</t>
    </r>
  </si>
  <si>
    <t>stb-22</t>
  </si>
  <si>
    <r>
      <rPr>
        <b/>
        <sz val="13"/>
        <color rgb="FF000000"/>
        <rFont val="Times New Roman"/>
        <family val="1"/>
      </rPr>
      <t>STB</t>
    </r>
  </si>
  <si>
    <t>stb-23</t>
  </si>
  <si>
    <r>
      <rPr>
        <b/>
        <sz val="13"/>
        <color rgb="FF000000"/>
        <rFont val="Times New Roman"/>
        <family val="1"/>
      </rPr>
      <t>STB</t>
    </r>
  </si>
  <si>
    <t>tcb-21</t>
  </si>
  <si>
    <r>
      <rPr>
        <b/>
        <sz val="13"/>
        <color rgb="FF000000"/>
        <rFont val="Times New Roman"/>
        <family val="1"/>
      </rPr>
      <t>TCB</t>
    </r>
  </si>
  <si>
    <t>Ngân hàng TMCP Kỹ Thương Việt Nam (Techcombank)</t>
  </si>
  <si>
    <t>tcb-22</t>
  </si>
  <si>
    <r>
      <rPr>
        <b/>
        <sz val="13"/>
        <color rgb="FF000000"/>
        <rFont val="Times New Roman"/>
        <family val="1"/>
      </rPr>
      <t>TCB</t>
    </r>
  </si>
  <si>
    <t>tcb-23</t>
  </si>
  <si>
    <r>
      <rPr>
        <b/>
        <sz val="13"/>
        <color rgb="FF000000"/>
        <rFont val="Times New Roman"/>
        <family val="1"/>
      </rPr>
      <t>TCB</t>
    </r>
  </si>
  <si>
    <t>tpb-21</t>
  </si>
  <si>
    <r>
      <rPr>
        <b/>
        <sz val="13"/>
        <color rgb="FF000000"/>
        <rFont val="Times New Roman"/>
        <family val="1"/>
      </rPr>
      <t>TPB</t>
    </r>
  </si>
  <si>
    <t>Ngân hàng Thương mại cổ phần Tiên Phong</t>
  </si>
  <si>
    <t>tpb-22</t>
  </si>
  <si>
    <r>
      <rPr>
        <b/>
        <sz val="13"/>
        <color rgb="FF000000"/>
        <rFont val="Times New Roman"/>
        <family val="1"/>
      </rPr>
      <t>TPB</t>
    </r>
  </si>
  <si>
    <t>tpb-23</t>
  </si>
  <si>
    <r>
      <rPr>
        <b/>
        <sz val="13"/>
        <color rgb="FF000000"/>
        <rFont val="Times New Roman"/>
        <family val="1"/>
      </rPr>
      <t>TPB</t>
    </r>
  </si>
  <si>
    <t>vcb-21</t>
  </si>
  <si>
    <r>
      <rPr>
        <b/>
        <sz val="13"/>
        <color rgb="FF000000"/>
        <rFont val="Times New Roman"/>
        <family val="1"/>
      </rPr>
      <t>VCB</t>
    </r>
  </si>
  <si>
    <t>vcb-22</t>
  </si>
  <si>
    <r>
      <rPr>
        <b/>
        <sz val="13"/>
        <color rgb="FF000000"/>
        <rFont val="Times New Roman"/>
        <family val="1"/>
      </rPr>
      <t>VCB</t>
    </r>
  </si>
  <si>
    <t>vcb-23</t>
  </si>
  <si>
    <r>
      <rPr>
        <b/>
        <sz val="13"/>
        <color rgb="FF000000"/>
        <rFont val="Times New Roman"/>
        <family val="1"/>
      </rPr>
      <t>VCB</t>
    </r>
  </si>
  <si>
    <t>vib-21</t>
  </si>
  <si>
    <r>
      <rPr>
        <b/>
        <sz val="13"/>
        <color rgb="FF000000"/>
        <rFont val="Times New Roman"/>
        <family val="1"/>
      </rPr>
      <t>VIB</t>
    </r>
  </si>
  <si>
    <t>Ngân hàng Thương mại cổ phần Quốc tế Việt Nam</t>
  </si>
  <si>
    <t>vib-22</t>
  </si>
  <si>
    <r>
      <rPr>
        <b/>
        <sz val="13"/>
        <color rgb="FF000000"/>
        <rFont val="Times New Roman"/>
        <family val="1"/>
      </rPr>
      <t>VIB</t>
    </r>
  </si>
  <si>
    <t>vib-23</t>
  </si>
  <si>
    <r>
      <rPr>
        <b/>
        <sz val="13"/>
        <color rgb="FF000000"/>
        <rFont val="Times New Roman"/>
        <family val="1"/>
      </rPr>
      <t>VIB</t>
    </r>
  </si>
  <si>
    <t>vpb-21</t>
  </si>
  <si>
    <r>
      <rPr>
        <b/>
        <sz val="13"/>
        <color rgb="FF000000"/>
        <rFont val="Times New Roman"/>
        <family val="1"/>
      </rPr>
      <t>VPB</t>
    </r>
  </si>
  <si>
    <t>Ngân hàng Thương mại Cổ phần Việt Nam Thịnh Vượng</t>
  </si>
  <si>
    <t>vpb-22</t>
  </si>
  <si>
    <r>
      <rPr>
        <b/>
        <sz val="13"/>
        <color rgb="FF000000"/>
        <rFont val="Times New Roman"/>
        <family val="1"/>
      </rPr>
      <t>VPB</t>
    </r>
  </si>
  <si>
    <t>vpb-23</t>
  </si>
  <si>
    <r>
      <rPr>
        <b/>
        <sz val="13"/>
        <color rgb="FF000000"/>
        <rFont val="Times New Roman"/>
        <family val="1"/>
      </rPr>
      <t>VPB</t>
    </r>
  </si>
  <si>
    <t>ABC</t>
  </si>
  <si>
    <t>Công ty cổ phần Truyền thông VMG</t>
  </si>
  <si>
    <t>ABI</t>
  </si>
  <si>
    <t>CTCP Bảo hiểm Ngân hàng Nông nghiệp</t>
  </si>
  <si>
    <t>AC4</t>
  </si>
  <si>
    <t>CTCP ACC - 244</t>
  </si>
  <si>
    <t>ACE</t>
  </si>
  <si>
    <t>CTCP Bê tông ly tâm An Giang</t>
  </si>
  <si>
    <t>ACV</t>
  </si>
  <si>
    <t>Tổng công ty Cảng hàng không Việt Nam - CTCP</t>
  </si>
  <si>
    <t>ADP 21</t>
  </si>
  <si>
    <t>ADP</t>
  </si>
  <si>
    <t>CTCP Sơn Á Đông</t>
  </si>
  <si>
    <t>ADP 22</t>
  </si>
  <si>
    <t>ADP 23</t>
  </si>
  <si>
    <t>AFX</t>
  </si>
  <si>
    <t>CTCP Xuất nhập khẩu Nông sản Thực phẩm An Giang</t>
  </si>
  <si>
    <t>AGP</t>
  </si>
  <si>
    <t>CTCP Dược phẩm Agimexpharm</t>
  </si>
  <si>
    <t>AGX</t>
  </si>
  <si>
    <t>Công ty cổ phần Thực phẩm Nông sản Xuất khẩu Sài Gòn</t>
  </si>
  <si>
    <t>AMP</t>
  </si>
  <si>
    <t>CTCP Armephaco</t>
  </si>
  <si>
    <t>AMS</t>
  </si>
  <si>
    <t>CTCP Cơ khí xây dựng AMECC</t>
  </si>
  <si>
    <t>ANT</t>
  </si>
  <si>
    <t>CTCP Rau quả Thực phẩm An Giang</t>
  </si>
  <si>
    <t>APL</t>
  </si>
  <si>
    <t>CTCP Cơ khí và Thiết bị áp lực - VVMI</t>
  </si>
  <si>
    <t>ASD</t>
  </si>
  <si>
    <t>CTCP Sông Đà Hà Nội</t>
  </si>
  <si>
    <t>ATA</t>
  </si>
  <si>
    <t>CTCP NTACO</t>
  </si>
  <si>
    <t>AUM</t>
  </si>
  <si>
    <t>CTCP Vinacafe Sơn Thành</t>
  </si>
  <si>
    <t>AVF</t>
  </si>
  <si>
    <t>CTCP Việt An</t>
  </si>
  <si>
    <t>BAM</t>
  </si>
  <si>
    <t>CTCP Khoáng sản và Luyện kim Bắc Á</t>
  </si>
  <si>
    <t>BCP</t>
  </si>
  <si>
    <t>Công ty cổ phần Dược ENLIE</t>
  </si>
  <si>
    <t>BDF</t>
  </si>
  <si>
    <t>Công ty cổ phần Giày Bình Định</t>
  </si>
  <si>
    <t>BDG</t>
  </si>
  <si>
    <t>CTCP May mặc Bình Dương</t>
  </si>
  <si>
    <t>BDW</t>
  </si>
  <si>
    <t>Công ty cổ phần Cấp thoát nước Bình Định</t>
  </si>
  <si>
    <t>BEL</t>
  </si>
  <si>
    <t>CTCP Điện tử Biên Hòa</t>
  </si>
  <si>
    <t>BHC</t>
  </si>
  <si>
    <t>CTCP Bê tông Biên Hòa</t>
  </si>
  <si>
    <t>BHP</t>
  </si>
  <si>
    <t>CTCP Bia Hà Nội - Hải Phòng</t>
  </si>
  <si>
    <t>BLI</t>
  </si>
  <si>
    <t>Tổng Công ty cổ phần Bảo hiểm Bảo Long</t>
  </si>
  <si>
    <t>BLN</t>
  </si>
  <si>
    <t>CTCP Vận tải và Dịch vụ Liên Ninh</t>
  </si>
  <si>
    <t>BMJ</t>
  </si>
  <si>
    <t>CTCP Khoáng sản Miền Đông AHP</t>
  </si>
  <si>
    <t>BMN</t>
  </si>
  <si>
    <t>CTCP 715</t>
  </si>
  <si>
    <t>BRS</t>
  </si>
  <si>
    <t>CTCP Dịch vụ đô thị Bà Rịa</t>
  </si>
  <si>
    <t>BSG</t>
  </si>
  <si>
    <t>CTCP Xe khách Sài Gòn</t>
  </si>
  <si>
    <t>BSP</t>
  </si>
  <si>
    <t>CTCP Bia Sài Gòn - Phú Thọ</t>
  </si>
  <si>
    <t>BSQ</t>
  </si>
  <si>
    <t>Công ty cổ phần Bia Sài Gòn - Quảng Ngãi</t>
  </si>
  <si>
    <t>BT1</t>
  </si>
  <si>
    <t>Công ty cổ phần Bảo vệ Thực vật 1 Trung ương</t>
  </si>
  <si>
    <t>BT6</t>
  </si>
  <si>
    <t>CTCP Beton 6</t>
  </si>
  <si>
    <t>BTB</t>
  </si>
  <si>
    <t>CTCP Bia Hà Nội - Thái Bình</t>
  </si>
  <si>
    <t>BTC</t>
  </si>
  <si>
    <t>CTCP Cơ khí và Xây dựng Bình Triệu</t>
  </si>
  <si>
    <t>BTD</t>
  </si>
  <si>
    <t>CTCP Bê tông Ly tâm Thủ Đức</t>
  </si>
  <si>
    <t>BTG</t>
  </si>
  <si>
    <t>CTCP Bao bì Tiền Giang</t>
  </si>
  <si>
    <t>BTR</t>
  </si>
  <si>
    <t>CTCP Đường sắt Bình Trị Thiên</t>
  </si>
  <si>
    <t>BTU</t>
  </si>
  <si>
    <t>CTCP Công trình Đô thị Bến Tre</t>
  </si>
  <si>
    <t>BTV</t>
  </si>
  <si>
    <t>CTCP Dịch vụ Du lịch Bến Thành</t>
  </si>
  <si>
    <t>BTW</t>
  </si>
  <si>
    <t>CTCP Cấp nước Bến Thành</t>
  </si>
  <si>
    <t>BVG</t>
  </si>
  <si>
    <t>CTCP Group Bắc Việt</t>
  </si>
  <si>
    <t>BVN</t>
  </si>
  <si>
    <t>Công ty cổ phần Bông Việt Nam</t>
  </si>
  <si>
    <t>BWA</t>
  </si>
  <si>
    <t>CTCP Cấp thoát nước và Xây dựng Bảo Lộc</t>
  </si>
  <si>
    <t>BXD</t>
  </si>
  <si>
    <t>CTCP Vận tải và Quản lý Bến xe Đà Nẵng</t>
  </si>
  <si>
    <t>C12</t>
  </si>
  <si>
    <t>CTCP Cầu 12 - Cienco 1</t>
  </si>
  <si>
    <t>C21</t>
  </si>
  <si>
    <t>Công ty cổ phần Thế kỷ 21</t>
  </si>
  <si>
    <t>C71</t>
  </si>
  <si>
    <t>CTCP 471</t>
  </si>
  <si>
    <t>CAD</t>
  </si>
  <si>
    <t>CTCP Chế biến và Xuất nhập khẩu Thủy sản CADOVIMEX</t>
  </si>
  <si>
    <t>CCR</t>
  </si>
  <si>
    <t>Công ty cổ phần Cảng Cam Ranh</t>
  </si>
  <si>
    <t>CCV</t>
  </si>
  <si>
    <t>Công ty cổ phần Tư vấn Xây dựng Công nghiệp và Đô thị Việt Nam</t>
  </si>
  <si>
    <t>CDG</t>
  </si>
  <si>
    <t>CTCP Cầu Đuống</t>
  </si>
  <si>
    <t>CDH</t>
  </si>
  <si>
    <t>CTCP Công trình công cộng Dịch vụ Du lịch Hải Phòng</t>
  </si>
  <si>
    <t>CEC</t>
  </si>
  <si>
    <t>CTCP Thiết kế Công nghiệp Hóa chất</t>
  </si>
  <si>
    <t>CFC</t>
  </si>
  <si>
    <t>CTCP Cafico Việt Nam</t>
  </si>
  <si>
    <t>CGP</t>
  </si>
  <si>
    <t>Công ty cổ phần Dược phẩm Cần Giờ</t>
  </si>
  <si>
    <t>CHC</t>
  </si>
  <si>
    <t>CTCP Cẩm Hà</t>
  </si>
  <si>
    <t>CHS</t>
  </si>
  <si>
    <t>CTCP Chiếu sáng Công cộng Thành phố Hồ Chí Minh</t>
  </si>
  <si>
    <t>CI5</t>
  </si>
  <si>
    <t>Công ty cổ phần Đầu tư Xây dựng số 5</t>
  </si>
  <si>
    <t>CID</t>
  </si>
  <si>
    <t>CTCP Xây dựng và Phát triển Cơ sở Hạ tầng</t>
  </si>
  <si>
    <t>CK8</t>
  </si>
  <si>
    <t>CTCP Cơ khí 120</t>
  </si>
  <si>
    <t>CKD</t>
  </si>
  <si>
    <t>Công ty cổ phần Cơ khí Đông Anh Licogi</t>
  </si>
  <si>
    <t>CKH</t>
  </si>
  <si>
    <t>CTCP Cơ khí chế tạo Hải Phòng</t>
  </si>
  <si>
    <t>CLS</t>
  </si>
  <si>
    <t>CTCP Chứng Khoán Chợ Lớn</t>
  </si>
  <si>
    <t>CLX</t>
  </si>
  <si>
    <t>CTCP Xuất nhập khẩu và Đầu tư Chợ Lớn</t>
  </si>
  <si>
    <t>CMF</t>
  </si>
  <si>
    <t>CTCP Thực phẩm Cholimex</t>
  </si>
  <si>
    <t>CMK</t>
  </si>
  <si>
    <t>Công ty cổ phần Cơ khí Mạo khê - Vinacomin</t>
  </si>
  <si>
    <t>CMP</t>
  </si>
  <si>
    <t>CTCP Cảng Chân Mây</t>
  </si>
  <si>
    <t>CNC</t>
  </si>
  <si>
    <t>Công ty cổ phần Công nghệ cao Traphaco</t>
  </si>
  <si>
    <t>CNH</t>
  </si>
  <si>
    <t>CTCP Cảng Nha Trang</t>
  </si>
  <si>
    <t>CNN</t>
  </si>
  <si>
    <t>CTCP Tư vấn công nghệ, thiết bị và kiểm định xây dựng - CONINCO</t>
  </si>
  <si>
    <t>CNT</t>
  </si>
  <si>
    <t>CTCP Tập đoàn CNT</t>
  </si>
  <si>
    <t>CPH</t>
  </si>
  <si>
    <t>CTCP phục vụ Mai táng Hải Phòng</t>
  </si>
  <si>
    <t>CQT</t>
  </si>
  <si>
    <t>Công ty cổ phần Xi măng Quán Triều VVMI</t>
  </si>
  <si>
    <t>CT3</t>
  </si>
  <si>
    <t>CTCP Đầu tư và Xây dựng Công trình 3</t>
  </si>
  <si>
    <t>CTN</t>
  </si>
  <si>
    <t>CTCP Xây dựng Công trình ngầm</t>
  </si>
  <si>
    <t>CTW</t>
  </si>
  <si>
    <t>CTCP Cấp thoát nước Cần Thơ</t>
  </si>
  <si>
    <t>CVC</t>
  </si>
  <si>
    <t>Công ty Cổ Phần Cơ điện Vật tư</t>
  </si>
  <si>
    <t>CXH</t>
  </si>
  <si>
    <t>CTCP Xe khách Hà Nội</t>
  </si>
  <si>
    <t>CZC</t>
  </si>
  <si>
    <t>Công ty cổ phần Than miền Trung - Vinacomin</t>
  </si>
  <si>
    <t>D26</t>
  </si>
  <si>
    <t>CTCP Quản lý và Xây dựng Đường bộ 26</t>
  </si>
  <si>
    <t>DAC</t>
  </si>
  <si>
    <t>CTCP 382 Đông Anh</t>
  </si>
  <si>
    <t>DAP</t>
  </si>
  <si>
    <t>CTCP Đông Á</t>
  </si>
  <si>
    <t>DAS</t>
  </si>
  <si>
    <t>CTCP Máy - Thiết bị Dầu khí Đà Nẵng</t>
  </si>
  <si>
    <t>DBD 21</t>
  </si>
  <si>
    <t>DBD</t>
  </si>
  <si>
    <t>CTCP Dược - Trang thiết bị Y tế Bình Định</t>
  </si>
  <si>
    <t>DBD 22</t>
  </si>
  <si>
    <t>DBD 23</t>
  </si>
  <si>
    <t>DBH</t>
  </si>
  <si>
    <t>CTCP Đường bộ Hải Phòng</t>
  </si>
  <si>
    <t>DBM</t>
  </si>
  <si>
    <t>CTCP Dược - Vật tư Y tế Đăk Lăk</t>
  </si>
  <si>
    <t>DBW</t>
  </si>
  <si>
    <t>CTCP Cấp nước Điện Biên</t>
  </si>
  <si>
    <t>DC1</t>
  </si>
  <si>
    <t>CTCP Đầu tư Phát triển Xây dựng số 1</t>
  </si>
  <si>
    <t>DCD</t>
  </si>
  <si>
    <t>CTCP Du lịch và Thương mại DIC</t>
  </si>
  <si>
    <t>DCF</t>
  </si>
  <si>
    <t>CTCP Xây dựng và Thiết kế số 1</t>
  </si>
  <si>
    <t>DCI</t>
  </si>
  <si>
    <t>CTCP Công nghiệp Hóa chất Đà Nẵng</t>
  </si>
  <si>
    <t>DCT</t>
  </si>
  <si>
    <t>CTCP Tấm lợp Vật liệu xây dựng Đồng Nai</t>
  </si>
  <si>
    <t>DDH</t>
  </si>
  <si>
    <t>CTCP Đảm bảo giao thông đường thủy Hải Phòng</t>
  </si>
  <si>
    <t>DDM</t>
  </si>
  <si>
    <t>CTCP Hàng hải Đông Đô</t>
  </si>
  <si>
    <t>DDN</t>
  </si>
  <si>
    <t>CTCP Dược - Thiết bị Y tế Đà Nẵng</t>
  </si>
  <si>
    <t>DDV</t>
  </si>
  <si>
    <t>Công ty cổ phần DAP - VINACHEM</t>
  </si>
  <si>
    <t>DFC</t>
  </si>
  <si>
    <t>CTCP Xích líp Đông Anh</t>
  </si>
  <si>
    <t>DGT</t>
  </si>
  <si>
    <t>Công ty cổ phần Công trình Giao thông Đồng Nai</t>
  </si>
  <si>
    <t>DLC</t>
  </si>
  <si>
    <t>Công ty cổ phần Du lịch Cần Thơ</t>
  </si>
  <si>
    <t>DLD</t>
  </si>
  <si>
    <t>CTCP Du lịch Đắk Lắk</t>
  </si>
  <si>
    <t>DLT</t>
  </si>
  <si>
    <t>CTCP Du lịch và Thương mại – Vinacomin</t>
  </si>
  <si>
    <t>DLV</t>
  </si>
  <si>
    <t>CTCP Du lịch Việt Nam Vitours</t>
  </si>
  <si>
    <t>DND</t>
  </si>
  <si>
    <t>CTCP Đầu tư Xây dựng và Vật liệu Đồng Nai</t>
  </si>
  <si>
    <t>DNF</t>
  </si>
  <si>
    <t>CTCP Lương thực Đà Nẵng</t>
  </si>
  <si>
    <t>DNL</t>
  </si>
  <si>
    <t>Công ty cổ phần Logistic Cảng Đà Nẵng</t>
  </si>
  <si>
    <t>DNR</t>
  </si>
  <si>
    <t>CTCP Đường sắt Quảng Nam - Đà Nẵng</t>
  </si>
  <si>
    <t>DNS</t>
  </si>
  <si>
    <t>CTCP Thép Đà Nẵng</t>
  </si>
  <si>
    <t>DNT</t>
  </si>
  <si>
    <t>CTCP Du lịch Đồng Nai</t>
  </si>
  <si>
    <t>DNW</t>
  </si>
  <si>
    <t>Công ty cổ phần Cấp nước Đồng Nai</t>
  </si>
  <si>
    <t>DOC</t>
  </si>
  <si>
    <t>Công ty cổ phần Vật tư nông nghiệp Đồng Nai</t>
  </si>
  <si>
    <t>DOP</t>
  </si>
  <si>
    <t>CTCP Vận tải Xăng dầu Đồng Tháp</t>
  </si>
  <si>
    <t>DPG 21</t>
  </si>
  <si>
    <t>DPG</t>
  </si>
  <si>
    <t>CTCP Tập đoàn Đạt Phương</t>
  </si>
  <si>
    <t>DPG 22</t>
  </si>
  <si>
    <t>DPG 23</t>
  </si>
  <si>
    <t>DPH</t>
  </si>
  <si>
    <t>CTCP Dược phẩm Hải Phòng</t>
  </si>
  <si>
    <t>DPP</t>
  </si>
  <si>
    <t>CTCP Dược Đồng Nai</t>
  </si>
  <si>
    <t>DSV</t>
  </si>
  <si>
    <t>CTCP Đường sắt Vĩnh Phú</t>
  </si>
  <si>
    <t>DT4</t>
  </si>
  <si>
    <t>CTCP Quản lý Đường sông số 4</t>
  </si>
  <si>
    <t>DTC</t>
  </si>
  <si>
    <t>CTCP Viglacera Đông Triều</t>
  </si>
  <si>
    <t>DTG</t>
  </si>
  <si>
    <t>CTCP Dược phẩm Tipharco</t>
  </si>
  <si>
    <t>DTK</t>
  </si>
  <si>
    <t>Tổng công ty Điện lực TKV - CTCP</t>
  </si>
  <si>
    <t>DTN</t>
  </si>
  <si>
    <t>CTCP Diêm Thống Nhất</t>
  </si>
  <si>
    <t>DTV</t>
  </si>
  <si>
    <t>CTCP Phát triển điện Nông thôn Trà Vinh</t>
  </si>
  <si>
    <t>DVC</t>
  </si>
  <si>
    <t>Công ty cổ phần Thương mại Dịch vụ Tổng hợp Cảng Hải Phòng</t>
  </si>
  <si>
    <t>DVH</t>
  </si>
  <si>
    <t>Công ty cổ phần Chế tạo máy điện Việt Nam - Hungari</t>
  </si>
  <si>
    <t>DXL</t>
  </si>
  <si>
    <t>CTCP Du lịch và Xuất nhập khẩu Lạng Sơn</t>
  </si>
  <si>
    <t>EAD</t>
  </si>
  <si>
    <t>CTCP Thủy điện Điện lực Đắk Lắk</t>
  </si>
  <si>
    <t>EIC</t>
  </si>
  <si>
    <t>Công ty cổ phần EVN Quốc tế</t>
  </si>
  <si>
    <t>EMG</t>
  </si>
  <si>
    <t>CTCP Thiết bị Phụ tùng Cơ điện</t>
  </si>
  <si>
    <t>FBA</t>
  </si>
  <si>
    <t>CTCP Tập đoàn Quốc tế FBA</t>
  </si>
  <si>
    <t>FCC</t>
  </si>
  <si>
    <t>CTCP Liên hợp Thực phẩm</t>
  </si>
  <si>
    <t>FCS</t>
  </si>
  <si>
    <t>CTCP Lương thực Thành phố Hồ Chí Minh</t>
  </si>
  <si>
    <t>FDG</t>
  </si>
  <si>
    <t>CTCP Docimexco</t>
  </si>
  <si>
    <t>FOX</t>
  </si>
  <si>
    <t>CTCP Viễn thông FPT</t>
  </si>
  <si>
    <t>FSO</t>
  </si>
  <si>
    <t>CTCP Cơ khí đóng tàu thủy sản Việt Nam</t>
  </si>
  <si>
    <t>G36</t>
  </si>
  <si>
    <t>Tổng Công ty 36 - CTCP</t>
  </si>
  <si>
    <t>GCB</t>
  </si>
  <si>
    <t>Công ty Cổ Phần Petec Bình Định</t>
  </si>
  <si>
    <t>GDW</t>
  </si>
  <si>
    <t>CTCP Cấp nước Gia Định</t>
  </si>
  <si>
    <t>GER</t>
  </si>
  <si>
    <t>CTCP Thể thao Ngôi sao Geru</t>
  </si>
  <si>
    <t>GEX 21</t>
  </si>
  <si>
    <t>GEX</t>
  </si>
  <si>
    <t>CTCP Tập đoàn GELEX</t>
  </si>
  <si>
    <t>GEX 22</t>
  </si>
  <si>
    <t>GEX 23</t>
  </si>
  <si>
    <t>GGG</t>
  </si>
  <si>
    <t>Công ty cổ phần Ô tô Giải Phóng</t>
  </si>
  <si>
    <t>GGS</t>
  </si>
  <si>
    <t>CTCP Giống Gia súc Hà Nội</t>
  </si>
  <si>
    <t>GHC</t>
  </si>
  <si>
    <t>CTCP Thủy điện Gia Lai</t>
  </si>
  <si>
    <t>GND</t>
  </si>
  <si>
    <t>CTCP Gạch ngói Đồng Nai</t>
  </si>
  <si>
    <t>GSM</t>
  </si>
  <si>
    <t>Công ty cổ phần Thủy điện Hương Sơn</t>
  </si>
  <si>
    <t>GTC</t>
  </si>
  <si>
    <t>CTCP Trà Rồng Vàng</t>
  </si>
  <si>
    <t>GTD</t>
  </si>
  <si>
    <t>CTCP Giầy Thượng Đình</t>
  </si>
  <si>
    <t>GTH</t>
  </si>
  <si>
    <t>CTCP Xây dựng Giao thông Thừa Thiên Huế</t>
  </si>
  <si>
    <t>GTS</t>
  </si>
  <si>
    <t>CTCP Công trình Giao thông Sài Gòn</t>
  </si>
  <si>
    <t>GTT</t>
  </si>
  <si>
    <t>CTCP Thuận Thảo</t>
  </si>
  <si>
    <t>GVT</t>
  </si>
  <si>
    <t>CTCP Giấy Việt Trì</t>
  </si>
  <si>
    <t>H11</t>
  </si>
  <si>
    <t>CTCP Xây dựng HUD101</t>
  </si>
  <si>
    <t>HAC</t>
  </si>
  <si>
    <t>HAN</t>
  </si>
  <si>
    <t>Tổng công ty Xây dựng Hà Nội - CTCP</t>
  </si>
  <si>
    <t>HBD</t>
  </si>
  <si>
    <t>CTCP Bao bì PP Bình Dương</t>
  </si>
  <si>
    <t>HBI</t>
  </si>
  <si>
    <t>CTCP HBI</t>
  </si>
  <si>
    <t>HCI</t>
  </si>
  <si>
    <t>CTCP Đầu tư - Xây dựng Hà Nội</t>
  </si>
  <si>
    <t>HD2</t>
  </si>
  <si>
    <t>CTCP Đầu tư Phát triển nhà HUD2</t>
  </si>
  <si>
    <t>HDM</t>
  </si>
  <si>
    <t>CTCP Dệt - May Huế</t>
  </si>
  <si>
    <t>HDP</t>
  </si>
  <si>
    <t>CTCP Dược Hà Tĩnh</t>
  </si>
  <si>
    <t>HEC</t>
  </si>
  <si>
    <t>CTCP Tư vấn Xây dựng Thủy lợi II</t>
  </si>
  <si>
    <t>HEM</t>
  </si>
  <si>
    <t>Công ty cổ phần Chế tạo Điện Cơ Hà Nội</t>
  </si>
  <si>
    <t>HES</t>
  </si>
  <si>
    <t>CTCP Dịch vụ Giải trí Hà Nội</t>
  </si>
  <si>
    <t>HFC</t>
  </si>
  <si>
    <t>CTCP Xăng dầu Chất đốt Hà Nội</t>
  </si>
  <si>
    <t>HFX</t>
  </si>
  <si>
    <t>Công ty cổ phần Sản xuất - Xuất nhập khẩu Thanh Hà</t>
  </si>
  <si>
    <t>HGW</t>
  </si>
  <si>
    <t>CTCP Cấp thoát nước - Công trình đô thị Hậu Giang</t>
  </si>
  <si>
    <t>HHA</t>
  </si>
  <si>
    <t>Công ty cổ phần Văn phòng phẩm Hồng Hà</t>
  </si>
  <si>
    <t>HHN</t>
  </si>
  <si>
    <t>Công ty Cổ Phần Vận tải và Dịch vụ Hàng hóa Hà Nội</t>
  </si>
  <si>
    <t>HHR</t>
  </si>
  <si>
    <t>CTCP Đường sắt Hải Hà</t>
  </si>
  <si>
    <t>HHV_2021</t>
  </si>
  <si>
    <t>HHV</t>
  </si>
  <si>
    <t>CTCP Đầu tư Hạ tầng Giao thông Đèo Cả</t>
  </si>
  <si>
    <t>HHV_2022</t>
  </si>
  <si>
    <t>HHV_2023</t>
  </si>
  <si>
    <t>HIG</t>
  </si>
  <si>
    <t>CTCP Tập đoàn HIPT</t>
  </si>
  <si>
    <t>HJC</t>
  </si>
  <si>
    <t>CTCP Hòa Việt</t>
  </si>
  <si>
    <t>HKP</t>
  </si>
  <si>
    <t>CTCP Bao bì Hà Tiên</t>
  </si>
  <si>
    <t>HLA</t>
  </si>
  <si>
    <t>CTCP Hữu Liên Á Châu</t>
  </si>
  <si>
    <t>HLB</t>
  </si>
  <si>
    <t>CTCP Bia và Nước giải khát Hạ Long</t>
  </si>
  <si>
    <t>HLR</t>
  </si>
  <si>
    <t>CTCP Đường sắt Hà Lạng</t>
  </si>
  <si>
    <t>HMG</t>
  </si>
  <si>
    <t>CTCP Kim khí Hà Nội - VNSTEEL</t>
  </si>
  <si>
    <t>HNB</t>
  </si>
  <si>
    <t>CTCP Bến xe Hà Nội</t>
  </si>
  <si>
    <t>HND</t>
  </si>
  <si>
    <t>CTCP Nhiệt điện Hải Phòng</t>
  </si>
  <si>
    <t>HNF</t>
  </si>
  <si>
    <t>CTCP Thực phẩm Hữu Nghị</t>
  </si>
  <si>
    <t>HNP</t>
  </si>
  <si>
    <t>CTCP Hanel Xốp nhựa</t>
  </si>
  <si>
    <t>HNT</t>
  </si>
  <si>
    <t>CTCP Xe điện Hà Nội</t>
  </si>
  <si>
    <t>HPB</t>
  </si>
  <si>
    <t>CTCP Bao bì PP</t>
  </si>
  <si>
    <t>HPD</t>
  </si>
  <si>
    <t>Công ty CTCP Thủy điện Đăk Đoa</t>
  </si>
  <si>
    <t>HPL</t>
  </si>
  <si>
    <t>CTCP Bến xe Tàu phà Cần Thơ</t>
  </si>
  <si>
    <t>HPP</t>
  </si>
  <si>
    <t>CTCP Sơn Hải Phòng</t>
  </si>
  <si>
    <t>HPT</t>
  </si>
  <si>
    <t>CTCP Dịch vụ Công nghệ Tin học HPT</t>
  </si>
  <si>
    <t>HPW</t>
  </si>
  <si>
    <t>CTCP Cấp nước Hải Phòng</t>
  </si>
  <si>
    <t>HRG</t>
  </si>
  <si>
    <t>Công ty cổ phần Cao su Hà Nội</t>
  </si>
  <si>
    <t>HRT</t>
  </si>
  <si>
    <t>Công ty cổ phần Vận tải Đường sắt Hà Nội</t>
  </si>
  <si>
    <t>HSA</t>
  </si>
  <si>
    <t>CTCP HESTIA</t>
  </si>
  <si>
    <t>HSI</t>
  </si>
  <si>
    <t>CTCP Vật tư tổng hợp và Phân bón Hóa sinh</t>
  </si>
  <si>
    <t>HTR</t>
  </si>
  <si>
    <t>CTCP Đường sắt Hà Thái</t>
  </si>
  <si>
    <t>HTU</t>
  </si>
  <si>
    <t>CTCP Môi trường và Công trình Đô thị Hà Tĩnh</t>
  </si>
  <si>
    <t>HTW</t>
  </si>
  <si>
    <t>CTCP Cấp nước Hà Tĩnh</t>
  </si>
  <si>
    <t>HU4</t>
  </si>
  <si>
    <t>CTCP Đầu tư và Xây dựng HUD4</t>
  </si>
  <si>
    <t>HU6</t>
  </si>
  <si>
    <t>Công ty cổ phần Đầu tư Phát triển nhà và Đô thị HUD 6</t>
  </si>
  <si>
    <t>HVC</t>
  </si>
  <si>
    <t>CTCP Hưng Vượng</t>
  </si>
  <si>
    <t>HVN_2021</t>
  </si>
  <si>
    <t>HVN</t>
  </si>
  <si>
    <t>Tổng Công ty Hàng không Việt Nam - CTCP</t>
  </si>
  <si>
    <t>HVN_2022</t>
  </si>
  <si>
    <t>HVN_2023</t>
  </si>
  <si>
    <t>I10</t>
  </si>
  <si>
    <t>CTCP Đầu tư Xây dựng số 10 IDICO</t>
  </si>
  <si>
    <t>I40</t>
  </si>
  <si>
    <t>CTCP Đầu tư và Xây dựng 40</t>
  </si>
  <si>
    <t>IBC</t>
  </si>
  <si>
    <t>CTCP Đầu tư Apax Holding</t>
  </si>
  <si>
    <t>ICC</t>
  </si>
  <si>
    <t>CTCP Xây dựng Công nghiệp</t>
  </si>
  <si>
    <t>ICI</t>
  </si>
  <si>
    <t>CTCP Đầu tư và Xây dựng Công nghiệp</t>
  </si>
  <si>
    <t>ICN</t>
  </si>
  <si>
    <t>Công ty cổ phần Đầu tư Xây dựng Dầu khí IDICO</t>
  </si>
  <si>
    <t>IFC</t>
  </si>
  <si>
    <t>CTCP Thực phẩm Công nghệ Sài Gòn</t>
  </si>
  <si>
    <t>IFS</t>
  </si>
  <si>
    <t>CTCP Thực phẩm Quốc tế</t>
  </si>
  <si>
    <t>IHK</t>
  </si>
  <si>
    <t>CTCP In Hàng không</t>
  </si>
  <si>
    <t>IME</t>
  </si>
  <si>
    <t>CTCP Cơ khí và Xây lắp Công nghiệp</t>
  </si>
  <si>
    <t>IMT</t>
  </si>
  <si>
    <t>CTCP Xuất nhập khẩu Đầu tư Thành phố Hồ Chí Minh</t>
  </si>
  <si>
    <t>IN4</t>
  </si>
  <si>
    <t>CTCP In số 4</t>
  </si>
  <si>
    <t>IPA</t>
  </si>
  <si>
    <t>Công ty cổ phần Tập đoàn Đầu tư I.P.A</t>
  </si>
  <si>
    <t>ISG</t>
  </si>
  <si>
    <t>CTCP Vận tải biển &amp; Hợp tác Quốc tế</t>
  </si>
  <si>
    <t>ISH</t>
  </si>
  <si>
    <t>Công ty cổ phần Thủy điện Srok Phu Miêng IDICO</t>
  </si>
  <si>
    <t>IST</t>
  </si>
  <si>
    <t>CTCP ICD Tân Cảng Sóng Thần</t>
  </si>
  <si>
    <t>ITS</t>
  </si>
  <si>
    <t>Công ty cổ phần Đầu tư, Thương mại và Dịch vụ - Vinacomin</t>
  </si>
  <si>
    <t>JSC</t>
  </si>
  <si>
    <t>CTCP Xây dựng Cầu đường Hà Nội</t>
  </si>
  <si>
    <t>KBE</t>
  </si>
  <si>
    <t>CTCP Sách - Thiết bị Trường học Kiên Giang</t>
  </si>
  <si>
    <t>KCB</t>
  </si>
  <si>
    <t>CTCP Khoáng sản và luyện kim Cao Bằng</t>
  </si>
  <si>
    <t>KCE</t>
  </si>
  <si>
    <t>CTCP Bê tông Ly tâm Điện lực Khánh Hòa</t>
  </si>
  <si>
    <t>KHD</t>
  </si>
  <si>
    <t>CTCP Khai thác, Chế biến khoáng sản Hải Dương</t>
  </si>
  <si>
    <t>KHW</t>
  </si>
  <si>
    <t>CTCP Cấp nước Khánh Hòa</t>
  </si>
  <si>
    <t>KIP</t>
  </si>
  <si>
    <t>CTCP Khí cụ Điện 1</t>
  </si>
  <si>
    <t>KSC</t>
  </si>
  <si>
    <t>CTCP Muối Khánh Hòa</t>
  </si>
  <si>
    <t>KSS</t>
  </si>
  <si>
    <t>CTCP Khoáng sản Na Rì Hamico</t>
  </si>
  <si>
    <t>KSV</t>
  </si>
  <si>
    <t>Tổng Công ty Khoáng sản TKV - CTCP</t>
  </si>
  <si>
    <t>KTB</t>
  </si>
  <si>
    <t>CTCP Đầu tư Khoáng sản Tây Bắc</t>
  </si>
  <si>
    <t>KTL</t>
  </si>
  <si>
    <t>CTCP Kim khí Thăng Long</t>
  </si>
  <si>
    <t>L12</t>
  </si>
  <si>
    <t>Công ty cổ phần Licogi 12</t>
  </si>
  <si>
    <t>L45</t>
  </si>
  <si>
    <t>CTCP Lilama 45.1</t>
  </si>
  <si>
    <t>L63</t>
  </si>
  <si>
    <t>CTCP Lilama 69-3</t>
  </si>
  <si>
    <t>LAI</t>
  </si>
  <si>
    <t>CTCP Đầu tư xây dựng Long An IDICO</t>
  </si>
  <si>
    <t>LAW</t>
  </si>
  <si>
    <t>Công ty cổ phần Cấp thoát nước Long An</t>
  </si>
  <si>
    <t>LCC</t>
  </si>
  <si>
    <t>CTCP Xi măng Lạng Sơn</t>
  </si>
  <si>
    <t>LCW</t>
  </si>
  <si>
    <t>CTCP Nước sạch Lai Châu</t>
  </si>
  <si>
    <t>LKW</t>
  </si>
  <si>
    <t>CTCP Cấp nước Long Khánh</t>
  </si>
  <si>
    <t>LM3</t>
  </si>
  <si>
    <t>CTCP Lilama 3</t>
  </si>
  <si>
    <t>LQN</t>
  </si>
  <si>
    <t>Công ty cổ phần Licogi Quảng Ngãi</t>
  </si>
  <si>
    <t>MC3</t>
  </si>
  <si>
    <t>CTCP Khoáng sản 3 - Vimico</t>
  </si>
  <si>
    <t>MCH</t>
  </si>
  <si>
    <t>CTCP Hàng tiêu dùng Masan</t>
  </si>
  <si>
    <t>MCI</t>
  </si>
  <si>
    <t>CTCP Đầu tư Xây dựng và Phát triển Vật liệu IDICO</t>
  </si>
  <si>
    <t>MCK</t>
  </si>
  <si>
    <t>MCT</t>
  </si>
  <si>
    <t>CTCP Kinh doanh Vật tư và Xây dựng</t>
  </si>
  <si>
    <t>MDF</t>
  </si>
  <si>
    <t>Công ty cổ phần Gỗ MDF VRG Quảng Trị</t>
  </si>
  <si>
    <t>MEF</t>
  </si>
  <si>
    <t>Công ty cổ phần MEINFA</t>
  </si>
  <si>
    <t>MES</t>
  </si>
  <si>
    <t>Công ty cổ phần Cơ điện Công trình</t>
  </si>
  <si>
    <t>MGC</t>
  </si>
  <si>
    <t>CTCP Địa chất mỏ - TKV</t>
  </si>
  <si>
    <t>MH3</t>
  </si>
  <si>
    <t>CTCP Khu Công Nghiệp Cao Su Bình Long</t>
  </si>
  <si>
    <t>MIC</t>
  </si>
  <si>
    <t>CTCP Kỹ nghệ Khoáng sản Quảng Nam</t>
  </si>
  <si>
    <t>MJC</t>
  </si>
  <si>
    <t>CTCP Thương mại Mộc Hóa</t>
  </si>
  <si>
    <t>MKT</t>
  </si>
  <si>
    <t>Công ty cổ phần Dệt Minh Khai</t>
  </si>
  <si>
    <t>MMC</t>
  </si>
  <si>
    <t>CTCP Khoáng sản Mangan</t>
  </si>
  <si>
    <t>MSR</t>
  </si>
  <si>
    <t>Công ty cổ phần Tài nguyên Masan</t>
  </si>
  <si>
    <t>MTA</t>
  </si>
  <si>
    <t>Tổng Công ty Khoáng sản và Thương mại Hà Tĩnh - CTCP</t>
  </si>
  <si>
    <t>MTC</t>
  </si>
  <si>
    <t>CTCP Dịch vụ Du lịch Mỹ Trà</t>
  </si>
  <si>
    <t>MTG</t>
  </si>
  <si>
    <t>CTCP MT Gas</t>
  </si>
  <si>
    <t>MTH</t>
  </si>
  <si>
    <t>CTCP Môi trường Đô thị Hà Đông</t>
  </si>
  <si>
    <t>MTL</t>
  </si>
  <si>
    <t>CTCP Dịch vụ Môi trường Đô thị Từ Liêm</t>
  </si>
  <si>
    <t>MTM</t>
  </si>
  <si>
    <t>CTCP Mỏ và Xuất nhập khẩu Khoáng sản Miền Trung</t>
  </si>
  <si>
    <t>MTP</t>
  </si>
  <si>
    <t>CTCP Dược trung ương Medipharco - Tenamyd</t>
  </si>
  <si>
    <t>MVY</t>
  </si>
  <si>
    <t>CTCP Môi trường và Dịch vụ Đô thị Vĩnh Yên</t>
  </si>
  <si>
    <t>NAP</t>
  </si>
  <si>
    <t>Công ty cổ phần Cảng Nghệ Tĩnh</t>
  </si>
  <si>
    <t>NAS</t>
  </si>
  <si>
    <t>CTCP Dịch vụ Hàng không Sân bay Nội Bài</t>
  </si>
  <si>
    <t>NBR</t>
  </si>
  <si>
    <t>CTCP Đường sắt Nghĩa Bình</t>
  </si>
  <si>
    <t>NBS</t>
  </si>
  <si>
    <t>CTCP Bến xe Nghệ An</t>
  </si>
  <si>
    <t>NBT</t>
  </si>
  <si>
    <t>CTCP Cấp thoát nước Bến Tre</t>
  </si>
  <si>
    <t>NBW</t>
  </si>
  <si>
    <t>CTCP Cấp nước Nhà Bè</t>
  </si>
  <si>
    <t>NCS</t>
  </si>
  <si>
    <t>Công ty cổ phần Suất ăn Hàng không Nội Bài</t>
  </si>
  <si>
    <t>ND2</t>
  </si>
  <si>
    <t>CTCP Đầu tư Phát triển điện Miền Bắc 2</t>
  </si>
  <si>
    <t>NDC</t>
  </si>
  <si>
    <t>CTCP Nam Dược</t>
  </si>
  <si>
    <t>NDP</t>
  </si>
  <si>
    <t>CTCP Dược phẩm 2-9 TP. Hồ Chí Minh</t>
  </si>
  <si>
    <t>NHN</t>
  </si>
  <si>
    <t>Công ty cổ phần Phát triển Đô thị Nam Hà Nội</t>
  </si>
  <si>
    <t>NLS</t>
  </si>
  <si>
    <t>Công ty cổ phần Cấp thoát Nước Lạng Sơn</t>
  </si>
  <si>
    <t>NMK</t>
  </si>
  <si>
    <t>Công ty cổ phần Xây dựng Công trình 510</t>
  </si>
  <si>
    <t>NNB</t>
  </si>
  <si>
    <t>CTCP Cấp thoát nước Ninh Bình</t>
  </si>
  <si>
    <t>NNG</t>
  </si>
  <si>
    <t>CTCP Công nghiệp - Dịch vụ - Thương Mại Ngọc Nghĩa</t>
  </si>
  <si>
    <t>NNT</t>
  </si>
  <si>
    <t>Công ty cổ phần Cấp nước Ninh Thuận</t>
  </si>
  <si>
    <t>NOS</t>
  </si>
  <si>
    <t>CTCP Vận tải Biển Bắc</t>
  </si>
  <si>
    <t>NPH</t>
  </si>
  <si>
    <t>CTCP Khách sạn Bưu điện Nha Trang</t>
  </si>
  <si>
    <t>NQB</t>
  </si>
  <si>
    <t>Công ty cổ phần Cấp nước Quảng Bình</t>
  </si>
  <si>
    <t>NQT</t>
  </si>
  <si>
    <t>CTCP Nước sạch Quảng Trị</t>
  </si>
  <si>
    <t>NS2</t>
  </si>
  <si>
    <t>CTCP Nước sạch số 2 Hà Nội</t>
  </si>
  <si>
    <t>NS3</t>
  </si>
  <si>
    <t>CTCP Sản xuất Kinh doanh Nước sạch số 3 Hà Nội</t>
  </si>
  <si>
    <t>NSG</t>
  </si>
  <si>
    <t>CTCP Nhựa Sài Gòn</t>
  </si>
  <si>
    <t>NSP</t>
  </si>
  <si>
    <t>CTCP Nhựa Sam Phú</t>
  </si>
  <si>
    <t>NTB</t>
  </si>
  <si>
    <t>Công ty cổ phần Đầu tư Xây dựng và Khai thác Công trình Giao thông 584</t>
  </si>
  <si>
    <t>NTC</t>
  </si>
  <si>
    <t>CTCP Khu Công nghiệp Nam Tân Uyên</t>
  </si>
  <si>
    <t>NTR</t>
  </si>
  <si>
    <t>Công ty Cổ Phần Đường sắt Nghệ Tĩnh</t>
  </si>
  <si>
    <t>NTW</t>
  </si>
  <si>
    <t>Công ty cổ phần Cấp nước Nhơn Trạch</t>
  </si>
  <si>
    <t>NUE</t>
  </si>
  <si>
    <t>CTCP Môi trường Đô thị Nha Trang</t>
  </si>
  <si>
    <t>NVP</t>
  </si>
  <si>
    <t>CTCP Nước sạch Vĩnh Phúc</t>
  </si>
  <si>
    <t>NWT</t>
  </si>
  <si>
    <t>CTCP Vận tải Newway</t>
  </si>
  <si>
    <t>OLC</t>
  </si>
  <si>
    <t>Công ty cổ phần Xây dựng, Dịch vụ và Hợp tác lao động</t>
  </si>
  <si>
    <t>ONW</t>
  </si>
  <si>
    <t>CTCP Dịch vụ Một Thế giới</t>
  </si>
  <si>
    <t>PAI</t>
  </si>
  <si>
    <t>CTCP Công nghệ thông tin, viễn thông và tự động hóa Dầu khí</t>
  </si>
  <si>
    <t>PEC</t>
  </si>
  <si>
    <t>CTCP Cơ khí Điện lực</t>
  </si>
  <si>
    <t>PEQ</t>
  </si>
  <si>
    <t>CTCP Thiết bị Xăng dầu Petrolimex</t>
  </si>
  <si>
    <t>PFL</t>
  </si>
  <si>
    <t>Công ty cổ phần Dầu khí Đông Đô</t>
  </si>
  <si>
    <t>PFV</t>
  </si>
  <si>
    <t>CTCP Đầu tư và Thương mại PFV</t>
  </si>
  <si>
    <t>PHH</t>
  </si>
  <si>
    <t>CTCP Hồng Hà Việt Nam</t>
  </si>
  <si>
    <t>PID</t>
  </si>
  <si>
    <t>CTCP Trang trí Nội thất Dầu khí</t>
  </si>
  <si>
    <t>PIS</t>
  </si>
  <si>
    <t>Tổng công ty Pisico Bình Định - CTCP</t>
  </si>
  <si>
    <t>PJS</t>
  </si>
  <si>
    <t>Công ty cổ phần Cấp nước Phú Hòa Tân</t>
  </si>
  <si>
    <t>PKR</t>
  </si>
  <si>
    <t>CTCP Đường sắt Phú Khánh</t>
  </si>
  <si>
    <t>PMJ</t>
  </si>
  <si>
    <t>CTCP Vật tư Bưu điện</t>
  </si>
  <si>
    <t>PMT</t>
  </si>
  <si>
    <t>Công ty cổ phần Viễn thông TELVINA Việt Nam</t>
  </si>
  <si>
    <t>PND</t>
  </si>
  <si>
    <t>CTCP Xăng dầu Dầu khí Nam Định</t>
  </si>
  <si>
    <t>PNG</t>
  </si>
  <si>
    <t>Công ty cổ phần Thương mại Phú Nhuận</t>
  </si>
  <si>
    <t>PNT</t>
  </si>
  <si>
    <t>Công ty cổ phần Kỹ thuật Xây dựng Phú Nhuận</t>
  </si>
  <si>
    <t>POS</t>
  </si>
  <si>
    <t>CTCP Dịch vụ Lắp đặt, Vận hành và Bảo dưỡng Công trình Dầu khí biển PTSC</t>
  </si>
  <si>
    <t>POV</t>
  </si>
  <si>
    <t>CTCP Xăng dầu Dầu khí Vũng Áng</t>
  </si>
  <si>
    <t>PPG</t>
  </si>
  <si>
    <t>CTCP Sản xuất Thương mại Dịch vụ Phú Phong</t>
  </si>
  <si>
    <t>PRO</t>
  </si>
  <si>
    <t>CTCP Procimex Việt Nam</t>
  </si>
  <si>
    <t>PSB</t>
  </si>
  <si>
    <t>Công ty cổ phần Đầu tư Dầu khí Sao Mai – Bến Đình</t>
  </si>
  <si>
    <t>PSG</t>
  </si>
  <si>
    <t>CTCP Đầu tư và Xây lắp Dầu khí Sài Gòn</t>
  </si>
  <si>
    <t>PSL</t>
  </si>
  <si>
    <t>CTCP Chăn nuôi Phú Sơn</t>
  </si>
  <si>
    <t>PSP</t>
  </si>
  <si>
    <t>CTCP Cảng dịch vụ Dầu khí Đình Vũ</t>
  </si>
  <si>
    <t>PTE</t>
  </si>
  <si>
    <t>CTCP Xi măng Phú Thọ</t>
  </si>
  <si>
    <t>PTG</t>
  </si>
  <si>
    <t>CTCP May Xuất khẩu Phan Thiết</t>
  </si>
  <si>
    <t>PTH</t>
  </si>
  <si>
    <t>CTCP Vận tải và Dịch vụ Petrolimex Hà Tây</t>
  </si>
  <si>
    <t>PTK</t>
  </si>
  <si>
    <t>CTCP Luyện kim Phú Thịnh</t>
  </si>
  <si>
    <t>PTM</t>
  </si>
  <si>
    <t>Công ty cổ phần Sản xuất, Thương mại và Dịch vụ ôtô PTM</t>
  </si>
  <si>
    <t>PTP</t>
  </si>
  <si>
    <t>CTCP Dịch vụ Viễn thông và In Bưu điện</t>
  </si>
  <si>
    <t>PTT</t>
  </si>
  <si>
    <t>CTCP Vận tải Dầu khí Đông Dương</t>
  </si>
  <si>
    <t>PVA</t>
  </si>
  <si>
    <t>CTCP Tổng Công ty Xây lắp Dầu khí Nghệ An</t>
  </si>
  <si>
    <t>PVM</t>
  </si>
  <si>
    <t>CTCP Máy - Thiết bị Dầu khí</t>
  </si>
  <si>
    <t>PVO</t>
  </si>
  <si>
    <t>CTCP Dầu nhờn PV Oil</t>
  </si>
  <si>
    <t>PVP_2021</t>
  </si>
  <si>
    <t>PVP</t>
  </si>
  <si>
    <t>CTCP Vận tải dầu khí Thái Bình Dương</t>
  </si>
  <si>
    <t>PVP_2022</t>
  </si>
  <si>
    <t>PVP_2023</t>
  </si>
  <si>
    <t>PX1</t>
  </si>
  <si>
    <t>Công ty cổ phần Xi măng Sông Lam 2</t>
  </si>
  <si>
    <t>PXC</t>
  </si>
  <si>
    <t>Công ty cổ phần Phát triển đô thị Dầu khí</t>
  </si>
  <si>
    <t>PXL</t>
  </si>
  <si>
    <t>Công ty cổ phần Đầu tư Xây dựng Thương mại Dầu khí-IDICO</t>
  </si>
  <si>
    <t>PXM</t>
  </si>
  <si>
    <t>CTCP Xây lắp Dầu khí Miền Trung</t>
  </si>
  <si>
    <t>QBR</t>
  </si>
  <si>
    <t>Công ty Cổ Phần Đường sắt Quảng Bình</t>
  </si>
  <si>
    <t>QCC</t>
  </si>
  <si>
    <t>CTCP Đầu tư Xây dựng và Phát triển Hạ tầng Viễn thông</t>
  </si>
  <si>
    <t>QHW</t>
  </si>
  <si>
    <t>CTCP Nước khoáng Quảng Ninh</t>
  </si>
  <si>
    <t>QNS</t>
  </si>
  <si>
    <t>CTCP Đường Quảng Ngãi</t>
  </si>
  <si>
    <t>QNU</t>
  </si>
  <si>
    <t>CTCP Môi trường Đô thị Quảng Nam</t>
  </si>
  <si>
    <t>QNW</t>
  </si>
  <si>
    <t>CTCP Cấp thoát nước và Xây dựng Quảng Ngãi</t>
  </si>
  <si>
    <t>QPH</t>
  </si>
  <si>
    <t>CTCP Thủy điện Quế Phong</t>
  </si>
  <si>
    <t>QSP</t>
  </si>
  <si>
    <t>Công ty cổ phần Tân Cảng Quy Nhơn</t>
  </si>
  <si>
    <t>RAT</t>
  </si>
  <si>
    <t>CTCP Vận tải và Thương mại Đường sắt</t>
  </si>
  <si>
    <t>RBC</t>
  </si>
  <si>
    <t>CTCP Công nghiệp và Xuất nhập khẩu Cao Su</t>
  </si>
  <si>
    <t>RCC</t>
  </si>
  <si>
    <t>CTCP Tổng công ty Công trình đường sắt</t>
  </si>
  <si>
    <t>RCD</t>
  </si>
  <si>
    <t>Công ty cổ phần Xây dựng - Địa ốc Cao su</t>
  </si>
  <si>
    <t>REM</t>
  </si>
  <si>
    <t>Công ty cổ phần Tu bổ di tích Trung ương - Vinaremon</t>
  </si>
  <si>
    <t>RLC</t>
  </si>
  <si>
    <t>CTCP Đường bộ Lào Cai</t>
  </si>
  <si>
    <t>RTB</t>
  </si>
  <si>
    <t>Công ty cổ phần Cao su Tân Biên</t>
  </si>
  <si>
    <t>RTH</t>
  </si>
  <si>
    <t>CTCP Đường sắt Thanh Hóa</t>
  </si>
  <si>
    <t>RTS</t>
  </si>
  <si>
    <t>CTCP Thông tin tín hiệu Đường sắt Đà Nẵng</t>
  </si>
  <si>
    <t>S12</t>
  </si>
  <si>
    <t>CTCP Sông Đà 12</t>
  </si>
  <si>
    <t>S27</t>
  </si>
  <si>
    <t>Công ty cổ phần Sông Đà 27</t>
  </si>
  <si>
    <t>S33</t>
  </si>
  <si>
    <t>Công ty cổ phần Mía đường 333</t>
  </si>
  <si>
    <t>S96</t>
  </si>
  <si>
    <t>CTCP Sông Đà 9.06</t>
  </si>
  <si>
    <t>SAC</t>
  </si>
  <si>
    <t>CTCP Xếp dỡ và Dịch vụ Cảng Sài Gòn</t>
  </si>
  <si>
    <t>SAS</t>
  </si>
  <si>
    <t>CTCP Dịch vụ Hàng không Sân bay Tân Sơn Nhất</t>
  </si>
  <si>
    <t>SB1</t>
  </si>
  <si>
    <t>Công ty cổ phần Bia Sài Gòn - Nghệ Tĩnh</t>
  </si>
  <si>
    <t>SBD</t>
  </si>
  <si>
    <t>CTCP Công nghệ Sao Bắc Đẩu</t>
  </si>
  <si>
    <t>SBL</t>
  </si>
  <si>
    <t>CTCP Bia Sài Gòn - Bạc Liêu</t>
  </si>
  <si>
    <t>SBS</t>
  </si>
  <si>
    <t>CTCP Chứng khoán Ngân hàng Sài Gòn Thương Tín</t>
  </si>
  <si>
    <t>SCC</t>
  </si>
  <si>
    <t>CTCP Đầu tư Thương mại Hưng Long tỉnh Hòa Bình</t>
  </si>
  <si>
    <t>SCH</t>
  </si>
  <si>
    <t>CTCP Thủy điện Sông chảy 5</t>
  </si>
  <si>
    <t>SCO</t>
  </si>
  <si>
    <t>CTCP Công nghiệp Thủy sản</t>
  </si>
  <si>
    <t>SD1</t>
  </si>
  <si>
    <t>CTCP Sông Đà 1</t>
  </si>
  <si>
    <t>SD3</t>
  </si>
  <si>
    <t>CTCP Sông Đà 3</t>
  </si>
  <si>
    <t>SD8</t>
  </si>
  <si>
    <t>CTCP Sông Đà 8</t>
  </si>
  <si>
    <t>SDB</t>
  </si>
  <si>
    <t>CTCP Sông Đà 207</t>
  </si>
  <si>
    <t>SDF</t>
  </si>
  <si>
    <t>Công ty Tài chính cổ phần Sông Đà</t>
  </si>
  <si>
    <t>SDI</t>
  </si>
  <si>
    <t>Công ty cổ phần Đầu tư và Phát triển Đô thị Sài Đồng</t>
  </si>
  <si>
    <t>SDJ</t>
  </si>
  <si>
    <t>CTCP Sông Đà 25</t>
  </si>
  <si>
    <t>SDK</t>
  </si>
  <si>
    <t>CTCP Cơ khí Luyện kim</t>
  </si>
  <si>
    <t>SDV</t>
  </si>
  <si>
    <t>CTCP Dịch vụ Sonadezi</t>
  </si>
  <si>
    <t>SDX</t>
  </si>
  <si>
    <t>CTCP Phòng cháy chữa cháy và Đầu tư Xây dựng Sông Đà</t>
  </si>
  <si>
    <t>SEA</t>
  </si>
  <si>
    <t>Tổng công ty Thủy sản Việt Nam – CTCP</t>
  </si>
  <si>
    <t>SEP</t>
  </si>
  <si>
    <t>CTCP Tổng Công ty Thương mại Quảng Trị</t>
  </si>
  <si>
    <t>SFT</t>
  </si>
  <si>
    <t>CÔNG TY CỔ PHẦN SOFTECH</t>
  </si>
  <si>
    <t>SGN_2021</t>
  </si>
  <si>
    <t>SGN</t>
  </si>
  <si>
    <t>Công ty cổ phần Phục vụ Mặt đất Sài Gòn</t>
  </si>
  <si>
    <t>SGN_2022</t>
  </si>
  <si>
    <t>SGN_2023</t>
  </si>
  <si>
    <t>SGP</t>
  </si>
  <si>
    <t>CTCP Cảng Sài Gòn</t>
  </si>
  <si>
    <t>SGR_2021</t>
  </si>
  <si>
    <t>SGR</t>
  </si>
  <si>
    <t>Công ty cổ phần Địa ốc Sài Gòn</t>
  </si>
  <si>
    <t>SGR_2022</t>
  </si>
  <si>
    <t>SGR_2023</t>
  </si>
  <si>
    <t>SGS</t>
  </si>
  <si>
    <t>CTCP Vận tải biển Sài Gòn</t>
  </si>
  <si>
    <t>SHG</t>
  </si>
  <si>
    <t>Tổng CTCP Sông Hồng</t>
  </si>
  <si>
    <t>SHV</t>
  </si>
  <si>
    <t>CTCP Hải Việt</t>
  </si>
  <si>
    <t>SHX</t>
  </si>
  <si>
    <t>CTCP Sài Gòn Hỏa xa</t>
  </si>
  <si>
    <t>SID</t>
  </si>
  <si>
    <t>CTCP Đầu tư Phát triển Sài Gòn Co.op</t>
  </si>
  <si>
    <t>SJM</t>
  </si>
  <si>
    <t>CTCP Sông Đà 19</t>
  </si>
  <si>
    <t>SLC</t>
  </si>
  <si>
    <t>CTCP Dịch vụ xuất khẩu lao động và chuyên gia</t>
  </si>
  <si>
    <t>SMB_2021</t>
  </si>
  <si>
    <t>SMB</t>
  </si>
  <si>
    <t>CTCP Bia Sài Gòn - Miền Trung</t>
  </si>
  <si>
    <t>SMB_2022</t>
  </si>
  <si>
    <t>SMB_2023</t>
  </si>
  <si>
    <t>SNC</t>
  </si>
  <si>
    <t>CTCP Xuất nhập khẩu Thủy sản Năm Căn</t>
  </si>
  <si>
    <t>SP2</t>
  </si>
  <si>
    <t>CTCP Thủy điện Sử Pán 2</t>
  </si>
  <si>
    <t>SPA</t>
  </si>
  <si>
    <t>Công ty Cổ Phần Bao bì Sài Gòn</t>
  </si>
  <si>
    <t>SPB</t>
  </si>
  <si>
    <t>CTCP Sợi Phú Bài</t>
  </si>
  <si>
    <t>spc-21</t>
  </si>
  <si>
    <t>SPC</t>
  </si>
  <si>
    <t>CTCP Bảo vệ Thực vật Sài Gòn</t>
  </si>
  <si>
    <t>pc-22</t>
  </si>
  <si>
    <t>spc-23</t>
  </si>
  <si>
    <t>SPD</t>
  </si>
  <si>
    <t>CTCP Xuất nhập khẩu Thủy sản Miền Trung</t>
  </si>
  <si>
    <t>SPH</t>
  </si>
  <si>
    <t>Công ty cổ phần Xuất nhập khẩu Thủy sản Hà Nội</t>
  </si>
  <si>
    <t>SPV</t>
  </si>
  <si>
    <t>Công ty cổ phần Thủy Đặc Sản</t>
  </si>
  <si>
    <t>SQC</t>
  </si>
  <si>
    <t>CTCP Khoáng sản Sài Gòn - Quy Nhơn</t>
  </si>
  <si>
    <t>SRB</t>
  </si>
  <si>
    <t>CTCP Tập đoàn Sara</t>
  </si>
  <si>
    <t>SRT</t>
  </si>
  <si>
    <t>CTCP Vận tải Đường sắt Sài Gòn</t>
  </si>
  <si>
    <t>SSF</t>
  </si>
  <si>
    <t>CTCP Giầy Sài Gòn</t>
  </si>
  <si>
    <t>SSG</t>
  </si>
  <si>
    <t>CTCP Vận tải biển Hải Âu</t>
  </si>
  <si>
    <t>SSN</t>
  </si>
  <si>
    <t>CTCP Xuất nhập khẩu Thủy sản Sài Gòn</t>
  </si>
  <si>
    <t>SSU</t>
  </si>
  <si>
    <t>CTCP Môi trường Đô thị Sóc Sơn</t>
  </si>
  <si>
    <t>STL</t>
  </si>
  <si>
    <t>Công ty cổ phần Sông Đà - Thăng Long</t>
  </si>
  <si>
    <t>STS</t>
  </si>
  <si>
    <t>CTCP Dịch vụ Vận tải Sài Gòn</t>
  </si>
  <si>
    <t>STU</t>
  </si>
  <si>
    <t>CTCP Môi trường và Công trình Đô thị Sơn Tây</t>
  </si>
  <si>
    <t>STV</t>
  </si>
  <si>
    <t>Công ty cổ phần Chế tác Đá Việt Nam</t>
  </si>
  <si>
    <t>SVG</t>
  </si>
  <si>
    <t>CTCP Hơi Kỹ nghệ Que hàn</t>
  </si>
  <si>
    <t>SWC</t>
  </si>
  <si>
    <t>Tổng CTCP Đường Sông Miền Nam</t>
  </si>
  <si>
    <t>SZE</t>
  </si>
  <si>
    <t>CTCP Môi trường Sonadezi</t>
  </si>
  <si>
    <t>TAP</t>
  </si>
  <si>
    <t>Công ty cổ phần Đô thị Tân An</t>
  </si>
  <si>
    <t>TAW</t>
  </si>
  <si>
    <t>CTCP Cấp nước Trung An</t>
  </si>
  <si>
    <t>TB8</t>
  </si>
  <si>
    <t>CTCP Sản xuất và Kinh doanh Vật tư Thiết bị - VVMI</t>
  </si>
  <si>
    <t>TBD</t>
  </si>
  <si>
    <t>Tổng Công ty Thiết bị Điện Đông Anh - CTCP</t>
  </si>
  <si>
    <t>TBT</t>
  </si>
  <si>
    <t>CTCP Xây dựng Công trình Giao thông Bến Tre</t>
  </si>
  <si>
    <t>TDS</t>
  </si>
  <si>
    <t>Công ty cổ phần Thép Thủ Đức - Vnsteel</t>
  </si>
  <si>
    <t>TGP</t>
  </si>
  <si>
    <t>CTCP Trường Phú</t>
  </si>
  <si>
    <t>THW</t>
  </si>
  <si>
    <t>Công ty cổ phần Cấp nước Tân Hòa</t>
  </si>
  <si>
    <t>TIS</t>
  </si>
  <si>
    <t>Công ty cổ phần Gang thép Thái Nguyên</t>
  </si>
  <si>
    <t>TL4</t>
  </si>
  <si>
    <t>Tổng công ty Xây dựng Thủy lợi 4 - CTCP</t>
  </si>
  <si>
    <t>TLT</t>
  </si>
  <si>
    <t>CTCP Viglacera Thăng Long</t>
  </si>
  <si>
    <t>TMG</t>
  </si>
  <si>
    <t>CTCP Kim loại màu Thái Nguyên - Vimico</t>
  </si>
  <si>
    <t>TMW</t>
  </si>
  <si>
    <t>CTCP Tổng hợp Gỗ Tân Mai</t>
  </si>
  <si>
    <t>TNB</t>
  </si>
  <si>
    <t>CTCP Thép Nhà Bè - VNSTEEL</t>
  </si>
  <si>
    <t>TND</t>
  </si>
  <si>
    <t>CTCP Than Tây Nam Đá Mài - Vinacomin</t>
  </si>
  <si>
    <t>TNM</t>
  </si>
  <si>
    <t>CTCP Xuất nhập khẩu và Xây dựng Công trình</t>
  </si>
  <si>
    <t>TNP</t>
  </si>
  <si>
    <t>Công ty cổ phần Cảng Thị Nại</t>
  </si>
  <si>
    <t>TNS</t>
  </si>
  <si>
    <t>CTCP Thép Tấm lá Thống Nhất</t>
  </si>
  <si>
    <t>TNY</t>
  </si>
  <si>
    <t>CTCP Đầu tư Xây dựng Thanh niên</t>
  </si>
  <si>
    <t>TOP</t>
  </si>
  <si>
    <t>CTCP Phân phối Top One</t>
  </si>
  <si>
    <t>TPS</t>
  </si>
  <si>
    <t>CTCP Bến bãi Vận tải Sài Gòn</t>
  </si>
  <si>
    <t>TQN</t>
  </si>
  <si>
    <t>CTCP Thông Quảng Ninh</t>
  </si>
  <si>
    <t>TRS</t>
  </si>
  <si>
    <t>CTCP Vận tải và Dịch vụ Hàng hải</t>
  </si>
  <si>
    <t>TTD</t>
  </si>
  <si>
    <t>CTCP Bệnh viện Tim Tâm Đức</t>
  </si>
  <si>
    <t>TTG</t>
  </si>
  <si>
    <t>CTCP May Thanh Trì</t>
  </si>
  <si>
    <t>TTP</t>
  </si>
  <si>
    <t>CTCP Bao bì Nhựa Tân Tiến</t>
  </si>
  <si>
    <t>TTR</t>
  </si>
  <si>
    <t>CTCP Du lịch Thương mại và Đầu tư</t>
  </si>
  <si>
    <t>TTV</t>
  </si>
  <si>
    <t>CTCP Thông tin Tín hiệu Đường sắt Vinh</t>
  </si>
  <si>
    <t>TUG</t>
  </si>
  <si>
    <t>CTCP Lai dắt và Vận tải Cảng Hải Phòng</t>
  </si>
  <si>
    <t>tvb-21</t>
  </si>
  <si>
    <t>TVB</t>
  </si>
  <si>
    <t>Công ty cổ phần Chứng khoán Trí Việt</t>
  </si>
  <si>
    <t>tvb-22</t>
  </si>
  <si>
    <t>tvb-23</t>
  </si>
  <si>
    <t>TVG</t>
  </si>
  <si>
    <t>Công ty cổ phần Tư vấn Đầu tư và Xây dựng Giao thông Vận tải</t>
  </si>
  <si>
    <t>TVM</t>
  </si>
  <si>
    <t>CTCP Tư vấn Đầu tư Mỏ và Công nghiệp - Vinacomin</t>
  </si>
  <si>
    <t>TVN</t>
  </si>
  <si>
    <t>Tổng Công ty Thép Việt Nam - CTCP</t>
  </si>
  <si>
    <t>TVU</t>
  </si>
  <si>
    <t>Công ty cổ phần Công trình Đô thị Trà Vinh</t>
  </si>
  <si>
    <t>TW3</t>
  </si>
  <si>
    <t>CTCP Dược Trung ương 3</t>
  </si>
  <si>
    <t>UCT</t>
  </si>
  <si>
    <t>CTCP Đô thị Cần Thơ</t>
  </si>
  <si>
    <t>UDJ</t>
  </si>
  <si>
    <t>CTCP Phát triển Đô thị</t>
  </si>
  <si>
    <t>UEM</t>
  </si>
  <si>
    <t>CTCP Cơ điện Uông Bí- Vinacomin</t>
  </si>
  <si>
    <t>UPC</t>
  </si>
  <si>
    <t>CTCP Phát triển Công viên cây xanh và Đô thị Vũng Tàu</t>
  </si>
  <si>
    <t>UPH</t>
  </si>
  <si>
    <t>CTCP Dược phẩm TW25</t>
  </si>
  <si>
    <t>USC</t>
  </si>
  <si>
    <t>CTCP Khảo sát và Xây dựng - USCO</t>
  </si>
  <si>
    <t>V11</t>
  </si>
  <si>
    <t>CTCP Xây dựng số 11</t>
  </si>
  <si>
    <t>V15</t>
  </si>
  <si>
    <t>CTCP Xây dựng Số 15</t>
  </si>
  <si>
    <t>VC5</t>
  </si>
  <si>
    <t>VCE</t>
  </si>
  <si>
    <t>CTCP Xây lắp Môi trường - TKV</t>
  </si>
  <si>
    <t>VCP</t>
  </si>
  <si>
    <t>Công ty cổ phần Đầu tư xây dựng và phát triển năng lượng Vinaconex</t>
  </si>
  <si>
    <t>VCT</t>
  </si>
  <si>
    <t>CTCP Tư vấn Xây dựng Vinaconex</t>
  </si>
  <si>
    <t>VCW</t>
  </si>
  <si>
    <t>CTCP Nước sạch Vinaconex</t>
  </si>
  <si>
    <t>VCX</t>
  </si>
  <si>
    <t>CTCP Xi măng Yên Bình</t>
  </si>
  <si>
    <t>VDN</t>
  </si>
  <si>
    <t>CTCP Vinatex Đà Nẵng</t>
  </si>
  <si>
    <t>VDT</t>
  </si>
  <si>
    <t>Công ty cổ phần Lưới thép Bình Tây</t>
  </si>
  <si>
    <t>VEE</t>
  </si>
  <si>
    <t>CTCP Thiết bị điện Cẩm Phả</t>
  </si>
  <si>
    <t>VEF</t>
  </si>
  <si>
    <t>CTCP Trung tâm Hội chợ Triển lãm Việt Nam</t>
  </si>
  <si>
    <t>VES</t>
  </si>
  <si>
    <t>CTCP Đầu tư và Xây dựng điện Mê Ca Vneco</t>
  </si>
  <si>
    <t>VFC</t>
  </si>
  <si>
    <t>CTCP VINAFCO</t>
  </si>
  <si>
    <t>VGG</t>
  </si>
  <si>
    <t>Tổng Công ty cổ phần May Việt Tiến</t>
  </si>
  <si>
    <t>VGL</t>
  </si>
  <si>
    <t>CTCP Mạ kẽm công nghiệp Vingal - Vnsteel</t>
  </si>
  <si>
    <t>VGT</t>
  </si>
  <si>
    <t>Tập đoàn Dệt may Việt Nam</t>
  </si>
  <si>
    <t>VHF</t>
  </si>
  <si>
    <t>CTCP Xây dựng và Chế biến lương thực Vĩnh Hà</t>
  </si>
  <si>
    <t>VHH</t>
  </si>
  <si>
    <t>Công ty cổ phần Đầu tư Kinh doanh nhà Thành Đạt</t>
  </si>
  <si>
    <t>VIA</t>
  </si>
  <si>
    <t>CTCP VIAN</t>
  </si>
  <si>
    <t>VIM</t>
  </si>
  <si>
    <t>CTCP Khoáng sản Viglacera</t>
  </si>
  <si>
    <t>VIN</t>
  </si>
  <si>
    <t>CTCP Giao nhận Kho vận Ngoại thương Việt Nam</t>
  </si>
  <si>
    <t>VIR</t>
  </si>
  <si>
    <t>Công ty cổ phần Du lịch Quốc tế Vũng Tàu</t>
  </si>
  <si>
    <t>VKD</t>
  </si>
  <si>
    <t>CTCP Nước khoáng Khánh Hòa - FIT Beverage</t>
  </si>
  <si>
    <t>VKP</t>
  </si>
  <si>
    <t>CTCP Nhựa Tân Hóa</t>
  </si>
  <si>
    <t>VLB</t>
  </si>
  <si>
    <t>CTCP Xây dựng và Sản xuất Vật liệu Xây dựng Biên Hòa</t>
  </si>
  <si>
    <t>VLC</t>
  </si>
  <si>
    <t>Tổng Công ty Chăn nuôi Việt Nam - CTCP</t>
  </si>
  <si>
    <t>VLF</t>
  </si>
  <si>
    <t>CTCP Lương thực Thực phẩm Vĩnh Long</t>
  </si>
  <si>
    <t>VLG</t>
  </si>
  <si>
    <t>CTCP Vinalines Logistics - Việt Nam</t>
  </si>
  <si>
    <t>VMA</t>
  </si>
  <si>
    <t>Công ty cổ phần Công nghiệp Ô tô – Vinacomin</t>
  </si>
  <si>
    <t>VNB</t>
  </si>
  <si>
    <t>CTCP Sách Việt Nam</t>
  </si>
  <si>
    <t>VNI</t>
  </si>
  <si>
    <t>Công ty cổ phần Đầu tư Bất động sản Việt Nam</t>
  </si>
  <si>
    <t>VNN</t>
  </si>
  <si>
    <t>Công ty cổ phần Đầu tư và Thương mại VNN</t>
  </si>
  <si>
    <t>VNP</t>
  </si>
  <si>
    <t>Công ty cổ phần Nhựa Việt Nam</t>
  </si>
  <si>
    <t>VNX</t>
  </si>
  <si>
    <t>CTCP Quảng cáo và Hội chợ Thương mại</t>
  </si>
  <si>
    <t>VNY</t>
  </si>
  <si>
    <t>CTCP Thuốc Thú y Trung ương I</t>
  </si>
  <si>
    <t>VOC</t>
  </si>
  <si>
    <t>Tổng Công ty Công nghiệp Dầu thực vật Việt Nam - CTCP</t>
  </si>
  <si>
    <t>VPA</t>
  </si>
  <si>
    <t>CTCP Vận tải Hóa dầu VP</t>
  </si>
  <si>
    <t>VPC</t>
  </si>
  <si>
    <t>CTCP Đầu tư và Phát triển Năng lượng Việt Nam</t>
  </si>
  <si>
    <t>vpd-21</t>
  </si>
  <si>
    <t>VPD</t>
  </si>
  <si>
    <t>CTCP Phát triển Điện lực Việt Nam</t>
  </si>
  <si>
    <t>vpd-22</t>
  </si>
  <si>
    <t>VPR</t>
  </si>
  <si>
    <t>CTCP In và Thương mại Vina</t>
  </si>
  <si>
    <t>VQC</t>
  </si>
  <si>
    <t>CTCP Giám định Vinacomin</t>
  </si>
  <si>
    <t>VRG</t>
  </si>
  <si>
    <t>CTCP Phát triển đô thị và Khu công nghiệp Cao su Việt Nam</t>
  </si>
  <si>
    <t>VSG</t>
  </si>
  <si>
    <t>CTCP Container Phía Nam</t>
  </si>
  <si>
    <t>VSP</t>
  </si>
  <si>
    <t>CTCP Việt Nam Kỹ nghệ Súc sản</t>
  </si>
  <si>
    <t>Công ty cổ phần Vận tải biển và Bất động sản Việt Hải</t>
  </si>
  <si>
    <t>VST</t>
  </si>
  <si>
    <t>CTCP Vận tải và Thuê tàu biển Việt Nam</t>
  </si>
  <si>
    <t>VT1</t>
  </si>
  <si>
    <t>CTCP Vật tư Bến Thành</t>
  </si>
  <si>
    <t>VT8</t>
  </si>
  <si>
    <t>CTCP Dịch vụ Vận tải ô tô số 8</t>
  </si>
  <si>
    <t>VTA</t>
  </si>
  <si>
    <t>CTCP Vitaly</t>
  </si>
  <si>
    <t>VTG</t>
  </si>
  <si>
    <t>Công ty cổ phần Du lịch tỉnh Bà Rịa - Vũng Tàu</t>
  </si>
  <si>
    <t>VTI</t>
  </si>
  <si>
    <t>CTCP Sản xuất – Xuất nhập khẩu Dệt May</t>
  </si>
  <si>
    <t>VTM</t>
  </si>
  <si>
    <t>CTCP Vận tải và Đưa đón thợ mỏ - Vinacomin</t>
  </si>
  <si>
    <t>VTX</t>
  </si>
  <si>
    <t>Công ty cổ phần Vận tải đa phương thức Vietranstimex</t>
  </si>
  <si>
    <t>VWS</t>
  </si>
  <si>
    <t>CTCP Nước và Môi trường Việt Nam</t>
  </si>
  <si>
    <t>WSB</t>
  </si>
  <si>
    <t>CTCP Bia Sài Gòn - Miền Tây</t>
  </si>
  <si>
    <t>WTC</t>
  </si>
  <si>
    <t>CTCP Vận tải thủy - Vinacomin</t>
  </si>
  <si>
    <t>X18</t>
  </si>
  <si>
    <t>CTCP Xi măng X18</t>
  </si>
  <si>
    <t>X77</t>
  </si>
  <si>
    <t>CTCP Thành An 77</t>
  </si>
  <si>
    <t>XHC</t>
  </si>
  <si>
    <t>Công ty cổ phần Xuân Hòa Việt Nam</t>
  </si>
  <si>
    <t>XMD</t>
  </si>
  <si>
    <t>Công ty cổ phần Xuân Mai - Đạo Tú</t>
  </si>
  <si>
    <t>XPH</t>
  </si>
  <si>
    <t>CTCP Xà phòng Hà Nội</t>
  </si>
  <si>
    <t>YBC</t>
  </si>
  <si>
    <t>CTCP Xi măng và Khoáng sản Yên Bái</t>
  </si>
  <si>
    <t>YRC</t>
  </si>
  <si>
    <t>CTCP Đường sắt Yên Lào</t>
  </si>
  <si>
    <r>
      <rPr>
        <b/>
        <sz val="13"/>
        <color rgb="FF000000"/>
        <rFont val="Times New Roman"/>
        <family val="1"/>
      </rPr>
      <t>ABB</t>
    </r>
  </si>
  <si>
    <t>Ngân hàng Thương mại cổ phần An Bình</t>
  </si>
  <si>
    <t>UpCom</t>
  </si>
  <si>
    <r>
      <rPr>
        <b/>
        <sz val="13"/>
        <color rgb="FF000000"/>
        <rFont val="Times New Roman"/>
        <family val="1"/>
      </rPr>
      <t>KLB</t>
    </r>
  </si>
  <si>
    <t>Ngân hàng Thương mại cổ phần Kiên Long</t>
  </si>
  <si>
    <r>
      <rPr>
        <b/>
        <sz val="13"/>
        <color rgb="FF000000"/>
        <rFont val="Times New Roman"/>
        <family val="1"/>
      </rPr>
      <t>BVB</t>
    </r>
  </si>
  <si>
    <t>Ngân hàng Thương mại cổ phần Bản Việt</t>
  </si>
  <si>
    <r>
      <rPr>
        <b/>
        <sz val="13"/>
        <color rgb="FF000000"/>
        <rFont val="Times New Roman"/>
        <family val="1"/>
      </rPr>
      <t>PGB</t>
    </r>
  </si>
  <si>
    <t>Ngân hàng TMCP Thịnh vượng và Phát triển</t>
  </si>
  <si>
    <r>
      <rPr>
        <b/>
        <sz val="13"/>
        <color rgb="FF000000"/>
        <rFont val="Times New Roman"/>
        <family val="1"/>
      </rPr>
      <t>BAB</t>
    </r>
  </si>
  <si>
    <t>Ngân hàng Thương mại cổ phần Bắc Á</t>
  </si>
  <si>
    <t>AAT</t>
  </si>
  <si>
    <t>CTCP Tập Đoàn Tiên Sơn Thanh Hóa</t>
  </si>
  <si>
    <t>ABR</t>
  </si>
  <si>
    <t>ABS</t>
  </si>
  <si>
    <t>ACG</t>
  </si>
  <si>
    <t>ADG</t>
  </si>
  <si>
    <t>AGG</t>
  </si>
  <si>
    <t>APH</t>
  </si>
  <si>
    <t>ASG</t>
  </si>
  <si>
    <t>AST</t>
  </si>
  <si>
    <t>BAF</t>
  </si>
  <si>
    <t>BCM</t>
  </si>
  <si>
    <t>BKG</t>
  </si>
  <si>
    <t>BSR</t>
  </si>
  <si>
    <t>BWE</t>
  </si>
  <si>
    <t>CKG</t>
  </si>
  <si>
    <t>CRC</t>
  </si>
  <si>
    <t>CRE</t>
  </si>
  <si>
    <t>CTR</t>
  </si>
  <si>
    <t>DSC</t>
  </si>
  <si>
    <t>DSE</t>
  </si>
  <si>
    <t>DXS</t>
  </si>
  <si>
    <t>EVG</t>
  </si>
  <si>
    <t>FIR</t>
  </si>
  <si>
    <t>GEE</t>
  </si>
  <si>
    <t>GEG</t>
  </si>
  <si>
    <t>GMH</t>
  </si>
  <si>
    <t>GVR</t>
  </si>
  <si>
    <t>HHP</t>
  </si>
  <si>
    <t>HII</t>
  </si>
  <si>
    <t>HNA</t>
  </si>
  <si>
    <t>HPX</t>
  </si>
  <si>
    <t>HSL</t>
  </si>
  <si>
    <t>HTG</t>
  </si>
  <si>
    <t>HTN</t>
  </si>
  <si>
    <t>HUB</t>
  </si>
  <si>
    <t>HVH</t>
  </si>
  <si>
    <t>ICT</t>
  </si>
  <si>
    <t>ILB</t>
  </si>
  <si>
    <t>KHG</t>
  </si>
  <si>
    <t>KOS</t>
  </si>
  <si>
    <t>LEC</t>
  </si>
  <si>
    <t>MCM</t>
  </si>
  <si>
    <t>MIG</t>
  </si>
  <si>
    <t>MSH</t>
  </si>
  <si>
    <t>NHH</t>
  </si>
  <si>
    <t>NHT</t>
  </si>
  <si>
    <t>NO1</t>
  </si>
  <si>
    <t>PGV</t>
  </si>
  <si>
    <t>PLP</t>
  </si>
  <si>
    <t>PLX</t>
  </si>
  <si>
    <t>PMG</t>
  </si>
  <si>
    <t>POW</t>
  </si>
  <si>
    <t>PSH</t>
  </si>
  <si>
    <t>QNP</t>
  </si>
  <si>
    <t>RYG</t>
  </si>
  <si>
    <t>SBG</t>
  </si>
  <si>
    <t>SCS</t>
  </si>
  <si>
    <t>SIP</t>
  </si>
  <si>
    <t>SVD</t>
  </si>
  <si>
    <t>TCD</t>
  </si>
  <si>
    <t>TLD</t>
  </si>
  <si>
    <t>TCI</t>
  </si>
  <si>
    <t>TDG</t>
  </si>
  <si>
    <t>TDP</t>
  </si>
  <si>
    <t>TDM</t>
  </si>
  <si>
    <t>TN1</t>
  </si>
  <si>
    <t>TNH</t>
  </si>
  <si>
    <t>TNI</t>
  </si>
  <si>
    <t>TTA</t>
  </si>
  <si>
    <t>TTE</t>
  </si>
  <si>
    <t>TVT</t>
  </si>
  <si>
    <t>VCA</t>
  </si>
  <si>
    <t>VCI</t>
  </si>
  <si>
    <t>VDP</t>
  </si>
  <si>
    <t>VHM</t>
  </si>
  <si>
    <t>VPG</t>
  </si>
  <si>
    <t>VPI</t>
  </si>
  <si>
    <t>VRE</t>
  </si>
  <si>
    <t>VTP</t>
  </si>
  <si>
    <t>YBM</t>
  </si>
  <si>
    <t>YEG</t>
  </si>
  <si>
    <t>AAV</t>
  </si>
  <si>
    <t>BCF</t>
  </si>
  <si>
    <t>BNA</t>
  </si>
  <si>
    <t>C69</t>
  </si>
  <si>
    <t>CAG</t>
  </si>
  <si>
    <t>CAR</t>
  </si>
  <si>
    <t>CET</t>
  </si>
  <si>
    <t>CIA</t>
  </si>
  <si>
    <t>CST</t>
  </si>
  <si>
    <t>DDG</t>
  </si>
  <si>
    <t>DS3</t>
  </si>
  <si>
    <t>DTD</t>
  </si>
  <si>
    <t>DVM</t>
  </si>
  <si>
    <t>EVS</t>
  </si>
  <si>
    <t>GIC</t>
  </si>
  <si>
    <t>GKM</t>
  </si>
  <si>
    <t>GMA</t>
  </si>
  <si>
    <t>HMR</t>
  </si>
  <si>
    <t>IDC</t>
  </si>
  <si>
    <t>KHS</t>
  </si>
  <si>
    <t>KSF</t>
  </si>
  <si>
    <t>L40</t>
  </si>
  <si>
    <t>MEL</t>
  </si>
  <si>
    <t>MVB</t>
  </si>
  <si>
    <t>NRC</t>
  </si>
  <si>
    <t>NSH</t>
  </si>
  <si>
    <t>NTH</t>
  </si>
  <si>
    <t>OCH</t>
  </si>
  <si>
    <t>PCH</t>
  </si>
  <si>
    <t>PGN</t>
  </si>
  <si>
    <t>PHN</t>
  </si>
  <si>
    <t>PIA</t>
  </si>
  <si>
    <t>PPT</t>
  </si>
  <si>
    <t>PRE</t>
  </si>
  <si>
    <t>PTX</t>
  </si>
  <si>
    <t>SCG</t>
  </si>
  <si>
    <t>SHE</t>
  </si>
  <si>
    <t>SZB</t>
  </si>
  <si>
    <t>TDT</t>
  </si>
  <si>
    <t>THD</t>
  </si>
  <si>
    <t>TOT</t>
  </si>
  <si>
    <t>TTL</t>
  </si>
  <si>
    <t>TTT</t>
  </si>
  <si>
    <t>VFS</t>
  </si>
  <si>
    <t>VHE</t>
  </si>
  <si>
    <t>VIF</t>
  </si>
  <si>
    <t>VSM</t>
  </si>
  <si>
    <t>VTJ</t>
  </si>
  <si>
    <t>VTZ</t>
  </si>
  <si>
    <t>X20</t>
  </si>
  <si>
    <r>
      <rPr>
        <b/>
        <sz val="13"/>
        <color rgb="FF000000"/>
        <rFont val="Times New Roman"/>
        <family val="1"/>
      </rPr>
      <t>VBB</t>
    </r>
  </si>
  <si>
    <t>Ngân hàng Thương mại cổ phần Việt Nam Thương Tín</t>
  </si>
  <si>
    <r>
      <rPr>
        <b/>
        <sz val="13"/>
        <color rgb="FF000000"/>
        <rFont val="Times New Roman"/>
        <family val="1"/>
      </rPr>
      <t>VAB</t>
    </r>
  </si>
  <si>
    <t>Ngân hàng Thương mại cổ phần Việt Á</t>
  </si>
  <si>
    <r>
      <rPr>
        <b/>
        <sz val="13"/>
        <color rgb="FF000000"/>
        <rFont val="Times New Roman"/>
        <family val="1"/>
      </rPr>
      <t>SDF</t>
    </r>
  </si>
  <si>
    <r>
      <rPr>
        <b/>
        <sz val="13"/>
        <color rgb="FF000000"/>
        <rFont val="Times New Roman"/>
        <family val="1"/>
      </rPr>
      <t>SGB</t>
    </r>
  </si>
  <si>
    <t>Ngân hàng TMCP Sài Gòn Công thương</t>
  </si>
  <si>
    <t>Khả năng sinh lời</t>
  </si>
  <si>
    <t>Đòn bẩy tài chính</t>
  </si>
  <si>
    <t>ABS 21</t>
  </si>
  <si>
    <t>CTCP Dịch vụ Nông nghiệp Bình Thuận</t>
  </si>
  <si>
    <t>HOSE</t>
  </si>
  <si>
    <t>ABS 22</t>
  </si>
  <si>
    <t>ABS 23</t>
  </si>
  <si>
    <t>ADG 21</t>
  </si>
  <si>
    <t>CTCP Clever Group</t>
  </si>
  <si>
    <t>ADG 22</t>
  </si>
  <si>
    <t>ADG 23</t>
  </si>
  <si>
    <t>AGM 21</t>
  </si>
  <si>
    <t>CTCP Xuất Nhập khẩu An Giang</t>
  </si>
  <si>
    <t>AGM 22</t>
  </si>
  <si>
    <t>AGM 23</t>
  </si>
  <si>
    <t>APC 21</t>
  </si>
  <si>
    <t>APC 22</t>
  </si>
  <si>
    <t>APC 23</t>
  </si>
  <si>
    <t>APH 21</t>
  </si>
  <si>
    <t>CTCP Tập đoàn An Phát Holdings</t>
  </si>
  <si>
    <t>APH 22</t>
  </si>
  <si>
    <t>APH 23</t>
  </si>
  <si>
    <t>ASG 21</t>
  </si>
  <si>
    <t>CTCP Tập đoàn ASG</t>
  </si>
  <si>
    <t>ASG 22</t>
  </si>
  <si>
    <t>ASG 23</t>
  </si>
  <si>
    <t>ASP 21</t>
  </si>
  <si>
    <t>ASP 22</t>
  </si>
  <si>
    <t>ASP 23</t>
  </si>
  <si>
    <t>AST 21</t>
  </si>
  <si>
    <t>CTCP Dịch vụ Hàng không Taseco</t>
  </si>
  <si>
    <t>AST 22</t>
  </si>
  <si>
    <t>AST 23</t>
  </si>
  <si>
    <t>BCE 21</t>
  </si>
  <si>
    <t>BCE 22</t>
  </si>
  <si>
    <t>BCE 23</t>
  </si>
  <si>
    <t>CIG 21</t>
  </si>
  <si>
    <t>CTCP COMA 18</t>
  </si>
  <si>
    <t>CIG 22</t>
  </si>
  <si>
    <t>CIG 23</t>
  </si>
  <si>
    <t>CKG 21</t>
  </si>
  <si>
    <t>CTCP Tập đoàn Tư vấn Đầu tư Xây dựng Kiên Giang</t>
  </si>
  <si>
    <t>CKG 22</t>
  </si>
  <si>
    <t>CKG 23</t>
  </si>
  <si>
    <t>DAG 21</t>
  </si>
  <si>
    <t>DAG 22</t>
  </si>
  <si>
    <t>DAG 23</t>
  </si>
  <si>
    <t>DAH 21</t>
  </si>
  <si>
    <t>CTCP Tập đoàn Khách sạn Đông Á</t>
  </si>
  <si>
    <t>DAH 22</t>
  </si>
  <si>
    <t>DAH 23</t>
  </si>
  <si>
    <t>DC4 21</t>
  </si>
  <si>
    <t>DC4 22</t>
  </si>
  <si>
    <t>DC4 23</t>
  </si>
  <si>
    <t>DLG 21</t>
  </si>
  <si>
    <t>DLG 22</t>
  </si>
  <si>
    <t>DLG 23</t>
  </si>
  <si>
    <t>DRH 21</t>
  </si>
  <si>
    <t>CTCP DRH Holdings</t>
  </si>
  <si>
    <t>DRH 22</t>
  </si>
  <si>
    <t>DRH 23</t>
  </si>
  <si>
    <t>DTL 21</t>
  </si>
  <si>
    <t>DTL 22</t>
  </si>
  <si>
    <t>DTL 23</t>
  </si>
  <si>
    <t>DXS 21</t>
  </si>
  <si>
    <t>CTCP Dịch vụ Bất động sản Đất Xanh</t>
  </si>
  <si>
    <t>DXS 22</t>
  </si>
  <si>
    <t>DXS 23</t>
  </si>
  <si>
    <t>DXV 21</t>
  </si>
  <si>
    <t>DXV 22</t>
  </si>
  <si>
    <t>DXV 23</t>
  </si>
  <si>
    <t>EVG 21</t>
  </si>
  <si>
    <t>CTCP Tập đoàn EverLand</t>
  </si>
  <si>
    <t>EVG 22</t>
  </si>
  <si>
    <t>EVG 23</t>
  </si>
  <si>
    <t>FDC 21</t>
  </si>
  <si>
    <t>CTCP Ngoại thương và Phát triển Đầu tư TP.HCM</t>
  </si>
  <si>
    <t>FDC 22</t>
  </si>
  <si>
    <t>FDC 23</t>
  </si>
  <si>
    <t>FRT 21</t>
  </si>
  <si>
    <t>CTCP Bán lẻ Kỹ thuật số FPT</t>
  </si>
  <si>
    <t>FRT 22</t>
  </si>
  <si>
    <t>FRT 23</t>
  </si>
  <si>
    <t>CTCP Sản xuất Kinh doanh và Xuất nhập khẩu Bình Thạnh</t>
  </si>
  <si>
    <t>GMC_2021</t>
  </si>
  <si>
    <t>CTCP Garmex Sài Gòn</t>
  </si>
  <si>
    <t>GMC_2022</t>
  </si>
  <si>
    <t>GMC_2023</t>
  </si>
  <si>
    <t>CTCP Hacisco</t>
  </si>
  <si>
    <t>HBC_2021</t>
  </si>
  <si>
    <t>CTCP Tập đoàn Xây dựng Hòa Bình</t>
  </si>
  <si>
    <t>HBC_2022</t>
  </si>
  <si>
    <t>HBC_2023</t>
  </si>
  <si>
    <t>HID_2021</t>
  </si>
  <si>
    <t>CTCP Halcom Việt Nam</t>
  </si>
  <si>
    <t>HID_2022</t>
  </si>
  <si>
    <t>HID_2023</t>
  </si>
  <si>
    <t>HNG_2021</t>
  </si>
  <si>
    <t>CTCP Nông nghiệp Quốc tế Hoàng Anh Gia Lai</t>
  </si>
  <si>
    <t>HNG_2022</t>
  </si>
  <si>
    <t>HNG_2023</t>
  </si>
  <si>
    <t>HPX_2021</t>
  </si>
  <si>
    <t>CTCP Đầu tư Hải Phát</t>
  </si>
  <si>
    <t>HPX_2022</t>
  </si>
  <si>
    <t>HPX_2023</t>
  </si>
  <si>
    <t>HSG_2021</t>
  </si>
  <si>
    <t>HSG_2022</t>
  </si>
  <si>
    <t>HSG_2023</t>
  </si>
  <si>
    <t>HT1_2021</t>
  </si>
  <si>
    <t>CTCP Xi Măng Vicem Hà Tiên</t>
  </si>
  <si>
    <t>HT1_2022</t>
  </si>
  <si>
    <t>HT1_2023</t>
  </si>
  <si>
    <t>HVX_2021</t>
  </si>
  <si>
    <t>CTCP Xi măng VICEM Hải Vân</t>
  </si>
  <si>
    <t>HVX_2022</t>
  </si>
  <si>
    <t>HVX_2023</t>
  </si>
  <si>
    <t>IBC_2021</t>
  </si>
  <si>
    <t>CTCP Đầu tư Apax Holdings</t>
  </si>
  <si>
    <t>ITA_2021</t>
  </si>
  <si>
    <t>ITA_2022</t>
  </si>
  <si>
    <t>ITA_2023</t>
  </si>
  <si>
    <t>JVC_2021</t>
  </si>
  <si>
    <t>CTCP Thiết bị Y tế Việt Nhật</t>
  </si>
  <si>
    <t>JVC_2022</t>
  </si>
  <si>
    <t>JVC_2023</t>
  </si>
  <si>
    <t>LDG_2021</t>
  </si>
  <si>
    <t>LDG_2022</t>
  </si>
  <si>
    <t>LDG_2023</t>
  </si>
  <si>
    <t>LEC_2021</t>
  </si>
  <si>
    <t>CTCP Bất động sản Điện lực Miền Trung</t>
  </si>
  <si>
    <t>LEC_2022</t>
  </si>
  <si>
    <t>LEC_2023</t>
  </si>
  <si>
    <t>LGL_2021</t>
  </si>
  <si>
    <t>CTCP Đầu tư và Phát triển Đô thị Long Giang</t>
  </si>
  <si>
    <t>LGL_2022</t>
  </si>
  <si>
    <t>LGL_2023</t>
  </si>
  <si>
    <t>MHC_2021</t>
  </si>
  <si>
    <t>MHC_2022</t>
  </si>
  <si>
    <t>MHC_2023</t>
  </si>
  <si>
    <t>NVL_2021</t>
  </si>
  <si>
    <t>CTCP Tập đoàn Đầu tư Địa ốc No Va</t>
  </si>
  <si>
    <t>NVL_2022</t>
  </si>
  <si>
    <t>NVL_2023</t>
  </si>
  <si>
    <t>NVT_2021</t>
  </si>
  <si>
    <t>NVT_2022</t>
  </si>
  <si>
    <t>NVT_2023</t>
  </si>
  <si>
    <t>OGC_2021</t>
  </si>
  <si>
    <t>OGC_2022</t>
  </si>
  <si>
    <t>OGC_2023</t>
  </si>
  <si>
    <t>PIT_2021</t>
  </si>
  <si>
    <t>PIT_2022</t>
  </si>
  <si>
    <t>PIT_2023</t>
  </si>
  <si>
    <t>PLP_2021</t>
  </si>
  <si>
    <t>CTCP Sản xuất và Công nghệ Nhựa Pha Lê</t>
  </si>
  <si>
    <t>PLP_2022</t>
  </si>
  <si>
    <t>PLP_2023</t>
  </si>
  <si>
    <t>PMG_2021</t>
  </si>
  <si>
    <t>CTCP Đầu tư và Sản xuất Petro Miền Trung</t>
  </si>
  <si>
    <t>PMG_2022</t>
  </si>
  <si>
    <t>PMG_2023</t>
  </si>
  <si>
    <t>POM_2021</t>
  </si>
  <si>
    <t>POM_2022</t>
  </si>
  <si>
    <t>POM_2023</t>
  </si>
  <si>
    <t>PPC_2021</t>
  </si>
  <si>
    <t>PPC_2022</t>
  </si>
  <si>
    <t>PPC_2023</t>
  </si>
  <si>
    <t>PTC_2021</t>
  </si>
  <si>
    <t>CTCP Đầu Tư Icapital</t>
  </si>
  <si>
    <t>PTC_2022</t>
  </si>
  <si>
    <t>PTC_2023</t>
  </si>
  <si>
    <t>PTL_2021</t>
  </si>
  <si>
    <t>PTL_2022</t>
  </si>
  <si>
    <t>PTL_2023</t>
  </si>
  <si>
    <t>QBS_2021</t>
  </si>
  <si>
    <t>QBS_2022</t>
  </si>
  <si>
    <t>QBS_2023</t>
  </si>
  <si>
    <t>-41,032,681,136</t>
  </si>
  <si>
    <t>QCG_2021</t>
  </si>
  <si>
    <t>QCG_2022</t>
  </si>
  <si>
    <t>QCG_2023</t>
  </si>
  <si>
    <t>RDP_2021</t>
  </si>
  <si>
    <t>RDP_2022</t>
  </si>
  <si>
    <t>RDP_2023</t>
  </si>
  <si>
    <t>SBV_2021</t>
  </si>
  <si>
    <t>CTCP Siam Brothers Việt Nam</t>
  </si>
  <si>
    <t>SBV_2022</t>
  </si>
  <si>
    <t>SBV_2023</t>
  </si>
  <si>
    <t>SCD_2021</t>
  </si>
  <si>
    <t>SCD_2022</t>
  </si>
  <si>
    <t>SCD_2023</t>
  </si>
  <si>
    <t>SIP_2021</t>
  </si>
  <si>
    <t>CTCP Đầu tư Sài Gòn VRG</t>
  </si>
  <si>
    <t>SIP_2022</t>
  </si>
  <si>
    <t>SIP_2023</t>
  </si>
  <si>
    <t>SJF_2021</t>
  </si>
  <si>
    <t>SJF_2022</t>
  </si>
  <si>
    <t>SJF_2023</t>
  </si>
  <si>
    <t>CTCP SPM</t>
  </si>
  <si>
    <t>SVD_2021</t>
  </si>
  <si>
    <t>CTCP Đầu tư &amp; Thương mại Vũ Đăng</t>
  </si>
  <si>
    <t>SVD_2022</t>
  </si>
  <si>
    <t>SVD_2023</t>
  </si>
  <si>
    <t>TGG_2021</t>
  </si>
  <si>
    <t>TGG</t>
  </si>
  <si>
    <t>CTCP The Golden Group</t>
  </si>
  <si>
    <t>TGG_2022</t>
  </si>
  <si>
    <t>TGG_2023</t>
  </si>
  <si>
    <t>TNI-21</t>
  </si>
  <si>
    <t>CTCP Tập đoàn Thành Nam</t>
  </si>
  <si>
    <t>TNI-22</t>
  </si>
  <si>
    <t>TNI-23</t>
  </si>
  <si>
    <t>CTCP Vật tư Kỹ thuật nông nghiệp Cần Thơ</t>
  </si>
  <si>
    <t>CTCP TTBGroup</t>
  </si>
  <si>
    <t>CTCP Đầu tư Năng lượng Trường Thịnh</t>
  </si>
  <si>
    <t>TTF-21</t>
  </si>
  <si>
    <t>CTCP Tập đoàn Kỹ nghệ gỗ Trường Thành</t>
  </si>
  <si>
    <t>TTF-22</t>
  </si>
  <si>
    <t>TTF-23</t>
  </si>
  <si>
    <t>CTCP Chứng khoán Trí Việt</t>
  </si>
  <si>
    <t>TYA-21</t>
  </si>
  <si>
    <t>CTCP Dây và Cáp Điện Taya Việt Nam</t>
  </si>
  <si>
    <t>TYA-22</t>
  </si>
  <si>
    <t>TYA-23</t>
  </si>
  <si>
    <t>VJC-21</t>
  </si>
  <si>
    <t>CTCP Hàng không Vietjet</t>
  </si>
  <si>
    <t>VJC-22</t>
  </si>
  <si>
    <t>VJC-23</t>
  </si>
  <si>
    <t>CTCP Y Dược phẩm Vimedimex</t>
  </si>
  <si>
    <t>VMD-23</t>
  </si>
  <si>
    <t>CAV-21</t>
  </si>
  <si>
    <t>CTCP Dây Cáp điện Việt Nam</t>
  </si>
  <si>
    <t>CAV-22</t>
  </si>
  <si>
    <t>CAV-23</t>
  </si>
  <si>
    <t>CRE-21</t>
  </si>
  <si>
    <t>CTCP Bất động sản Thế Kỷ</t>
  </si>
  <si>
    <t>CRE-22</t>
  </si>
  <si>
    <t>CRE-23</t>
  </si>
  <si>
    <t>CTCP Viễn thông - Tin học Bưu điện</t>
  </si>
  <si>
    <t>CTCP Thương mại Đầu tư Dầu khí Nam Sông Hậu</t>
  </si>
  <si>
    <t>DSE-21</t>
  </si>
  <si>
    <t>CTCP Chứng khoán DNSE</t>
  </si>
  <si>
    <t>DSE-22</t>
  </si>
  <si>
    <t>DSE-23</t>
  </si>
  <si>
    <t>CTCP Điện lực Gelex</t>
  </si>
  <si>
    <t>CTCP Giống Bò sữa Mộc Châu</t>
  </si>
  <si>
    <t>từ UPCOM lên HOSE</t>
  </si>
  <si>
    <t>HNA-21-22</t>
  </si>
  <si>
    <t>CTCP Thủy điện Hủa Na</t>
  </si>
  <si>
    <t>HNA-23</t>
  </si>
  <si>
    <t>Tổng Công ty Phát điện 3 - CTCP</t>
  </si>
  <si>
    <t>CTCP Đầu tư Xây dựng và Phát triển Đô thị Thăng Long</t>
  </si>
  <si>
    <t>CTCP Sản xuất và Đầu tư Hoàng Gia</t>
  </si>
  <si>
    <t>niêm yết trên HOSE năm 2024 và trước đó ko niêm yết</t>
  </si>
  <si>
    <t>CTCP Chứng khoán DSC</t>
  </si>
  <si>
    <t>Quyết định từ HOSE đối với các mã chứng khoán không đủ điều kiện giao dịch ký quỹ</t>
  </si>
  <si>
    <t>Quyết định</t>
  </si>
  <si>
    <t>TÊN DOANH NGHIỆP</t>
  </si>
  <si>
    <t>TÌNH TRẠNG</t>
  </si>
  <si>
    <t>THUỘC DIỆN</t>
  </si>
  <si>
    <t>THỜI GIAN</t>
  </si>
  <si>
    <t>NGUỒN</t>
  </si>
  <si>
    <t>NOTE</t>
  </si>
  <si>
    <t>TÌNH TRẠNG BCTC</t>
  </si>
  <si>
    <t>Hủy niêm yết</t>
  </si>
  <si>
    <t>có nhưng chưa điền</t>
  </si>
  <si>
    <t>Đã điền</t>
  </si>
  <si>
    <t>12/12/2024 đang nằm trong diện kiểm soát</t>
  </si>
  <si>
    <t>CTCP Tập đoàn Tiến Bộ</t>
  </si>
  <si>
    <t>HNX -&gt; HOSE-&gt;upcom</t>
  </si>
  <si>
    <t>CTCP Xuất Nhập Khẩu An Giang</t>
  </si>
  <si>
    <t>Không đủ điều kiện giao dịch ký quỹ</t>
  </si>
  <si>
    <t>Kiểm soát</t>
  </si>
  <si>
    <t xml:space="preserve">AGM </t>
  </si>
  <si>
    <t>CTCP Tập đoàn Tư vấn Đầu tư &amp; Xây dựng Kiên Giang</t>
  </si>
  <si>
    <t>Chưa điền vì bị thiếu</t>
  </si>
  <si>
    <t>CTCP Tập đoàn EVERLAND</t>
  </si>
  <si>
    <t>CTCP Đầu tư Tài sản Koji</t>
  </si>
  <si>
    <t>Tổng Công ty Hàng không Việt Nam</t>
  </si>
  <si>
    <t>Kiểm soát, hạn chế giao dịch</t>
  </si>
  <si>
    <t>Kiểm soát, đình chỉ giao dịch</t>
  </si>
  <si>
    <t>Công ty Cổ phần Đầu tư và Thương mại Vũ Đăng</t>
  </si>
  <si>
    <t>Công ty Cổ phần Vật tư Kỹ thuật Nông nghiệp Cần Thơ</t>
  </si>
  <si>
    <t>Tổng Công ty Cổ phần Xây dựng Điện Việt Nam</t>
  </si>
  <si>
    <t>Công ty Cổ phần Tập đoàn An Phát Holdings</t>
  </si>
  <si>
    <t>Cảnh báo</t>
  </si>
  <si>
    <t>Công ty Cổ phần Tập đoàn Dầu khí An Pha</t>
  </si>
  <si>
    <t>Công ty Cổ phần Xây dựng 47</t>
  </si>
  <si>
    <t>Công ty cổ phần Bất động sản Thế kỷ</t>
  </si>
  <si>
    <t>Công ty Cổ phần DRH Holdings</t>
  </si>
  <si>
    <t>Cảnh báo, đình chỉ giao dịch</t>
  </si>
  <si>
    <t>Công ty Cổ phần Hoàng Anh Gia Lai</t>
  </si>
  <si>
    <t>CTCP Miền Đông</t>
  </si>
  <si>
    <t>Công ty cổ phần Searefico</t>
  </si>
  <si>
    <t>Cảnh báo, hạn chế giao dịch</t>
  </si>
  <si>
    <t>CTCP Phân lân Nung chảy Văn Điển</t>
  </si>
  <si>
    <t>Hạn chế giao dịch</t>
  </si>
  <si>
    <t>Thời gian niêm yết dưới 6 tháng</t>
  </si>
  <si>
    <t>Dưới 6 tháng</t>
  </si>
  <si>
    <t>upcom -&gt; hose</t>
  </si>
  <si>
    <t>CTCP Thuỷ sản Mekong</t>
  </si>
  <si>
    <t>Lỗ ròng trên BCTC soát xét bán niên năm 2024</t>
  </si>
  <si>
    <t>CTCP Phát triển Đô thị Công nghiệp số 2</t>
  </si>
  <si>
    <t>CTCP Tập đoàn Điện Quang</t>
  </si>
  <si>
    <t>CTCP Everpia</t>
  </si>
  <si>
    <t>CTCP Khoáng sản FECON</t>
  </si>
  <si>
    <t>Tổng Công ty Phát điện 3</t>
  </si>
  <si>
    <r>
      <rPr>
        <u/>
        <sz val="12"/>
        <color rgb="FF1155CC"/>
        <rFont val="Times New Roman"/>
        <family val="1"/>
      </rPr>
      <t>QCG</t>
    </r>
    <r>
      <rPr>
        <sz val="12"/>
        <color rgb="FF000000"/>
        <rFont val="Times New Roman"/>
        <family val="1"/>
      </rPr>
      <t xml:space="preserve">, </t>
    </r>
    <r>
      <rPr>
        <u/>
        <sz val="12"/>
        <color rgb="FF1155CC"/>
        <rFont val="Times New Roman"/>
        <family val="1"/>
      </rPr>
      <t>QCG</t>
    </r>
  </si>
  <si>
    <t>CTCP Tổng CTCP Địa ốc Sài Gòn</t>
  </si>
  <si>
    <t>CTCP Sợi Thế Kỷ</t>
  </si>
  <si>
    <t>CTCP Camimex Group</t>
  </si>
  <si>
    <t>Lỗ lũy kế trên BCTC soát xét bán niên 2024</t>
  </si>
  <si>
    <t>chưa điền</t>
  </si>
  <si>
    <t>Lỗ ròng trên BCTC kiểm toán năm 2023</t>
  </si>
  <si>
    <t>Chậm công bố BCTC</t>
  </si>
  <si>
    <t>CTCP Xây dựng Số 5</t>
  </si>
  <si>
    <t>CTCP Cảng Cát Lái</t>
  </si>
  <si>
    <t>Vi phạm luật thuế</t>
  </si>
  <si>
    <t>CTCP CIC39</t>
  </si>
  <si>
    <t>Lợi nhuận sau thuế của cổ đông công ty mẹ trên BCTC là số âm</t>
  </si>
  <si>
    <t>Lợi nhuận sau thuế của cổ đông công ty mẹ trên BCTC Hợp nhất soát xét bán niên 2024 là số âm</t>
  </si>
  <si>
    <t>BCTC hợp nhất bán niên 2023 được soát xét có ý kiến không phải là ý kiến chấp nhận toàn phần của tổ chức kiểm toán</t>
  </si>
  <si>
    <t>Lợi nhuận sau thuế của cổ đông công ty mẹ trên BCTC Hợp nhất soát xét bán niên năm 2023 là số âm</t>
  </si>
  <si>
    <t>BCTC soát xét bán niên 2023 có ý kiến không phải là ý kiến chấp nhận toàn phần của tổ chức kiểm toán</t>
  </si>
  <si>
    <t>Lợi nhuận sau thuế của cổ đông công ty mẹ trên BCTC Hợp nhất 2022 là số âm</t>
  </si>
  <si>
    <t>Lợi nhuận sau thuế của cổ đông công ty mẹ trên BCTC Hợp nhất soát xét 6 tháng (2022-2023) là số âm</t>
  </si>
  <si>
    <t>Lợi nhuân sau thuế BCTC soát xét bán niên năm 2023 là số âm</t>
  </si>
  <si>
    <t>Bị bôi đỏ</t>
  </si>
  <si>
    <t>Lợi nhuận sau thuế trên BCTC Tổng hợp soát xét bán niên năm 2023 là số âm</t>
  </si>
  <si>
    <t>Chưa đủ thời gian 6 tháng đưa vào danh sách không đủ điều kiện giao dịch ký quỹ</t>
  </si>
  <si>
    <t>Dự báo Risk</t>
  </si>
  <si>
    <t>Thực tế Risky</t>
  </si>
  <si>
    <t>Risky nhưng ko dự báo được</t>
  </si>
  <si>
    <t>Ko risky nhưng dự báo có</t>
  </si>
  <si>
    <t>Tổng thực tế</t>
  </si>
  <si>
    <t>Dự báo</t>
  </si>
  <si>
    <t>Dự báo đúng</t>
  </si>
  <si>
    <t>Dự báo sai</t>
  </si>
  <si>
    <t>Dự báo thiếu</t>
  </si>
  <si>
    <t>% đúng của MH</t>
  </si>
  <si>
    <t>0.82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</si>
</sst>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00000;\(#,##0.000000000\)"/>
    <numFmt numFmtId="166" formatCode="#,##0.00000000000;\(#,##0.00000000000\)"/>
    <numFmt numFmtId="167" formatCode="#,##0.00000000;\(#,##0.00000000\)"/>
    <numFmt numFmtId="168" formatCode="#,##0.0000000000;\(#,##0.0000000000\)"/>
    <numFmt numFmtId="169" formatCode="#,##0.0000000;\(#,##0.0000000\)"/>
    <numFmt numFmtId="170" formatCode="dd\.mm"/>
    <numFmt numFmtId="171" formatCode="d\.m"/>
    <numFmt numFmtId="172" formatCode="#,##0.000000000000;\(#,##0.000000000000\)"/>
    <numFmt numFmtId="173" formatCode="dd/mm/yyyy"/>
    <numFmt numFmtId="174" formatCode="d/m/yyyy"/>
  </numFmts>
  <fonts count="54">
    <font>
      <sz val="10"/>
      <color rgb="FF000000"/>
      <name val="Arial"/>
      <scheme val="minor"/>
    </font>
    <font>
      <b/>
      <sz val="13"/>
      <color rgb="FF202122"/>
      <name val="Times New Roman"/>
      <family val="1"/>
    </font>
    <font>
      <b/>
      <sz val="13"/>
      <color theme="1"/>
      <name val="Times New Roman"/>
      <family val="1"/>
    </font>
    <font>
      <b/>
      <u/>
      <sz val="13"/>
      <color rgb="FF0000FF"/>
      <name val="Times New Roman"/>
      <family val="1"/>
    </font>
    <font>
      <sz val="13"/>
      <color rgb="FF202122"/>
      <name val="Times New Roman"/>
      <family val="1"/>
    </font>
    <font>
      <sz val="13"/>
      <color theme="1"/>
      <name val="Times New Roman"/>
      <family val="1"/>
    </font>
    <font>
      <sz val="13"/>
      <color rgb="FF1F1F1F"/>
      <name val="Times New Roman"/>
      <family val="1"/>
    </font>
    <font>
      <sz val="13"/>
      <color rgb="FF000000"/>
      <name val="Times New Roman"/>
      <family val="1"/>
    </font>
    <font>
      <sz val="13"/>
      <color theme="1"/>
      <name val="Arial"/>
      <family val="2"/>
      <scheme val="minor"/>
    </font>
    <font>
      <b/>
      <u/>
      <sz val="13"/>
      <color rgb="FF0000FF"/>
      <name val="Times New Roman"/>
      <family val="1"/>
    </font>
    <font>
      <b/>
      <u/>
      <sz val="13"/>
      <color rgb="FF0000FF"/>
      <name val="Times New Roman"/>
      <family val="1"/>
    </font>
    <font>
      <b/>
      <u/>
      <sz val="13"/>
      <color rgb="FF0000FF"/>
      <name val="Times New Roman"/>
      <family val="1"/>
    </font>
    <font>
      <b/>
      <u/>
      <sz val="13"/>
      <color rgb="FF0000FF"/>
      <name val="Times New Roman"/>
      <family val="1"/>
    </font>
    <font>
      <b/>
      <u/>
      <sz val="13"/>
      <color rgb="FF0000FF"/>
      <name val="Times New Roman"/>
      <family val="1"/>
    </font>
    <font>
      <b/>
      <u/>
      <sz val="13"/>
      <color rgb="FF0000FF"/>
      <name val="Times New Roman"/>
      <family val="1"/>
    </font>
    <font>
      <b/>
      <u/>
      <sz val="13"/>
      <color rgb="FF0000FF"/>
      <name val="Times New Roman"/>
      <family val="1"/>
    </font>
    <font>
      <b/>
      <u/>
      <sz val="13"/>
      <color rgb="FF0000FF"/>
      <name val="Times New Roman"/>
      <family val="1"/>
    </font>
    <font>
      <b/>
      <u/>
      <sz val="13"/>
      <color rgb="FF0000FF"/>
      <name val="Times New Roman"/>
      <family val="1"/>
    </font>
    <font>
      <u/>
      <sz val="13"/>
      <color rgb="FF0000FF"/>
      <name val="Times New Roman"/>
      <family val="1"/>
    </font>
    <font>
      <b/>
      <u/>
      <sz val="13"/>
      <color rgb="FF0000FF"/>
      <name val="Times New Roman"/>
      <family val="1"/>
    </font>
    <font>
      <sz val="10"/>
      <color theme="1"/>
      <name val="Arial"/>
      <family val="2"/>
      <scheme val="minor"/>
    </font>
    <font>
      <sz val="13"/>
      <color rgb="FF040C28"/>
      <name val="Times New Roman"/>
      <family val="1"/>
    </font>
    <font>
      <sz val="13"/>
      <color rgb="FF333333"/>
      <name val="Times New Roman"/>
      <family val="1"/>
    </font>
    <font>
      <u/>
      <sz val="13"/>
      <color rgb="FF0000FF"/>
      <name val="Times New Roman"/>
      <family val="1"/>
    </font>
    <font>
      <b/>
      <u/>
      <sz val="13"/>
      <color rgb="FF0000FF"/>
      <name val="Times New Roman"/>
      <family val="1"/>
    </font>
    <font>
      <u/>
      <sz val="13"/>
      <color rgb="FF0000FF"/>
      <name val="Times New Roman"/>
      <family val="1"/>
    </font>
    <font>
      <b/>
      <u/>
      <sz val="13"/>
      <color rgb="FF202122"/>
      <name val="Times New Roman"/>
      <family val="1"/>
    </font>
    <font>
      <u/>
      <sz val="13"/>
      <color rgb="FF0000FF"/>
      <name val="Times New Roman"/>
      <family val="1"/>
    </font>
    <font>
      <b/>
      <u/>
      <sz val="13"/>
      <color rgb="FF202122"/>
      <name val="Times New Roman"/>
      <family val="1"/>
    </font>
    <font>
      <b/>
      <u/>
      <sz val="13"/>
      <color rgb="FF0000FF"/>
      <name val="Times New Roman"/>
      <family val="1"/>
    </font>
    <font>
      <b/>
      <u/>
      <sz val="13"/>
      <color rgb="FF0000FF"/>
      <name val="Times New Roman"/>
      <family val="1"/>
    </font>
    <font>
      <b/>
      <sz val="13"/>
      <color rgb="FF000000"/>
      <name val="Times New Roman"/>
      <family val="1"/>
    </font>
    <font>
      <b/>
      <sz val="12"/>
      <color rgb="FF202122"/>
      <name val="Times New Roman"/>
      <family val="1"/>
    </font>
    <font>
      <b/>
      <sz val="12"/>
      <color theme="1"/>
      <name val="Times New Roman"/>
      <family val="1"/>
    </font>
    <font>
      <u/>
      <sz val="12"/>
      <color rgb="FF0000FF"/>
      <name val="Times New Roman"/>
      <family val="1"/>
    </font>
    <font>
      <sz val="12"/>
      <color theme="1"/>
      <name val="Times New Roman"/>
      <family val="1"/>
    </font>
    <font>
      <u/>
      <sz val="12"/>
      <color rgb="FF0000FF"/>
      <name val="Times New Roman"/>
      <family val="1"/>
    </font>
    <font>
      <u/>
      <sz val="12"/>
      <color rgb="FF0000FF"/>
      <name val="Times New Roman"/>
      <family val="1"/>
    </font>
    <font>
      <b/>
      <u/>
      <sz val="12"/>
      <color rgb="FF0000FF"/>
      <name val="Times New Roman"/>
      <family val="1"/>
    </font>
    <font>
      <b/>
      <u/>
      <sz val="12"/>
      <color rgb="FF0000FF"/>
      <name val="Times New Roman"/>
      <family val="1"/>
    </font>
    <font>
      <sz val="12"/>
      <color rgb="FF000000"/>
      <name val="Times New Roman"/>
      <family val="1"/>
    </font>
    <font>
      <b/>
      <u/>
      <sz val="12"/>
      <color rgb="FF0000FF"/>
      <name val="Times New Roman"/>
      <family val="1"/>
    </font>
    <font>
      <u/>
      <sz val="12"/>
      <color rgb="FF0000FF"/>
      <name val="Times New Roman"/>
      <family val="1"/>
    </font>
    <font>
      <sz val="10"/>
      <color theme="1"/>
      <name val="Times New Roman"/>
      <family val="1"/>
    </font>
    <font>
      <u/>
      <sz val="12"/>
      <color rgb="FF0000FF"/>
      <name val="Times New Roman"/>
      <family val="1"/>
    </font>
    <font>
      <u/>
      <sz val="12"/>
      <color rgb="FF0000FF"/>
      <name val="Times New Roman"/>
      <family val="1"/>
    </font>
    <font>
      <sz val="12"/>
      <color rgb="FFFF0000"/>
      <name val="Times New Roman"/>
      <family val="1"/>
    </font>
    <font>
      <u/>
      <sz val="12"/>
      <color rgb="FFFF0000"/>
      <name val="Times New Roman"/>
      <family val="1"/>
    </font>
    <font>
      <b/>
      <u/>
      <sz val="12"/>
      <color rgb="FF0000FF"/>
      <name val="Times New Roman"/>
      <family val="1"/>
    </font>
    <font>
      <sz val="13"/>
      <name val="Times New Roman"/>
      <family val="1"/>
    </font>
    <font>
      <u/>
      <sz val="13"/>
      <color rgb="FF1155CC"/>
      <name val="Times New Roman"/>
      <family val="1"/>
    </font>
    <font>
      <b/>
      <u/>
      <sz val="13"/>
      <color rgb="FF1155CC"/>
      <name val="Times New Roman"/>
      <family val="1"/>
    </font>
    <font>
      <b/>
      <sz val="13"/>
      <name val="Times New Roman"/>
      <family val="1"/>
    </font>
    <font>
      <u/>
      <sz val="12"/>
      <color rgb="FF1155CC"/>
      <name val="Times New Roman"/>
      <family val="1"/>
    </font>
  </fonts>
  <fills count="27">
    <fill>
      <patternFill patternType="none"/>
    </fill>
    <fill>
      <patternFill patternType="gray125"/>
    </fill>
    <fill>
      <patternFill patternType="solid">
        <fgColor rgb="FFF4CCCC"/>
        <bgColor rgb="FFF4CCCC"/>
      </patternFill>
    </fill>
    <fill>
      <patternFill patternType="solid">
        <fgColor rgb="FFC9DAF8"/>
        <bgColor rgb="FFC9DAF8"/>
      </patternFill>
    </fill>
    <fill>
      <patternFill patternType="solid">
        <fgColor rgb="FFFFFF00"/>
        <bgColor rgb="FFFFFF00"/>
      </patternFill>
    </fill>
    <fill>
      <patternFill patternType="solid">
        <fgColor rgb="FFA4C2F4"/>
        <bgColor rgb="FFA4C2F4"/>
      </patternFill>
    </fill>
    <fill>
      <patternFill patternType="solid">
        <fgColor rgb="FF93C47D"/>
        <bgColor rgb="FF93C47D"/>
      </patternFill>
    </fill>
    <fill>
      <patternFill patternType="solid">
        <fgColor rgb="FF9900FF"/>
        <bgColor rgb="FF9900FF"/>
      </patternFill>
    </fill>
    <fill>
      <patternFill patternType="solid">
        <fgColor rgb="FFFFF2CC"/>
        <bgColor rgb="FFFFF2CC"/>
      </patternFill>
    </fill>
    <fill>
      <patternFill patternType="solid">
        <fgColor rgb="FFE6B8AF"/>
        <bgColor rgb="FFE6B8AF"/>
      </patternFill>
    </fill>
    <fill>
      <patternFill patternType="solid">
        <fgColor rgb="FFFF0000"/>
        <bgColor rgb="FFFF0000"/>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F7F7F7"/>
        <bgColor rgb="FFF7F7F7"/>
      </patternFill>
    </fill>
    <fill>
      <patternFill patternType="solid">
        <fgColor rgb="FFD0E0E3"/>
        <bgColor rgb="FFD0E0E3"/>
      </patternFill>
    </fill>
    <fill>
      <patternFill patternType="solid">
        <fgColor rgb="FFFF9900"/>
        <bgColor rgb="FFFF9900"/>
      </patternFill>
    </fill>
    <fill>
      <patternFill patternType="solid">
        <fgColor rgb="FFD9D2E9"/>
        <bgColor rgb="FFD9D2E9"/>
      </patternFill>
    </fill>
    <fill>
      <patternFill patternType="solid">
        <fgColor rgb="FF00FFFF"/>
        <bgColor rgb="FF00FFFF"/>
      </patternFill>
    </fill>
    <fill>
      <patternFill patternType="solid">
        <fgColor rgb="FFEA9999"/>
        <bgColor rgb="FFEA9999"/>
      </patternFill>
    </fill>
    <fill>
      <patternFill patternType="solid">
        <fgColor rgb="FF4A86E8"/>
        <bgColor rgb="FF4A86E8"/>
      </patternFill>
    </fill>
    <fill>
      <patternFill patternType="solid">
        <fgColor rgb="FF000000"/>
        <bgColor rgb="FF000000"/>
      </patternFill>
    </fill>
    <fill>
      <patternFill patternType="solid">
        <fgColor rgb="FFFF00FF"/>
        <bgColor rgb="FFFF00FF"/>
      </patternFill>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00FF00"/>
        <bgColor rgb="FF00FF00"/>
      </patternFill>
    </fill>
  </fills>
  <borders count="1">
    <border>
      <left/>
      <right/>
      <top/>
      <bottom/>
      <diagonal/>
    </border>
  </borders>
  <cellStyleXfs count="1">
    <xf numFmtId="0" fontId="0" fillId="0" borderId="0"/>
  </cellStyleXfs>
  <cellXfs count="264">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164" fontId="1" fillId="0" borderId="0" xfId="0" applyNumberFormat="1" applyFont="1" applyAlignment="1">
      <alignment horizontal="center" vertical="center"/>
    </xf>
    <xf numFmtId="164" fontId="2" fillId="3" borderId="0" xfId="0" applyNumberFormat="1" applyFont="1" applyFill="1" applyAlignment="1">
      <alignment horizontal="center" vertical="center"/>
    </xf>
    <xf numFmtId="164" fontId="2" fillId="0" borderId="0" xfId="0" applyNumberFormat="1" applyFont="1" applyAlignment="1">
      <alignment horizontal="center" vertical="center"/>
    </xf>
    <xf numFmtId="165" fontId="2" fillId="4" borderId="0" xfId="0" applyNumberFormat="1" applyFont="1" applyFill="1" applyAlignment="1">
      <alignment horizontal="center" vertical="center"/>
    </xf>
    <xf numFmtId="166" fontId="2" fillId="4" borderId="0" xfId="0" applyNumberFormat="1" applyFont="1" applyFill="1" applyAlignment="1">
      <alignment horizontal="center" vertical="center"/>
    </xf>
    <xf numFmtId="164" fontId="2" fillId="2" borderId="0" xfId="0" applyNumberFormat="1" applyFont="1" applyFill="1" applyAlignment="1">
      <alignment horizontal="right" vertical="center"/>
    </xf>
    <xf numFmtId="164" fontId="2" fillId="5" borderId="0" xfId="0" applyNumberFormat="1" applyFont="1" applyFill="1" applyAlignment="1">
      <alignment horizontal="left" vertical="center"/>
    </xf>
    <xf numFmtId="0" fontId="2" fillId="4" borderId="0" xfId="0" applyFont="1" applyFill="1" applyAlignment="1">
      <alignment horizontal="center" vertical="center"/>
    </xf>
    <xf numFmtId="164" fontId="2" fillId="4" borderId="0" xfId="0" applyNumberFormat="1" applyFont="1" applyFill="1" applyAlignment="1">
      <alignment horizontal="center" vertical="center"/>
    </xf>
    <xf numFmtId="165" fontId="2" fillId="6" borderId="0" xfId="0" applyNumberFormat="1" applyFont="1" applyFill="1" applyAlignment="1">
      <alignment horizontal="center" vertical="center" wrapText="1"/>
    </xf>
    <xf numFmtId="167" fontId="2" fillId="6" borderId="0" xfId="0" applyNumberFormat="1" applyFont="1" applyFill="1" applyAlignment="1">
      <alignment horizontal="center" vertical="center" wrapText="1"/>
    </xf>
    <xf numFmtId="168" fontId="2" fillId="6" borderId="0" xfId="0" applyNumberFormat="1" applyFont="1" applyFill="1" applyAlignment="1">
      <alignment horizontal="center" vertical="center" wrapText="1"/>
    </xf>
    <xf numFmtId="164" fontId="2" fillId="7" borderId="0" xfId="0" applyNumberFormat="1" applyFont="1" applyFill="1" applyAlignment="1">
      <alignment horizontal="center" vertical="center"/>
    </xf>
    <xf numFmtId="0" fontId="2" fillId="0" borderId="0" xfId="0" applyFont="1" applyAlignment="1">
      <alignment vertical="center"/>
    </xf>
    <xf numFmtId="0" fontId="3" fillId="8" borderId="0" xfId="0" applyFont="1" applyFill="1" applyAlignment="1">
      <alignment horizontal="center" vertical="center"/>
    </xf>
    <xf numFmtId="0" fontId="1" fillId="8" borderId="0" xfId="0" applyFont="1" applyFill="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xf>
    <xf numFmtId="164" fontId="5" fillId="0" borderId="0" xfId="0" applyNumberFormat="1" applyFont="1" applyAlignment="1">
      <alignment horizontal="center" vertical="center"/>
    </xf>
    <xf numFmtId="164" fontId="5" fillId="0" borderId="0" xfId="0" applyNumberFormat="1" applyFont="1" applyAlignment="1">
      <alignment horizontal="center"/>
    </xf>
    <xf numFmtId="164" fontId="5" fillId="3" borderId="0" xfId="0" applyNumberFormat="1" applyFont="1" applyFill="1" applyAlignment="1">
      <alignment horizontal="center" vertical="center"/>
    </xf>
    <xf numFmtId="165" fontId="5" fillId="4" borderId="0" xfId="0" applyNumberFormat="1" applyFont="1" applyFill="1" applyAlignment="1">
      <alignment horizontal="center" vertical="center"/>
    </xf>
    <xf numFmtId="166" fontId="5" fillId="4" borderId="0" xfId="0" applyNumberFormat="1" applyFont="1" applyFill="1" applyAlignment="1">
      <alignment horizontal="center" vertical="center"/>
    </xf>
    <xf numFmtId="164" fontId="6" fillId="9" borderId="0" xfId="0" applyNumberFormat="1" applyFont="1" applyFill="1" applyAlignment="1">
      <alignment horizontal="right"/>
    </xf>
    <xf numFmtId="164" fontId="7" fillId="2" borderId="0" xfId="0" applyNumberFormat="1" applyFont="1" applyFill="1" applyAlignment="1">
      <alignment horizontal="right"/>
    </xf>
    <xf numFmtId="164" fontId="5" fillId="5" borderId="0" xfId="0" applyNumberFormat="1" applyFont="1" applyFill="1" applyAlignment="1">
      <alignment horizontal="left" vertical="center"/>
    </xf>
    <xf numFmtId="0" fontId="5" fillId="4" borderId="0" xfId="0" applyFont="1" applyFill="1" applyAlignment="1">
      <alignment horizontal="center" vertical="center"/>
    </xf>
    <xf numFmtId="10" fontId="5" fillId="4" borderId="0" xfId="0" applyNumberFormat="1" applyFont="1" applyFill="1" applyAlignment="1">
      <alignment horizontal="center" vertical="center"/>
    </xf>
    <xf numFmtId="165" fontId="5" fillId="6" borderId="0" xfId="0" applyNumberFormat="1" applyFont="1" applyFill="1" applyAlignment="1">
      <alignment horizontal="center" vertical="center"/>
    </xf>
    <xf numFmtId="167" fontId="5" fillId="6" borderId="0" xfId="0" applyNumberFormat="1" applyFont="1" applyFill="1" applyAlignment="1">
      <alignment horizontal="center" vertical="center"/>
    </xf>
    <xf numFmtId="168" fontId="5" fillId="6" borderId="0" xfId="0" applyNumberFormat="1" applyFont="1" applyFill="1" applyAlignment="1">
      <alignment horizontal="center" vertical="center"/>
    </xf>
    <xf numFmtId="169" fontId="5" fillId="7" borderId="0" xfId="0" applyNumberFormat="1" applyFont="1" applyFill="1" applyAlignment="1">
      <alignment horizontal="center" vertical="center"/>
    </xf>
    <xf numFmtId="164" fontId="5" fillId="0" borderId="0" xfId="0" applyNumberFormat="1" applyFont="1" applyAlignment="1">
      <alignment horizontal="center" vertical="center" wrapText="1"/>
    </xf>
    <xf numFmtId="0" fontId="5" fillId="0" borderId="0" xfId="0" applyFont="1" applyAlignment="1">
      <alignment vertical="center"/>
    </xf>
    <xf numFmtId="0" fontId="5" fillId="8" borderId="0" xfId="0" applyFont="1" applyFill="1"/>
    <xf numFmtId="0" fontId="5" fillId="0" borderId="0" xfId="0" applyFont="1" applyAlignment="1">
      <alignment horizontal="center" vertical="center"/>
    </xf>
    <xf numFmtId="170" fontId="6" fillId="9" borderId="0" xfId="0" applyNumberFormat="1" applyFont="1" applyFill="1" applyAlignment="1">
      <alignment horizontal="right"/>
    </xf>
    <xf numFmtId="0" fontId="7" fillId="2" borderId="0" xfId="0" applyFont="1" applyFill="1" applyAlignment="1">
      <alignment horizontal="right"/>
    </xf>
    <xf numFmtId="171" fontId="6" fillId="9" borderId="0" xfId="0" applyNumberFormat="1" applyFont="1" applyFill="1" applyAlignment="1">
      <alignment horizontal="right"/>
    </xf>
    <xf numFmtId="0" fontId="8" fillId="0" borderId="0" xfId="0" applyFont="1" applyAlignment="1">
      <alignment vertical="center"/>
    </xf>
    <xf numFmtId="0" fontId="1" fillId="10" borderId="0" xfId="0" applyFont="1" applyFill="1" applyAlignment="1">
      <alignment horizontal="center" vertical="center"/>
    </xf>
    <xf numFmtId="0" fontId="4" fillId="10" borderId="0" xfId="0" applyFont="1" applyFill="1" applyAlignment="1">
      <alignment vertical="center"/>
    </xf>
    <xf numFmtId="0" fontId="4" fillId="10" borderId="0" xfId="0" applyFont="1" applyFill="1" applyAlignment="1">
      <alignment horizontal="center" vertical="center"/>
    </xf>
    <xf numFmtId="0" fontId="5" fillId="10" borderId="0" xfId="0" applyFont="1" applyFill="1" applyAlignment="1">
      <alignment horizontal="center" vertical="center"/>
    </xf>
    <xf numFmtId="164" fontId="5" fillId="10" borderId="0" xfId="0" applyNumberFormat="1" applyFont="1" applyFill="1" applyAlignment="1">
      <alignment horizontal="center" vertical="center"/>
    </xf>
    <xf numFmtId="165" fontId="5" fillId="10" borderId="0" xfId="0" applyNumberFormat="1" applyFont="1" applyFill="1" applyAlignment="1">
      <alignment horizontal="center" vertical="center"/>
    </xf>
    <xf numFmtId="166" fontId="5" fillId="10" borderId="0" xfId="0" applyNumberFormat="1" applyFont="1" applyFill="1" applyAlignment="1">
      <alignment horizontal="center" vertical="center"/>
    </xf>
    <xf numFmtId="164" fontId="5" fillId="10" borderId="0" xfId="0" applyNumberFormat="1" applyFont="1" applyFill="1" applyAlignment="1">
      <alignment horizontal="right" vertical="center"/>
    </xf>
    <xf numFmtId="164" fontId="7" fillId="10" borderId="0" xfId="0" applyNumberFormat="1" applyFont="1" applyFill="1" applyAlignment="1">
      <alignment horizontal="right"/>
    </xf>
    <xf numFmtId="164" fontId="6" fillId="10" borderId="0" xfId="0" applyNumberFormat="1" applyFont="1" applyFill="1" applyAlignment="1">
      <alignment horizontal="right"/>
    </xf>
    <xf numFmtId="164" fontId="5" fillId="10" borderId="0" xfId="0" applyNumberFormat="1" applyFont="1" applyFill="1" applyAlignment="1">
      <alignment horizontal="left" vertical="center"/>
    </xf>
    <xf numFmtId="167" fontId="5" fillId="10" borderId="0" xfId="0" applyNumberFormat="1" applyFont="1" applyFill="1" applyAlignment="1">
      <alignment horizontal="center" vertical="center"/>
    </xf>
    <xf numFmtId="168" fontId="5" fillId="10" borderId="0" xfId="0" applyNumberFormat="1" applyFont="1" applyFill="1" applyAlignment="1">
      <alignment horizontal="center" vertical="center"/>
    </xf>
    <xf numFmtId="169" fontId="5" fillId="10" borderId="0" xfId="0" applyNumberFormat="1" applyFont="1" applyFill="1" applyAlignment="1">
      <alignment horizontal="center" vertical="center"/>
    </xf>
    <xf numFmtId="0" fontId="8" fillId="10" borderId="0" xfId="0" applyFont="1" applyFill="1" applyAlignment="1">
      <alignment vertical="center"/>
    </xf>
    <xf numFmtId="164" fontId="5" fillId="9" borderId="0" xfId="0" applyNumberFormat="1" applyFont="1" applyFill="1" applyAlignment="1">
      <alignment horizontal="right" vertical="center"/>
    </xf>
    <xf numFmtId="171" fontId="5" fillId="9" borderId="0" xfId="0" applyNumberFormat="1" applyFont="1" applyFill="1" applyAlignment="1">
      <alignment horizontal="right" vertical="center"/>
    </xf>
    <xf numFmtId="0" fontId="1" fillId="11" borderId="0" xfId="0" applyFont="1" applyFill="1" applyAlignment="1">
      <alignment horizontal="center" vertical="center"/>
    </xf>
    <xf numFmtId="164" fontId="5" fillId="12" borderId="0" xfId="0" applyNumberFormat="1" applyFont="1" applyFill="1" applyAlignment="1">
      <alignment horizontal="right" vertical="center"/>
    </xf>
    <xf numFmtId="0" fontId="10" fillId="11" borderId="0" xfId="0" applyFont="1" applyFill="1" applyAlignment="1">
      <alignment horizontal="center" vertical="center"/>
    </xf>
    <xf numFmtId="171" fontId="5" fillId="12" borderId="0" xfId="0" applyNumberFormat="1" applyFont="1" applyFill="1" applyAlignment="1">
      <alignment horizontal="right" vertical="center"/>
    </xf>
    <xf numFmtId="170" fontId="5" fillId="12" borderId="0" xfId="0" applyNumberFormat="1" applyFont="1" applyFill="1" applyAlignment="1">
      <alignment horizontal="right" vertical="center"/>
    </xf>
    <xf numFmtId="0" fontId="11" fillId="10" borderId="0" xfId="0" applyFont="1" applyFill="1" applyAlignment="1">
      <alignment horizontal="center" vertical="center"/>
    </xf>
    <xf numFmtId="0" fontId="5" fillId="10" borderId="0" xfId="0" applyFont="1" applyFill="1" applyAlignment="1">
      <alignment horizontal="center"/>
    </xf>
    <xf numFmtId="0" fontId="5" fillId="12" borderId="0" xfId="0" applyFont="1" applyFill="1" applyAlignment="1">
      <alignment horizontal="right" vertical="center"/>
    </xf>
    <xf numFmtId="0" fontId="12" fillId="12" borderId="0" xfId="0" applyFont="1" applyFill="1" applyAlignment="1">
      <alignment horizontal="center" vertical="center"/>
    </xf>
    <xf numFmtId="0" fontId="1" fillId="12" borderId="0" xfId="0" applyFont="1" applyFill="1" applyAlignment="1">
      <alignment horizontal="center" vertical="center"/>
    </xf>
    <xf numFmtId="171" fontId="5" fillId="8" borderId="0" xfId="0" applyNumberFormat="1" applyFont="1" applyFill="1" applyAlignment="1">
      <alignment horizontal="right" vertical="center"/>
    </xf>
    <xf numFmtId="164" fontId="5" fillId="8" borderId="0" xfId="0" applyNumberFormat="1" applyFont="1" applyFill="1" applyAlignment="1">
      <alignment horizontal="right" vertical="center"/>
    </xf>
    <xf numFmtId="0" fontId="13" fillId="12" borderId="0" xfId="0" applyFont="1" applyFill="1" applyAlignment="1">
      <alignment horizontal="center"/>
    </xf>
    <xf numFmtId="0" fontId="5" fillId="12" borderId="0" xfId="0" applyFont="1" applyFill="1"/>
    <xf numFmtId="0" fontId="5" fillId="0" borderId="0" xfId="0" applyFont="1"/>
    <xf numFmtId="170" fontId="5" fillId="8" borderId="0" xfId="0" applyNumberFormat="1" applyFont="1" applyFill="1" applyAlignment="1">
      <alignment horizontal="right" vertical="center"/>
    </xf>
    <xf numFmtId="0" fontId="14" fillId="13" borderId="0" xfId="0" applyFont="1" applyFill="1" applyAlignment="1">
      <alignment horizontal="center" vertical="center"/>
    </xf>
    <xf numFmtId="0" fontId="1" fillId="13" borderId="0" xfId="0" applyFont="1" applyFill="1" applyAlignment="1">
      <alignment horizontal="center" vertical="center"/>
    </xf>
    <xf numFmtId="171" fontId="6" fillId="14" borderId="0" xfId="0" applyNumberFormat="1" applyFont="1" applyFill="1" applyAlignment="1">
      <alignment horizontal="right"/>
    </xf>
    <xf numFmtId="164" fontId="5" fillId="0" borderId="0" xfId="0" applyNumberFormat="1" applyFont="1" applyAlignment="1">
      <alignment horizontal="left" vertical="center"/>
    </xf>
    <xf numFmtId="0" fontId="15" fillId="8" borderId="0" xfId="0" applyFont="1" applyFill="1" applyAlignment="1">
      <alignment horizontal="center"/>
    </xf>
    <xf numFmtId="164" fontId="5" fillId="11" borderId="0" xfId="0" applyNumberFormat="1" applyFont="1" applyFill="1" applyAlignment="1">
      <alignment horizontal="right" vertical="center"/>
    </xf>
    <xf numFmtId="0" fontId="5" fillId="11" borderId="0" xfId="0" applyFont="1" applyFill="1"/>
    <xf numFmtId="170" fontId="5" fillId="11" borderId="0" xfId="0" applyNumberFormat="1" applyFont="1" applyFill="1" applyAlignment="1">
      <alignment horizontal="right" vertical="center"/>
    </xf>
    <xf numFmtId="164" fontId="7" fillId="2" borderId="0" xfId="0" applyNumberFormat="1" applyFont="1" applyFill="1" applyAlignment="1">
      <alignment horizontal="center"/>
    </xf>
    <xf numFmtId="171" fontId="5" fillId="11" borderId="0" xfId="0" applyNumberFormat="1" applyFont="1" applyFill="1" applyAlignment="1">
      <alignment horizontal="right" vertical="center"/>
    </xf>
    <xf numFmtId="164" fontId="5" fillId="15" borderId="0" xfId="0" applyNumberFormat="1" applyFont="1" applyFill="1" applyAlignment="1">
      <alignment horizontal="right" vertical="center"/>
    </xf>
    <xf numFmtId="170" fontId="5" fillId="15" borderId="0" xfId="0" applyNumberFormat="1" applyFont="1" applyFill="1" applyAlignment="1">
      <alignment horizontal="right" vertical="center"/>
    </xf>
    <xf numFmtId="171" fontId="5" fillId="15" borderId="0" xfId="0" applyNumberFormat="1" applyFont="1" applyFill="1" applyAlignment="1">
      <alignment horizontal="right" vertical="center"/>
    </xf>
    <xf numFmtId="164" fontId="5" fillId="3" borderId="0" xfId="0" applyNumberFormat="1" applyFont="1" applyFill="1" applyAlignment="1">
      <alignment horizontal="right" vertical="center"/>
    </xf>
    <xf numFmtId="164" fontId="5" fillId="3" borderId="0" xfId="0" applyNumberFormat="1" applyFont="1" applyFill="1" applyAlignment="1">
      <alignment horizontal="right"/>
    </xf>
    <xf numFmtId="171" fontId="5" fillId="3" borderId="0" xfId="0" applyNumberFormat="1" applyFont="1" applyFill="1" applyAlignment="1">
      <alignment horizontal="right" vertical="center"/>
    </xf>
    <xf numFmtId="170" fontId="5" fillId="3" borderId="0" xfId="0" applyNumberFormat="1" applyFont="1" applyFill="1" applyAlignment="1">
      <alignment horizontal="right" vertical="center"/>
    </xf>
    <xf numFmtId="0" fontId="16" fillId="16" borderId="0" xfId="0" applyFont="1" applyFill="1" applyAlignment="1">
      <alignment horizontal="center" vertical="center"/>
    </xf>
    <xf numFmtId="0" fontId="1" fillId="16" borderId="0" xfId="0" applyFont="1" applyFill="1" applyAlignment="1">
      <alignment horizontal="center" vertical="center"/>
    </xf>
    <xf numFmtId="0" fontId="4" fillId="16" borderId="0" xfId="0" applyFont="1" applyFill="1" applyAlignment="1">
      <alignment vertical="center"/>
    </xf>
    <xf numFmtId="0" fontId="4" fillId="16" borderId="0" xfId="0" applyFont="1" applyFill="1" applyAlignment="1">
      <alignment horizontal="center" vertical="center"/>
    </xf>
    <xf numFmtId="0" fontId="5" fillId="16" borderId="0" xfId="0" applyFont="1" applyFill="1" applyAlignment="1">
      <alignment horizontal="center" vertical="center"/>
    </xf>
    <xf numFmtId="0" fontId="5" fillId="16" borderId="0" xfId="0" applyFont="1" applyFill="1" applyAlignment="1">
      <alignment horizontal="center"/>
    </xf>
    <xf numFmtId="164" fontId="5" fillId="16" borderId="0" xfId="0" applyNumberFormat="1" applyFont="1" applyFill="1" applyAlignment="1">
      <alignment horizontal="center" vertical="center"/>
    </xf>
    <xf numFmtId="165" fontId="5" fillId="16" borderId="0" xfId="0" applyNumberFormat="1" applyFont="1" applyFill="1" applyAlignment="1">
      <alignment horizontal="center" vertical="center"/>
    </xf>
    <xf numFmtId="166" fontId="5" fillId="16" borderId="0" xfId="0" applyNumberFormat="1" applyFont="1" applyFill="1" applyAlignment="1">
      <alignment horizontal="center" vertical="center"/>
    </xf>
    <xf numFmtId="164" fontId="5" fillId="16" borderId="0" xfId="0" applyNumberFormat="1" applyFont="1" applyFill="1" applyAlignment="1">
      <alignment horizontal="right" vertical="center"/>
    </xf>
    <xf numFmtId="164" fontId="7" fillId="16" borderId="0" xfId="0" applyNumberFormat="1" applyFont="1" applyFill="1" applyAlignment="1">
      <alignment horizontal="right"/>
    </xf>
    <xf numFmtId="164" fontId="5" fillId="16" borderId="0" xfId="0" applyNumberFormat="1" applyFont="1" applyFill="1" applyAlignment="1">
      <alignment horizontal="left" vertical="center"/>
    </xf>
    <xf numFmtId="10" fontId="5" fillId="16" borderId="0" xfId="0" applyNumberFormat="1" applyFont="1" applyFill="1" applyAlignment="1">
      <alignment horizontal="center" vertical="center"/>
    </xf>
    <xf numFmtId="167" fontId="5" fillId="16" borderId="0" xfId="0" applyNumberFormat="1" applyFont="1" applyFill="1" applyAlignment="1">
      <alignment horizontal="center" vertical="center"/>
    </xf>
    <xf numFmtId="168" fontId="5" fillId="16" borderId="0" xfId="0" applyNumberFormat="1" applyFont="1" applyFill="1" applyAlignment="1">
      <alignment horizontal="center" vertical="center"/>
    </xf>
    <xf numFmtId="169" fontId="5" fillId="16" borderId="0" xfId="0" applyNumberFormat="1" applyFont="1" applyFill="1" applyAlignment="1">
      <alignment horizontal="center" vertical="center"/>
    </xf>
    <xf numFmtId="0" fontId="8" fillId="16" borderId="0" xfId="0" applyFont="1" applyFill="1" applyAlignment="1">
      <alignment vertical="center"/>
    </xf>
    <xf numFmtId="164" fontId="5" fillId="17" borderId="0" xfId="0" applyNumberFormat="1" applyFont="1" applyFill="1" applyAlignment="1">
      <alignment horizontal="right" vertical="center"/>
    </xf>
    <xf numFmtId="170" fontId="5" fillId="17" borderId="0" xfId="0" applyNumberFormat="1" applyFont="1" applyFill="1" applyAlignment="1">
      <alignment horizontal="right" vertical="center"/>
    </xf>
    <xf numFmtId="0" fontId="17" fillId="18" borderId="0" xfId="0" applyFont="1" applyFill="1" applyAlignment="1">
      <alignment horizontal="center" vertical="center"/>
    </xf>
    <xf numFmtId="0" fontId="1" fillId="18" borderId="0" xfId="0" applyFont="1" applyFill="1" applyAlignment="1">
      <alignment horizontal="center" vertical="center"/>
    </xf>
    <xf numFmtId="0" fontId="4" fillId="18" borderId="0" xfId="0" applyFont="1" applyFill="1" applyAlignment="1">
      <alignment vertical="center"/>
    </xf>
    <xf numFmtId="0" fontId="4" fillId="18" borderId="0" xfId="0" applyFont="1" applyFill="1" applyAlignment="1">
      <alignment horizontal="center" vertical="center"/>
    </xf>
    <xf numFmtId="0" fontId="5" fillId="18" borderId="0" xfId="0" applyFont="1" applyFill="1" applyAlignment="1">
      <alignment horizontal="center" vertical="center"/>
    </xf>
    <xf numFmtId="0" fontId="5" fillId="18" borderId="0" xfId="0" applyFont="1" applyFill="1" applyAlignment="1">
      <alignment horizontal="center"/>
    </xf>
    <xf numFmtId="164" fontId="5" fillId="18" borderId="0" xfId="0" applyNumberFormat="1" applyFont="1" applyFill="1" applyAlignment="1">
      <alignment horizontal="center" vertical="center"/>
    </xf>
    <xf numFmtId="165" fontId="5" fillId="18" borderId="0" xfId="0" applyNumberFormat="1" applyFont="1" applyFill="1" applyAlignment="1">
      <alignment horizontal="center" vertical="center"/>
    </xf>
    <xf numFmtId="166" fontId="5" fillId="18" borderId="0" xfId="0" applyNumberFormat="1" applyFont="1" applyFill="1" applyAlignment="1">
      <alignment horizontal="center" vertical="center"/>
    </xf>
    <xf numFmtId="164" fontId="5" fillId="18" borderId="0" xfId="0" applyNumberFormat="1" applyFont="1" applyFill="1" applyAlignment="1">
      <alignment horizontal="right" vertical="center"/>
    </xf>
    <xf numFmtId="164" fontId="7" fillId="18" borderId="0" xfId="0" applyNumberFormat="1" applyFont="1" applyFill="1" applyAlignment="1">
      <alignment horizontal="right"/>
    </xf>
    <xf numFmtId="164" fontId="5" fillId="18" borderId="0" xfId="0" applyNumberFormat="1" applyFont="1" applyFill="1" applyAlignment="1">
      <alignment horizontal="left" vertical="center"/>
    </xf>
    <xf numFmtId="10" fontId="5" fillId="18" borderId="0" xfId="0" applyNumberFormat="1" applyFont="1" applyFill="1" applyAlignment="1">
      <alignment horizontal="center" vertical="center"/>
    </xf>
    <xf numFmtId="167" fontId="5" fillId="18" borderId="0" xfId="0" applyNumberFormat="1" applyFont="1" applyFill="1" applyAlignment="1">
      <alignment horizontal="center" vertical="center"/>
    </xf>
    <xf numFmtId="168" fontId="5" fillId="18" borderId="0" xfId="0" applyNumberFormat="1" applyFont="1" applyFill="1" applyAlignment="1">
      <alignment horizontal="center" vertical="center"/>
    </xf>
    <xf numFmtId="169" fontId="5" fillId="18" borderId="0" xfId="0" applyNumberFormat="1" applyFont="1" applyFill="1" applyAlignment="1">
      <alignment horizontal="center" vertical="center"/>
    </xf>
    <xf numFmtId="0" fontId="8" fillId="18" borderId="0" xfId="0" applyFont="1" applyFill="1" applyAlignment="1">
      <alignment vertical="center"/>
    </xf>
    <xf numFmtId="171" fontId="5" fillId="17" borderId="0" xfId="0" applyNumberFormat="1" applyFont="1" applyFill="1" applyAlignment="1">
      <alignment horizontal="right" vertical="center"/>
    </xf>
    <xf numFmtId="164" fontId="7" fillId="0" borderId="0" xfId="0" applyNumberFormat="1" applyFont="1" applyAlignment="1">
      <alignment horizontal="center"/>
    </xf>
    <xf numFmtId="0" fontId="5" fillId="9" borderId="0" xfId="0" applyFont="1" applyFill="1" applyAlignment="1">
      <alignment horizontal="right"/>
    </xf>
    <xf numFmtId="171" fontId="5" fillId="9" borderId="0" xfId="0" applyNumberFormat="1" applyFont="1" applyFill="1" applyAlignment="1">
      <alignment horizontal="right"/>
    </xf>
    <xf numFmtId="0" fontId="6" fillId="9" borderId="0" xfId="0" applyFont="1" applyFill="1" applyAlignment="1">
      <alignment horizontal="right"/>
    </xf>
    <xf numFmtId="0" fontId="2" fillId="10" borderId="0" xfId="0" applyFont="1" applyFill="1" applyAlignment="1">
      <alignment horizontal="center"/>
    </xf>
    <xf numFmtId="164" fontId="18" fillId="10" borderId="0" xfId="0" applyNumberFormat="1" applyFont="1" applyFill="1" applyAlignment="1">
      <alignment horizontal="center" vertical="center"/>
    </xf>
    <xf numFmtId="10" fontId="5" fillId="10" borderId="0" xfId="0" applyNumberFormat="1" applyFont="1" applyFill="1" applyAlignment="1">
      <alignment horizontal="center" vertical="center"/>
    </xf>
    <xf numFmtId="0" fontId="19" fillId="16" borderId="0" xfId="0" applyFont="1" applyFill="1" applyAlignment="1">
      <alignment horizontal="center"/>
    </xf>
    <xf numFmtId="0" fontId="5" fillId="16" borderId="0" xfId="0" applyFont="1" applyFill="1"/>
    <xf numFmtId="0" fontId="20" fillId="16" borderId="0" xfId="0" applyFont="1" applyFill="1"/>
    <xf numFmtId="164" fontId="5" fillId="15" borderId="0" xfId="0" applyNumberFormat="1" applyFont="1" applyFill="1" applyAlignment="1">
      <alignment horizontal="center" vertical="center"/>
    </xf>
    <xf numFmtId="164" fontId="5" fillId="2" borderId="0" xfId="0" applyNumberFormat="1" applyFont="1" applyFill="1" applyAlignment="1">
      <alignment horizontal="right" vertical="center"/>
    </xf>
    <xf numFmtId="164" fontId="5" fillId="4" borderId="0" xfId="0" applyNumberFormat="1" applyFont="1" applyFill="1" applyAlignment="1">
      <alignment horizontal="center" vertical="center"/>
    </xf>
    <xf numFmtId="0" fontId="1" fillId="19" borderId="0" xfId="0" applyFont="1" applyFill="1" applyAlignment="1">
      <alignment horizontal="center" vertical="center"/>
    </xf>
    <xf numFmtId="0" fontId="4" fillId="19" borderId="0" xfId="0" applyFont="1" applyFill="1" applyAlignment="1">
      <alignment vertical="center"/>
    </xf>
    <xf numFmtId="0" fontId="4" fillId="19" borderId="0" xfId="0" applyFont="1" applyFill="1" applyAlignment="1">
      <alignment horizontal="center" vertical="center"/>
    </xf>
    <xf numFmtId="0" fontId="5" fillId="19" borderId="0" xfId="0" applyFont="1" applyFill="1" applyAlignment="1">
      <alignment horizontal="center" vertical="center"/>
    </xf>
    <xf numFmtId="164" fontId="5" fillId="19" borderId="0" xfId="0" applyNumberFormat="1" applyFont="1" applyFill="1" applyAlignment="1">
      <alignment horizontal="center" vertical="center"/>
    </xf>
    <xf numFmtId="165" fontId="5" fillId="19" borderId="0" xfId="0" applyNumberFormat="1" applyFont="1" applyFill="1" applyAlignment="1">
      <alignment horizontal="center" vertical="center"/>
    </xf>
    <xf numFmtId="166" fontId="5" fillId="19" borderId="0" xfId="0" applyNumberFormat="1" applyFont="1" applyFill="1" applyAlignment="1">
      <alignment horizontal="center" vertical="center"/>
    </xf>
    <xf numFmtId="164" fontId="5" fillId="19" borderId="0" xfId="0" applyNumberFormat="1" applyFont="1" applyFill="1" applyAlignment="1">
      <alignment horizontal="right" vertical="center"/>
    </xf>
    <xf numFmtId="164" fontId="5" fillId="19" borderId="0" xfId="0" applyNumberFormat="1" applyFont="1" applyFill="1" applyAlignment="1">
      <alignment horizontal="left" vertical="center"/>
    </xf>
    <xf numFmtId="167" fontId="5" fillId="19" borderId="0" xfId="0" applyNumberFormat="1" applyFont="1" applyFill="1" applyAlignment="1">
      <alignment horizontal="center" vertical="center"/>
    </xf>
    <xf numFmtId="168" fontId="5" fillId="19" borderId="0" xfId="0" applyNumberFormat="1" applyFont="1" applyFill="1" applyAlignment="1">
      <alignment horizontal="center" vertical="center"/>
    </xf>
    <xf numFmtId="169" fontId="5" fillId="19" borderId="0" xfId="0" applyNumberFormat="1" applyFont="1" applyFill="1" applyAlignment="1">
      <alignment horizontal="center" vertical="center"/>
    </xf>
    <xf numFmtId="0" fontId="8" fillId="19" borderId="0" xfId="0" applyFont="1" applyFill="1" applyAlignment="1">
      <alignment vertical="center"/>
    </xf>
    <xf numFmtId="164" fontId="5" fillId="20" borderId="0" xfId="0" applyNumberFormat="1" applyFont="1" applyFill="1" applyAlignment="1">
      <alignment horizontal="center" vertical="center"/>
    </xf>
    <xf numFmtId="164" fontId="5" fillId="21" borderId="0" xfId="0" applyNumberFormat="1" applyFont="1" applyFill="1" applyAlignment="1">
      <alignment horizontal="center" vertical="center"/>
    </xf>
    <xf numFmtId="0" fontId="21" fillId="2" borderId="0" xfId="0" applyFont="1" applyFill="1" applyAlignment="1">
      <alignment horizontal="center"/>
    </xf>
    <xf numFmtId="0" fontId="22" fillId="2" borderId="0" xfId="0" applyFont="1" applyFill="1" applyAlignment="1">
      <alignment horizontal="center"/>
    </xf>
    <xf numFmtId="164" fontId="23" fillId="19" borderId="0" xfId="0" applyNumberFormat="1" applyFont="1" applyFill="1" applyAlignment="1">
      <alignment horizontal="center" vertical="center"/>
    </xf>
    <xf numFmtId="0" fontId="24" fillId="18" borderId="0" xfId="0" applyFont="1" applyFill="1" applyAlignment="1">
      <alignment horizontal="center"/>
    </xf>
    <xf numFmtId="0" fontId="5" fillId="18" borderId="0" xfId="0" applyFont="1" applyFill="1"/>
    <xf numFmtId="0" fontId="20" fillId="18" borderId="0" xfId="0" applyFont="1" applyFill="1"/>
    <xf numFmtId="0" fontId="6" fillId="2" borderId="0" xfId="0" applyFont="1" applyFill="1" applyAlignment="1">
      <alignment horizontal="center" wrapText="1"/>
    </xf>
    <xf numFmtId="0" fontId="25" fillId="12" borderId="0" xfId="0" applyFont="1" applyFill="1"/>
    <xf numFmtId="0" fontId="26" fillId="12" borderId="0" xfId="0" applyFont="1" applyFill="1" applyAlignment="1">
      <alignment horizontal="center" vertical="center"/>
    </xf>
    <xf numFmtId="0" fontId="27" fillId="12" borderId="0" xfId="0" applyFont="1" applyFill="1"/>
    <xf numFmtId="0" fontId="6" fillId="2" borderId="0" xfId="0" applyFont="1" applyFill="1" applyAlignment="1">
      <alignment horizontal="center"/>
    </xf>
    <xf numFmtId="0" fontId="28" fillId="19" borderId="0" xfId="0" applyFont="1" applyFill="1" applyAlignment="1">
      <alignment horizontal="center" vertical="center"/>
    </xf>
    <xf numFmtId="0" fontId="5" fillId="2" borderId="0" xfId="0" applyFont="1" applyFill="1" applyAlignment="1">
      <alignment horizontal="center"/>
    </xf>
    <xf numFmtId="164" fontId="5" fillId="22" borderId="0" xfId="0" applyNumberFormat="1" applyFont="1" applyFill="1" applyAlignment="1">
      <alignment horizontal="center" vertical="center"/>
    </xf>
    <xf numFmtId="0" fontId="29" fillId="19" borderId="0" xfId="0" applyFont="1" applyFill="1" applyAlignment="1">
      <alignment horizontal="center" vertical="center"/>
    </xf>
    <xf numFmtId="164" fontId="5" fillId="0" borderId="0" xfId="0" applyNumberFormat="1" applyFont="1" applyAlignment="1">
      <alignment horizontal="right" vertical="center"/>
    </xf>
    <xf numFmtId="0" fontId="2" fillId="13" borderId="0" xfId="0" applyFont="1" applyFill="1" applyAlignment="1">
      <alignment horizontal="center" vertical="center"/>
    </xf>
    <xf numFmtId="164" fontId="5" fillId="13" borderId="0" xfId="0" applyNumberFormat="1" applyFont="1" applyFill="1" applyAlignment="1">
      <alignment horizontal="center" vertical="center"/>
    </xf>
    <xf numFmtId="0" fontId="2" fillId="10" borderId="0" xfId="0" applyFont="1" applyFill="1" applyAlignment="1">
      <alignment horizontal="center" vertical="center"/>
    </xf>
    <xf numFmtId="0" fontId="30" fillId="19" borderId="0" xfId="0" applyFont="1" applyFill="1" applyAlignment="1">
      <alignment horizontal="center"/>
    </xf>
    <xf numFmtId="0" fontId="5" fillId="19" borderId="0" xfId="0" applyFont="1" applyFill="1"/>
    <xf numFmtId="0" fontId="20" fillId="19" borderId="0" xfId="0" applyFont="1" applyFill="1"/>
    <xf numFmtId="0" fontId="31" fillId="13" borderId="0" xfId="0" applyFont="1" applyFill="1" applyAlignment="1">
      <alignment horizontal="center"/>
    </xf>
    <xf numFmtId="0" fontId="22" fillId="23" borderId="0" xfId="0" applyFont="1" applyFill="1"/>
    <xf numFmtId="0" fontId="22" fillId="23" borderId="0" xfId="0" applyFont="1" applyFill="1" applyAlignment="1">
      <alignment horizontal="center"/>
    </xf>
    <xf numFmtId="0" fontId="4" fillId="19" borderId="0" xfId="0" applyFont="1" applyFill="1" applyAlignment="1">
      <alignment horizontal="left" vertical="center"/>
    </xf>
    <xf numFmtId="0" fontId="31" fillId="19" borderId="0" xfId="0" applyFont="1" applyFill="1" applyAlignment="1">
      <alignment horizontal="center" vertical="center"/>
    </xf>
    <xf numFmtId="0" fontId="31" fillId="19" borderId="0" xfId="0" applyFont="1" applyFill="1" applyAlignment="1">
      <alignment horizontal="center"/>
    </xf>
    <xf numFmtId="0" fontId="22" fillId="19" borderId="0" xfId="0" applyFont="1" applyFill="1"/>
    <xf numFmtId="0" fontId="22" fillId="19" borderId="0" xfId="0" applyFont="1" applyFill="1" applyAlignment="1">
      <alignment horizontal="center"/>
    </xf>
    <xf numFmtId="0" fontId="5" fillId="19" borderId="0" xfId="0" applyFont="1" applyFill="1" applyAlignment="1">
      <alignment horizontal="center"/>
    </xf>
    <xf numFmtId="0" fontId="1" fillId="15" borderId="0" xfId="0" applyFont="1" applyFill="1" applyAlignment="1">
      <alignment horizontal="center" vertical="center"/>
    </xf>
    <xf numFmtId="0" fontId="31" fillId="0" borderId="0" xfId="0" applyFont="1" applyAlignment="1">
      <alignment horizontal="center"/>
    </xf>
    <xf numFmtId="0" fontId="32" fillId="0" borderId="0" xfId="0" applyFont="1" applyAlignment="1">
      <alignment horizontal="center" vertical="center" wrapText="1"/>
    </xf>
    <xf numFmtId="0" fontId="32" fillId="8" borderId="0" xfId="0" applyFont="1" applyFill="1" applyAlignment="1">
      <alignment horizontal="center" vertical="center" wrapText="1"/>
    </xf>
    <xf numFmtId="0" fontId="33" fillId="2" borderId="0" xfId="0" applyFont="1" applyFill="1" applyAlignment="1">
      <alignment horizontal="center" vertical="center" wrapText="1"/>
    </xf>
    <xf numFmtId="164" fontId="32"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172" fontId="33" fillId="4" borderId="0" xfId="0" applyNumberFormat="1" applyFont="1" applyFill="1" applyAlignment="1">
      <alignment horizontal="center" vertical="center" wrapText="1"/>
    </xf>
    <xf numFmtId="164" fontId="33" fillId="4" borderId="0" xfId="0" applyNumberFormat="1" applyFont="1" applyFill="1" applyAlignment="1">
      <alignment horizontal="center" vertical="center" wrapText="1"/>
    </xf>
    <xf numFmtId="0" fontId="34" fillId="0" borderId="0" xfId="0" applyFont="1" applyAlignment="1">
      <alignment vertical="center" wrapText="1"/>
    </xf>
    <xf numFmtId="0" fontId="35" fillId="8" borderId="0" xfId="0" applyFont="1" applyFill="1" applyAlignment="1">
      <alignment horizontal="center" vertical="center" wrapText="1"/>
    </xf>
    <xf numFmtId="0" fontId="35" fillId="8" borderId="0" xfId="0" applyFont="1" applyFill="1" applyAlignment="1">
      <alignment vertical="center" wrapText="1"/>
    </xf>
    <xf numFmtId="0" fontId="35" fillId="0" borderId="0" xfId="0" applyFont="1" applyAlignment="1">
      <alignment vertical="center" wrapText="1"/>
    </xf>
    <xf numFmtId="164" fontId="35" fillId="0" borderId="0" xfId="0" applyNumberFormat="1" applyFont="1" applyAlignment="1">
      <alignment vertical="center" wrapText="1"/>
    </xf>
    <xf numFmtId="172" fontId="35" fillId="4" borderId="0" xfId="0" applyNumberFormat="1" applyFont="1" applyFill="1" applyAlignment="1">
      <alignment vertical="center" wrapText="1"/>
    </xf>
    <xf numFmtId="164" fontId="35" fillId="4" borderId="0" xfId="0" applyNumberFormat="1" applyFont="1" applyFill="1" applyAlignment="1">
      <alignment vertical="center" wrapText="1"/>
    </xf>
    <xf numFmtId="0" fontId="35" fillId="0" borderId="0" xfId="0" applyFont="1" applyAlignment="1">
      <alignment vertical="center"/>
    </xf>
    <xf numFmtId="0" fontId="35" fillId="11" borderId="0" xfId="0" applyFont="1" applyFill="1" applyAlignment="1">
      <alignment horizontal="center" vertical="center" wrapText="1"/>
    </xf>
    <xf numFmtId="0" fontId="35" fillId="11" borderId="0" xfId="0" applyFont="1" applyFill="1" applyAlignment="1">
      <alignment vertical="center" wrapText="1"/>
    </xf>
    <xf numFmtId="0" fontId="36" fillId="23" borderId="0" xfId="0" applyFont="1" applyFill="1" applyAlignment="1">
      <alignment vertical="center" wrapText="1"/>
    </xf>
    <xf numFmtId="0" fontId="35" fillId="10" borderId="0" xfId="0" applyFont="1" applyFill="1" applyAlignment="1">
      <alignment vertical="center" wrapText="1"/>
    </xf>
    <xf numFmtId="0" fontId="35" fillId="10" borderId="0" xfId="0" applyFont="1" applyFill="1" applyAlignment="1">
      <alignment horizontal="center" vertical="center" wrapText="1"/>
    </xf>
    <xf numFmtId="164" fontId="35" fillId="10" borderId="0" xfId="0" applyNumberFormat="1" applyFont="1" applyFill="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5" fillId="12" borderId="0" xfId="0" applyFont="1" applyFill="1" applyAlignment="1">
      <alignment horizontal="center" vertical="center" wrapText="1"/>
    </xf>
    <xf numFmtId="0" fontId="35" fillId="12" borderId="0" xfId="0" applyFont="1" applyFill="1" applyAlignment="1">
      <alignment vertical="center" wrapText="1"/>
    </xf>
    <xf numFmtId="164" fontId="35" fillId="24" borderId="0" xfId="0" applyNumberFormat="1" applyFont="1" applyFill="1" applyAlignment="1">
      <alignment vertical="center" wrapText="1"/>
    </xf>
    <xf numFmtId="0" fontId="39" fillId="0" borderId="0" xfId="0" applyFont="1"/>
    <xf numFmtId="0" fontId="20" fillId="12" borderId="0" xfId="0" applyFont="1" applyFill="1"/>
    <xf numFmtId="0" fontId="35" fillId="0" borderId="0" xfId="0" applyFont="1" applyAlignment="1">
      <alignment horizontal="right" wrapText="1"/>
    </xf>
    <xf numFmtId="0" fontId="33" fillId="0" borderId="0" xfId="0" applyFont="1" applyAlignment="1">
      <alignment vertical="center" wrapText="1"/>
    </xf>
    <xf numFmtId="164" fontId="40" fillId="0" borderId="0" xfId="0" applyNumberFormat="1" applyFont="1"/>
    <xf numFmtId="164" fontId="40" fillId="0" borderId="0" xfId="0" applyNumberFormat="1" applyFont="1" applyAlignment="1">
      <alignment vertical="center" wrapText="1"/>
    </xf>
    <xf numFmtId="0" fontId="41" fillId="25" borderId="0" xfId="0" applyFont="1" applyFill="1" applyAlignment="1">
      <alignment vertical="center" wrapText="1"/>
    </xf>
    <xf numFmtId="0" fontId="35" fillId="25" borderId="0" xfId="0" applyFont="1" applyFill="1" applyAlignment="1">
      <alignment vertical="center" wrapText="1"/>
    </xf>
    <xf numFmtId="164" fontId="35" fillId="25" borderId="0" xfId="0" applyNumberFormat="1" applyFont="1" applyFill="1" applyAlignment="1">
      <alignment vertical="center" wrapText="1"/>
    </xf>
    <xf numFmtId="0" fontId="35" fillId="13" borderId="0" xfId="0" applyFont="1" applyFill="1" applyAlignment="1">
      <alignment horizontal="center" vertical="center" wrapText="1"/>
    </xf>
    <xf numFmtId="0" fontId="35" fillId="13" borderId="0" xfId="0" applyFont="1" applyFill="1" applyAlignment="1">
      <alignment vertical="center" wrapText="1"/>
    </xf>
    <xf numFmtId="0" fontId="35" fillId="10" borderId="0" xfId="0" applyFont="1" applyFill="1" applyAlignment="1">
      <alignment horizontal="right" wrapText="1"/>
    </xf>
    <xf numFmtId="0" fontId="43" fillId="0" borderId="0" xfId="0" applyFont="1" applyAlignment="1">
      <alignment wrapText="1"/>
    </xf>
    <xf numFmtId="0" fontId="43" fillId="0" borderId="0" xfId="0" applyFont="1" applyAlignment="1">
      <alignment horizontal="center" wrapText="1"/>
    </xf>
    <xf numFmtId="164" fontId="43" fillId="0" borderId="0" xfId="0" applyNumberFormat="1" applyFont="1" applyAlignment="1">
      <alignment wrapText="1"/>
    </xf>
    <xf numFmtId="172" fontId="43" fillId="0" borderId="0" xfId="0" applyNumberFormat="1" applyFont="1" applyAlignment="1">
      <alignment wrapText="1"/>
    </xf>
    <xf numFmtId="0" fontId="35" fillId="2" borderId="0" xfId="0" applyFont="1" applyFill="1" applyAlignment="1">
      <alignment vertical="center" wrapText="1"/>
    </xf>
    <xf numFmtId="173" fontId="35" fillId="2" borderId="0" xfId="0" applyNumberFormat="1" applyFont="1" applyFill="1" applyAlignment="1">
      <alignment vertical="center" wrapText="1"/>
    </xf>
    <xf numFmtId="0" fontId="44" fillId="2" borderId="0" xfId="0" applyFont="1" applyFill="1" applyAlignment="1">
      <alignment vertical="center" wrapText="1"/>
    </xf>
    <xf numFmtId="173" fontId="35" fillId="0" borderId="0" xfId="0" applyNumberFormat="1" applyFont="1" applyAlignment="1">
      <alignment vertical="center" wrapText="1"/>
    </xf>
    <xf numFmtId="173" fontId="35" fillId="13" borderId="0" xfId="0" applyNumberFormat="1" applyFont="1" applyFill="1" applyAlignment="1">
      <alignment vertical="center" wrapText="1"/>
    </xf>
    <xf numFmtId="0" fontId="45" fillId="13" borderId="0" xfId="0" applyFont="1" applyFill="1" applyAlignment="1">
      <alignment vertical="center" wrapText="1"/>
    </xf>
    <xf numFmtId="174" fontId="35" fillId="0" borderId="0" xfId="0" applyNumberFormat="1" applyFont="1" applyAlignment="1">
      <alignment vertical="center" wrapText="1"/>
    </xf>
    <xf numFmtId="0" fontId="46" fillId="13" borderId="0" xfId="0" applyFont="1" applyFill="1" applyAlignment="1">
      <alignment vertical="center" wrapText="1"/>
    </xf>
    <xf numFmtId="173" fontId="46" fillId="13" borderId="0" xfId="0" applyNumberFormat="1" applyFont="1" applyFill="1" applyAlignment="1">
      <alignment vertical="center" wrapText="1"/>
    </xf>
    <xf numFmtId="174" fontId="35" fillId="13" borderId="0" xfId="0" applyNumberFormat="1" applyFont="1" applyFill="1" applyAlignment="1">
      <alignment vertical="center" wrapText="1"/>
    </xf>
    <xf numFmtId="0" fontId="47" fillId="13" borderId="0" xfId="0" applyFont="1" applyFill="1" applyAlignment="1">
      <alignment vertical="center" wrapText="1"/>
    </xf>
    <xf numFmtId="173" fontId="35" fillId="10" borderId="0" xfId="0" applyNumberFormat="1" applyFont="1" applyFill="1" applyAlignment="1">
      <alignment vertical="center" wrapText="1"/>
    </xf>
    <xf numFmtId="0" fontId="33" fillId="2" borderId="0" xfId="0" applyFont="1" applyFill="1" applyAlignment="1">
      <alignment vertical="center" wrapText="1"/>
    </xf>
    <xf numFmtId="173" fontId="33" fillId="2" borderId="0" xfId="0" applyNumberFormat="1" applyFont="1" applyFill="1" applyAlignment="1">
      <alignment vertical="center" wrapText="1"/>
    </xf>
    <xf numFmtId="0" fontId="48" fillId="2" borderId="0" xfId="0" applyFont="1" applyFill="1" applyAlignment="1">
      <alignment vertical="center" wrapText="1"/>
    </xf>
    <xf numFmtId="0" fontId="35" fillId="16" borderId="0" xfId="0" applyFont="1" applyFill="1" applyAlignment="1">
      <alignment vertical="center" wrapText="1"/>
    </xf>
    <xf numFmtId="0" fontId="7" fillId="0" borderId="0" xfId="0" applyFont="1"/>
    <xf numFmtId="0" fontId="5" fillId="0" borderId="0" xfId="0" applyFont="1" applyAlignment="1">
      <alignment vertical="center" wrapText="1"/>
    </xf>
    <xf numFmtId="0" fontId="5" fillId="0" borderId="0" xfId="0" applyFont="1" applyAlignment="1">
      <alignment wrapText="1"/>
    </xf>
    <xf numFmtId="0" fontId="5" fillId="16" borderId="0" xfId="0" applyFont="1" applyFill="1" applyAlignment="1">
      <alignment vertical="center" wrapText="1"/>
    </xf>
    <xf numFmtId="0" fontId="7" fillId="26" borderId="0" xfId="0" applyFont="1" applyFill="1"/>
    <xf numFmtId="164" fontId="5" fillId="0" borderId="0" xfId="0" applyNumberFormat="1" applyFont="1" applyAlignment="1">
      <alignment horizontal="center" vertical="center" wrapText="1"/>
    </xf>
    <xf numFmtId="0" fontId="0" fillId="0" borderId="0" xfId="0"/>
    <xf numFmtId="0" fontId="9" fillId="11" borderId="0" xfId="0" applyFont="1" applyFill="1" applyAlignment="1">
      <alignment horizontal="center" vertical="center" wrapText="1"/>
    </xf>
    <xf numFmtId="0" fontId="14" fillId="13" borderId="0" xfId="0" applyFont="1" applyFill="1" applyAlignment="1">
      <alignment horizontal="center" vertical="center"/>
    </xf>
    <xf numFmtId="0" fontId="34" fillId="0" borderId="0" xfId="0" applyFont="1" applyAlignment="1">
      <alignment vertical="center" wrapText="1"/>
    </xf>
    <xf numFmtId="164" fontId="42" fillId="0" borderId="0" xfId="0" applyNumberFormat="1" applyFont="1" applyAlignment="1">
      <alignment vertical="center" wrapText="1"/>
    </xf>
    <xf numFmtId="0" fontId="35" fillId="2" borderId="0" xfId="0" applyFont="1" applyFill="1" applyAlignment="1">
      <alignment vertical="center" wrapText="1"/>
    </xf>
    <xf numFmtId="0" fontId="33"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static2.vietstock.vn/data/HOSE/2022/BCTC/VN/NAM/RDP_Baocaotaichinh_2022_Kiemtoan_Hopnhat.pdf" TargetMode="External"/><Relationship Id="rId1827" Type="http://schemas.openxmlformats.org/officeDocument/2006/relationships/hyperlink" Target="https://static2.vietstock.vn/data/HOSE/2023/BCTC/VN/NAM/ADP_Baocaotaichinh_2023_Kiemtoan.pdf" TargetMode="External"/><Relationship Id="rId21" Type="http://schemas.openxmlformats.org/officeDocument/2006/relationships/hyperlink" Target="https://static2.vietstock.vn/data/HNX/2023/BCTC/VN/NAM/AMV_Baocaotaichinh_2023_Kiemtoan_Hopnhat/2_amv_2024_4_2_7dd08d3_bao_cao_kiem_toan_hop_nhat_amv_nam_2023.pdf" TargetMode="External"/><Relationship Id="rId170" Type="http://schemas.openxmlformats.org/officeDocument/2006/relationships/hyperlink" Target="https://static2.vietstock.vn/data/HNX/2023/BCTC/VN/NAM/DC2_Baocaotaichinh_2023_Kiemtoan/2_dc2_2024_4_2_814aa0c_cbtt__bctc_kiem_toan_nam_2023_nen_signed.pdf" TargetMode="External"/><Relationship Id="rId268" Type="http://schemas.openxmlformats.org/officeDocument/2006/relationships/hyperlink" Target="https://static2.vietstock.vn/data/HNX/2022/BCTC/VN/NAM/HGM_Baocaotaichinh_2022_Kiemtoan.pdf" TargetMode="External"/><Relationship Id="rId475" Type="http://schemas.openxmlformats.org/officeDocument/2006/relationships/hyperlink" Target="https://static2.vietstock.vn/data/HNX/2023/BCTC/VN/NAM/NAG_Baocaotaichinh_2023_Kiemtoan_Hopnhat.pdf" TargetMode="External"/><Relationship Id="rId682" Type="http://schemas.openxmlformats.org/officeDocument/2006/relationships/hyperlink" Target="https://static2.vietstock.vn/data/HNX/2022/BCTC/VN/NAM/SAF_Baocaotaichinh_2022_Kiemtoan.pdf" TargetMode="External"/><Relationship Id="rId128" Type="http://schemas.openxmlformats.org/officeDocument/2006/relationships/hyperlink" Target="https://static2.vietstock.vn/data/UPCOM/2023/BCTC/VN/NAM/CT6_Baocaotaichinh_2023_Kiemtoan.pdf" TargetMode="External"/><Relationship Id="rId335" Type="http://schemas.openxmlformats.org/officeDocument/2006/relationships/hyperlink" Target="https://static2.vietstock.vn/data/UPCOM/2023/BCTC/VN/NAM/ILC_Baocaotaichinh_2023_Kiemtoan_Hopnhat.pdf" TargetMode="External"/><Relationship Id="rId542" Type="http://schemas.openxmlformats.org/officeDocument/2006/relationships/hyperlink" Target="https://static2.vietstock.vn/data/HNX/2023/BCTC/VN/NAM/PGS_Baocaotaichinh_2023_Kiemtoan_Hopnhat/1_pgs_2024_4_1_8c2ec25_bctc_hn_2023.pdf" TargetMode="External"/><Relationship Id="rId987" Type="http://schemas.openxmlformats.org/officeDocument/2006/relationships/hyperlink" Target="https://static2.vietstock.vn/data/HOSE/2021/BCTC/VN/NAM/ACC_Baocaotaichinh_2021_Kiemtoan_Hopnhat.pdf" TargetMode="External"/><Relationship Id="rId1172" Type="http://schemas.openxmlformats.org/officeDocument/2006/relationships/hyperlink" Target="https://static2.vietstock.vn/data/HOSE/2022/BCTC/VN/NAM/DHM_Baocaotaichinh_2022_Kiemtoan.pdf" TargetMode="External"/><Relationship Id="rId402" Type="http://schemas.openxmlformats.org/officeDocument/2006/relationships/hyperlink" Target="https://static2.vietstock.vn/data/HNX/2023/BCTC/VN/NAM/LBE_Baocaotaichinh_2023_Kiemtoan_Hopnhat.pdf" TargetMode="External"/><Relationship Id="rId847" Type="http://schemas.openxmlformats.org/officeDocument/2006/relationships/hyperlink" Target="https://static2.vietstock.vn/data/HNX/2022/BCTC/VN/NAM/TMX_Baocaotaichinh_2022_Kiemtoan.pdf" TargetMode="External"/><Relationship Id="rId1032" Type="http://schemas.openxmlformats.org/officeDocument/2006/relationships/hyperlink" Target="https://static2.vietstock.vn/data/HOSE/2021/BCTC/VN/NAM/BIC_Baocaotaichinh_2021_Kiemtoan_Hopnhat.pdf" TargetMode="External"/><Relationship Id="rId1477" Type="http://schemas.openxmlformats.org/officeDocument/2006/relationships/hyperlink" Target="https://static2.vietstock.vn/data/HOSE/2021/BCTC/VN/NAM/PDR_Baocaotaichinh_2021_Kiemtoan_Hopnhat.pdf" TargetMode="External"/><Relationship Id="rId1684" Type="http://schemas.openxmlformats.org/officeDocument/2006/relationships/hyperlink" Target="https://static2.vietstock.vn/data/HOSE/2022/BCTC/VN/NAM/TMT_Baocaotaichinh_2022_Kiemtoan_Hopnhat.pdf" TargetMode="External"/><Relationship Id="rId707" Type="http://schemas.openxmlformats.org/officeDocument/2006/relationships/hyperlink" Target="https://static2.vietstock.vn/data/HNX/2023/BCTC/VN/NAM/SD6_Baocaotaichinh_2023_Kiemtoan/2_sd6_2024_6_14_7fb4c0d_bao_cao_tai_chinh_kiem_toan_2023.pdf" TargetMode="External"/><Relationship Id="rId914" Type="http://schemas.openxmlformats.org/officeDocument/2006/relationships/hyperlink" Target="https://static2.vietstock.vn/data/HNX/2023/BCTC/VN/NAM/VC7_Baocaotaichinh_2023_Kiemtoan_Hopnhat/2_vc7_2024_4_1_b1b8310_vc7_bctc_nam_2023_hop_nhat_kiem_toan_signature.pdf" TargetMode="External"/><Relationship Id="rId1337" Type="http://schemas.openxmlformats.org/officeDocument/2006/relationships/hyperlink" Target="https://static2.vietstock.vn/data/HOSE/2022/BCTC/VN/NAM/HSG_Baocaotaichinh_2022_Kiemtoan_Hopnhat.pdf" TargetMode="External"/><Relationship Id="rId1544" Type="http://schemas.openxmlformats.org/officeDocument/2006/relationships/hyperlink" Target="https://static2.vietstock.vn/data/HOSE/2023/BCTC/VN/NAM/SBT_Baocaotaichinh_2023_Kiemtoan_Hopnhat.pdf" TargetMode="External"/><Relationship Id="rId1751" Type="http://schemas.openxmlformats.org/officeDocument/2006/relationships/hyperlink" Target="https://static2.vietstock.vn/data/HOSE/2022/BCTC/VN/NAM/VNM_Baocaotaichinh_2022_Kiemtoan_Hopnhat.pdf" TargetMode="External"/><Relationship Id="rId43" Type="http://schemas.openxmlformats.org/officeDocument/2006/relationships/hyperlink" Target="https://static2.vietstock.vn/data/HNX/2023/BCTC/VN/NAM/BCC_Baocaotaichinh_2023_Kiemtoan_Hopnhat.pdf" TargetMode="External"/><Relationship Id="rId1404" Type="http://schemas.openxmlformats.org/officeDocument/2006/relationships/hyperlink" Target="https://static2.vietstock.vn/data/UPCOM/2023/BCTC/VN/QUY%204/KSH_Baocaotaichinh_Q4_2023_Hopnhat/1_ksh_2024_1_31_7ad0d43_hndaky.pdf" TargetMode="External"/><Relationship Id="rId1611" Type="http://schemas.openxmlformats.org/officeDocument/2006/relationships/hyperlink" Target="https://static2.vietstock.vn/data/HOSE/2021/BCTC/VN/NAM/STG_Baocaotaichinh_2021_Kiemtoan_Hopnhat.pdf" TargetMode="External"/><Relationship Id="rId1849" Type="http://schemas.openxmlformats.org/officeDocument/2006/relationships/hyperlink" Target="https://static2.vietstock.vn/data/HOSE/2021/BCTC/VN/NAM/SGR_Baocaotaichinh_2021_Kiemtoan_Hopnhat.pdf" TargetMode="External"/><Relationship Id="rId192" Type="http://schemas.openxmlformats.org/officeDocument/2006/relationships/hyperlink" Target="https://static2.vietstock.vn/data/HNX/2021/BCTC/VN/NAM/DL1_Baocaotaichinh_2021_Kiemtoan_Hopnhat.pdf" TargetMode="External"/><Relationship Id="rId1709" Type="http://schemas.openxmlformats.org/officeDocument/2006/relationships/hyperlink" Target="https://static2.vietstock.vn/data/HOSE/2023/BCTC/VN/NAM/TVS_Baocaotaichinh_2023_Kiemtoan_Hopnhat.pdf" TargetMode="External"/><Relationship Id="rId497" Type="http://schemas.openxmlformats.org/officeDocument/2006/relationships/hyperlink" Target="https://static2.vietstock.vn/data/HOSE/2023/BCTC/VN/NAM/NHA_Baocaotaichinh_2023_Kiemtoan_1.pdf" TargetMode="External"/><Relationship Id="rId357" Type="http://schemas.openxmlformats.org/officeDocument/2006/relationships/hyperlink" Target="https://static2.vietstock.vn/data/HNX/2021/BCTC/VN/NAM/KMT_Baocaotaichinh_2021_Kiemtoan.pdf" TargetMode="External"/><Relationship Id="rId1194" Type="http://schemas.openxmlformats.org/officeDocument/2006/relationships/hyperlink" Target="https://static2.vietstock.vn/data/HOSE/2023/BCTC/VN/NAM/DQC_Baocaotaichinh_2023_Kiemtoan_Hopnhat.pdf" TargetMode="External"/><Relationship Id="rId217" Type="http://schemas.openxmlformats.org/officeDocument/2006/relationships/hyperlink" Target="https://static2.vietstock.vn/data/HNX/2022/BCTC/VN/NAM/DXP_Baocaotaichinh_2022_Kiemtoan.pdf" TargetMode="External"/><Relationship Id="rId564" Type="http://schemas.openxmlformats.org/officeDocument/2006/relationships/hyperlink" Target="https://static2.vietstock.vn/data/HNX/2021/BCTC/VN/NAM/PLC_Baocaotaichinh_2021_Kiemtoan_Hopnhat.pdf" TargetMode="External"/><Relationship Id="rId771" Type="http://schemas.openxmlformats.org/officeDocument/2006/relationships/hyperlink" Target="https://static2.vietstock.vn/data/HNX/2021/BCTC/VN/NAM/SJE_Baocaotaichinh_2021_Kiemtoan_Hopnhat.pdf" TargetMode="External"/><Relationship Id="rId869" Type="http://schemas.openxmlformats.org/officeDocument/2006/relationships/hyperlink" Target="https://static2.vietstock.vn/data/HOSE/2023/BCTC/VN/NAM/TV2_Baocaotaichinh_2023_Kiemtoan_1.pdf" TargetMode="External"/><Relationship Id="rId1499" Type="http://schemas.openxmlformats.org/officeDocument/2006/relationships/hyperlink" Target="https://cafef.vn/du-lieu/bao-cao-tai-chinh/ppc/bsheet/2023/0/0/0/ket-qua-hoat-dong-kinh-doanh-.chn" TargetMode="External"/><Relationship Id="rId424" Type="http://schemas.openxmlformats.org/officeDocument/2006/relationships/hyperlink" Target="https://static2.vietstock.vn/data/UPCOM/2023/BCTC/VN/NAM/LTC_Baocaotaichinh_2023_Kiemtoan_Hopnhat.pdf" TargetMode="External"/><Relationship Id="rId631" Type="http://schemas.openxmlformats.org/officeDocument/2006/relationships/hyperlink" Target="https://static2.vietstock.vn/data/UPCOM/2022/BCTC/VN/NAM/PVE_Baocaotaichinh_2022_Kiemtoan_Hopnhat/1_pve_2023_4_1_84dcda6_baocaotaichinh_2022_kiemtoan_hopnhat_signed.pdf" TargetMode="External"/><Relationship Id="rId729" Type="http://schemas.openxmlformats.org/officeDocument/2006/relationships/hyperlink" Target="https://static2.vietstock.vn/data/UPCOM/2021/BCTC/VN/NAM/SDP_Baocaotaichinh_2021_Kiemtoan_Hopnhat/1_sdp_2022_3_21_a439cc4_bctc_hn_2021.pdf" TargetMode="External"/><Relationship Id="rId1054" Type="http://schemas.openxmlformats.org/officeDocument/2006/relationships/hyperlink" Target="https://static2.vietstock.vn/data/HOSE/2022/BCTC/VN/NAM/BTP_Baocaotaichinh_2022_Kiemtoan.pdf" TargetMode="External"/><Relationship Id="rId1261" Type="http://schemas.openxmlformats.org/officeDocument/2006/relationships/hyperlink" Target="https://static2.vietstock.vn/data/HOSE/2021/BCTC/VN/NAM/GAS_Baocaotaichinh_2021_Kiemtoan_Hopnhat.pdf" TargetMode="External"/><Relationship Id="rId1359" Type="http://schemas.openxmlformats.org/officeDocument/2006/relationships/hyperlink" Target="https://static2.vietstock.vn/data/HOSE/2023/BCTC/VN/NAM/HVX_Baocaotaichinh_2023_Kiemtoan.pdf" TargetMode="External"/><Relationship Id="rId936" Type="http://schemas.openxmlformats.org/officeDocument/2006/relationships/hyperlink" Target="https://static2.vietstock.vn/data/HOSE/2021/BCTC/VN/NAM/VDS_Baocaotaichinh_2021_Kiemtoan_Hopnhat.pdf" TargetMode="External"/><Relationship Id="rId1121" Type="http://schemas.openxmlformats.org/officeDocument/2006/relationships/hyperlink" Target="https://static2.vietstock.vn/data/HOSE/2022/BCTC/VN/NAM/CSM_Baocaotaichinh_2022_Kiemtoan.pdf" TargetMode="External"/><Relationship Id="rId1219" Type="http://schemas.openxmlformats.org/officeDocument/2006/relationships/hyperlink" Target="https://static2.vietstock.vn/data/HOSE/2021/BCTC/VN/NAM/DXG_Baocaotaichinh_2021_Kiemtoan_Hopnhat.pdf" TargetMode="External"/><Relationship Id="rId1566" Type="http://schemas.openxmlformats.org/officeDocument/2006/relationships/hyperlink" Target="https://static2.vietstock.vn/data/HOSE/2021/BCTC/VN/NAM/SHA_Baocaotaichinh_2021_Kiemtoan_Hopnhat.pdf" TargetMode="External"/><Relationship Id="rId1773" Type="http://schemas.openxmlformats.org/officeDocument/2006/relationships/hyperlink" Target="https://static2.vietstock.vn/data/HOSE/2023/BCTC/VN/NAM/VSH_Baocaotaichinh_2023_Kiemtoan_Hopnhat.pdf" TargetMode="External"/><Relationship Id="rId65" Type="http://schemas.openxmlformats.org/officeDocument/2006/relationships/hyperlink" Target="https://static2.vietstock.vn/data/HOSE/2022/BCTC/VN/NAM/BTT_Baocaotaichinh_2022_Kiemtoan_Hopnhat.pdf" TargetMode="External"/><Relationship Id="rId1426" Type="http://schemas.openxmlformats.org/officeDocument/2006/relationships/hyperlink" Target="https://static2.vietstock.vn/data/HOSE/2021/BCTC/VN/NAM/MBB_Baocaotaichinh_2021_Kiemtoan_Hopnhat.pdf" TargetMode="External"/><Relationship Id="rId1633" Type="http://schemas.openxmlformats.org/officeDocument/2006/relationships/hyperlink" Target="https://static2.vietstock.vn/data/HOSE/2022/BCTC/VN/NAM/TBC_Baocaotaichinh_2022_Kiemtoan_Hopnhat.pdf" TargetMode="External"/><Relationship Id="rId1840" Type="http://schemas.openxmlformats.org/officeDocument/2006/relationships/hyperlink" Target="https://static2.vietstock.vn/data/HOSE/2021/BCTC/VN/NAM/HVN_Baocaotaichinh_2021_Kiemtoan_Hopnhat.pdf" TargetMode="External"/><Relationship Id="rId1700" Type="http://schemas.openxmlformats.org/officeDocument/2006/relationships/hyperlink" Target="https://static2.vietstock.vn/data/HOSE/2023/BCTC/VN/NAM/TRC_Baocaotaichinh_2023_Kiemtoan_Hopnhat.pdf" TargetMode="External"/><Relationship Id="rId281" Type="http://schemas.openxmlformats.org/officeDocument/2006/relationships/hyperlink" Target="https://static2.vietstock.vn/data/UPCOM/2023/BCTC/VN/NAM/HKB_Baocaotaichinh_2023_Kiemtoan_Hopnhat.pdf" TargetMode="External"/><Relationship Id="rId141" Type="http://schemas.openxmlformats.org/officeDocument/2006/relationships/hyperlink" Target="https://static2.vietstock.vn/data/HNX/2021/BCTC/VN/NAM/CTT_Baocaotaichinh_2021_Kiemtoan.pdf" TargetMode="External"/><Relationship Id="rId379" Type="http://schemas.openxmlformats.org/officeDocument/2006/relationships/hyperlink" Target="https://static2.vietstock.vn/data/HNX/2022/BCTC/VN/NAM/L14_Baocaotaichinh_2022_Kiemtoan.pdf" TargetMode="External"/><Relationship Id="rId586" Type="http://schemas.openxmlformats.org/officeDocument/2006/relationships/hyperlink" Target="https://static2.vietstock.vn/data/HNX/2022/BCTC/VN/NAM/PPP_Baocaotaichinh_2022_Kiemtoan_Hopnhat.pdf" TargetMode="External"/><Relationship Id="rId793" Type="http://schemas.openxmlformats.org/officeDocument/2006/relationships/hyperlink" Target="https://static2.vietstock.vn/data/HNX/2022/BCTC/VN/NAM/STC_Baocaotaichinh_2022_Kiemtoan_Hopnhat/1_stc_2023_2_28_5e3e788_bctchnkt2022_signed.pdf" TargetMode="External"/><Relationship Id="rId7" Type="http://schemas.openxmlformats.org/officeDocument/2006/relationships/hyperlink" Target="https://static2.vietstock.vn/data/HNX/2021/BCTC/VN/NAM/ADC_Baocaotaichinh_2021_Kiemtoan.pdf" TargetMode="External"/><Relationship Id="rId239" Type="http://schemas.openxmlformats.org/officeDocument/2006/relationships/hyperlink" Target="https://static2.vietstock.vn/data/UPCOM/2023/BCTC/VN/NAM/G20_Baocaotaichinh_2023_Kiemtoan.pdf" TargetMode="External"/><Relationship Id="rId446" Type="http://schemas.openxmlformats.org/officeDocument/2006/relationships/hyperlink" Target="https://static2.vietstock.vn/data/HNX/2022/BCTC/VN/NAM/MCO_Baocaotaichinh_2022_Kiemtoan/2_mco_2023_4_3_feae51b_bctc_th_2022_.pdf" TargetMode="External"/><Relationship Id="rId653" Type="http://schemas.openxmlformats.org/officeDocument/2006/relationships/hyperlink" Target="https://static2.vietstock.vn/data/UPCOM/2023/BCTC/VN/NAM/PVX_Baocaotaichinh_2023_Kiemtoan_Hopnhat.PDF" TargetMode="External"/><Relationship Id="rId1076" Type="http://schemas.openxmlformats.org/officeDocument/2006/relationships/hyperlink" Target="https://static2.vietstock.vn/data/HOSE/2023/BCTC/VN/NAM/CCL_Baocaotaichinh_2023_Kiemtoan_1.pdf" TargetMode="External"/><Relationship Id="rId1283" Type="http://schemas.openxmlformats.org/officeDocument/2006/relationships/hyperlink" Target="https://static2.vietstock.vn/data/HOSE/2022/BCTC/VN/NAM/HAH_Baocaotaichinh_2022_Kiemtoan_Hopnhat.pdf" TargetMode="External"/><Relationship Id="rId1490" Type="http://schemas.openxmlformats.org/officeDocument/2006/relationships/hyperlink" Target="https://static2.vietstock.vn/data/HOSE/2021/BCTC/VN/NAM/PIT_Baocaotaichinh_2021_Kiemtoan_Hopnhat.pdf" TargetMode="External"/><Relationship Id="rId306" Type="http://schemas.openxmlformats.org/officeDocument/2006/relationships/hyperlink" Target="https://static2.vietstock.vn/data/HNX/2021/BCTC/VN/NAM/HPM_Baocaotaichinh_2021_Kiemtoan.pdf" TargetMode="External"/><Relationship Id="rId860" Type="http://schemas.openxmlformats.org/officeDocument/2006/relationships/hyperlink" Target="https://static2.vietstock.vn/data/HNX/2023/BCTC/VN/NAM/TTC_Baocaotaichinh_2023_Kiemtoan.pdf" TargetMode="External"/><Relationship Id="rId958" Type="http://schemas.openxmlformats.org/officeDocument/2006/relationships/hyperlink" Target="https://static2.vietstock.vn/data/HOSE/2022/BCTC/VN/NAM/VGC_Baocaotaichinh_2022_Kiemtoan_Hopnhat.pdf" TargetMode="External"/><Relationship Id="rId1143" Type="http://schemas.openxmlformats.org/officeDocument/2006/relationships/hyperlink" Target="https://static2.vietstock.vn/data/HOSE/2023/BCTC/VN/NAM/D2D_Baocaotaichinh_2023_Kiemtoan.pdf" TargetMode="External"/><Relationship Id="rId1588" Type="http://schemas.openxmlformats.org/officeDocument/2006/relationships/hyperlink" Target="https://static2.vietstock.vn/data/HOSE/2022/BCTC/VN/NAM/SMC_Baocaotaichinh_2022_Kiemtoan_Hopnhat.pdf" TargetMode="External"/><Relationship Id="rId1795" Type="http://schemas.openxmlformats.org/officeDocument/2006/relationships/hyperlink" Target="https://static2.vietstock.vn/data/UPCOM/2021/BCTC/VN/NAM/NAB_Baocaotaichinh_2021_Kiemtoan_Hopnhat.pdf" TargetMode="External"/><Relationship Id="rId87" Type="http://schemas.openxmlformats.org/officeDocument/2006/relationships/hyperlink" Target="https://static2.vietstock.vn/data/HNX/2023/BCTC/VN/NAM/CAN_Baocaotaichinh_2023_Kiemtoan_Hopnhat.pdf" TargetMode="External"/><Relationship Id="rId513" Type="http://schemas.openxmlformats.org/officeDocument/2006/relationships/hyperlink" Target="https://static2.vietstock.vn/data/HOSE/2021/BCTC/VN/NAM/ORS_Baocaotaichinh_2021_Kiemtoan.pdf" TargetMode="External"/><Relationship Id="rId720" Type="http://schemas.openxmlformats.org/officeDocument/2006/relationships/hyperlink" Target="https://static2.vietstock.vn/data/UPCOM/2021/BCTC/VN/NAM/SDD_Baocaotaichinh_2021_Kiemtoan.PDF" TargetMode="External"/><Relationship Id="rId818" Type="http://schemas.openxmlformats.org/officeDocument/2006/relationships/hyperlink" Target="https://static2.vietstock.vn/data/HNX/2023/BCTC/VN/NAM/TET_Baocaotaichinh_2023_Kiemtoan/2_tet_2024_4_4_c1855b6_bctckt_nam_2023da_nen.pdf" TargetMode="External"/><Relationship Id="rId1350" Type="http://schemas.openxmlformats.org/officeDocument/2006/relationships/hyperlink" Target="https://static2.vietstock.vn/data/HOSE/2023/BCTC/VN/NAM/HTV_Baocaotaichinh_2023_Kiemtoan_Hopnhat.pdf" TargetMode="External"/><Relationship Id="rId1448" Type="http://schemas.openxmlformats.org/officeDocument/2006/relationships/hyperlink" Target="https://static2.vietstock.vn/data/HOSE/2022/BCTC/VN/NAM/NKG_Baocaotaichinh_2022_Kiemtoan_Hopnhat.pdf" TargetMode="External"/><Relationship Id="rId1655" Type="http://schemas.openxmlformats.org/officeDocument/2006/relationships/hyperlink" Target="https://static2.vietstock.vn/data/HOSE/2023/BCTC/VN/NAM/TDC_Baocaotaichinh_2023_Kiemtoan_Hopnhat.pdf" TargetMode="External"/><Relationship Id="rId1003" Type="http://schemas.openxmlformats.org/officeDocument/2006/relationships/hyperlink" Target="https://static2.vietstock.vn/data/HOSE/2022/BCTC/VN/NAM/ANV_Baocaotaichinh_2022_Kiemtoan_Hopnhat.pdf" TargetMode="External"/><Relationship Id="rId1210" Type="http://schemas.openxmlformats.org/officeDocument/2006/relationships/hyperlink" Target="https://static2.vietstock.vn/data/HOSE/2021/BCTC/VN/NAM/DTL_Baocaotaichinh_2021_Kiemtoan_Hopnhat.pdf" TargetMode="External"/><Relationship Id="rId1308" Type="http://schemas.openxmlformats.org/officeDocument/2006/relationships/hyperlink" Target="https://static2.vietstock.vn/data/HOSE/2023/BCTC/VN/NAM/HDG_Baocaotaichinh_2023_Kiemtoan_Hopnhat_1.pdf" TargetMode="External"/><Relationship Id="rId1862" Type="http://schemas.openxmlformats.org/officeDocument/2006/relationships/hyperlink" Target="https://static2.vietstock.vn/data/HOSE/2022/BCTC/VN/NAM/VPD_Baocaotaichinh_2022_Kiemtoan.pdf" TargetMode="External"/><Relationship Id="rId1515" Type="http://schemas.openxmlformats.org/officeDocument/2006/relationships/hyperlink" Target="https://static2.vietstock.vn/data/HOSE/2021/BCTC/VN/NAM/QCG_Baocaotaichinh_2021_Kiemtoan_Hopnhat.pdf" TargetMode="External"/><Relationship Id="rId1722" Type="http://schemas.openxmlformats.org/officeDocument/2006/relationships/hyperlink" Target="https://l.facebook.com/l.php?u=https%3A%2F%2Fstatic2.vietstock.vn%2Fdata%2FHOSE%2F2021%2FBCTC%2FVN%2FNAM%2FVCF_Baocaotaichinh_2021_Kiemtoan_Hopnhat.pdf%3Ffbclid%3DIwZXh0bgNhZW0CMTAAAR2Oik3TG2NZ68XEQIXGHPveLd3hd1GfKepgKtvIlC88r6pNUw0Sn6qTSkA_aem_mJoTBsqOfMslbQo-_c4wqg&amp;h=AT16xIU0Xt68Vp4CyMja_tDCL2RPjhzXvV7DwRbF9DDfXtIvL-UBSjcAoZwy2nGuQ7LUVH7tu5NzSsFlhPb4b2WsoCscDaunC0Vsugbx8x0tjwbGCpWuz25JPGjWeG01A_1UkxVNxNM" TargetMode="External"/><Relationship Id="rId14" Type="http://schemas.openxmlformats.org/officeDocument/2006/relationships/hyperlink" Target="https://static2.vietstock.vn/data/HNX/2022/BCTC/VN/NAM/AMC_Baocaotaichinh_2022_Kiemtoan.pdf" TargetMode="External"/><Relationship Id="rId163" Type="http://schemas.openxmlformats.org/officeDocument/2006/relationships/hyperlink" Target="https://static2.vietstock.vn/data/HOSE/2022/BCTC/VN/NAM/DBC_Baocaotaichinh_2022_Kiemtoan_Hopnhat.pdf" TargetMode="External"/><Relationship Id="rId370" Type="http://schemas.openxmlformats.org/officeDocument/2006/relationships/hyperlink" Target="https://static2.vietstock.vn/data/HNX/2022/BCTC/VN/NAM/KTS_Baocaotaichinh_2022_Kiemtoan/2_kts_2022_9_20_7c30852_kts_bctc_kiem_toan_nam_nien_do_20212022.pdf" TargetMode="External"/><Relationship Id="rId230" Type="http://schemas.openxmlformats.org/officeDocument/2006/relationships/hyperlink" Target="https://static2.vietstock.vn/data/UPCOM/2023/BCTC/VN/NAM/EFI_Baocaotaichinh_2023_Kiemtoan.pdf" TargetMode="External"/><Relationship Id="rId468" Type="http://schemas.openxmlformats.org/officeDocument/2006/relationships/hyperlink" Target="https://static2.vietstock.vn/data/UPCOM/2022/BCTC/VN/NAM/MLS_Baocaotaichinh_2022_Kiemtoan.pdff" TargetMode="External"/><Relationship Id="rId675" Type="http://schemas.openxmlformats.org/officeDocument/2006/relationships/hyperlink" Target="https://static2.vietstock.vn/data/UPCOM/2021/BCTC/VN/NAM/S74_Baocaotaichinh_2021_Kiemtoan/1_s74_2022_4_7_513e4e3_bao_cao_tai_chinh_nam_2021_s74.pdf" TargetMode="External"/><Relationship Id="rId882" Type="http://schemas.openxmlformats.org/officeDocument/2006/relationships/hyperlink" Target="https://static2.vietstock.vn/data/HNX/2021/BCTC/VN/NAM/TXM_Baocaotaichinh_2021_Kiemtoan.pdf" TargetMode="External"/><Relationship Id="rId1098" Type="http://schemas.openxmlformats.org/officeDocument/2006/relationships/hyperlink" Target="https://static2.vietstock.vn/data/HOSE/2023/BCTC/VN/NAM/CLW_Baocaotaichinh_2023_Kiemtoan.pdf" TargetMode="External"/><Relationship Id="rId328" Type="http://schemas.openxmlformats.org/officeDocument/2006/relationships/hyperlink" Target="https://static2.vietstock.vn/data/HNX/2022/BCTC/VN/NAM/IDJ_Baocaotaichinh_2022_Kiemtoan_Hopnhat.pdf" TargetMode="External"/><Relationship Id="rId535" Type="http://schemas.openxmlformats.org/officeDocument/2006/relationships/hyperlink" Target="https://static2.vietstock.vn/data/UPCOM/2022/BCTC/VN/NAM/PDC_Baocaotaichinh_2022_Kiemtoan.pdf" TargetMode="External"/><Relationship Id="rId742" Type="http://schemas.openxmlformats.org/officeDocument/2006/relationships/hyperlink" Target="https://static2.vietstock.vn/data/HNX/2022/BCTC/VN/NAM/SEB_Baocaotaichinh_2022_Kiemtoan_Hopnhat/2_seb_2023_2_28_78b8f34_bctc_hn_nam_2022.pdf" TargetMode="External"/><Relationship Id="rId1165" Type="http://schemas.openxmlformats.org/officeDocument/2006/relationships/hyperlink" Target="https://static2.vietstock.vn/data/HOSE/2021/BCTC/VN/NAM/DHC_Baocaotaichinh_2021_Kiemtoan_Hopnhat.PDF" TargetMode="External"/><Relationship Id="rId1372" Type="http://schemas.openxmlformats.org/officeDocument/2006/relationships/hyperlink" Target="https://static2.vietstock.vn/data/HOSE/2021/BCTC/VN/NAM/ITC_Baocaotaichinh_2021_Kiemtoan_Hopnhat.pdf" TargetMode="External"/><Relationship Id="rId602" Type="http://schemas.openxmlformats.org/officeDocument/2006/relationships/hyperlink" Target="https://static2.vietstock.vn/data/HNX/2023/BCTC/VN/NAM/PSD_Baocaotaichinh_2023_Kiemtoan_Hopnhat.pdf" TargetMode="External"/><Relationship Id="rId1025" Type="http://schemas.openxmlformats.org/officeDocument/2006/relationships/hyperlink" Target="https://static2.vietstock.vn/data/HOSE/2023/BCTC/VN/NAM/BCG_Baocaotaichinh_2023_Kiemtoan_Hopnhat.pdf" TargetMode="External"/><Relationship Id="rId1232" Type="http://schemas.openxmlformats.org/officeDocument/2006/relationships/hyperlink" Target="https://static2.vietstock.vn/data/HOSE/2022/BCTC/VN/NAM/EVE_Baocaotaichinh_2022_Kiemtoan_Hopnhat.pdf" TargetMode="External"/><Relationship Id="rId1677" Type="http://schemas.openxmlformats.org/officeDocument/2006/relationships/hyperlink" Target="https://static2.vietstock.vn/data/HOSE/2021/BCTC/VN/NAM/TMP_Baocaotaichinh_2021_Kiemtoan_Hopnhat/20220330_20220330___tmp___bctc_hop_nhat_2021_da_kiem_toan_signed.pdf" TargetMode="External"/><Relationship Id="rId907" Type="http://schemas.openxmlformats.org/officeDocument/2006/relationships/hyperlink" Target="https://static2.vietstock.vn/data/HNX/2022/BCTC/VN/NAM/VC3_Baocaotaichinh_2022_Kiemtoan_Hopnhat/1_vc3_2023_4_6_12a27e5_mkg__vfs_conso__31_12_2022__signed_signed.pdf" TargetMode="External"/><Relationship Id="rId1537" Type="http://schemas.openxmlformats.org/officeDocument/2006/relationships/hyperlink" Target="https://static2.vietstock.vn/data/HOSE/2022/BCTC/VN/NAM/SAV_Baocaotaichinh_2022_Kiemtoan.pdf" TargetMode="External"/><Relationship Id="rId1744" Type="http://schemas.openxmlformats.org/officeDocument/2006/relationships/hyperlink" Target="https://cafef.vn/du-lieu/bao-cao-tai-chinh/vna/incsta/2023/0/0/0/bao-cao-tai-chinh-.chn" TargetMode="External"/><Relationship Id="rId36" Type="http://schemas.openxmlformats.org/officeDocument/2006/relationships/hyperlink" Target="https://static2.vietstock.vn/data/HNX/2023/BCTC/VN/NAM/ATS_Baocaotaichinh_2023_Kiemtoan/3_ats_2024_3_18_e454a39_bctc_kiem_toan_2023.pdf" TargetMode="External"/><Relationship Id="rId1604" Type="http://schemas.openxmlformats.org/officeDocument/2006/relationships/hyperlink" Target="https://static2.vietstock.vn/data/HOSE/2023/BCTC/VN/NAM/SSI_Baocaotaichinh_2023_Kiemtoan_Hopnhat.pdf" TargetMode="External"/><Relationship Id="rId185" Type="http://schemas.openxmlformats.org/officeDocument/2006/relationships/hyperlink" Target="https://static2.vietstock.vn/data/UPCOM/2023/BCTC/VN/NAM/DTH_Baocaotaichinh_2023_Kiemtoan.pdf" TargetMode="External"/><Relationship Id="rId1811" Type="http://schemas.openxmlformats.org/officeDocument/2006/relationships/hyperlink" Target="https://static2.vietstock.vn/data/HOSE/2022/BCTC/VN/NAM/TCB_Baocaotaichinh_2022_Kiemtoan_Hopnhat.pdf" TargetMode="External"/><Relationship Id="rId392" Type="http://schemas.openxmlformats.org/officeDocument/2006/relationships/hyperlink" Target="https://static2.vietstock.vn/data/HNX/2022/BCTC/VN/NAM/L61_Baocaotaichinh_2022_Kiemtoan/1_l61_2023_4_3_50c6112_bctc_nam_2022_sau_kiem_toan.pdf" TargetMode="External"/><Relationship Id="rId697" Type="http://schemas.openxmlformats.org/officeDocument/2006/relationships/hyperlink" Target="https://static2.vietstock.vn/data/UPCOM/2022/BCTC/VN/NAM/SD2_Baocaotaichinh_2022_Kiemtoan_Hopnhat.pdf" TargetMode="External"/><Relationship Id="rId252" Type="http://schemas.openxmlformats.org/officeDocument/2006/relationships/hyperlink" Target="https://static2.vietstock.vn/data/HNX/2021/BCTC/VN/NAM/HBS_Baocaotaichinh_2021_Kiemtoan/3_hbs_2022_3_31_eb36102_082_bctc_kiem_toan_2021.pdf" TargetMode="External"/><Relationship Id="rId1187" Type="http://schemas.openxmlformats.org/officeDocument/2006/relationships/hyperlink" Target="https://static2.vietstock.vn/data/HOSE/2022/BCTC/VN/NAM/DPM_Baocaotaichinh_2022_Kiemtoan_Hopnhat.pdf" TargetMode="External"/><Relationship Id="rId112" Type="http://schemas.openxmlformats.org/officeDocument/2006/relationships/hyperlink" Target="https://static2.vietstock.vn/data/HNX/2021/BCTC/VN/NAM/CMC_Baocaotaichinh_2021_Kiemtoan.pdf" TargetMode="External"/><Relationship Id="rId557" Type="http://schemas.openxmlformats.org/officeDocument/2006/relationships/hyperlink" Target="https://static2.vietstock.vn/data/HNX/2023/BCTC/VN/NAM/PIC_Baocaotaichinh_2023_Kiemtoan/1_pic_2024_3_4_6fb8282_pic_bctc_2023_sau_kiem_toan_.pdf" TargetMode="External"/><Relationship Id="rId764" Type="http://schemas.openxmlformats.org/officeDocument/2006/relationships/hyperlink" Target="https://static2.vietstock.vn/data/UPCOM/2023/BCTC/VN/NAM/SHC_Baocaotaichinh_2023_Kiemtoan.pdf" TargetMode="External"/><Relationship Id="rId971" Type="http://schemas.openxmlformats.org/officeDocument/2006/relationships/hyperlink" Target="https://static2.vietstock.vn/data/UPCOM/2023/BCTC/VN/NAM/VIE_Baocaotaichinh_2023_Kiemtoan/1_vie_2024_3_28_18fb354_bctc_nam_2023.pdf" TargetMode="External"/><Relationship Id="rId1394" Type="http://schemas.openxmlformats.org/officeDocument/2006/relationships/hyperlink" Target="https://static2.vietstock.vn/data/HOSE/2022/BCTC/VN/NAM/KMR_Baocaotaichinh_2022_Kiemtoan.pdf" TargetMode="External"/><Relationship Id="rId1699" Type="http://schemas.openxmlformats.org/officeDocument/2006/relationships/hyperlink" Target="https://static2.vietstock.vn/data/HOSE/2022/BCTC/VN/NAM/TRC_Baocaotaichinh_2022_Kiemtoan_Hopnhat.pdf" TargetMode="External"/><Relationship Id="rId417" Type="http://schemas.openxmlformats.org/officeDocument/2006/relationships/hyperlink" Target="https://static2.vietstock.vn/data/HNX/2022/BCTC/VN/NAM/LM7_Baocaotaichinh_2022_Kiemtoan.pdf" TargetMode="External"/><Relationship Id="rId624" Type="http://schemas.openxmlformats.org/officeDocument/2006/relationships/hyperlink" Target="https://static2.vietstock.vn/data/HNX/2021/BCTC/VN/NAM/PVB_Baocaotaichinh_2021_Kiemtoan.pdf" TargetMode="External"/><Relationship Id="rId831" Type="http://schemas.openxmlformats.org/officeDocument/2006/relationships/hyperlink" Target="https://static2.vietstock.vn/data/HNX/2021/BCTC/VN/NAM/TIG_Baocaotaichinh_2021_Kiemtoan_Hopnhat.pdf" TargetMode="External"/><Relationship Id="rId1047" Type="http://schemas.openxmlformats.org/officeDocument/2006/relationships/hyperlink" Target="https://static2.vietstock.vn/data/HOSE/2021/BCTC/VN/NAM/BRC_Baocaotaichinh_2021_Kiemtoan.pdf" TargetMode="External"/><Relationship Id="rId1254" Type="http://schemas.openxmlformats.org/officeDocument/2006/relationships/hyperlink" Target="https://static2.vietstock.vn/data/HOSE/2023/BCTC/VN/NAM/FRT_Baocaotaichinh_2023_Kiemtoan_Hopnhat.pdf" TargetMode="External"/><Relationship Id="rId1461" Type="http://schemas.openxmlformats.org/officeDocument/2006/relationships/hyperlink" Target="https://static2.vietstock.vn/data/HOSE/2023/BCTC/VN/NAM/OGC_Baocaotaichinh_2023_Kiemtoan_Hopnhat.pdf" TargetMode="External"/><Relationship Id="rId929" Type="http://schemas.openxmlformats.org/officeDocument/2006/relationships/hyperlink" Target="https://static2.vietstock.vn/data/UPCOM/2023/BCTC/VN/NAM/VCR_Baocaotaichinh_2023_Kiemtoan/1_vcr_2024_3_11_2b8f871_bctc_th_nam_2023_signed.pdf" TargetMode="External"/><Relationship Id="rId1114" Type="http://schemas.openxmlformats.org/officeDocument/2006/relationships/hyperlink" Target="https://static2.vietstock.vn/data/HOSE/2021/BCTC/VN/NAM/COM_Baocaotaichinh_2021_Kiemtoan.pdf" TargetMode="External"/><Relationship Id="rId1321" Type="http://schemas.openxmlformats.org/officeDocument/2006/relationships/hyperlink" Target="https://static2.vietstock.vn/data/HOSE/2021/BCTC/VN/NAM/HNG_Baocaotaichinh_2021_Kiemtoan_Hopnhat.pdf" TargetMode="External"/><Relationship Id="rId1559" Type="http://schemas.openxmlformats.org/officeDocument/2006/relationships/hyperlink" Target="https://static2.vietstock.vn/data/HOSE/2023/BCTC/VN/NAM/SFG_Baocaotaichinh_2023_Kiemtoan.pdf" TargetMode="External"/><Relationship Id="rId1766" Type="http://schemas.openxmlformats.org/officeDocument/2006/relationships/hyperlink" Target="https://static2.vietstock.vn/data/HOSE/2022/BCTC/VN/NAM/VRC_Baocaotaichinh_2022_Kiemtoan_Hopnhat.pdf" TargetMode="External"/><Relationship Id="rId58" Type="http://schemas.openxmlformats.org/officeDocument/2006/relationships/hyperlink" Target="https://static2.vietstock.vn/data/HNX/2021/BCTC/VN/NAM/BLF_Baocaotaichinh_2021_Kiemtoan.pdf" TargetMode="External"/><Relationship Id="rId1419" Type="http://schemas.openxmlformats.org/officeDocument/2006/relationships/hyperlink" Target="https://static2.vietstock.vn/data/HOSE/2022/BCTC/VN/NAM/LHG_Baocaotaichinh_2022_Kiemtoan_Hopnhat.pdf" TargetMode="External"/><Relationship Id="rId1626" Type="http://schemas.openxmlformats.org/officeDocument/2006/relationships/hyperlink" Target="https://static2.vietstock.vn/data/HOSE/2021/BCTC/VN/NAM/SZC_Baocaotaichinh_2021_Kiemtoan.pdf" TargetMode="External"/><Relationship Id="rId1833" Type="http://schemas.openxmlformats.org/officeDocument/2006/relationships/hyperlink" Target="https://static2.vietstock.vn/data/HOSE/2023/BCTC/VN/NAM/DPG_Baocaotaichinh_2023_Kiemtoan_Hopnhat.pdf" TargetMode="External"/><Relationship Id="rId274" Type="http://schemas.openxmlformats.org/officeDocument/2006/relationships/hyperlink" Target="https://static2.vietstock.vn/data/HNX/2022/BCTC/VN/NAM/HHG_Baocaotaichinh_2022_Kiemtoan_Hopnhat/1_hhg_2023_3_7_1d07f65_bctc_hn_22.pdf" TargetMode="External"/><Relationship Id="rId481" Type="http://schemas.openxmlformats.org/officeDocument/2006/relationships/hyperlink" Target="https://static2.vietstock.vn/data/HNX/2023/BCTC/VN/NAM/NBP_Baocaotaichinh_2023_Kiemtoan.pdf" TargetMode="External"/><Relationship Id="rId134" Type="http://schemas.openxmlformats.org/officeDocument/2006/relationships/hyperlink" Target="https://static2.vietstock.vn/data/HNX/2023/BCTC/VN/NAM/CTC_Baocaotaichinh_2023_Kiemtoan_1.pdf" TargetMode="External"/><Relationship Id="rId579" Type="http://schemas.openxmlformats.org/officeDocument/2006/relationships/hyperlink" Target="https://static2.vietstock.vn/data/HNX/2021/BCTC/VN/NAM/POT_Baocaotaichinh_2021_Kiemtoan_Hopnhat.pdf" TargetMode="External"/><Relationship Id="rId786" Type="http://schemas.openxmlformats.org/officeDocument/2006/relationships/hyperlink" Target="https://static2.vietstock.vn/data/HNX/2021/BCTC/VN/NAM/SRA_Baocaotaichinh_2021_Kiemtoan_Hopnhat.pdf" TargetMode="External"/><Relationship Id="rId993" Type="http://schemas.openxmlformats.org/officeDocument/2006/relationships/hyperlink" Target="https://static2.vietstock.vn/data/HOSE/2021/BCTC/VN/NAM/ADS_Baocaotaichinh_2021_Kiemtoan_Hopnhat.pdf" TargetMode="External"/><Relationship Id="rId341" Type="http://schemas.openxmlformats.org/officeDocument/2006/relationships/hyperlink" Target="https://static2.vietstock.vn/data/HNX/2023/BCTC/VN/NAM/INN_Baocaotaichinh_2023_Kiemtoan_Hopnhat.pdf" TargetMode="External"/><Relationship Id="rId439" Type="http://schemas.openxmlformats.org/officeDocument/2006/relationships/hyperlink" Target="https://static2.vietstock.vn/data/HNX/2021/BCTC/VN/NAM/MCC_Baocaotaichinh_2021_Kiemtoan/3_mcc_2022_3_29_f65e5c8_bctc_kiem_toan_2021_signed.pdf" TargetMode="External"/><Relationship Id="rId646" Type="http://schemas.openxmlformats.org/officeDocument/2006/relationships/hyperlink" Target="https://static2.vietstock.vn/data/HNX/2022/BCTC/VN/NAM/PVS_Baocaotaichinh_2022_Kiemtoan_Hopnhat/3_pvs_2023_3_27_f0b2b60_ky_so_346_ptscbtk_cong_bo_bao_cao_tai_chinh_hop_nhat_nam_2022_skt.pdf" TargetMode="External"/><Relationship Id="rId1069" Type="http://schemas.openxmlformats.org/officeDocument/2006/relationships/hyperlink" Target="https://static2.vietstock.vn/data/HOSE/2022/BCTC/VN/NAM/CAV_Baocaotaichinh_2022_Kiemtoan_Hopnhat.pdf" TargetMode="External"/><Relationship Id="rId1276" Type="http://schemas.openxmlformats.org/officeDocument/2006/relationships/hyperlink" Target="https://static2.vietstock.vn/data/HOSE/2021/BCTC/VN/NAM/GTA_Baocaotaichinh_2021_Kiemtoan.pdf" TargetMode="External"/><Relationship Id="rId1483" Type="http://schemas.openxmlformats.org/officeDocument/2006/relationships/hyperlink" Target="https://cafef.vn/du-lieu/bao-cao-tai-chinh/pgd/bsheet/2024/0/0/0/ket-qua-hoat-dong-kinh-doanh-.chn" TargetMode="External"/><Relationship Id="rId201" Type="http://schemas.openxmlformats.org/officeDocument/2006/relationships/hyperlink" Target="https://static2.vietstock.vn/data/HNX/2021/BCTC/VN/NAM/DNM_Baocaotaichinh_2021_Kiemtoan.pdf" TargetMode="External"/><Relationship Id="rId506" Type="http://schemas.openxmlformats.org/officeDocument/2006/relationships/hyperlink" Target="https://static2.vietstock.vn/data/HNX/2023/BCTC/VN/NAM/NTP_Baocaotaichinh_2023_Kiemtoan_Hopnhat/1_ntp_2024_3_26_2118aa0_bctc_hop_nhat_nam_2023_da_duoc_kiem_toan.pdf" TargetMode="External"/><Relationship Id="rId853" Type="http://schemas.openxmlformats.org/officeDocument/2006/relationships/hyperlink" Target="https://static2.vietstock.vn/data/HNX/2022/BCTC/VN/NAM/TPH_Baocaotaichinh_2022_Kiemtoan.pdf" TargetMode="External"/><Relationship Id="rId1136" Type="http://schemas.openxmlformats.org/officeDocument/2006/relationships/hyperlink" Target="https://static2.vietstock.vn/data/HOSE/2022/BCTC/VN/NAM/CTI_Baocaotaichinh_2022_Kiemtoan_Hopnhat.pdf" TargetMode="External"/><Relationship Id="rId1690" Type="http://schemas.openxmlformats.org/officeDocument/2006/relationships/hyperlink" Target="https://static2.vietstock.vn/data/HOSE/2022/BCTC/VN/NAM/TNC_Baocaotaichinh_2022_Kiemtoan.pdf" TargetMode="External"/><Relationship Id="rId1788" Type="http://schemas.openxmlformats.org/officeDocument/2006/relationships/hyperlink" Target="https://static2.vietstock.vn/data/HOSE/2023/BCTC/VN/NAM/HDB_Baocaotaichinh_2023_Kiemtoan_Hopnhat.pdf" TargetMode="External"/><Relationship Id="rId713" Type="http://schemas.openxmlformats.org/officeDocument/2006/relationships/hyperlink" Target="https://static2.vietstock.vn/data/HNX/2023/BCTC/VN/NAM/SD9_Baocaotaichinh_2023_Kiemtoan_Hopnhat.pdf" TargetMode="External"/><Relationship Id="rId920" Type="http://schemas.openxmlformats.org/officeDocument/2006/relationships/hyperlink" Target="https://static2.vietstock.vn/data/HNX/2023/BCTC/VN/NAM/VCC_Baocaotaichinh_2023_Kiemtoan/2_vcc_2024_3_18_f0a5566_bao_cao_kiem_toanvc252023_signed.pdf" TargetMode="External"/><Relationship Id="rId1343" Type="http://schemas.openxmlformats.org/officeDocument/2006/relationships/hyperlink" Target="https://static2.vietstock.vn/data/HOSE/2022/BCTC/VN/NAM/HTI_Baocaotaichinh_2022_Kiemtoan.pdf" TargetMode="External"/><Relationship Id="rId1550" Type="http://schemas.openxmlformats.org/officeDocument/2006/relationships/hyperlink" Target="https://static2.vietstock.vn/data/HOSE/2023/BCTC/VN/NAM/SC5_Baocaotaichinh_2023_Kiemtoan_1.pdf" TargetMode="External"/><Relationship Id="rId1648" Type="http://schemas.openxmlformats.org/officeDocument/2006/relationships/hyperlink" Target="https://static2.vietstock.vn/data/HOSE/2022/BCTC/VN/NAM/TCR_Baocaotaichinh_2022_Kiemtoan_Hopnhat.pdf" TargetMode="External"/><Relationship Id="rId1203" Type="http://schemas.openxmlformats.org/officeDocument/2006/relationships/hyperlink" Target="https://static2.vietstock.vn/data/HOSE/2023/BCTC/VN/NAM/DRL_Baocaotaichinh_2023_Kiemtoan.pdf" TargetMode="External"/><Relationship Id="rId1410" Type="http://schemas.openxmlformats.org/officeDocument/2006/relationships/hyperlink" Target="https://static2.vietstock.vn/data/HOSE/2023/BCTC/VN/NAM/LAF_Baocaotaichinh_2023_Kiemtoan.pdf" TargetMode="External"/><Relationship Id="rId1508" Type="http://schemas.openxmlformats.org/officeDocument/2006/relationships/hyperlink" Target="https://static2.vietstock.vn/data/HOSE/2023/BCTC/VN/NAM/PTL_Baocaotaichinh_2023_Kiemtoan_Hopnhat.pdf" TargetMode="External"/><Relationship Id="rId1855" Type="http://schemas.openxmlformats.org/officeDocument/2006/relationships/hyperlink" Target="https://static2.vietstock.vn/data/HNX/2021/BCTC/VN/NAM/SPC_Baocaotaichinh_2021_Kiemtoan_Hopnhat.pdf" TargetMode="External"/><Relationship Id="rId1715" Type="http://schemas.openxmlformats.org/officeDocument/2006/relationships/hyperlink" Target="https://l.facebook.com/l.php?u=https%3A%2F%2Fstatic2.vietstock.vn%2Fdata%2FHOSE%2F2023%2FBCTC%2FVN%2FNAM%2FUIC_Baocaotaichinh_2023_Kiemtoan.pdf%3Ffbclid%3DIwZXh0bgNhZW0CMTAAAR357kOAUHntexW8eR8ti8n5S7m0pnTavjWLI7_w8q_QJ3Gd8QCPFIbJemI_aem_ExDjYPX1ruqtz0Rya11s9Q&amp;h=AT16xIU0Xt68Vp4CyMja_tDCL2RPjhzXvV7DwRbF9DDfXtIvL-UBSjcAoZwy2nGuQ7LUVH7tu5NzSsFlhPb4b2WsoCscDaunC0Vsugbx8x0tjwbGCpWuz25JPGjWeG01A_1UkxVNxNM" TargetMode="External"/><Relationship Id="rId296" Type="http://schemas.openxmlformats.org/officeDocument/2006/relationships/hyperlink" Target="https://static2.vietstock.vn/data/HNX/2023/BCTC/VN/NAM/HMH_Baocaotaichinh_2023_Kiemtoan_Hopnhat/1_hmh_2024_4_2_138ae86_20240326_hmh_bctc_hop_nhat_2023_da_kiem_toan__signed.pdf" TargetMode="External"/><Relationship Id="rId156" Type="http://schemas.openxmlformats.org/officeDocument/2006/relationships/hyperlink" Target="https://static2.vietstock.vn/data/HNX/2021/BCTC/VN/NAM/DAD_Baocaotaichinh_2021_Kiemtoan.pdfhttps:/static2.vietstock.vn/data/HNX/2021/BCTC/VN/NAM/DAD_Baocaotaichinh_2021_Kiemtoan.pdf" TargetMode="External"/><Relationship Id="rId363" Type="http://schemas.openxmlformats.org/officeDocument/2006/relationships/hyperlink" Target="https://static2.vietstock.vn/data/HNX/2021/BCTC/VN/NAM/KSQ_Baocaotaichinh_2021_Kiemtoan.pdf" TargetMode="External"/><Relationship Id="rId570" Type="http://schemas.openxmlformats.org/officeDocument/2006/relationships/hyperlink" Target="https://static2.vietstock.vn/data/HNX/2021/BCTC/VN/NAM/PMC_Baocaotaichinh_2021_Kiemtoan/1_pmc_2022_3_31_466b58b_bc_ktdl_ve_bctc.pdf" TargetMode="External"/><Relationship Id="rId223" Type="http://schemas.openxmlformats.org/officeDocument/2006/relationships/hyperlink" Target="https://static2.vietstock.vn/data/HNX/2022/BCTC/VN/NAM/EBS_Baocaotaichinh_2022_Kiemtoan_Hopnhat.pdf" TargetMode="External"/><Relationship Id="rId430" Type="http://schemas.openxmlformats.org/officeDocument/2006/relationships/hyperlink" Target="https://static2.vietstock.vn/data/HNX/2022/BCTC/VN/NAM/MAS_Baocaotaichinh_2022_Kiemtoan/1_mas_2023_3_2_1ed302d_bao_cao_kiem_toan_nam_2022_.pdf" TargetMode="External"/><Relationship Id="rId668" Type="http://schemas.openxmlformats.org/officeDocument/2006/relationships/hyperlink" Target="https://static2.vietstock.vn/data/HNX/2023/BCTC/VN/NAM/QTC_Baocaotaichinh_2023_Kiemtoan_Hopnhat/2_qtc_2024_4_2_abc5d32_bctc_hop_nhat_fix.pdf" TargetMode="External"/><Relationship Id="rId875" Type="http://schemas.openxmlformats.org/officeDocument/2006/relationships/hyperlink" Target="https://static2.vietstock.vn/data/HNX/2023/BCTC/VN/NAM/TV4_Baocaotaichinh_2023_Kiemtoan_1.pdf" TargetMode="External"/><Relationship Id="rId1060" Type="http://schemas.openxmlformats.org/officeDocument/2006/relationships/hyperlink" Target="https://static2.vietstock.vn/data/HOSE/2022/BCTC/VN/NAM/BVH_Baocaotaichinh_2022_Kiemtoan_Hopnhat.pdf" TargetMode="External"/><Relationship Id="rId1298" Type="http://schemas.openxmlformats.org/officeDocument/2006/relationships/hyperlink" Target="https://static2.vietstock.vn/data/HOSE/2022/BCTC/VN/NAM/HCD_Baocaotaichinh_2022_Kiemtoan.pdf" TargetMode="External"/><Relationship Id="rId528" Type="http://schemas.openxmlformats.org/officeDocument/2006/relationships/hyperlink" Target="https://static2.vietstock.vn/data/HNX/2021/BCTC/VN/NAM/PCT_Baocaotaichinh_2021_Kiemtoan/2_pct_2022_3_23_befa712_bao_cao_tai_chinh_kiem_toan_nam_2021hnx.pdf" TargetMode="External"/><Relationship Id="rId735" Type="http://schemas.openxmlformats.org/officeDocument/2006/relationships/hyperlink" Target="https://static2.vietstock.vn/data/HNX/2021/BCTC/VN/NAM/SDU_Baocaotaichinh_2021_Kiemtoan_Hopnhat.pdf" TargetMode="External"/><Relationship Id="rId942" Type="http://schemas.openxmlformats.org/officeDocument/2006/relationships/hyperlink" Target="https://static2.vietstock.vn/data/HNX/2021/BCTC/VN/NAM/VE3_Baocaotaichinh_2021_Kiemtoan.pdf" TargetMode="External"/><Relationship Id="rId1158" Type="http://schemas.openxmlformats.org/officeDocument/2006/relationships/hyperlink" Target="https://static2.vietstock.vn/data/HOSE/2023/BCTC/VN/NAM/DCM_Baocaotaichinh_2023_Kiemtoan_Hopnhat.pdf" TargetMode="External"/><Relationship Id="rId1365" Type="http://schemas.openxmlformats.org/officeDocument/2006/relationships/hyperlink" Target="https://static2.vietstock.vn/data/HOSE/2023/BCTC/VN/NAM/IDI_Baocaotaichinh_2023_Kiemtoan_Hopnhat.pdf" TargetMode="External"/><Relationship Id="rId1572" Type="http://schemas.openxmlformats.org/officeDocument/2006/relationships/hyperlink" Target="https://static2.vietstock.vn/data/HOSE/2021/BCTC/VN/NAM/SHP_TMBCTC_2021_Kiemtoan_DieuChinh.pdf" TargetMode="External"/><Relationship Id="rId1018" Type="http://schemas.openxmlformats.org/officeDocument/2006/relationships/hyperlink" Target="https://static2.vietstock.vn/data/HOSE/2022/BCTC/VN/NAM/BBC_Baocaotaichinh_2022_Kiemtoan_Hopnhat.pdf" TargetMode="External"/><Relationship Id="rId1225" Type="http://schemas.openxmlformats.org/officeDocument/2006/relationships/hyperlink" Target="https://static2.vietstock.vn/data/HOSE/2021/BCTC/VN/NAM/EIB_Baocaotaichinh_2021_Kiemtoan_Hopnhat.pdf" TargetMode="External"/><Relationship Id="rId1432" Type="http://schemas.openxmlformats.org/officeDocument/2006/relationships/hyperlink" Target="https://cafef.vn/du-lieu/bao-cao-tai-chinh/mdg/bsheet/2022/0/-1/0/bao-cao-tai-chinh-.chn" TargetMode="External"/><Relationship Id="rId71" Type="http://schemas.openxmlformats.org/officeDocument/2006/relationships/hyperlink" Target="http://static2.vietstock.vn/data/UPCOM/2022/BCTC/VN/NAM/BTH_Baocaotaichinh_2022_Kiemtoan.pdf" TargetMode="External"/><Relationship Id="rId802" Type="http://schemas.openxmlformats.org/officeDocument/2006/relationships/hyperlink" Target="https://static2.vietstock.vn/data/HNX/2022/BCTC/VN/NAM/TA9_Baocaotaichinh_2022_Kiemtoan.pdf" TargetMode="External"/><Relationship Id="rId1737" Type="http://schemas.openxmlformats.org/officeDocument/2006/relationships/hyperlink" Target="https://static2.vietstock.vn/data/HOSE/2021/BCTC/VN/NAM/VIP_Baocaotaichinh_2021_Kiemtoan_Hopnhat.pdf" TargetMode="External"/><Relationship Id="rId29" Type="http://schemas.openxmlformats.org/officeDocument/2006/relationships/hyperlink" Target="https://static2.vietstock.vn/data/HNX/2022/BCTC/VN/NAM/APS_Baocaotaichinh_2022_Kiemtoan/2_aps_2023_3_30_bb3300a_aps_bctc_kiem_toan_nam_2022_signed.pdf" TargetMode="External"/><Relationship Id="rId178" Type="http://schemas.openxmlformats.org/officeDocument/2006/relationships/hyperlink" Target="https://static2.vietstock.vn/data/HNX/2022/BCTC/VN/NAM/DHP_Baocaotaichinh_2022_Kiemtoan.pdf" TargetMode="External"/><Relationship Id="rId1804" Type="http://schemas.openxmlformats.org/officeDocument/2006/relationships/hyperlink" Target="https://static2.vietstock.vn/data/HOSE/2021/BCTC/VN/NAM/SSB_Baocaotaichinh_2021_Kiemtoan_Hopnhat.pdf" TargetMode="External"/><Relationship Id="rId385" Type="http://schemas.openxmlformats.org/officeDocument/2006/relationships/hyperlink" Target="https://static2.vietstock.vn/data/HNX/2022/BCTC/VN/NAM/L35_Baocaotaichinh_2022_Kiemtoan.pdf" TargetMode="External"/><Relationship Id="rId592" Type="http://schemas.openxmlformats.org/officeDocument/2006/relationships/hyperlink" Target="https://static2.vietstock.vn/data/HNX/2022/BCTC/VN/NAM/PPY_Baocaotaichinh_2022_Kiemtoan/1_ppy_2023_2_17_155cd8f_cbtt_bao_cao_tai_chinh_nam_2022_signed.pdf" TargetMode="External"/><Relationship Id="rId245" Type="http://schemas.openxmlformats.org/officeDocument/2006/relationships/hyperlink" Target="https://static2.vietstock.vn/data/HNX/2023/BCTC/VN/NAM/GMX_Baocaotaichinh_2023_Kiemtoan_1.pdf" TargetMode="External"/><Relationship Id="rId452" Type="http://schemas.openxmlformats.org/officeDocument/2006/relationships/hyperlink" Target="https://static2.vietstock.vn/data/UPCOM/2022/BCTC/VN/NAM/MEC_Baocaotaichinh_2022_Kiemtoan_Congtyme.pdf" TargetMode="External"/><Relationship Id="rId897" Type="http://schemas.openxmlformats.org/officeDocument/2006/relationships/hyperlink" Target="https://static2.vietstock.vn/data/UPCOM/2021/BCTC/VN/NAM/VBH_Baocaotaichinh_2021_Kiemtoan.pdf" TargetMode="External"/><Relationship Id="rId1082" Type="http://schemas.openxmlformats.org/officeDocument/2006/relationships/hyperlink" Target="https://static2.vietstock.vn/data/HOSE/2023/BCTC/VN/NAM/CHP_Baocaotaichinh_2023_Kiemtoan_1.pdf" TargetMode="External"/><Relationship Id="rId105" Type="http://schemas.openxmlformats.org/officeDocument/2006/relationships/hyperlink" Target="https://static2.vietstock.vn/data/HNX/2023/BCTC/VN/NAM/CKV_Baocaotaichinh_2023_Kiemtoan.pdf" TargetMode="External"/><Relationship Id="rId312" Type="http://schemas.openxmlformats.org/officeDocument/2006/relationships/hyperlink" Target="https://static2.vietstock.vn/data/HNX/2021/BCTC/VN/NAM/HTC_Baocaotaichinh_2021_Kiemtoan_Hopnhat/1_htc_2022_3_14_bff1501_bctc_2021_hop_nhat_full_signed.pdf" TargetMode="External"/><Relationship Id="rId757" Type="http://schemas.openxmlformats.org/officeDocument/2006/relationships/hyperlink" Target="https://static2.vietstock.vn/data/HNX/2022/BCTC/VN/NAM/SGH_Baocaotaichinh_2022_Kiemtoan/1_sgh_2023_3_23_6bf4ec0_bctc_kt_2022_da_ky_so.pdf" TargetMode="External"/><Relationship Id="rId964" Type="http://schemas.openxmlformats.org/officeDocument/2006/relationships/hyperlink" Target="https://static2.vietstock.vn/data/HNX/2022/BCTC/VN/NAM/VGS_Baocaotaichinh_2022_Kiemtoan_Hopnhat/2_vgs_2023_4_4_b2674cd_bao_cao_tai_chinh_hop_nhat_nam_2022.pdf" TargetMode="External"/><Relationship Id="rId1387" Type="http://schemas.openxmlformats.org/officeDocument/2006/relationships/hyperlink" Target="https://static2.vietstock.vn/data/HOSE/2021/BCTC/VN/NAM/KDH_Baocaotaichinh_2021_Kiemtoan_Hopnhat.pdf" TargetMode="External"/><Relationship Id="rId1594" Type="http://schemas.openxmlformats.org/officeDocument/2006/relationships/hyperlink" Target="https://static2.vietstock.vn/data/HOSE/2022/BCTC/VN/NAM/SRC_Baocaotaichinh_2022_Kiemtoan.pdf" TargetMode="External"/><Relationship Id="rId93" Type="http://schemas.openxmlformats.org/officeDocument/2006/relationships/hyperlink" Target="https://static2.vietstock.vn/data/UPCOM/2023/BCTC/VN/NAM/CCM_Baocaotaichinh_2023_Kiemtoan_Hopnhat.pdf" TargetMode="External"/><Relationship Id="rId617" Type="http://schemas.openxmlformats.org/officeDocument/2006/relationships/hyperlink" Target="https://static2.vietstock.vn/data/HNX/2023/BCTC/VN/NAM/PTI_Baocaotaichinh_2023_Kiemtoan_Hopnhat.pdf" TargetMode="External"/><Relationship Id="rId824" Type="http://schemas.openxmlformats.org/officeDocument/2006/relationships/hyperlink" Target="https://static2.vietstock.vn/data/HNX/2023/BCTC/VN/NAM/THB_Baocaotaichinh_2023_Kiemtoan_Hopnhat/2_thb_2024_3_15_5f05132_bc_tai_chinh_hop_nhat.pdf" TargetMode="External"/><Relationship Id="rId1247" Type="http://schemas.openxmlformats.org/officeDocument/2006/relationships/hyperlink" Target="https://static2.vietstock.vn/data/HOSE/2022/BCTC/VN/NAM/FMC_Baocaotaichinh_2022_Kiemtoan_Hopnhat.pdf" TargetMode="External"/><Relationship Id="rId1454" Type="http://schemas.openxmlformats.org/officeDocument/2006/relationships/hyperlink" Target="https://static2.vietstock.vn/data/HOSE/2021/BCTC/VN/NAM/NVL_Baocaotaichinh_2021_Kiemtoan_Hopnhat.pdf" TargetMode="External"/><Relationship Id="rId1661" Type="http://schemas.openxmlformats.org/officeDocument/2006/relationships/hyperlink" Target="https://static2.vietstock.vn/data/HOSE/2023/BCTC/VN/NAM/TDW_Baocaotaichinh_2023_Kiemtoan_1.pdf" TargetMode="External"/><Relationship Id="rId1107" Type="http://schemas.openxmlformats.org/officeDocument/2006/relationships/hyperlink" Target="https://static2.vietstock.vn/data/HOSE/2023/BCTC/VN/NAM/CMV_Baocaotaichinh_2023_Kiemtoan_Hopnhat.pdf" TargetMode="External"/><Relationship Id="rId1314" Type="http://schemas.openxmlformats.org/officeDocument/2006/relationships/hyperlink" Target="https://static2.vietstock.vn/data/HOSE/2023/BCTC/VN/NAM/HID_Baocaotaichinh_2023_Kiemtoan_Hopnhat.pdf" TargetMode="External"/><Relationship Id="rId1521" Type="http://schemas.openxmlformats.org/officeDocument/2006/relationships/hyperlink" Target="https://static2.vietstock.vn/data/HOSE/2021/BCTC/VN/NAM/RDP_Baocaotaichinh_2021_Kiemtoan_Hopnhat.pdf" TargetMode="External"/><Relationship Id="rId1759" Type="http://schemas.openxmlformats.org/officeDocument/2006/relationships/hyperlink" Target="https://static2.vietstock.vn/data/HOSE/2021/BCTC/VN/NAM/VPH_Baocaotaichinh_2021_Kiemtoan_Hopnhat.pdf" TargetMode="External"/><Relationship Id="rId1619" Type="http://schemas.openxmlformats.org/officeDocument/2006/relationships/hyperlink" Target="https://static2.vietstock.vn/data/HOSE/2023/BCTC/VN/NAM/SVC_Baocaotaichinh_2023_Kiemtoan_Hopnhat.pdf" TargetMode="External"/><Relationship Id="rId1826" Type="http://schemas.openxmlformats.org/officeDocument/2006/relationships/hyperlink" Target="https://static2.vietstock.vn/data/UPCOM/2022/BCTC/VN/NAM/ADP_Baocaotaichinh_2022_Kiemtoan.pdf" TargetMode="External"/><Relationship Id="rId20" Type="http://schemas.openxmlformats.org/officeDocument/2006/relationships/hyperlink" Target="https://static2.vietstock.vn/data/HNX/2022/BCTC/VN/NAM/AMV_Baocaotaichinh_2022_Kiemtoan_Hopnhat/1_amv_2023_4_3_36a93ed_bao_cao_tai_chinh_hop_nhat_nam_2022.pdf" TargetMode="External"/><Relationship Id="rId267" Type="http://schemas.openxmlformats.org/officeDocument/2006/relationships/hyperlink" Target="https://static2.vietstock.vn/data/HNX/2021/BCTC/VN/NAM/HGM_Baocaotaichinh_2021_Kiemtoan_DieuChinh/1_hgm_2023_4_11_5b9997f_bao_cao_tai_chinh_da_duoc_kiem_toan_2021_da_ky.pdf" TargetMode="External"/><Relationship Id="rId474" Type="http://schemas.openxmlformats.org/officeDocument/2006/relationships/hyperlink" Target="https://static2.vietstock.vn/data/HNX/2022/BCTC/VN/NAM/NAG_Baocaotaichinh_2022_Kiemtoan_Hopnhat.pdf" TargetMode="External"/><Relationship Id="rId127" Type="http://schemas.openxmlformats.org/officeDocument/2006/relationships/hyperlink" Target="https://static2.vietstock.vn/data/UPCOM/2021/BCTC/VN/NAM/CT6_Baocaotaichinh_2021_Kiemtoan_Hopnhat.PDF" TargetMode="External"/><Relationship Id="rId681" Type="http://schemas.openxmlformats.org/officeDocument/2006/relationships/hyperlink" Target="https://static2.vietstock.vn/data/HNX/2021/BCTC/VN/NAM/SAF_Baocaotaichinh_2021_Kiemtoan.pdf" TargetMode="External"/><Relationship Id="rId779" Type="http://schemas.openxmlformats.org/officeDocument/2006/relationships/hyperlink" Target="https://static2.vietstock.vn/data/HNX/2023/BCTC/VN/NAM/SMN_Baocaotaichinh_2023_Kiemtoan/3_smn_2024_3_15_8008c6f_bao_cao_tai_chinh_kiem_toan_2023_signed.pdf" TargetMode="External"/><Relationship Id="rId986" Type="http://schemas.openxmlformats.org/officeDocument/2006/relationships/hyperlink" Target="https://static2.vietstock.vn/data/HOSE/2023/BCTC/VN/NAM/ABT_Baocaotaichinh_2023_Kiemtoan_Hopnhat.pdf" TargetMode="External"/><Relationship Id="rId334" Type="http://schemas.openxmlformats.org/officeDocument/2006/relationships/hyperlink" Target="https://static2.vietstock.vn/data/UPCOM/2022/BCTC/VN/NAM/ILC_Baocaotaichinh_2022_Kiemtoan_Hopnhat.pdf" TargetMode="External"/><Relationship Id="rId541" Type="http://schemas.openxmlformats.org/officeDocument/2006/relationships/hyperlink" Target="https://static2.vietstock.vn/data/HNX/2022/BCTC/VN/NAM/PGS_Baocaotaichinh_2022_Kiemtoan_Hopnhat/2_pgs_2023_3_28_b5b1783_signed_pgs__fn_31_12_22__consol_vfs.pdf" TargetMode="External"/><Relationship Id="rId639" Type="http://schemas.openxmlformats.org/officeDocument/2006/relationships/hyperlink" Target="https://static2.vietstock.vn/data/HNX/2021/BCTC/VN/NAM/PVL_Baocaotaichinh_2021_Kiemtoan_Hopnhat.pdf" TargetMode="External"/><Relationship Id="rId1171" Type="http://schemas.openxmlformats.org/officeDocument/2006/relationships/hyperlink" Target="https://static2.vietstock.vn/data/HOSE/2021/BCTC/VN/NAM/DHM_Baocaotaichinh_2021_Kiemtoan.PDF" TargetMode="External"/><Relationship Id="rId1269" Type="http://schemas.openxmlformats.org/officeDocument/2006/relationships/hyperlink" Target="https://static2.vietstock.vn/data/HOSE/2023/BCTC/VN/NAM/GIL_Baocaotaichinh_2023_Kiemtoan_Hopnhat.pdf" TargetMode="External"/><Relationship Id="rId1476" Type="http://schemas.openxmlformats.org/officeDocument/2006/relationships/hyperlink" Target="https://static2.vietstock.vn/data/HOSE/2023/BCTC/VN/NAM/PDN_Baocaotaichinh_2023_Kiemtoan.pdf" TargetMode="External"/><Relationship Id="rId401" Type="http://schemas.openxmlformats.org/officeDocument/2006/relationships/hyperlink" Target="https://static2.vietstock.vn/data/HNX/2022/BCTC/VN/NAM/LBE_Baocaotaichinh_2022_Kiemtoan.pdf" TargetMode="External"/><Relationship Id="rId846" Type="http://schemas.openxmlformats.org/officeDocument/2006/relationships/hyperlink" Target="https://static2.vietstock.vn/data/HNX/2021/BCTC/VN/NAM/TMX_Baocaotaichinh_2021_Kiemtoan.pdf" TargetMode="External"/><Relationship Id="rId1031" Type="http://schemas.openxmlformats.org/officeDocument/2006/relationships/hyperlink" Target="https://static2.vietstock.vn/data/HOSE/2022/BCTC/VN/NAM/BHN_Baocaotaichinh_2022_Kiemtoan_Hopnhat.pdf" TargetMode="External"/><Relationship Id="rId1129" Type="http://schemas.openxmlformats.org/officeDocument/2006/relationships/hyperlink" Target="https://static2.vietstock.vn/data/HOSE/2021/BCTC/VN/NAM/CTF_Baocaotaichinh_2021_Kiemtoan_Hopnhat.pdf" TargetMode="External"/><Relationship Id="rId1683" Type="http://schemas.openxmlformats.org/officeDocument/2006/relationships/hyperlink" Target="https://static2.vietstock.vn/data/HOSE/2021/BCTC/VN/NAM/TMT_Baocaotaichinh_2021_Kiemtoan_Hopnhat.pdf" TargetMode="External"/><Relationship Id="rId706" Type="http://schemas.openxmlformats.org/officeDocument/2006/relationships/hyperlink" Target="https://static2.vietstock.vn/data/HNX/2022/BCTC/VN/NAM/SD6_Baocaotaichinh_2022_Kiemtoan/2_sd6_2023_4_3_e6cb07f_bao_cao_tai_chinh_kiem_toan_2022__ban_ky.pdf" TargetMode="External"/><Relationship Id="rId913" Type="http://schemas.openxmlformats.org/officeDocument/2006/relationships/hyperlink" Target="https://static2.vietstock.vn/data/HNX/2022/BCTC/VN/NAM/VC7_Baocaotaichinh_2022_Kiemtoan_Hopnhat/1_vc7_2023_3_29_b661acd_vc7bctc_2022_hop_nhat_da_kiem_toan_signature.pdf" TargetMode="External"/><Relationship Id="rId1336" Type="http://schemas.openxmlformats.org/officeDocument/2006/relationships/hyperlink" Target="https://static2.vietstock.vn/data/HOSE/2021/BCTC/VN/NAM/HSG_Baocaotaichinh_2021_Kiemtoan_Hopnhat.pdf" TargetMode="External"/><Relationship Id="rId1543" Type="http://schemas.openxmlformats.org/officeDocument/2006/relationships/hyperlink" Target="https://static2.vietstock.vn/data/HOSE/2022/BCTC/VN/NAM/SBT_Baocaotaichinh_2022_Kiemtoan_Hopnhat.pdf" TargetMode="External"/><Relationship Id="rId1750" Type="http://schemas.openxmlformats.org/officeDocument/2006/relationships/hyperlink" Target="https://static2.vietstock.vn/data/HOSE/2021/BCTC/VN/NAM/VNM_Baocaotaichinh_2021_Kiemtoan_Hopnhat.pdf" TargetMode="External"/><Relationship Id="rId42" Type="http://schemas.openxmlformats.org/officeDocument/2006/relationships/hyperlink" Target="https://static2.vietstock.vn/data/HNX/2022/BCTC/VN/NAM/BCC_Baocaotaichinh_2022_Kiemtoan_Hopnhat.pdf" TargetMode="External"/><Relationship Id="rId1403" Type="http://schemas.openxmlformats.org/officeDocument/2006/relationships/hyperlink" Target="https://static2.vietstock.vn/data/UPCOM/2022/BCTC/VN/QUY%204/KSH_Baocaotaichinh_Q4_2022_Hopnhat/2_ksh_2023_2_2_e4002e0_camscanner_01172023_14_10_1.pdf" TargetMode="External"/><Relationship Id="rId1610" Type="http://schemas.openxmlformats.org/officeDocument/2006/relationships/hyperlink" Target="https://static2.vietstock.vn/data/HOSE/2023/BCTC/VN/NAM/STB_Baocaotaichinh_2023_Kiemtoan_Hopnhat/20240329%20-%20STB%20-%20BCTC%20hop%20nhat%20nam%202023%20da%20kiem%20toan.pdf" TargetMode="External"/><Relationship Id="rId1848" Type="http://schemas.openxmlformats.org/officeDocument/2006/relationships/hyperlink" Target="https://static2.vietstock.vn/data/HOSE/2023/BCTC/VN/NAM/SGN_Baocaotaichinh_2023_Kiemtoan_Hopnhat.pdf" TargetMode="External"/><Relationship Id="rId191" Type="http://schemas.openxmlformats.org/officeDocument/2006/relationships/hyperlink" Target="https://static2.vietstock.vn/data/HNX/2023/BCTC/VN/NAM/DIH_Baocaotaichinh_2023_Kiemtoan/3_dih_2024_4_3_d785d17_dihbctc_da_kiem_toan_nam_2023.pdf" TargetMode="External"/><Relationship Id="rId1708" Type="http://schemas.openxmlformats.org/officeDocument/2006/relationships/hyperlink" Target="https://static2.vietstock.vn/data/HOSE/2022/BCTC/VN/NAM/TVS_Baocaotaichinh_2022_Kiemtoan_Hopnhat.pdf" TargetMode="External"/><Relationship Id="rId289" Type="http://schemas.openxmlformats.org/officeDocument/2006/relationships/hyperlink" Target="https://static2.vietstock.vn/data/HNX/2022/BCTC/VN/NAM/HLD_Baocaotaichinh_2022_Kiemtoan/2_hld_2023_3_2_adafe66_hld_bctc_nam_2022_sx_signed_hnx.pdf" TargetMode="External"/><Relationship Id="rId496" Type="http://schemas.openxmlformats.org/officeDocument/2006/relationships/hyperlink" Target="https://static2.vietstock.vn/data/HOSE/2022/BCTC/VN/NAM/NHA_Baocaotaichinh_2022_Kiemtoan.pdf" TargetMode="External"/><Relationship Id="rId149" Type="http://schemas.openxmlformats.org/officeDocument/2006/relationships/hyperlink" Target="https://static2.vietstock.vn/data/HOSE/2023/BCTC/VN/NAM/CVT_Baocaotaichinh_2023_Kiemtoan_Hopnhat.pdf" TargetMode="External"/><Relationship Id="rId356" Type="http://schemas.openxmlformats.org/officeDocument/2006/relationships/hyperlink" Target="https://miraejsc.com/upload/files/financial-report(98).pdf" TargetMode="External"/><Relationship Id="rId563" Type="http://schemas.openxmlformats.org/officeDocument/2006/relationships/hyperlink" Target="https://static2.vietstock.vn/data/HNX/2023/BCTC/VN/NAM/PJC_Baocaotaichinh_2023_Kiemtoan.pdf" TargetMode="External"/><Relationship Id="rId770" Type="http://schemas.openxmlformats.org/officeDocument/2006/relationships/hyperlink" Target="https://static2.vietstock.vn/data/HNX/2023/BCTC/VN/NAM/SHS_Baocaotaichinh_2023_Kiemtoan.pdf" TargetMode="External"/><Relationship Id="rId1193" Type="http://schemas.openxmlformats.org/officeDocument/2006/relationships/hyperlink" Target="https://static2.vietstock.vn/data/HOSE/2022/BCTC/VN/NAM/DQC_Baocaotaichinh_2022_Kiemtoan_Hopnhat.pdf" TargetMode="External"/><Relationship Id="rId216" Type="http://schemas.openxmlformats.org/officeDocument/2006/relationships/hyperlink" Target="https://static2.vietstock.vn/data/HNX/2021/BCTC/VN/NAM/DXP_Baocaotaichinh_2021_Kiemtoan.pdf" TargetMode="External"/><Relationship Id="rId423" Type="http://schemas.openxmlformats.org/officeDocument/2006/relationships/hyperlink" Target="https://static2.vietstock.vn/data/UPCOM/2022/BCTC/VN/NAM/LTC_Baocaotaichinh_2022_Kiemtoan_Hopnhat.pdf" TargetMode="External"/><Relationship Id="rId868" Type="http://schemas.openxmlformats.org/officeDocument/2006/relationships/hyperlink" Target="https://static2.vietstock.vn/data/HOSE/2022/BCTC/VN/NAM/TV2_Baocaotaichinh_2022_Kiemtoan/20230331_20230331%20-%20TV2%20-%20BCTC%20KT%20tong%20hop%202022%20kem%20GT.pdf" TargetMode="External"/><Relationship Id="rId1053" Type="http://schemas.openxmlformats.org/officeDocument/2006/relationships/hyperlink" Target="https://static2.vietstock.vn/data/HOSE/2021/BCTC/VN/NAM/BTP_Baocaotaichinh_2021_Kiemtoan.pdf" TargetMode="External"/><Relationship Id="rId1260" Type="http://schemas.openxmlformats.org/officeDocument/2006/relationships/hyperlink" Target="https://static2.vietstock.vn/data/HOSE/2023/BCTC/VN/NAM/FTS_Baocaotaichinh_2023_Kiemtoan.pdf" TargetMode="External"/><Relationship Id="rId1498" Type="http://schemas.openxmlformats.org/officeDocument/2006/relationships/hyperlink" Target="https://static2.vietstock.vn/data/HOSE/2023/BCTC/VN/NAM/PNJ_Baocaotaichinh_2023_Kiemtoan_Hopnhat.pdf" TargetMode="External"/><Relationship Id="rId630" Type="http://schemas.openxmlformats.org/officeDocument/2006/relationships/hyperlink" Target="https://static2.vietstock.vn/data/UPCOM/2021/BCTC/VN/NAM/PVE_Baocaotaichinh_2021_Kiemtoan_Hopnhat.pdf" TargetMode="External"/><Relationship Id="rId728" Type="http://schemas.openxmlformats.org/officeDocument/2006/relationships/hyperlink" Target="https://static2.vietstock.vn/data/HNX/2023/BCTC/VN/NAM/SDN_Baocaotaichinh_2023_Kiemtoan.pdf" TargetMode="External"/><Relationship Id="rId935" Type="http://schemas.openxmlformats.org/officeDocument/2006/relationships/hyperlink" Target="https://static2.vietstock.vn/data/HNX/2023/BCTC/VN/NAM/VDL_Baocaotaichinh_2023_Kiemtoan_Hopnhat.pdf" TargetMode="External"/><Relationship Id="rId1358" Type="http://schemas.openxmlformats.org/officeDocument/2006/relationships/hyperlink" Target="https://static2.vietstock.vn/data/HOSE/2022/BCTC/VN/NAM/HVX_Baocaotaichinh_2022_Kiemtoan/20230331_-_HVX_-_BCTC_kiem_toan_nam_2022.pdf" TargetMode="External"/><Relationship Id="rId1565" Type="http://schemas.openxmlformats.org/officeDocument/2006/relationships/hyperlink" Target="https://static2.vietstock.vn/data/HOSE/2023/BCTC/VN/NAM/SGT_Baocaotaichinh_2023_Kiemtoan_Hopnhat.pdf" TargetMode="External"/><Relationship Id="rId1772" Type="http://schemas.openxmlformats.org/officeDocument/2006/relationships/hyperlink" Target="https://static2.vietstock.vn/data/HOSE/2022/BCTC/VN/NAM/VSH_Baocaotaichinh_2022_Kiemtoan_Hopnhat.pdf" TargetMode="External"/><Relationship Id="rId64" Type="http://schemas.openxmlformats.org/officeDocument/2006/relationships/hyperlink" Target="https://static2.vietstock.vn/data/HOSE/2021/BCTC/VN/NAM/BTT_Baocaotaichinh_2021_Kiemtoan_Hopnhat.pdf" TargetMode="External"/><Relationship Id="rId1120" Type="http://schemas.openxmlformats.org/officeDocument/2006/relationships/hyperlink" Target="https://static2.vietstock.vn/data/HOSE/2021/BCTC/VN/NAM/CSM_Baocaotaichinh_2021_Kiemtoan.pdf" TargetMode="External"/><Relationship Id="rId1218" Type="http://schemas.openxmlformats.org/officeDocument/2006/relationships/hyperlink" Target="https://static2.vietstock.vn/data/HOSE/2023/BCTC/VN/NAM/DVP_Baocaotaichinh_2023_Kiemtoan.pdf" TargetMode="External"/><Relationship Id="rId1425" Type="http://schemas.openxmlformats.org/officeDocument/2006/relationships/hyperlink" Target="https://static2.vietstock.vn/data/HOSE/2023/BCTC/VN/NAM/LSS_Baocaotaichinh_2023_Kiemtoan_Hopnhat.pdf" TargetMode="External"/><Relationship Id="rId1632" Type="http://schemas.openxmlformats.org/officeDocument/2006/relationships/hyperlink" Target="https://static2.vietstock.vn/data/HOSE/2021/BCTC/VN/NAM/TBC_Baocaotaichinh_2021_Kiemtoan_Hopnhat.pdf" TargetMode="External"/><Relationship Id="rId280" Type="http://schemas.openxmlformats.org/officeDocument/2006/relationships/hyperlink" Target="https://static2.vietstock.vn/data/UPCOM/2022/BCTC/VN/NAM/HKB_Baocaotaichinh_2022_Kiemtoan_Hopnhat/2_hkb_2023_3_30_cd82ad1_1_bctc_hop_nhat_da_kiem_toan_nam_2022.pdf" TargetMode="External"/><Relationship Id="rId140" Type="http://schemas.openxmlformats.org/officeDocument/2006/relationships/hyperlink" Target="https://static2.vietstock.vn/data/HOSE/2023/BCTC/VN/NAM/CTS_Baocaotaichinh_2023_Kiemtoan.pdf" TargetMode="External"/><Relationship Id="rId378" Type="http://schemas.openxmlformats.org/officeDocument/2006/relationships/hyperlink" Target="https://static2.vietstock.vn/data/HNX/2021/BCTC/VN/NAM/L14_Baocaotaichinh_2021_Kiemtoan_Hopnhat.pdf" TargetMode="External"/><Relationship Id="rId585" Type="http://schemas.openxmlformats.org/officeDocument/2006/relationships/hyperlink" Target="https://static2.vietstock.vn/data/HNX/2021/BCTC/VN/NAM/PPP_Baocaotaichinh_2021_Kiemtoan_Hopnhat.pdf" TargetMode="External"/><Relationship Id="rId792" Type="http://schemas.openxmlformats.org/officeDocument/2006/relationships/hyperlink" Target="https://static2.vietstock.vn/data/HNX/2021/BCTC/VN/NAM/STC_Baocaotaichinh_2021_Kiemtoan_Hopnhat.pdf" TargetMode="External"/><Relationship Id="rId6" Type="http://schemas.openxmlformats.org/officeDocument/2006/relationships/hyperlink" Target="https://static2.vietstock.vn/data/UPCOM/2023/BCTC/VN/NAM/ACM_Baocaotaichinh_2023_Kiemtoan.pdf" TargetMode="External"/><Relationship Id="rId238" Type="http://schemas.openxmlformats.org/officeDocument/2006/relationships/hyperlink" Target="https://static2.vietstock.vn/data/UPCOM/2022/BCTC/VN/NAM/G20_Baocaotaichinh_2022_Kiemtoan.pdf" TargetMode="External"/><Relationship Id="rId445" Type="http://schemas.openxmlformats.org/officeDocument/2006/relationships/hyperlink" Target="https://static2.vietstock.vn/data/HNX/2021/BCTC/VN/NAM/MCO_Baocaotaichinh_2021_Kiemtoan/1_mco_2022_4_5_411bd52_bao_cao_tai_chinh_tong_hop_nam_2021.pdf" TargetMode="External"/><Relationship Id="rId652" Type="http://schemas.openxmlformats.org/officeDocument/2006/relationships/hyperlink" Target="https://static2.vietstock.vn/data/UPCOM/2022/BCTC/VN/NAM/PVX_Baocaotaichinh_2022_Kiemtoan_Hopnhat/2_pvx_2023_3_31_8f6322f_bao_cao_tai_chinh_hop_nhat_2022_1.PDF" TargetMode="External"/><Relationship Id="rId1075" Type="http://schemas.openxmlformats.org/officeDocument/2006/relationships/hyperlink" Target="https://static2.vietstock.vn/data/HOSE/2022/BCTC/VN/NAM/CCL_Baocaotaichinh_2022_Kiemtoan_Hopnhat.pdf" TargetMode="External"/><Relationship Id="rId1282" Type="http://schemas.openxmlformats.org/officeDocument/2006/relationships/hyperlink" Target="https://static2.vietstock.vn/data/HOSE/2021/BCTC/VN/NAM/HAH_Baocaotaichinh_2021_Kiemtoan_Hopnhat.pdf" TargetMode="External"/><Relationship Id="rId305" Type="http://schemas.openxmlformats.org/officeDocument/2006/relationships/hyperlink" Target="https://static2.vietstock.vn/data/UPCOM/2023/BCTC/VN/NAM/HAC_Baocaotaichinh_2023_Kiemtoan/1_hac_2024_3_27_1dc36dd_haseco_baocaotaichinhkiemtoannam2023_1.pdf" TargetMode="External"/><Relationship Id="rId512" Type="http://schemas.openxmlformats.org/officeDocument/2006/relationships/hyperlink" Target="https://static2.vietstock.vn/data/HNX/2023/BCTC/VN/NAM/ONE_Baocaotaichinh_2023_Kiemtoan/1_one_2024_4_2_046b48a_bctc_nam_2023_da_kiem_toan_signature.pdf" TargetMode="External"/><Relationship Id="rId957" Type="http://schemas.openxmlformats.org/officeDocument/2006/relationships/hyperlink" Target="https://static2.vietstock.vn/data/HOSE/2021/BCTC/VN/NAM/VGC_Baocaotaichinh_2021_Kiemtoan_Hopnhat.pdf" TargetMode="External"/><Relationship Id="rId1142" Type="http://schemas.openxmlformats.org/officeDocument/2006/relationships/hyperlink" Target="https://static2.vietstock.vn/data/HOSE/2022/BCTC/VN/NAM/D2D_Baocaotaichinh_2022_Kiemtoan.pdf" TargetMode="External"/><Relationship Id="rId1587" Type="http://schemas.openxmlformats.org/officeDocument/2006/relationships/hyperlink" Target="https://static2.vietstock.vn/data/HOSE/2021/BCTC/VN/NAM/SMC_Baocaotaichinh_2021_Kiemtoan_Hopnhat.pdf" TargetMode="External"/><Relationship Id="rId1794" Type="http://schemas.openxmlformats.org/officeDocument/2006/relationships/hyperlink" Target="https://static2.vietstock.vn/data/HOSE/2023/BCTC/VN/NAM/MSB_Baocaotaichinh_2023_Kiemtoan_Hopnhat.pdf" TargetMode="External"/><Relationship Id="rId86" Type="http://schemas.openxmlformats.org/officeDocument/2006/relationships/hyperlink" Target="https://static2.vietstock.vn/data/HNX/2022/BCTC/VN/NAM/CAN_Baocaotaichinh_2022_Kiemtoan_Hopnhat.pdf" TargetMode="External"/><Relationship Id="rId817" Type="http://schemas.openxmlformats.org/officeDocument/2006/relationships/hyperlink" Target="https://static2.vietstock.vn/data/HNX/2022/BCTC/VN/NAM/TET_Baocaotaichinh_2022_Kiemtoan/2_tet_2023_4_4_949e1f2_bao_cao_tai_chinh_kt_2022.pdf" TargetMode="External"/><Relationship Id="rId1002" Type="http://schemas.openxmlformats.org/officeDocument/2006/relationships/hyperlink" Target="https://static2.vietstock.vn/data/HOSE/2021/BCTC/VN/NAM/ANV_Baocaotaichinh_2021_Kiemtoan_Hopnhat.pdf" TargetMode="External"/><Relationship Id="rId1447" Type="http://schemas.openxmlformats.org/officeDocument/2006/relationships/hyperlink" Target="https://static2.vietstock.vn/data/HOSE/2021/BCTC/VN/NAM/NKG_Baocaotaichinh_2021_Kiemtoan_Hopnhat.pdf" TargetMode="External"/><Relationship Id="rId1654" Type="http://schemas.openxmlformats.org/officeDocument/2006/relationships/hyperlink" Target="https://static2.vietstock.vn/data/HOSE/2022/BCTC/VN/NAM/TDC_Baocaotaichinh_2022_Kiemtoan_Hopnhat.pdf" TargetMode="External"/><Relationship Id="rId1861" Type="http://schemas.openxmlformats.org/officeDocument/2006/relationships/hyperlink" Target="https://static2.vietstock.vn/data/HOSE/2021/BCTC/VN/NAM/VPD_Baocaotaichinh_2021_Kiemtoan.pdf" TargetMode="External"/><Relationship Id="rId1307" Type="http://schemas.openxmlformats.org/officeDocument/2006/relationships/hyperlink" Target="https://static2.vietstock.vn/data/HOSE/2022/BCTC/VN/NAM/HDG_Baocaotaichinh_2022_Kiemtoan_Hopnhat.pdf" TargetMode="External"/><Relationship Id="rId1514" Type="http://schemas.openxmlformats.org/officeDocument/2006/relationships/hyperlink" Target="https://static2.vietstock.vn/data/HOSE/2023/BCTC/VN/NAM/PVT_Baocaotaichinh_2023_Kiemtoan_Hopnhat.pdf" TargetMode="External"/><Relationship Id="rId1721" Type="http://schemas.openxmlformats.org/officeDocument/2006/relationships/hyperlink" Target="https://static2.vietstock.vn/data/HOSE/2023/BCTC/VN/NAM/VCB_Baocaotaichinh_2023_Kiemtoan_Hopnhat.pdf" TargetMode="External"/><Relationship Id="rId13" Type="http://schemas.openxmlformats.org/officeDocument/2006/relationships/hyperlink" Target="https://static2.vietstock.vn/data/HNX/2021/BCTC/VN/NAM/AMC_Baocaotaichinh_2021_Kiemtoan.pdf" TargetMode="External"/><Relationship Id="rId1819" Type="http://schemas.openxmlformats.org/officeDocument/2006/relationships/hyperlink" Target="https://static2.vietstock.vn/data/HOSE/2021/BCTC/VN/NAM/VIB_Baocaotaichinh_2021_Kiemtoan_Hopnhat.pdf" TargetMode="External"/><Relationship Id="rId162" Type="http://schemas.openxmlformats.org/officeDocument/2006/relationships/hyperlink" Target="https://static2.vietstock.vn/data/HOSE/2021/BCTC/VN/NAM/DBC_Baocaotaichinh_2021_Kiemtoan_Hopnhat.pdf" TargetMode="External"/><Relationship Id="rId467" Type="http://schemas.openxmlformats.org/officeDocument/2006/relationships/hyperlink" Target="https://static2.vietstock.vn/data/UPCOM/2021/BCTC/VN/NAM/MLS_Baocaotaichinh_2021_Kiemtoan.pdf" TargetMode="External"/><Relationship Id="rId1097" Type="http://schemas.openxmlformats.org/officeDocument/2006/relationships/hyperlink" Target="https://static2.vietstock.vn/data/HOSE/2022/BCTC/VN/NAM/CLW_Baocaotaichinh_2022_Kiemtoan/20230323_20230322%20-%20CLW%20-%20BCTC%20KT%202022%20VA%20BAN%20GIAI%20TRINH.pdf" TargetMode="External"/><Relationship Id="rId674" Type="http://schemas.openxmlformats.org/officeDocument/2006/relationships/hyperlink" Target="https://static2.vietstock.vn/data/HNX/2023/BCTC/VN/NAM/S55_Baocaotaichinh_2023_Kiemtoan_Hopnhat/2_s55_2024_3_21_657f8da_bctc_2023__hop_nhat.pdf" TargetMode="External"/><Relationship Id="rId881" Type="http://schemas.openxmlformats.org/officeDocument/2006/relationships/hyperlink" Target="https://static2.vietstock.vn/data/HNX/2023/BCTC/VN/NAM/TVD_Baocaotaichinh_2023_Kiemtoan_1.pdf" TargetMode="External"/><Relationship Id="rId979" Type="http://schemas.openxmlformats.org/officeDocument/2006/relationships/hyperlink" Target="http://static2.vietstock.vn/data/HOSE/2022/BCTC/VN/NAM/AAA_Baocaotaichinh_2022_Kiemtoan_Hopnhat.pdf" TargetMode="External"/><Relationship Id="rId327" Type="http://schemas.openxmlformats.org/officeDocument/2006/relationships/hyperlink" Target="https://static2.vietstock.vn/data/HNX/2021/BCTC/VN/NAM/IDJ_Baocaotaichinh_2021_Kiemtoan_Hopnhat.pdf" TargetMode="External"/><Relationship Id="rId534" Type="http://schemas.openxmlformats.org/officeDocument/2006/relationships/hyperlink" Target="https://static2.vietstock.vn/data/HNX/2021/BCTC/VN/NAM/PDC_Baocaotaichinh_2021_Kiemtoan.pdf" TargetMode="External"/><Relationship Id="rId741" Type="http://schemas.openxmlformats.org/officeDocument/2006/relationships/hyperlink" Target="https://static2.vietstock.vn/data/HNX/2021/BCTC/VN/NAM/SEB_Baocaotaichinh_2021_Kiemtoan_Hopnhat.pdf" TargetMode="External"/><Relationship Id="rId839" Type="http://schemas.openxmlformats.org/officeDocument/2006/relationships/hyperlink" Target="https://static2.vietstock.vn/data/HNX/2023/BCTC/VN/NAM/TKU_Baocaotaichinh_2023_Kiemtoan/2_tku_2024_3_27_42a7842_bc_tai_chinh_2023.pdf" TargetMode="External"/><Relationship Id="rId1164" Type="http://schemas.openxmlformats.org/officeDocument/2006/relationships/hyperlink" Target="https://static2.vietstock.vn/data/HOSE/2023/BCTC/VN/NAM/DHA_Baocaotaichinh_2023_Kiemtoan.pdf" TargetMode="External"/><Relationship Id="rId1371" Type="http://schemas.openxmlformats.org/officeDocument/2006/relationships/hyperlink" Target="https://static2.vietstock.vn/data/HOSE/2023/BCTC/VN/NAM/IMP_Baocaotaichinh_2023_Kiemtoan.pdf" TargetMode="External"/><Relationship Id="rId1469" Type="http://schemas.openxmlformats.org/officeDocument/2006/relationships/hyperlink" Target="https://static2.vietstock.vn/data/HOSE/2022/BCTC/VN/NAM/PAN_Baocaotaichinh_2022_Kiemtoan_Hopnhat.pdf" TargetMode="External"/><Relationship Id="rId601" Type="http://schemas.openxmlformats.org/officeDocument/2006/relationships/hyperlink" Target="https://static2.vietstock.vn/data/HNX/2022/BCTC/VN/NAM/PSD_Baocaotaichinh_2022_Kiemtoan_Hopnhat.pdf" TargetMode="External"/><Relationship Id="rId1024" Type="http://schemas.openxmlformats.org/officeDocument/2006/relationships/hyperlink" Target="https://static2.vietstock.vn/data/HOSE/2022/BCTC/VN/NAM/BCG_Baocaotaichinh_2022_Kiemtoan_Hopnhat.pdf" TargetMode="External"/><Relationship Id="rId1231" Type="http://schemas.openxmlformats.org/officeDocument/2006/relationships/hyperlink" Target="https://static2.vietstock.vn/data/HOSE/2021/BCTC/VN/NAM/EVE_Baocaotaichinh_2021_Kiemtoan_Hopnhat.pdf" TargetMode="External"/><Relationship Id="rId1676" Type="http://schemas.openxmlformats.org/officeDocument/2006/relationships/hyperlink" Target="https://static2.vietstock.vn/data/HOSE/2023/BCTC/VN/NAM/TLH_Baocaotaichinh_2023_Kiemtoan_Hopnhat.pdf" TargetMode="External"/><Relationship Id="rId906" Type="http://schemas.openxmlformats.org/officeDocument/2006/relationships/hyperlink" Target="https://static2.vietstock.vn/data/HNX/2021/BCTC/VN/NAM/VC3_Baocaotaichinh_2021_Kiemtoan_Hopnhat.pdf" TargetMode="External"/><Relationship Id="rId1329" Type="http://schemas.openxmlformats.org/officeDocument/2006/relationships/hyperlink" Target="https://static2.vietstock.vn/data/HOSE/2023/BCTC/VN/NAM/HPG_Baocaotaichinh_2023_Kiemtoan_Hopnhat.pdf" TargetMode="External"/><Relationship Id="rId1536" Type="http://schemas.openxmlformats.org/officeDocument/2006/relationships/hyperlink" Target="https://static2.vietstock.vn/data/HOSE/2021/BCTC/VN/NAM/SAV_Baocaotaichinh_2021_Kiemtoan_DieuChinh.pdf" TargetMode="External"/><Relationship Id="rId1743" Type="http://schemas.openxmlformats.org/officeDocument/2006/relationships/hyperlink" Target="https://cafef.vn/du-lieu/bao-cao-tai-chinh/vmd/incsta/2023/0/0/0/bao-cao-tai-chinh-.chn" TargetMode="External"/><Relationship Id="rId35" Type="http://schemas.openxmlformats.org/officeDocument/2006/relationships/hyperlink" Target="https://static2.vietstock.vn/data/HNX/2022/BCTC/VN/NAM/ATS_Baocaotaichinh_2022_Kiemtoan/2_ats_2023_3_29_b5bc9e8_ats_cbtt_bctc_kiem_toan_2022_da_ky.pdf" TargetMode="External"/><Relationship Id="rId1603" Type="http://schemas.openxmlformats.org/officeDocument/2006/relationships/hyperlink" Target="https://static2.vietstock.vn/data/HOSE/2022/BCTC/VN/NAM/SSI_Baocaotaichinh_2022_Kiemtoan_Hopnhat.pdf" TargetMode="External"/><Relationship Id="rId1810" Type="http://schemas.openxmlformats.org/officeDocument/2006/relationships/hyperlink" Target="https://static2.vietstock.vn/data/HOSE/2021/BCTC/VN/NAM/TCB_Baocaotaichinh_2021_Kiemtoan_Hopnhat.pdf" TargetMode="External"/><Relationship Id="rId184" Type="http://schemas.openxmlformats.org/officeDocument/2006/relationships/hyperlink" Target="https://static2.vietstock.vn/data/UPCOM/2022/BCTC/VN/NAM/DTH_Baocaotaichinh_2022_Kiemtoan.pdf" TargetMode="External"/><Relationship Id="rId391" Type="http://schemas.openxmlformats.org/officeDocument/2006/relationships/hyperlink" Target="https://static2.vietstock.vn/data/HNX/2021/BCTC/VN/NAM/L61_Baocaotaichinh_2021_Kiemtoan/1_l61_2022_3_30_97586f1_bao_cao_tai_chinh_nam_2021_da_duoc_kiem_toan.pdf" TargetMode="External"/><Relationship Id="rId251" Type="http://schemas.openxmlformats.org/officeDocument/2006/relationships/hyperlink" Target="https://static2.vietstock.vn/data/HNX/2023/BCTC/VN/NAM/HAT_Baocaotaichinh_2023_Kiemtoan.pdf" TargetMode="External"/><Relationship Id="rId489" Type="http://schemas.openxmlformats.org/officeDocument/2006/relationships/hyperlink" Target="https://static2.vietstock.vn/data/HNX/2022/BCTC/VN/NAM/NET_Baocaotaichinh_2022_Kiemtoan/2_net_2023_3_3_7285459_20230301_net_bao_cao_tai_chinh_kiem_toan_2022_signed.pdf" TargetMode="External"/><Relationship Id="rId696" Type="http://schemas.openxmlformats.org/officeDocument/2006/relationships/hyperlink" Target="https://static2.vietstock.vn/data/HNX/2021/BCTC/VN/NAM/SD2_Baocaotaichinh_2021_Kiemtoan_Hopnhat.pdf" TargetMode="External"/><Relationship Id="rId349" Type="http://schemas.openxmlformats.org/officeDocument/2006/relationships/hyperlink" Target="https://static2.vietstock.vn/data/HNX/2022/BCTC/VN/NAM/KDM_Baocaotaichinh_2022_Kiemtoan.pdf" TargetMode="External"/><Relationship Id="rId556" Type="http://schemas.openxmlformats.org/officeDocument/2006/relationships/hyperlink" Target="https://static2.vietstock.vn/data/HNX/2022/BCTC/VN/NAM/PIC_Baocaotaichinh_2022_Kiemtoan/1_pic_2023_2_23_10274f0_picbctc_nam_2022_sau_kt.pdf" TargetMode="External"/><Relationship Id="rId763" Type="http://schemas.openxmlformats.org/officeDocument/2006/relationships/hyperlink" Target="https://drive.google.com/file/d/1YYMOxQcT2d32VyS0fu8daKKkXcnQ8w5E/view?usp=drive_link" TargetMode="External"/><Relationship Id="rId1186" Type="http://schemas.openxmlformats.org/officeDocument/2006/relationships/hyperlink" Target="https://static2.vietstock.vn/data/HOSE/2021/BCTC/VN/NAM/DPM_Baocaotaichinh_2021_Kiemtoan_Hopnhat.pdf" TargetMode="External"/><Relationship Id="rId1393" Type="http://schemas.openxmlformats.org/officeDocument/2006/relationships/hyperlink" Target="https://static2.vietstock.vn/data/HOSE/2021/BCTC/VN/NAM/KMR_Baocaotaichinh_2021_Kiemtoan.pdf" TargetMode="External"/><Relationship Id="rId111" Type="http://schemas.openxmlformats.org/officeDocument/2006/relationships/hyperlink" Target="https://static2.vietstock.vn/data/HNX/2023/BCTC/VN/NAM/CLM_Baocaotaichinh_2023_Kiemtoan_1.pdf" TargetMode="External"/><Relationship Id="rId209" Type="http://schemas.openxmlformats.org/officeDocument/2006/relationships/hyperlink" Target="https://static2.vietstock.vn/data/HNX/2023/BCTC/VN/NAM/DP3_Baocaotaichinh_2023_Kiemtoan.pdf" TargetMode="External"/><Relationship Id="rId416" Type="http://schemas.openxmlformats.org/officeDocument/2006/relationships/hyperlink" Target="https://static2.vietstock.vn/data/HNX/2021/BCTC/VN/NAM/LM7_Baocaotaichinh_2021_Kiemtoan/2_lm7_2022_3_26_926c13f_bao_cai_tai_chinh_da_kiem_toan_nam_2021_compressed.pdf" TargetMode="External"/><Relationship Id="rId970" Type="http://schemas.openxmlformats.org/officeDocument/2006/relationships/hyperlink" Target="https://static2.vietstock.vn/data/UPCOM/2022/BCTC/VN/NAM/VIE_Baocaotaichinh_2022_Kiemtoan/2_vie_2023_3_28_489384a_bao_cao_tai_chinh_ket_thuc_nam_2022_signed.pdf" TargetMode="External"/><Relationship Id="rId1046" Type="http://schemas.openxmlformats.org/officeDocument/2006/relationships/hyperlink" Target="https://static2.vietstock.vn/data/HOSE/2023/BCTC/VN/NAM/BMP_Baocaotaichinh_2023_Kiemtoan_Hopnhat.pdf" TargetMode="External"/><Relationship Id="rId1253" Type="http://schemas.openxmlformats.org/officeDocument/2006/relationships/hyperlink" Target="https://static2.vietstock.vn/data/HOSE/2022/BCTC/VN/NAM/FRT_Baocaotaichinh_2022_Kiemtoan_Hopnhat.pdf" TargetMode="External"/><Relationship Id="rId1698" Type="http://schemas.openxmlformats.org/officeDocument/2006/relationships/hyperlink" Target="https://static2.vietstock.vn/data/HOSE/2021/BCTC/VN/NAM/TRC_Baocaotaichinh_2021_Kiemtoan_Hopnhat.pdf" TargetMode="External"/><Relationship Id="rId623" Type="http://schemas.openxmlformats.org/officeDocument/2006/relationships/hyperlink" Target="https://static2.vietstock.vn/data/HNX/2023/BCTC/VN/NAM/PV2_Baocaotaichinh_2023_Kiemtoan/2_pv2_2024_4_2_2ccf25b_bctc_nam_2023_sighed.pdf" TargetMode="External"/><Relationship Id="rId830" Type="http://schemas.openxmlformats.org/officeDocument/2006/relationships/hyperlink" Target="https://static2.vietstock.vn/data/HNX/2023/BCTC/VN/NAM/THT_Baocaotaichinh_2023_Kiemtoan_1.pdf" TargetMode="External"/><Relationship Id="rId928" Type="http://schemas.openxmlformats.org/officeDocument/2006/relationships/hyperlink" Target="https://static2.vietstock.vn/data/UPCOM/2022/BCTC/VN/NAM/VCR_Baocaotaichinh_2022_Kiemtoan/2_vcr_2023_3_2_8e20571_bctc_tong_hop_da_duoc_kiem_toan_nam_2022_signed.pdf" TargetMode="External"/><Relationship Id="rId1460" Type="http://schemas.openxmlformats.org/officeDocument/2006/relationships/hyperlink" Target="https://static2.vietstock.vn/data/HOSE/2022/BCTC/VN/NAM/OGC_Baocaotaichinh_2022_Kiemtoan_Hopnhat.pdf" TargetMode="External"/><Relationship Id="rId1558" Type="http://schemas.openxmlformats.org/officeDocument/2006/relationships/hyperlink" Target="https://static2.vietstock.vn/data/HOSE/2022/BCTC/VN/NAM/SFG_Baocaotaichinh_2022_Kiemtoan.pdf" TargetMode="External"/><Relationship Id="rId1765" Type="http://schemas.openxmlformats.org/officeDocument/2006/relationships/hyperlink" Target="https://static2.vietstock.vn/data/HOSE/2021/BCTC/VN/NAM/VRC_Baocaotaichinh_2021_Kiemtoan_Hopnhat.pdf" TargetMode="External"/><Relationship Id="rId57" Type="http://schemas.openxmlformats.org/officeDocument/2006/relationships/hyperlink" Target="https://static2.vietstock.vn/data/HNX/2023/BCTC/VN/NAM/BKC_Baocaotaichinh_2023_Kiemtoan_1.pdf" TargetMode="External"/><Relationship Id="rId1113" Type="http://schemas.openxmlformats.org/officeDocument/2006/relationships/hyperlink" Target="https://static2.vietstock.vn/data/HOSE/2023/BCTC/VN/NAM/CNG_Baocaotaichinh_2023_Kiemtoan.pdf" TargetMode="External"/><Relationship Id="rId1320" Type="http://schemas.openxmlformats.org/officeDocument/2006/relationships/hyperlink" Target="https://static2.vietstock.vn/data/HOSE/2023/BCTC/VN/NAM/HMC_Baocaotaichinh_2023_Kiemtoan.pdf" TargetMode="External"/><Relationship Id="rId1418" Type="http://schemas.openxmlformats.org/officeDocument/2006/relationships/hyperlink" Target="https://static2.vietstock.vn/data/HOSE/2021/BCTC/VN/NAM/LHG_Baocaotaichinh_2021_Kiemtoan_Hopnhat.pdf" TargetMode="External"/><Relationship Id="rId1625" Type="http://schemas.openxmlformats.org/officeDocument/2006/relationships/hyperlink" Target="https://static2.vietstock.vn/data/HOSE/2023/BCTC/VN/NAM/SVT_Baocaotaichinh_2023_Kiemtoan.pdf" TargetMode="External"/><Relationship Id="rId1832" Type="http://schemas.openxmlformats.org/officeDocument/2006/relationships/hyperlink" Target="https://static2.vietstock.vn/data/HOSE/2022/BCTC/VN/NAM/DPG_Baocaotaichinh_2022_Kiemtoan_Hopnhat.pdf" TargetMode="External"/><Relationship Id="rId273" Type="http://schemas.openxmlformats.org/officeDocument/2006/relationships/hyperlink" Target="https://static2.vietstock.vn/data/HNX/2021/BCTC/VN/NAM/HHG_Baocaotaichinh_2021_Kiemtoan_Hopnhat/2_hhg_2022_3_31_99d2567_bc_hn_hh_21.PDF" TargetMode="External"/><Relationship Id="rId480" Type="http://schemas.openxmlformats.org/officeDocument/2006/relationships/hyperlink" Target="https://static2.vietstock.vn/data/HNX/2022/BCTC/VN/NAM/NBP_Baocaotaichinh_2022_Kiemtoan.pdf" TargetMode="External"/><Relationship Id="rId133" Type="http://schemas.openxmlformats.org/officeDocument/2006/relationships/hyperlink" Target="https://static2.vietstock.vn/data/HNX/2022/BCTC/VN/NAM/CTC_Baocaotaichinh_2022_Kiemtoan/1_ctc_2023_4_4_3ce4c9d_bctc_nam_2022_da_kiem_toan.pdf" TargetMode="External"/><Relationship Id="rId340" Type="http://schemas.openxmlformats.org/officeDocument/2006/relationships/hyperlink" Target="https://static2.vietstock.vn/data/HNX/2022/BCTC/VN/NAM/INN_Baocaotaichinh_2022_Kiemtoan_Hopnhat/2_inn_2023_3_30_7d1c2b5_innbctchop_nhat2022ava_c_signature.pdf" TargetMode="External"/><Relationship Id="rId578" Type="http://schemas.openxmlformats.org/officeDocument/2006/relationships/hyperlink" Target="https://static2.vietstock.vn/data/HNX/2023/BCTC/VN/NAM/PMS_Baocaotaichinh_2023_Kiemtoan_Hopnhat.pdf" TargetMode="External"/><Relationship Id="rId785" Type="http://schemas.openxmlformats.org/officeDocument/2006/relationships/hyperlink" Target="https://static2.vietstock.vn/data/HNX/2023/BCTC/VN/NAM/SPI_Baocaotaichinh_2023_Kiemtoan_Hopnhat/1_spi_2024_4_2_7a1d944_spi_bctc_hn_2023.pdf" TargetMode="External"/><Relationship Id="rId992" Type="http://schemas.openxmlformats.org/officeDocument/2006/relationships/hyperlink" Target="https://static2.vietstock.vn/data/HOSE/2023/BCTC/VN/NAM/ACL_Baocaotaichinh_2023_Kiemtoan_Hopnhat.pdf" TargetMode="External"/><Relationship Id="rId200" Type="http://schemas.openxmlformats.org/officeDocument/2006/relationships/hyperlink" Target="https://static2.vietstock.vn/data/HNX/2023/BCTC/VN/NAM/DNC_Baocaotaichinh_2023_Kiemtoan_1.pdf" TargetMode="External"/><Relationship Id="rId438" Type="http://schemas.openxmlformats.org/officeDocument/2006/relationships/hyperlink" Target="https://static2.vietstock.vn/data/HNX/2023/BCTC/VN/NAM/MBS_Baocaotaichinh_2023_Kiemtoan/1_mbs_2024_2_27_27bd404_mbs_baocaotaichinhkiemtoan2023s.pdf" TargetMode="External"/><Relationship Id="rId645" Type="http://schemas.openxmlformats.org/officeDocument/2006/relationships/hyperlink" Target="https://static2.vietstock.vn/data/HNX/2021/BCTC/VN/NAM/PVS_Baocaotaichinh_2021_Kiemtoan_Hopnhat.PDF" TargetMode="External"/><Relationship Id="rId852" Type="http://schemas.openxmlformats.org/officeDocument/2006/relationships/hyperlink" Target="https://static2.vietstock.vn/data/HNX/2021/BCTC/VN/NAM/TPH_Baocaotaichinh_2021_Kiemtoan.pdf" TargetMode="External"/><Relationship Id="rId1068" Type="http://schemas.openxmlformats.org/officeDocument/2006/relationships/hyperlink" Target="https://static2.vietstock.vn/data/HOSE/2021/BCTC/VN/NAM/CAV_Baocaotaichinh_2021_Kiemtoan_Hopnhat.pdf" TargetMode="External"/><Relationship Id="rId1275" Type="http://schemas.openxmlformats.org/officeDocument/2006/relationships/hyperlink" Target="https://static2.vietstock.vn/data/HOSE/2023/BCTC/VN/NAM/GSP_Baocaotaichinh_2023_Kiemtoan.pdf" TargetMode="External"/><Relationship Id="rId1482" Type="http://schemas.openxmlformats.org/officeDocument/2006/relationships/hyperlink" Target="https://static2.vietstock.vn/data/HOSE/2023/BCTC/VN/NAM/PGC_Baocaotaichinh_2023_Kiemtoan_Hopnhat.pdf" TargetMode="External"/><Relationship Id="rId505" Type="http://schemas.openxmlformats.org/officeDocument/2006/relationships/hyperlink" Target="https://static2.vietstock.vn/data/HNX/2022/BCTC/VN/NAM/NTP_Baocaotaichinh_2022_Kiemtoan_Hopnhat.pdf" TargetMode="External"/><Relationship Id="rId712" Type="http://schemas.openxmlformats.org/officeDocument/2006/relationships/hyperlink" Target="https://static2.vietstock.vn/data/HNX/2022/BCTC/VN/NAM/SD9_Baocaotaichinh_2022_Kiemtoan_Hopnhat/1_sd9_2023_3_24_4f9c60b_bctc_hop_nhat_cho_nam_tai_chinh_ket_thuc_ngay_31_12_2022.pdf" TargetMode="External"/><Relationship Id="rId1135" Type="http://schemas.openxmlformats.org/officeDocument/2006/relationships/hyperlink" Target="https://static2.vietstock.vn/data/HOSE/2021/BCTC/VN/NAM/CTI_Baocaotaichinh_2021_Kiemtoan_Hopnhat.pdf" TargetMode="External"/><Relationship Id="rId1342" Type="http://schemas.openxmlformats.org/officeDocument/2006/relationships/hyperlink" Target="https://static2.vietstock.vn/data/HOSE/2021/BCTC/VN/NAM/HTI_Baocaotaichinh_2021_Kiemtoan.pdf" TargetMode="External"/><Relationship Id="rId1787" Type="http://schemas.openxmlformats.org/officeDocument/2006/relationships/hyperlink" Target="https://static2.vietstock.vn/data/HOSE/2022/BCTC/VN/NAM/HDB_Baocaotaichinh_2022_Kiemtoan_Hopnhat.pdf" TargetMode="External"/><Relationship Id="rId79" Type="http://schemas.openxmlformats.org/officeDocument/2006/relationships/hyperlink" Target="https://static2.vietstock.vn/data/HNX/2021/BCTC/VN/NAM/BXH_Baocaotaichinh_2021_Kiemtoan.PDF" TargetMode="External"/><Relationship Id="rId1202" Type="http://schemas.openxmlformats.org/officeDocument/2006/relationships/hyperlink" Target="https://static2.vietstock.vn/data/HOSE/2022/BCTC/VN/NAM/DRL_Baocaotaichinh_2022_Kiemtoan/7728_20230228-DRL-Bao_cao_tai_chinh_nam_2022.pdf" TargetMode="External"/><Relationship Id="rId1647" Type="http://schemas.openxmlformats.org/officeDocument/2006/relationships/hyperlink" Target="https://static2.vietstock.vn/data/HOSE/2021/BCTC/VN/NAM/TCR_Baocaotaichinh_2021_Kiemtoan_Hopnhat.pdf" TargetMode="External"/><Relationship Id="rId1854" Type="http://schemas.openxmlformats.org/officeDocument/2006/relationships/hyperlink" Target="https://static2.vietstock.vn/data/HOSE/2023/BCTC/VN/NAM/SMB_Baocaotaichinh_2023_Kiemtoan_Hopnhat.pdf" TargetMode="External"/><Relationship Id="rId1507" Type="http://schemas.openxmlformats.org/officeDocument/2006/relationships/hyperlink" Target="https://static2.vietstock.vn/data/HOSE/2022/BCTC/VN/NAM/PTL_Baocaotaichinh_2022_Kiemtoan_Hopnhat.pdf" TargetMode="External"/><Relationship Id="rId1714" Type="http://schemas.openxmlformats.org/officeDocument/2006/relationships/hyperlink" Target="https://static2.vietstock.vn/data/HOSE/2022/BCTC/VN/NAM/UIC_Baocaotaichinh_2022_Kiemtoan.pdf" TargetMode="External"/><Relationship Id="rId295" Type="http://schemas.openxmlformats.org/officeDocument/2006/relationships/hyperlink" Target="https://static2.vietstock.vn/data/HNX/2022/BCTC/VN/NAM/HMH_Baocaotaichinh_2022_Kiemtoan_Hopnhat/3_hmh_2023_3_29_95c129c_bctc_hop_nhat_2022_hmh__signed.pdf" TargetMode="External"/><Relationship Id="rId155" Type="http://schemas.openxmlformats.org/officeDocument/2006/relationships/hyperlink" Target="https://static2.vietstock.vn/data/HNX/2023/BCTC/VN/NAM/D11_Baocaotaichinh_2023_Kiemtoan.pdf" TargetMode="External"/><Relationship Id="rId362" Type="http://schemas.openxmlformats.org/officeDocument/2006/relationships/hyperlink" Target="https://static2.vietstock.vn/data/HNX/2023/BCTC/VN/NAM/KSD_Baocaotaichinh_2023_Kiemtoan.pdf" TargetMode="External"/><Relationship Id="rId1297" Type="http://schemas.openxmlformats.org/officeDocument/2006/relationships/hyperlink" Target="https://finance.vietstock.vn/hcd/tai-tai-lieu.htm" TargetMode="External"/><Relationship Id="rId222" Type="http://schemas.openxmlformats.org/officeDocument/2006/relationships/hyperlink" Target="https://static2.vietstock.vn/data/HNX/2021/BCTC/VN/NAM/EBS_Baocaotaichinh_2021_Kiemtoan_Hopnhat.pdf" TargetMode="External"/><Relationship Id="rId667" Type="http://schemas.openxmlformats.org/officeDocument/2006/relationships/hyperlink" Target="https://static2.vietstock.vn/data/HNX/2022/BCTC/VN/NAM/QTC_Baocaotaichinh_2022_Kiemtoan_Hopnhat.pdf" TargetMode="External"/><Relationship Id="rId874" Type="http://schemas.openxmlformats.org/officeDocument/2006/relationships/hyperlink" Target="https://static2.vietstock.vn/data/HNX/2022/BCTC/VN/NAM/TV4_Baocaotaichinh_2022_Kiemtoan.pdf" TargetMode="External"/><Relationship Id="rId527" Type="http://schemas.openxmlformats.org/officeDocument/2006/relationships/hyperlink" Target="https://static2.vietstock.vn/data/UPCOM/2023/BCTC/VN/NAM/PCN_Baocaotaichinh_2023_Kiemtoan/1_pcn_2024_4_2_e954137_bctc_kiem_toan_nam_2023_dmc_da_ky_so.pdf" TargetMode="External"/><Relationship Id="rId734" Type="http://schemas.openxmlformats.org/officeDocument/2006/relationships/hyperlink" Target="https://static2.vietstock.vn/data/UPCOM/2023/BCTC/VN/NAM/SDT_Baocaotaichinh_2023_Kiemtoan_Hopnhat.pdf" TargetMode="External"/><Relationship Id="rId941" Type="http://schemas.openxmlformats.org/officeDocument/2006/relationships/hyperlink" Target="https://static2.vietstock.vn/data/HNX/2023/BCTC/VN/NAM/VE1_Baocaotaichinh_2023_Kiemtoan/1_ve1_2024_3_29_521b724_da_ky_so__bao_cao_tai_chinh_nam_2023_kiem_toan.pdf" TargetMode="External"/><Relationship Id="rId1157" Type="http://schemas.openxmlformats.org/officeDocument/2006/relationships/hyperlink" Target="https://static2.vietstock.vn/data/HOSE/2022/BCTC/VN/NAM/DCM_Baocaotaichinh_2022_Kiemtoan_Hopnhat.pdf" TargetMode="External"/><Relationship Id="rId1364" Type="http://schemas.openxmlformats.org/officeDocument/2006/relationships/hyperlink" Target="https://static2.vietstock.vn/data/HOSE/2022/BCTC/VN/NAM/IDI_Baocaotaichinh_2022_Kiemtoan_Hopnhat.pdf" TargetMode="External"/><Relationship Id="rId1571" Type="http://schemas.openxmlformats.org/officeDocument/2006/relationships/hyperlink" Target="https://static2.vietstock.vn/data/HOSE/2023/BCTC/VN/NAM/SHI_Baocaotaichinh_2023_Kiemtoan_Hopnhat.pdf" TargetMode="External"/><Relationship Id="rId70" Type="http://schemas.openxmlformats.org/officeDocument/2006/relationships/hyperlink" Target="http://static2.vietstock.vn/data/UPCOM/2021/BCTC/VN/NAM/BTH_Baocaotaichinh_2021_Kiemtoan.pdf" TargetMode="External"/><Relationship Id="rId801" Type="http://schemas.openxmlformats.org/officeDocument/2006/relationships/hyperlink" Target="https://static2.vietstock.vn/data/HNX/2021/BCTC/VN/NAM/TA9_Baocaotaichinh_2021_Kiemtoan.pdf" TargetMode="External"/><Relationship Id="rId1017" Type="http://schemas.openxmlformats.org/officeDocument/2006/relationships/hyperlink" Target="https://static2.vietstock.vn/data/HOSE/2021/BCTC/VN/NAM/BBC_Baocaotaichinh_2021_Kiemtoan_Hopnhat.pdf" TargetMode="External"/><Relationship Id="rId1224" Type="http://schemas.openxmlformats.org/officeDocument/2006/relationships/hyperlink" Target="https://static2.vietstock.vn/data/HOSE/2023/BCTC/VN/NAM/DXV_Baocaotaichinh_2023_Kiemtoan.pdf" TargetMode="External"/><Relationship Id="rId1431" Type="http://schemas.openxmlformats.org/officeDocument/2006/relationships/hyperlink" Target="https://static2.vietstock.vn/data/HOSE/2023/BCTC/VN/NAM/MCP_Baocaotaichinh_2023_Kiemtoan_1.pdf" TargetMode="External"/><Relationship Id="rId1669" Type="http://schemas.openxmlformats.org/officeDocument/2006/relationships/hyperlink" Target="https://static2.vietstock.vn/data/HOSE/2022/BCTC/VN/NAM/TIX_Baocaotaichinh_2022_Kiemtoan.pdf" TargetMode="External"/><Relationship Id="rId1529" Type="http://schemas.openxmlformats.org/officeDocument/2006/relationships/hyperlink" Target="https://static2.vietstock.vn/data/HOSE/2023/BCTC/VN/NAM/S4A_Baocaotaichinh_2023_Kiemtoan.pdf" TargetMode="External"/><Relationship Id="rId1736" Type="http://schemas.openxmlformats.org/officeDocument/2006/relationships/hyperlink" Target="https://static2.vietstock.vn/data/HOSE/2023/BCTC/VN/NAM/VID_Baocaotaichinh_2023_Kiemtoan_Hopnhat.pdf" TargetMode="External"/><Relationship Id="rId28" Type="http://schemas.openxmlformats.org/officeDocument/2006/relationships/hyperlink" Target="https://static2.vietstock.vn/data/HNX/2021/BCTC/VN/NAM/APS_Baocaotaichinh_2021_Kiemtoan.pdf" TargetMode="External"/><Relationship Id="rId1803" Type="http://schemas.openxmlformats.org/officeDocument/2006/relationships/hyperlink" Target="https://static2.vietstock.vn/data/HNX/2023/BCTC/VN/NAM/SHB_Baocaotaichinh_2023_Kiemtoan_Hopnhat/SHB%20-%20BCTC%20h_p%20nh_t%202023_m%C3%A0u.pdf" TargetMode="External"/><Relationship Id="rId177" Type="http://schemas.openxmlformats.org/officeDocument/2006/relationships/hyperlink" Target="https://static2.vietstock.vn/data/HNX/2021/BCTC/VN/NAM/DHP_Baocaotaichinh_2021_Kiemtoan/2_dhp_2022_3_12_34dd155_11_03_2022_dhp_bctc_nam_2021_da_kiem_toan_signed.pdf" TargetMode="External"/><Relationship Id="rId384" Type="http://schemas.openxmlformats.org/officeDocument/2006/relationships/hyperlink" Target="https://static2.vietstock.vn/data/HNX/2021/BCTC/VN/NAM/L35_Baocaotaichinh_2021_Kiemtoan.pdf" TargetMode="External"/><Relationship Id="rId591" Type="http://schemas.openxmlformats.org/officeDocument/2006/relationships/hyperlink" Target="https://static2.vietstock.vn/data/HNX/2021/BCTC/VN/NAM/PPY_Baocaotaichinh_2021_Kiemtoan.pdf" TargetMode="External"/><Relationship Id="rId244" Type="http://schemas.openxmlformats.org/officeDocument/2006/relationships/hyperlink" Target="https://static2.vietstock.vn/data/HNX/2022/BCTC/VN/NAM/GMX_Baocaotaichinh_2022_Kiemtoan.pdf" TargetMode="External"/><Relationship Id="rId689" Type="http://schemas.openxmlformats.org/officeDocument/2006/relationships/hyperlink" Target="https://static2.vietstock.vn/data/HNX/2023/BCTC/VN/NAM/SCI_Baocaotaichinh_2023_Kiemtoan_Hopnhat.pdf" TargetMode="External"/><Relationship Id="rId896" Type="http://schemas.openxmlformats.org/officeDocument/2006/relationships/hyperlink" Target="https://static2.vietstock.vn/data/HNX/2023/BCTC/VN/NAM/VBC_Baocaotaichinh_2023_Kiemtoan.pdf" TargetMode="External"/><Relationship Id="rId1081" Type="http://schemas.openxmlformats.org/officeDocument/2006/relationships/hyperlink" Target="https://static2.vietstock.vn/data/HOSE/2022/BCTC/VN/NAM/CHP_Baocaotaichinh_2022_Kiemtoan.pdf" TargetMode="External"/><Relationship Id="rId451" Type="http://schemas.openxmlformats.org/officeDocument/2006/relationships/hyperlink" Target="https://static2.vietstock.vn/data/UPCOM/2021/BCTC/VN/NAM/MEC_Baocaotaichinh_2021_Kiemtoan_Hopnhat.pdf" TargetMode="External"/><Relationship Id="rId549" Type="http://schemas.openxmlformats.org/officeDocument/2006/relationships/hyperlink" Target="https://static2.vietstock.vn/data/HNX/2021/BCTC/VN/NAM/PHP_Baocaotaichinh_2021_Kiemtoan_Hopnhat/1_php_2022_3_21_0c4a7dd_cbtt_bctc_hop_nhat__signed.pdf" TargetMode="External"/><Relationship Id="rId756" Type="http://schemas.openxmlformats.org/officeDocument/2006/relationships/hyperlink" Target="https://static2.vietstock.vn/data/HNX/2021/BCTC/VN/NAM/SGH_Baocaotaichinh_2021_Kiemtoan.pdf" TargetMode="External"/><Relationship Id="rId1179" Type="http://schemas.openxmlformats.org/officeDocument/2006/relationships/hyperlink" Target="https://static2.vietstock.vn/data/HOSE/2023/BCTC/VN/NAM/DIG_Baocaotaichinh_2023_Kiemtoan_Hopnhat.pdf" TargetMode="External"/><Relationship Id="rId1386" Type="http://schemas.openxmlformats.org/officeDocument/2006/relationships/hyperlink" Target="https://static2.vietstock.vn/data/HOSE/2023/BCTC/VN/NAM/KDC_Baocaotaichinh_2023_Kiemtoan_Hopnhat.pdf" TargetMode="External"/><Relationship Id="rId1593" Type="http://schemas.openxmlformats.org/officeDocument/2006/relationships/hyperlink" Target="https://static2.vietstock.vn/data/HOSE/2021/BCTC/VN/NAM/SRC_Baocaotaichinh_2021_Kiemtoan.pdf" TargetMode="External"/><Relationship Id="rId104" Type="http://schemas.openxmlformats.org/officeDocument/2006/relationships/hyperlink" Target="https://static2.vietstock.vn/data/HNX/2022/BCTC/VN/NAM/CKV_Baocaotaichinh_2022_Kiemtoan.pdf" TargetMode="External"/><Relationship Id="rId311" Type="http://schemas.openxmlformats.org/officeDocument/2006/relationships/hyperlink" Target="https://static2.vietstock.vn/data/OTC/2023/BCTC/VN/NAM/HST_Baocaotaichinh_2023_Kiemtoan.pdf" TargetMode="External"/><Relationship Id="rId409" Type="http://schemas.openxmlformats.org/officeDocument/2006/relationships/hyperlink" Target="https://static2.vietstock.vn/data/HNX/2023/BCTC/VN/NAM/LDP_Baocaotaichinh_2023_Kiemtoan_Hopnhat/2_ldp_2024_3_29_bb3872d_bctc_hop_nhat_kiem_toan_nam_2023.pdf" TargetMode="External"/><Relationship Id="rId963" Type="http://schemas.openxmlformats.org/officeDocument/2006/relationships/hyperlink" Target="https://static2.vietstock.vn/data/HNX/2021/BCTC/VN/NAM/VGS_Baocaotaichinh_2021_Kiemtoan_Hopnhat.pdf" TargetMode="External"/><Relationship Id="rId1039" Type="http://schemas.openxmlformats.org/officeDocument/2006/relationships/hyperlink" Target="https://static2.vietstock.vn/data/HOSE/2022/BCTC/VN/NAM/BMC_Baocaotaichinh_2022_Kiemtoan.PDF" TargetMode="External"/><Relationship Id="rId1246" Type="http://schemas.openxmlformats.org/officeDocument/2006/relationships/hyperlink" Target="https://static2.vietstock.vn/data/HOSE/2021/BCTC/VN/NAM/FMC_Baocaotaichinh_2021_Kiemtoan_Hopnhat.pdf" TargetMode="External"/><Relationship Id="rId92" Type="http://schemas.openxmlformats.org/officeDocument/2006/relationships/hyperlink" Target="https://static2.vietstock.vn/data/UPCOM/2022/BCTC/VN/NAM/CCM_Baocaotaichinh_2022_Kiemtoan_Hopnhat.pdf" TargetMode="External"/><Relationship Id="rId616" Type="http://schemas.openxmlformats.org/officeDocument/2006/relationships/hyperlink" Target="https://static2.vietstock.vn/data/HNX/2022/BCTC/VN/NAM/PTI_Baocaotaichinh_2022_Kiemtoan_Hopnhat/2_pti_2023_4_3_5f76b5a_bao_cao_tai_chinh_hop_nhat_nam_2022_pti_compressed.pdf" TargetMode="External"/><Relationship Id="rId823" Type="http://schemas.openxmlformats.org/officeDocument/2006/relationships/hyperlink" Target="https://static2.vietstock.vn/data/HNX/2022/BCTC/VN/NAM/THB_Baocaotaichinh_2022_Kiemtoan_Hopnhat.pdf" TargetMode="External"/><Relationship Id="rId1453" Type="http://schemas.openxmlformats.org/officeDocument/2006/relationships/hyperlink" Target="https://cafef.vn/du-lieu/bao-cao-tai-chinh/ntl/incsta/2024/0/0/0/0/ket-qua-hoat-dong-kinh-doanh-.chn" TargetMode="External"/><Relationship Id="rId1660" Type="http://schemas.openxmlformats.org/officeDocument/2006/relationships/hyperlink" Target="https://static2.vietstock.vn/data/HOSE/2022/BCTC/VN/NAM/TDW_Baocaotaichinh_2022_Kiemtoan.pdf" TargetMode="External"/><Relationship Id="rId1758" Type="http://schemas.openxmlformats.org/officeDocument/2006/relationships/hyperlink" Target="https://static2.vietstock.vn/data/HOSE/2023/BCTC/VN/NAM/VOS_Baocaotaichinh_2023_Kiemtoan_Hopnhat.pdf" TargetMode="External"/><Relationship Id="rId1106" Type="http://schemas.openxmlformats.org/officeDocument/2006/relationships/hyperlink" Target="https://static2.vietstock.vn/data/HOSE/2022/BCTC/VN/NAM/CMV_Baocaotaichinh_2022_Kiemtoan_Hopnhat.pdf" TargetMode="External"/><Relationship Id="rId1313" Type="http://schemas.openxmlformats.org/officeDocument/2006/relationships/hyperlink" Target="https://static2.vietstock.vn/data/HOSE/2022/BCTC/VN/NAM/HID_Baocaotaichinh_2022_Kiemtoan_Hopnhat.pdf" TargetMode="External"/><Relationship Id="rId1520" Type="http://schemas.openxmlformats.org/officeDocument/2006/relationships/hyperlink" Target="https://static2.vietstock.vn/data/HOSE/2023/BCTC/VN/NAM/RAL_Baocaotaichinh_2023_Kiemtoan.pdf" TargetMode="External"/><Relationship Id="rId1618" Type="http://schemas.openxmlformats.org/officeDocument/2006/relationships/hyperlink" Target="https://static2.vietstock.vn/data/HOSE/2022/BCTC/VN/NAM/SVC_Baocaotaichinh_2022_Kiemtoan_Hopnhat.pdf" TargetMode="External"/><Relationship Id="rId1825" Type="http://schemas.openxmlformats.org/officeDocument/2006/relationships/hyperlink" Target="https://static2.vietstock.vn/data/UPCOM/2021/BCTC/VN/NAM/ADP_Baocaotaichinh_2021_Kiemtoan.pdf" TargetMode="External"/><Relationship Id="rId199" Type="http://schemas.openxmlformats.org/officeDocument/2006/relationships/hyperlink" Target="https://static2.vietstock.vn/data/HNX/2022/BCTC/VN/NAM/DNC_Baocaotaichinh_2022_Kiemtoan.pdf" TargetMode="External"/><Relationship Id="rId266" Type="http://schemas.openxmlformats.org/officeDocument/2006/relationships/hyperlink" Target="https://static2.vietstock.vn/data/HNX/2023/BCTC/VN/NAM/HEV_Baocaotaichinh_2023_Kiemtoan.pdf" TargetMode="External"/><Relationship Id="rId473" Type="http://schemas.openxmlformats.org/officeDocument/2006/relationships/hyperlink" Target="https://static2.vietstock.vn/data/HNX/2021/BCTC/VN/NAM/NAG_Baocaotaichinh_2021_Kiemtoan_Hopnhat.pdf" TargetMode="External"/><Relationship Id="rId680" Type="http://schemas.openxmlformats.org/officeDocument/2006/relationships/hyperlink" Target="https://static2.vietstock.vn/data/HNX/2023/BCTC/VN/NAM/S99_Baocaotaichinh_2023_Kiemtoan_Hopnhat.pdf" TargetMode="External"/><Relationship Id="rId126" Type="http://schemas.openxmlformats.org/officeDocument/2006/relationships/hyperlink" Target="https://static2.vietstock.vn/data/HOSE/2023/BCTC/VN/NAM/TNI_Baocaotaichinh_2023_Kiemtoan_Hopnhat.pdf" TargetMode="External"/><Relationship Id="rId333" Type="http://schemas.openxmlformats.org/officeDocument/2006/relationships/hyperlink" Target="https://static2.vietstock.vn/data/UPCOM/2021/BCTC/VN/NAM/ILC_Baocaotaichinh_2021_Kiemtoan_Hopnhat/1_ilc_2022_4_5_0a351be_bctc_hop_nhat_311221.pdf" TargetMode="External"/><Relationship Id="rId540" Type="http://schemas.openxmlformats.org/officeDocument/2006/relationships/hyperlink" Target="https://static2.vietstock.vn/data/HNX/2021/BCTC/VN/NAM/PGS_Baocaotaichinh_2021_Kiemtoan_Hopnhat/1_pgs_2022_3_31_420393f_pgs__consol__v_ver_hn_signed.pdf" TargetMode="External"/><Relationship Id="rId778" Type="http://schemas.openxmlformats.org/officeDocument/2006/relationships/hyperlink" Target="https://static2.vietstock.vn/data/HNX/2022/BCTC/VN/NAM/SMN_Baocaotaichinh_2022_Kiemtoan.pdf" TargetMode="External"/><Relationship Id="rId985" Type="http://schemas.openxmlformats.org/officeDocument/2006/relationships/hyperlink" Target="https://static2.vietstock.vn/data/HOSE/2022/BCTC/VN/NAM/ABT_Baocaotaichinh_2022_Kiemtoan_Hopnhat.pdf" TargetMode="External"/><Relationship Id="rId1170" Type="http://schemas.openxmlformats.org/officeDocument/2006/relationships/hyperlink" Target="https://static2.vietstock.vn/data/HOSE/2023/BCTC/VN/NAM/DHG_Baocaotaichinh_2023_Kiemtoan.pdf" TargetMode="External"/><Relationship Id="rId638" Type="http://schemas.openxmlformats.org/officeDocument/2006/relationships/hyperlink" Target="https://static2.vietstock.vn/data/HNX/2023/BCTC/VN/NAM/PVI_Baocaotaichinh_2023_Kiemtoan_Hopnhat/2_pvi_2024_2_22_9efb75c_pvi_bctccongtyhopnhat2023.pdf" TargetMode="External"/><Relationship Id="rId845" Type="http://schemas.openxmlformats.org/officeDocument/2006/relationships/hyperlink" Target="https://static2.vietstock.vn/data/HNX/2023/BCTC/VN/NAM/TMC_Baocaotaichinh_2023_Kiemtoan/1_tmc_2024_2_15_5ea4d25_dk_bao_cao_tai_chinh_da_kiem_toan_31_12_2024.pdf" TargetMode="External"/><Relationship Id="rId1030" Type="http://schemas.openxmlformats.org/officeDocument/2006/relationships/hyperlink" Target="https://static2.vietstock.vn/data/HOSE/2022/BCTC/VN/NAM/BHN_Baocaotaichinh_2022_Kiemtoan_Hopnhat.pdf" TargetMode="External"/><Relationship Id="rId1268" Type="http://schemas.openxmlformats.org/officeDocument/2006/relationships/hyperlink" Target="https://static2.vietstock.vn/data/HOSE/2022/BCTC/VN/NAM/GIL_Baocaotaichinh_2022_Kiemtoan_Hopnhat.pdf" TargetMode="External"/><Relationship Id="rId1475" Type="http://schemas.openxmlformats.org/officeDocument/2006/relationships/hyperlink" Target="https://static2.vietstock.vn/data/HOSE/2022/BCTC/VN/NAM/PDN_Baocaotaichinh_2022_Kiemtoan.pdf" TargetMode="External"/><Relationship Id="rId1682" Type="http://schemas.openxmlformats.org/officeDocument/2006/relationships/hyperlink" Target="https://static2.vietstock.vn/data/HOSE/2023/BCTC/VN/NAM/TMS_Baocaotaichinh_2023_Kiemtoan_Hopnhat.pdf" TargetMode="External"/><Relationship Id="rId400" Type="http://schemas.openxmlformats.org/officeDocument/2006/relationships/hyperlink" Target="https://static2.vietstock.vn/data/HNX/2021/BCTC/VN/NAM/LBE_Baocaotaichinh_2021_Kiemtoan.pdf" TargetMode="External"/><Relationship Id="rId705" Type="http://schemas.openxmlformats.org/officeDocument/2006/relationships/hyperlink" Target="https://static2.vietstock.vn/data/HNX/2021/BCTC/VN/NAM/SD6_Baocaotaichinh_2021_Kiemtoan/1_sd6_2022_3_18_f611246_bc_tai_chinh_kiem_toan_2021_ky.pdf" TargetMode="External"/><Relationship Id="rId1128" Type="http://schemas.openxmlformats.org/officeDocument/2006/relationships/hyperlink" Target="https://coteccons.vn/wp-content/uploads/2023/10/Coteccons-30.06.2023-FS-Consol-V-signed.pdf" TargetMode="External"/><Relationship Id="rId1335" Type="http://schemas.openxmlformats.org/officeDocument/2006/relationships/hyperlink" Target="https://static2.vietstock.vn/data/HOSE/2023/BCTC/VN/NAM/HRC_Baocaotaichinh_2023_Kiemtoan.pdf" TargetMode="External"/><Relationship Id="rId1542" Type="http://schemas.openxmlformats.org/officeDocument/2006/relationships/hyperlink" Target="https://static2.vietstock.vn/data/HOSE/2021/BCTC/VN/NAM/SBT_Baocaotaichinh_2021_Kiemtoan_Hopnhat.pdf" TargetMode="External"/><Relationship Id="rId912" Type="http://schemas.openxmlformats.org/officeDocument/2006/relationships/hyperlink" Target="https://static2.vietstock.vn/data/HNX/2021/BCTC/VN/NAM/VC7_Baocaotaichinh_2021_Kiemtoan_Hopnhat.pdf" TargetMode="External"/><Relationship Id="rId1847" Type="http://schemas.openxmlformats.org/officeDocument/2006/relationships/hyperlink" Target="https://static2.vietstock.vn/data/HOSE/2022/BCTC/VN/NAM/SGN_Baocaotaichinh_2022_Kiemtoan_Hopnhat.pdf" TargetMode="External"/><Relationship Id="rId41" Type="http://schemas.openxmlformats.org/officeDocument/2006/relationships/hyperlink" Target="https://static2.vietstock.vn/data/HNX/2021/BCTC/VN/NAM/BCC_Baocaotaichinh_2021_Kiemtoan_Hopnhat_DieuChinh.pdf" TargetMode="External"/><Relationship Id="rId1402" Type="http://schemas.openxmlformats.org/officeDocument/2006/relationships/hyperlink" Target="https://static2.vietstock.vn/data/UPCOM/2021/BCTC/VN/QUY%204/KSH_Baocaotaichinh_Q4_2021_Hopnhat.pdf" TargetMode="External"/><Relationship Id="rId1707" Type="http://schemas.openxmlformats.org/officeDocument/2006/relationships/hyperlink" Target="https://static2.vietstock.vn/data/HOSE/2021/BCTC/VN/NAM/TVS_Baocaotaichinh_2021_Kiemtoan_Hopnhat.pdf" TargetMode="External"/><Relationship Id="rId190" Type="http://schemas.openxmlformats.org/officeDocument/2006/relationships/hyperlink" Target="https://static2.vietstock.vn/data/HNX/2022/BCTC/VN/NAM/DIH_Baocaotaichinh_2022_Kiemtoan.pdf" TargetMode="External"/><Relationship Id="rId288" Type="http://schemas.openxmlformats.org/officeDocument/2006/relationships/hyperlink" Target="https://static2.vietstock.vn/data/HNX/2021/BCTC/VN/NAM/HLD_Baocaotaichinh_2021_Kiemtoan/1.HLD_2022.3.3_7c20364_BCTC_nam_2021_sx_Signed_HNX.pdf" TargetMode="External"/><Relationship Id="rId495" Type="http://schemas.openxmlformats.org/officeDocument/2006/relationships/hyperlink" Target="https://static2.vietstock.vn/data/HOSE/2021/BCTC/VN/NAM/NHA_Baocaotaichinh_2021_Kiemtoan.pdf" TargetMode="External"/><Relationship Id="rId148" Type="http://schemas.openxmlformats.org/officeDocument/2006/relationships/hyperlink" Target="https://static2.vietstock.vn/data/HOSE/2022/BCTC/VN/NAM/CVT_Baocaotaichinh_2022_Kiemtoan_Hopnhat.pdf" TargetMode="External"/><Relationship Id="rId355" Type="http://schemas.openxmlformats.org/officeDocument/2006/relationships/hyperlink" Target="https://miraejsc.com/upload/files/financial-report(86).pdf" TargetMode="External"/><Relationship Id="rId562" Type="http://schemas.openxmlformats.org/officeDocument/2006/relationships/hyperlink" Target="https://static2.vietstock.vn/data/HNX/2022/BCTC/VN/NAM/PJC_Baocaotaichinh_2022_Kiemtoan/1_pjc_2023_3_14_13782da_bc_tc_tonghopdaduockiemtoan31122022_signed.pdf" TargetMode="External"/><Relationship Id="rId1192" Type="http://schemas.openxmlformats.org/officeDocument/2006/relationships/hyperlink" Target="https://static2.vietstock.vn/data/HOSE/2021/BCTC/VN/NAM/DQC_Baocaotaichinh_2021_Kiemtoan_Hopnhat.pdf" TargetMode="External"/><Relationship Id="rId215" Type="http://schemas.openxmlformats.org/officeDocument/2006/relationships/hyperlink" Target="https://static2.vietstock.vn/data/HNX/2023/BCTC/VN/NAM/DST_Baocaotaichinh_2023_Kiemtoan_Hopnhat.pdf" TargetMode="External"/><Relationship Id="rId422" Type="http://schemas.openxmlformats.org/officeDocument/2006/relationships/hyperlink" Target="https://static2.vietstock.vn/data/UPCOM/2021/BCTC/VN/NAM/LTC_Baocaotaichinh_2021_Kiemtoan_Hopnhat.pdf" TargetMode="External"/><Relationship Id="rId867" Type="http://schemas.openxmlformats.org/officeDocument/2006/relationships/hyperlink" Target="https://static2.vietstock.vn/data/HOSE/2021/BCTC/VN/NAM/TV2_Baocaotaichinh_2021_Kiemtoan/20220330_20220330%20-%20TV2%20-%20BCTC%20KT%20Toan%20Cty%20nam%202021.pdf" TargetMode="External"/><Relationship Id="rId1052" Type="http://schemas.openxmlformats.org/officeDocument/2006/relationships/hyperlink" Target="https://static2.vietstock.vn/data/HOSE/2023/BCTC/VN/NAM/BSI_Baocaotaichinh_2023_Kiemtoan_1.pdf" TargetMode="External"/><Relationship Id="rId1497" Type="http://schemas.openxmlformats.org/officeDocument/2006/relationships/hyperlink" Target="https://static2.vietstock.vn/data/HOSE/2022/BCTC/VN/NAM/PNJ_Baocaotaichinh_2022_Kiemtoan_Hopnhat.pdf" TargetMode="External"/><Relationship Id="rId727" Type="http://schemas.openxmlformats.org/officeDocument/2006/relationships/hyperlink" Target="https://static2.vietstock.vn/data/HNX/2022/BCTC/VN/NAM/SDN_Baocaotaichinh_2022_Kiemtoan/1_sdn_2023_3_24_885bbc9_bao_cao_tai_chinh_nam_2022_da_duoc_kiem_toan.pdf" TargetMode="External"/><Relationship Id="rId934" Type="http://schemas.openxmlformats.org/officeDocument/2006/relationships/hyperlink" Target="https://static2.vietstock.vn/data/HNX/2022/BCTC/VN/NAM/VDL_Baocaotaichinh_2022_Kiemtoan_Hopnhat/2_vdl_2023_7_4_d0785d1_bctc_hop_nhat_kiem_toan_2022.pdf" TargetMode="External"/><Relationship Id="rId1357" Type="http://schemas.openxmlformats.org/officeDocument/2006/relationships/hyperlink" Target="https://static2.vietstock.vn/data/HOSE/2021/BCTC/VN/NAM/HVX_Baocaotaichinh_2021_Kiemtoan.pdf" TargetMode="External"/><Relationship Id="rId1564" Type="http://schemas.openxmlformats.org/officeDocument/2006/relationships/hyperlink" Target="https://static2.vietstock.vn/data/HOSE/2022/BCTC/VN/NAM/SGT_Baocaotaichinh_2022_Kiemtoan_Hopnhat.pdf" TargetMode="External"/><Relationship Id="rId1771" Type="http://schemas.openxmlformats.org/officeDocument/2006/relationships/hyperlink" Target="https://static2.vietstock.vn/data/HOSE/2021/BCTC/VN/NAM/VSH_Baocaotaichinh_2021_Kiemtoan_Hopnhat.pdf" TargetMode="External"/><Relationship Id="rId63" Type="http://schemas.openxmlformats.org/officeDocument/2006/relationships/hyperlink" Target="https://static2.vietstock.vn/data/HNX/2023/BCTC/VN/NAM/BPC_Baocaotaichinh_2023_Kiemtoan.pdf" TargetMode="External"/><Relationship Id="rId1217" Type="http://schemas.openxmlformats.org/officeDocument/2006/relationships/hyperlink" Target="https://static2.vietstock.vn/data/HOSE/2022/BCTC/VN/NAM/DVP_Baocaotaichinh_2022_Kiemtoan.pdf" TargetMode="External"/><Relationship Id="rId1424" Type="http://schemas.openxmlformats.org/officeDocument/2006/relationships/hyperlink" Target="https://static2.vietstock.vn/data/HOSE/2023/BCTC/VN/NAM/LSS_Baocaotaichinh_2023_Kiemtoan_Hopnhat.pdf" TargetMode="External"/><Relationship Id="rId1631" Type="http://schemas.openxmlformats.org/officeDocument/2006/relationships/hyperlink" Target="https://static2.vietstock.vn/data/HOSE/2023/BCTC/VN/NAM/SZL_Baocaotaichinh_2023_Kiemtoan.pdf" TargetMode="External"/><Relationship Id="rId1729" Type="http://schemas.openxmlformats.org/officeDocument/2006/relationships/hyperlink" Target="https://static2.vietstock.vn/data/HOSE/2022/BCTC/VN/NAM/VHC_Baocaotaichinh_2022_Kiemtoan_Hopnhat.pdf?fbclid=IwZXh0bgNhZW0CMTAAAR2GJLoFE0-1mPznaDk4KNrCQH6nWpB2NW7j-KB9R5UNTNYkcUcImRZ6-Uc_aem_9u8Bd3GKgn3MQuoOK5PRCA" TargetMode="External"/><Relationship Id="rId377" Type="http://schemas.openxmlformats.org/officeDocument/2006/relationships/hyperlink" Target="https://static2.vietstock.vn/data/UPCOM/2023/BCTC/VN/NAM/KVC_Baocaotaichinh_2023_Kiemtoan/3_kvc_2024_3_31_db12852_bctc_kiem_toan_nam_2023.pdf" TargetMode="External"/><Relationship Id="rId584" Type="http://schemas.openxmlformats.org/officeDocument/2006/relationships/hyperlink" Target="https://static2.vietstock.vn/data/HNX/2023/BCTC/VN/NAM/PPE_Baocaotaichinh_2023_Kiemtoan/2_ppe_2024_3_14_4fe0f6b_ppe_23_bctc_signed.pdf" TargetMode="External"/><Relationship Id="rId5" Type="http://schemas.openxmlformats.org/officeDocument/2006/relationships/hyperlink" Target="https://static2.vietstock.vn/data/UPCOM/2022/BCTC/VN/NAM/ACM_Baocaotaichinh_2022_Kiemtoan.pdf" TargetMode="External"/><Relationship Id="rId237" Type="http://schemas.openxmlformats.org/officeDocument/2006/relationships/hyperlink" Target="https://static2.vietstock.vn/data/UPCOM/2021/BCTC/VN/NAM/G20_Baocaotaichinh_2021_Kiemtoan.pdf" TargetMode="External"/><Relationship Id="rId791" Type="http://schemas.openxmlformats.org/officeDocument/2006/relationships/hyperlink" Target="https://static2.vietstock.vn/data/HNX/2023/BCTC/VN/NAM/SSM_Baocaotaichinh_2023_Kiemtoan.pdf" TargetMode="External"/><Relationship Id="rId889" Type="http://schemas.openxmlformats.org/officeDocument/2006/relationships/hyperlink" Target="https://static2.vietstock.vn/data/HNX/2022/BCTC/VN/NAM/V12_Baocaotaichinh_2022_Kiemtoan.pdf" TargetMode="External"/><Relationship Id="rId1074" Type="http://schemas.openxmlformats.org/officeDocument/2006/relationships/hyperlink" Target="https://static2.vietstock.vn/data/HOSE/2021/BCTC/VN/NAM/CCL_Baocaotaichinh_2021_Kiemtoan_Hopnhat.pdf" TargetMode="External"/><Relationship Id="rId444" Type="http://schemas.openxmlformats.org/officeDocument/2006/relationships/hyperlink" Target="https://static2.vietstock.vn/data/HNX/2023/BCTC/VN/NAM/MCF_Baocaotaichinh_2023_Kiemtoan/1_mcf_2024_3_13_6dcd679_bao_cao_tai_chinh_nam_2023_mcf_new.pdf" TargetMode="External"/><Relationship Id="rId651" Type="http://schemas.openxmlformats.org/officeDocument/2006/relationships/hyperlink" Target="https://static2.vietstock.vn/data/UPCOM/2021/BCTC/VN/NAM/PVX_Baocaotaichinh_2021_Kiemtoan_Hopnhat/1_pvx_2022_4_4_385b5d9_bao_cao_tai_chinh_hop_nhat_nam_2021_kiem_toan_1.PDF" TargetMode="External"/><Relationship Id="rId749" Type="http://schemas.openxmlformats.org/officeDocument/2006/relationships/hyperlink" Target="https://cafef1.mediacdn.vn/Images/Uploaded/DuLieuDownload/BCTC/0001152832674571805cng-ty-c-phn-dt-li-si-gn07032024-141622.pdf" TargetMode="External"/><Relationship Id="rId1281" Type="http://schemas.openxmlformats.org/officeDocument/2006/relationships/hyperlink" Target="https://static2.vietstock.vn/data/HOSE/2023/BCTC/VN/NAM/HAG_Baocaotaichinh_2023_Kiemtoan_Hopnhat.pdf" TargetMode="External"/><Relationship Id="rId1379" Type="http://schemas.openxmlformats.org/officeDocument/2006/relationships/hyperlink" Target="https://static2.vietstock.vn/data/HOSE/2022/BCTC/VN/NAM/JVC_Baocaotaichinh_2022_Kiemtoan_Hopnhat.pdf" TargetMode="External"/><Relationship Id="rId1586" Type="http://schemas.openxmlformats.org/officeDocument/2006/relationships/hyperlink" Target="https://static2.vietstock.vn/data/HOSE/2023/BCTC/VN/NAM/SMA_Baocaotaichinh_2023_Kiemtoan.pdf" TargetMode="External"/><Relationship Id="rId304" Type="http://schemas.openxmlformats.org/officeDocument/2006/relationships/hyperlink" Target="https://static2.vietstock.vn/data/UPCOM/2022/BCTC/VN/NAM/HAC_Baocaotaichinh_2022_Kiemtoan_DieuChinh/000000012380277_Haseco_Bao_cao_tai_chinh_kiem_toan_nam_2022.pdf" TargetMode="External"/><Relationship Id="rId511" Type="http://schemas.openxmlformats.org/officeDocument/2006/relationships/hyperlink" Target="https://static2.vietstock.vn/data/HNX/2022/BCTC/VN/NAM/ONE_Baocaotaichinh_2022_Kiemtoan/2_one_2023_3_31_7615e87_bctc_nam_2022_da_kiem_toan_signature.pdf" TargetMode="External"/><Relationship Id="rId609" Type="http://schemas.openxmlformats.org/officeDocument/2006/relationships/hyperlink" Target="https://static2.vietstock.vn/data/HNX/2021/BCTC/VN/NAM/PSW_Baocaotaichinh_2021_Kiemtoan.pdf" TargetMode="External"/><Relationship Id="rId956" Type="http://schemas.openxmlformats.org/officeDocument/2006/relationships/hyperlink" Target="https://static2.vietstock.vn/data/UPCOM/2023/BCTC/VN/NAM/VFR_Baocaotaichinh_2023_Kiemtoan_Hopnhat/1_vfr_2024_4_2_53258ce_bctc_hop_nhat_2023.pdf" TargetMode="External"/><Relationship Id="rId1141" Type="http://schemas.openxmlformats.org/officeDocument/2006/relationships/hyperlink" Target="https://static2.vietstock.vn/data/HOSE/2021/BCTC/VN/NAM/D2D_Baocaotaichinh_2021_Kiemtoan.pdf" TargetMode="External"/><Relationship Id="rId1239" Type="http://schemas.openxmlformats.org/officeDocument/2006/relationships/hyperlink" Target="https://static2.vietstock.vn/data/HOSE/2023/BCTC/VN/NAM/FCN_Baocaotaichinh_2023_Kiemtoan_Hopnhat.pdf" TargetMode="External"/><Relationship Id="rId1793" Type="http://schemas.openxmlformats.org/officeDocument/2006/relationships/hyperlink" Target="https://static2.vietstock.vn/data/HOSE/2022/BCTC/VN/NAM/MSB_Baocaotaichinh_2022_Kiemtoan_Hopnhat.pdf" TargetMode="External"/><Relationship Id="rId85" Type="http://schemas.openxmlformats.org/officeDocument/2006/relationships/hyperlink" Target="https://static2.vietstock.vn/data/HNX/2021/BCTC/VN/NAM/CAN_Baocaotaichinh_2021_Kiemtoan_Hopnhat.pdf" TargetMode="External"/><Relationship Id="rId816" Type="http://schemas.openxmlformats.org/officeDocument/2006/relationships/hyperlink" Target="https://static2.vietstock.vn/data/HNX/2021/BCTC/VN/NAM/TET_Baocaotaichinh_2021_Kiemtoan.pdf" TargetMode="External"/><Relationship Id="rId1001" Type="http://schemas.openxmlformats.org/officeDocument/2006/relationships/hyperlink" Target="https://static2.vietstock.vn/data/HOSE/2023/BCTC/VN/NAM/AGR_Baocaotaichinh_2023_Kiemtoan.pdf" TargetMode="External"/><Relationship Id="rId1446" Type="http://schemas.openxmlformats.org/officeDocument/2006/relationships/hyperlink" Target="https://cafef.vn/du-lieu/bao-cao-tai-chinh/nct/bsheet/2022/0/0/0/0/bao-cao-tai-chinh-.chn" TargetMode="External"/><Relationship Id="rId1653" Type="http://schemas.openxmlformats.org/officeDocument/2006/relationships/hyperlink" Target="https://static2.vietstock.vn/data/HOSE/2021/BCTC/VN/NAM/TDC_Baocaotaichinh_2021_Kiemtoan_Hopnhat.pdf" TargetMode="External"/><Relationship Id="rId1860" Type="http://schemas.openxmlformats.org/officeDocument/2006/relationships/hyperlink" Target="https://static2.vietstock.vn/data/HOSE/2023/BCTC/VN/NAM/TVB_Baocaotaichinh_2023_Kiemtoan.pdf" TargetMode="External"/><Relationship Id="rId1306" Type="http://schemas.openxmlformats.org/officeDocument/2006/relationships/hyperlink" Target="https://static2.vietstock.vn/data/HOSE/2021/BCTC/VN/NAM/HDG_Baocaotaichinh_2021_Kiemtoan_Hopnhat.pdf" TargetMode="External"/><Relationship Id="rId1513" Type="http://schemas.openxmlformats.org/officeDocument/2006/relationships/hyperlink" Target="https://static2.vietstock.vn/data/HOSE/2022/BCTC/VN/NAM/PVT_Baocaotaichinh_2022_Kiemtoan_Hopnhat.pdf" TargetMode="External"/><Relationship Id="rId1720" Type="http://schemas.openxmlformats.org/officeDocument/2006/relationships/hyperlink" Target="https://static2.vietstock.vn/data/HOSE/2022/BCTC/VN/NAM/VCB_Baocaotaichinh_2022_Kiemtoan_Hopnhat.pdf" TargetMode="External"/><Relationship Id="rId12" Type="http://schemas.openxmlformats.org/officeDocument/2006/relationships/hyperlink" Target="https://static2.vietstock.vn/data/HNX/2023/BCTC/VN/NAM/ALT_Baocaotaichinh_2023_Kiemtoan_Hopnhat.pdf" TargetMode="External"/><Relationship Id="rId1818" Type="http://schemas.openxmlformats.org/officeDocument/2006/relationships/hyperlink" Target="https://static2.vietstock.vn/data/HOSE/2023/BCTC/VN/NAM/VCB_Baocaotaichinh_2023_Kiemtoan_Hopnhat.pdf" TargetMode="External"/><Relationship Id="rId161" Type="http://schemas.openxmlformats.org/officeDocument/2006/relationships/hyperlink" Target="https://static2.vietstock.vn/data/HNX/2023/BCTC/VN/NAM/DAE_Baocaotaichinh_2023_Kiemtoan/1_dae_2024_3_7_66552d6_bctc_2023.pdf" TargetMode="External"/><Relationship Id="rId399" Type="http://schemas.openxmlformats.org/officeDocument/2006/relationships/hyperlink" Target="https://static2.vietstock.vn/data/HNX/2023/BCTC/VN/NAM/LAS_Baocaotaichinh_2023_Kiemtoan.pdf" TargetMode="External"/><Relationship Id="rId259" Type="http://schemas.openxmlformats.org/officeDocument/2006/relationships/hyperlink" Target="https://static2.vietstock.vn/data/HNX/2022/BCTC/VN/NAM/HCT_Baocaotaichinh_2022_Kiemtoan/2_hct_2023_3_21_9c97184_hct__bao_cao_tai_chinh_da_duoc_kiem_toan_nam_2022.pdf" TargetMode="External"/><Relationship Id="rId466" Type="http://schemas.openxmlformats.org/officeDocument/2006/relationships/hyperlink" Target="https://static2.vietstock.vn/data/OTC/2023/BCTC/VN/NAM/MLG_Baocaotaichinh_2023_Kiemtoan_Hopnhat.pdf" TargetMode="External"/><Relationship Id="rId673" Type="http://schemas.openxmlformats.org/officeDocument/2006/relationships/hyperlink" Target="https://static2.vietstock.vn/data/HNX/2022/BCTC/VN/NAM/S55_Baocaotaichinh_2022_Kiemtoan_Hopnhat/2_s55_2023_3_22_5105abf_bctc_2022_hop_nhatcks.pdf" TargetMode="External"/><Relationship Id="rId880" Type="http://schemas.openxmlformats.org/officeDocument/2006/relationships/hyperlink" Target="https://static2.vietstock.vn/data/HNX/2022/BCTC/VN/NAM/TVD_Baocaotaichinh_2022_Kiemtoan/3_tvd_2023_3_30_b570176_bao_cao_kiem_toan_2022__vang_danh_1.pdf" TargetMode="External"/><Relationship Id="rId1096" Type="http://schemas.openxmlformats.org/officeDocument/2006/relationships/hyperlink" Target="https://static2.vietstock.vn/data/HOSE/2021/BCTC/VN/NAM/CLW_Baocaotaichinh_2021_Kiemtoan.pdf" TargetMode="External"/><Relationship Id="rId119" Type="http://schemas.openxmlformats.org/officeDocument/2006/relationships/hyperlink" Target="https://static2.vietstock.vn/data/HNX/2022/BCTC/VN/NAM/CMS_Baocaotaichinh_2022_Kiemtoan_Hopnhat/2_cms_2023_3_30_d0c0218_bctc__hop_nhat_signed.pdf" TargetMode="External"/><Relationship Id="rId326" Type="http://schemas.openxmlformats.org/officeDocument/2006/relationships/hyperlink" Target="https://static2.vietstock.vn/data/HNX/2023/BCTC/VN/NAM/ICG_Baocaotaichinh_2023_Kiemtoan_Hopnhat.pdf" TargetMode="External"/><Relationship Id="rId533" Type="http://schemas.openxmlformats.org/officeDocument/2006/relationships/hyperlink" Target="https://static2.vietstock.vn/data/HNX/2023/BCTC/VN/NAM/PDB_Baocaotaichinh_2023_Kiemtoan_Hopnhat.pdf" TargetMode="External"/><Relationship Id="rId978" Type="http://schemas.openxmlformats.org/officeDocument/2006/relationships/hyperlink" Target="https://static2.vietstock.vn/data/HOSE/2021/BCTC/VN/NAM/AAA_Baocaotaichinh_2021_Kiemtoan_Hopnhat.pdf" TargetMode="External"/><Relationship Id="rId1163" Type="http://schemas.openxmlformats.org/officeDocument/2006/relationships/hyperlink" Target="https://static2.vietstock.vn/data/HOSE/2022/BCTC/VN/NAM/DHA_Baocaotaichinh_2022_Kiemtoan.pdf" TargetMode="External"/><Relationship Id="rId1370" Type="http://schemas.openxmlformats.org/officeDocument/2006/relationships/hyperlink" Target="https://static2.vietstock.vn/data/HOSE/2022/BCTC/VN/NAM/IMP_Baocaotaichinh_2022_Kiemtoan.pdf" TargetMode="External"/><Relationship Id="rId740" Type="http://schemas.openxmlformats.org/officeDocument/2006/relationships/hyperlink" Target="https://static2.vietstock.vn/data/UPCOM/2023/BCTC/VN/NAM/SDY_Baocaotaichinh_2023_Kiemtoan_Hopnhat/2_sdy_2024_3_30_67483f3_bctc_hop_nhat_sdy_2023.pdf" TargetMode="External"/><Relationship Id="rId838" Type="http://schemas.openxmlformats.org/officeDocument/2006/relationships/hyperlink" Target="https://static2.vietstock.vn/data/HNX/2022/BCTC/VN/NAM/TKU_Baocaotaichinh_2022_Kiemtoan/3_tku_2023_3_15_de42a0f_bc_kiem_toan_2022_nen.pdf" TargetMode="External"/><Relationship Id="rId1023" Type="http://schemas.openxmlformats.org/officeDocument/2006/relationships/hyperlink" Target="https://static2.vietstock.vn/data/HOSE/2021/BCTC/VN/NAM/BCG_Baocaotaichinh_2021_Kiemtoan_Hopnhat.pdf" TargetMode="External"/><Relationship Id="rId1468" Type="http://schemas.openxmlformats.org/officeDocument/2006/relationships/hyperlink" Target="https://static2.vietstock.vn/data/HOSE/2021/BCTC/VN/NAM/PAN_Baocaotaichinh_2021_Kiemtoan_Hopnhat.pdf" TargetMode="External"/><Relationship Id="rId1675" Type="http://schemas.openxmlformats.org/officeDocument/2006/relationships/hyperlink" Target="https://static2.vietstock.vn/data/HOSE/2022/BCTC/VN/NAM/TLH_Baocaotaichinh_2022_Kiemtoan_Hopnhat.pdf" TargetMode="External"/><Relationship Id="rId600" Type="http://schemas.openxmlformats.org/officeDocument/2006/relationships/hyperlink" Target="https://static2.vietstock.vn/data/HNX/2021/BCTC/VN/NAM/PSD_Baocaotaichinh_2021_Kiemtoan_Hopnhat.pdf" TargetMode="External"/><Relationship Id="rId1230" Type="http://schemas.openxmlformats.org/officeDocument/2006/relationships/hyperlink" Target="https://static2.vietstock.vn/data/HOSE/2023/BCTC/VN/NAM/ELC_Baocaotaichinh_2023_Kiemtoan_Hopnhat.pdf" TargetMode="External"/><Relationship Id="rId1328" Type="http://schemas.openxmlformats.org/officeDocument/2006/relationships/hyperlink" Target="https://static2.vietstock.vn/data/HOSE/2022/BCTC/VN/NAM/HPG_Baocaotaichinh_2022_Kiemtoan_Hopnhat.pdf" TargetMode="External"/><Relationship Id="rId1535" Type="http://schemas.openxmlformats.org/officeDocument/2006/relationships/hyperlink" Target="https://static2.vietstock.vn/data/HOSE/2023/BCTC/VN/NAM/SAM_Baocaotaichinh_2023_Kiemtoan_Hopnhat.pdf" TargetMode="External"/><Relationship Id="rId905" Type="http://schemas.openxmlformats.org/officeDocument/2006/relationships/hyperlink" Target="https://static2.vietstock.vn/data/HNX/2023/BCTC/VN/NAM/VC2_Baocaotaichinh_2023_Kiemtoan_Hopnhat/1_vc2_2024_4_23_1d2d2fe_bao_cao_tai_chinh_hop_nhat_sau_kiem_toan_nam_2023_da_ky.pdf" TargetMode="External"/><Relationship Id="rId1742" Type="http://schemas.openxmlformats.org/officeDocument/2006/relationships/hyperlink" Target="https://static2.vietstock.vn/data/HOSE/2023/BCTC/VN/NAM/VJC_Baocaotaichinh_2023_Kiemtoan_Hopnhat.pdf" TargetMode="External"/><Relationship Id="rId34" Type="http://schemas.openxmlformats.org/officeDocument/2006/relationships/hyperlink" Target="https://static2.vietstock.vn/data/HNX/2021/BCTC/VN/NAM/ATS_Baocaotaichinh_2021_Kiemtoan.pdf" TargetMode="External"/><Relationship Id="rId1602" Type="http://schemas.openxmlformats.org/officeDocument/2006/relationships/hyperlink" Target="https://static2.vietstock.vn/data/HOSE/2021/BCTC/VN/NAM/SSI_Baocaotaichinh_2021_Kiemtoan_Hopnhat.pdf" TargetMode="External"/><Relationship Id="rId183" Type="http://schemas.openxmlformats.org/officeDocument/2006/relationships/hyperlink" Target="https://static2.vietstock.vn/data/OTC/2021/BCTC/VN/NAM/DTH_Baocaotaichinh_2021_Kiemtoan.pdf" TargetMode="External"/><Relationship Id="rId390" Type="http://schemas.openxmlformats.org/officeDocument/2006/relationships/hyperlink" Target="https://static2.vietstock.vn/data/UPCOM/2021/BCTC/VN/NAM/L44_Baocaotaichinh_2021_Kiemtoan.pdf" TargetMode="External"/><Relationship Id="rId250" Type="http://schemas.openxmlformats.org/officeDocument/2006/relationships/hyperlink" Target="https://static2.vietstock.vn/data/HNX/2022/BCTC/VN/NAM/HAT_Baocaotaichinh_2022_Kiemtoan.pdf" TargetMode="External"/><Relationship Id="rId488" Type="http://schemas.openxmlformats.org/officeDocument/2006/relationships/hyperlink" Target="https://static2.vietstock.vn/data/HNX/2021/BCTC/VN/NAM/NET_Baocaotaichinh_2021_Kiemtoan/2_net_2022_3_22_96eabe6_bao_cao_tai_chinh_nam_ket_thuc_31122021ky.pdf" TargetMode="External"/><Relationship Id="rId695" Type="http://schemas.openxmlformats.org/officeDocument/2006/relationships/hyperlink" Target="https://static2.vietstock.vn/data/UPCOM/2023/BCTC/VN/NAM/SCL_Baocaotaichinh_2023_Kiemtoan/1_scl_2024_3_26_275f00d_bctc_2023.pdf" TargetMode="External"/><Relationship Id="rId110" Type="http://schemas.openxmlformats.org/officeDocument/2006/relationships/hyperlink" Target="https://static2.vietstock.vn/data/HNX/2022/BCTC/VN/NAM/CLM_Baocaotaichinh_2022_Kiemtoan.pdf" TargetMode="External"/><Relationship Id="rId348" Type="http://schemas.openxmlformats.org/officeDocument/2006/relationships/hyperlink" Target="https://static2.vietstock.vn/data/HNX/2021/BCTC/VN/NAM/KDM_Baocaotaichinh_2021_Kiemtoan.pdf" TargetMode="External"/><Relationship Id="rId555" Type="http://schemas.openxmlformats.org/officeDocument/2006/relationships/hyperlink" Target="https://static2.vietstock.vn/data/HNX/2021/BCTC/VN/NAM/PIC_Baocaotaichinh_2021_Kiemtoan.pdf" TargetMode="External"/><Relationship Id="rId762" Type="http://schemas.openxmlformats.org/officeDocument/2006/relationships/hyperlink" Target="https://static2.vietstock.vn/data/UPCOM/2021/BCTC/VN/NAM/SHC_Baocaotaichinh_2021_Kiemtoan.pdf" TargetMode="External"/><Relationship Id="rId1185" Type="http://schemas.openxmlformats.org/officeDocument/2006/relationships/hyperlink" Target="https://static2.vietstock.vn/data/HOSE/2023/BCTC/VN/NAM/DMC_Baocaotaichinh_2023_Kiemtoan_1.pdf" TargetMode="External"/><Relationship Id="rId1392" Type="http://schemas.openxmlformats.org/officeDocument/2006/relationships/hyperlink" Target="https://static2.vietstock.vn/data/HOSE/2023/BCTC/VN/NAM/KHP_Baocaotaichinh_2023_Kiemtoan.pdf" TargetMode="External"/><Relationship Id="rId208" Type="http://schemas.openxmlformats.org/officeDocument/2006/relationships/hyperlink" Target="https://static2.vietstock.vn/data/HNX/2022/BCTC/VN/NAM/DP3_Baocaotaichinh_2022_Kiemtoan.pdf" TargetMode="External"/><Relationship Id="rId415" Type="http://schemas.openxmlformats.org/officeDocument/2006/relationships/hyperlink" Target="https://static2.vietstock.vn/data/HNX/2023/BCTC/VN/NAM/LIG_Baocaotaichinh_2023_Kiemtoan_Hopnhat.pdf" TargetMode="External"/><Relationship Id="rId622" Type="http://schemas.openxmlformats.org/officeDocument/2006/relationships/hyperlink" Target="https://static2.vietstock.vn/data/HNX/2022/BCTC/VN/NAM/PV2_Baocaotaichinh_2022_Kiemtoan/2_pv2_2023_4_5_e7c69e1_bctc_nam_2022_da_kiem_toan_sighed.pdf" TargetMode="External"/><Relationship Id="rId1045" Type="http://schemas.openxmlformats.org/officeDocument/2006/relationships/hyperlink" Target="https://static2.vietstock.vn/data/HOSE/2022/BCTC/VN/NAM/BMP_Baocaotaichinh_2022_Kiemtoan_Hopnhat.pdf" TargetMode="External"/><Relationship Id="rId1252" Type="http://schemas.openxmlformats.org/officeDocument/2006/relationships/hyperlink" Target="https://static2.vietstock.vn/data/HOSE/2021/BCTC/VN/NAM/FRT_Baocaotaichinh_2021_Kiemtoan_Hopnhat.pdf" TargetMode="External"/><Relationship Id="rId1697" Type="http://schemas.openxmlformats.org/officeDocument/2006/relationships/hyperlink" Target="https://static2.vietstock.vn/data/HOSE/2023/BCTC/VN/NAM/TRA_Baocaotaichinh_2023_Kiemtoan_Hopnhat.pdf" TargetMode="External"/><Relationship Id="rId927" Type="http://schemas.openxmlformats.org/officeDocument/2006/relationships/hyperlink" Target="https://static2.vietstock.vn/data/UPCOM/2021/BCTC/VN/NAM/VCR_Baocaotaichinh_2021_Kiemtoan.pdf" TargetMode="External"/><Relationship Id="rId1112" Type="http://schemas.openxmlformats.org/officeDocument/2006/relationships/hyperlink" Target="https://static2.vietstock.vn/data/HOSE/2022/BCTC/VN/NAM/CNG_Baocaotaichinh_2022_Kiemtoan.pdf" TargetMode="External"/><Relationship Id="rId1557" Type="http://schemas.openxmlformats.org/officeDocument/2006/relationships/hyperlink" Target="https://static2.vietstock.vn/data/HOSE/2021/BCTC/VN/NAM/SFG_Baocaotaichinh_2021_Kiemtoan.pdf" TargetMode="External"/><Relationship Id="rId1764" Type="http://schemas.openxmlformats.org/officeDocument/2006/relationships/hyperlink" Target="https://static2.vietstock.vn/data/HOSE/2023/BCTC/VN/NAM/VPS_Baocaotaichinh_2023_Kiemtoan_Hopnhat.pdf" TargetMode="External"/><Relationship Id="rId56" Type="http://schemas.openxmlformats.org/officeDocument/2006/relationships/hyperlink" Target="https://static2.vietstock.vn/data/HNX/2022/BCTC/VN/NAM/BKC_Baocaotaichinh_2022_Kiemtoan.pdf" TargetMode="External"/><Relationship Id="rId1417" Type="http://schemas.openxmlformats.org/officeDocument/2006/relationships/hyperlink" Target="https://cafef.vn/du-lieu/bao-cao-tai-chinh/lgl/incsta/2023/0/0/0/bao-cao-tai-chinh-.chn" TargetMode="External"/><Relationship Id="rId1624" Type="http://schemas.openxmlformats.org/officeDocument/2006/relationships/hyperlink" Target="https://static2.vietstock.vn/data/HOSE/2022/BCTC/VN/NAM/SVT_Baocaotaichinh_2022_Kiemtoan.pdf" TargetMode="External"/><Relationship Id="rId1831" Type="http://schemas.openxmlformats.org/officeDocument/2006/relationships/hyperlink" Target="https://static2.vietstock.vn/data/HOSE/2021/BCTC/VN/NAM/DPG_Baocaotaichinh_2021_Kiemtoan_Hopnhat.pdf" TargetMode="External"/><Relationship Id="rId272" Type="http://schemas.openxmlformats.org/officeDocument/2006/relationships/hyperlink" Target="https://static2.vietstock.vn/data/HNX/2023/BCTC/VN/NAM/HHC_Baocaotaichinh_2023_Kiemtoan.pdf" TargetMode="External"/><Relationship Id="rId577" Type="http://schemas.openxmlformats.org/officeDocument/2006/relationships/hyperlink" Target="https://static2.vietstock.vn/data/HNX/2022/BCTC/VN/NAM/PMS_Baocaotaichinh_2022_Kiemtoan_Hopnhat.pdf" TargetMode="External"/><Relationship Id="rId132" Type="http://schemas.openxmlformats.org/officeDocument/2006/relationships/hyperlink" Target="https://static2.vietstock.vn/data/HNX/2021/BCTC/VN/NAM/CTC_Baocaotaichinh_2021_Kiemtoan.pdf" TargetMode="External"/><Relationship Id="rId784" Type="http://schemas.openxmlformats.org/officeDocument/2006/relationships/hyperlink" Target="https://static2.vietstock.vn/data/HNX/2022/BCTC/VN/NAM/SPI_Baocaotaichinh_2022_Kiemtoan_Hopnhat/1_spi_2023_3_23_63255b6_spi_bctc_hop_nhat_da_kiem_toan_2022.pdf" TargetMode="External"/><Relationship Id="rId991" Type="http://schemas.openxmlformats.org/officeDocument/2006/relationships/hyperlink" Target="https://static2.vietstock.vn/data/HOSE/2022/BCTC/VN/NAM/ACL_Baocaotaichinh_2022_Kiemtoan_Hopnhat.pdf" TargetMode="External"/><Relationship Id="rId1067" Type="http://schemas.openxmlformats.org/officeDocument/2006/relationships/hyperlink" Target="https://static2.vietstock.vn/data/HOSE/2023/BCTC/VN/NAM/C47_Baocaotaichinh_2023_Kiemtoan_Hopnhat.pdf" TargetMode="External"/><Relationship Id="rId437" Type="http://schemas.openxmlformats.org/officeDocument/2006/relationships/hyperlink" Target="https://static2.vietstock.vn/data/HNX/2022/BCTC/VN/NAM/MBS_Baocaotaichinh_2022_Kiemtoan/1_mbs_2023_2_21_22b2064_bao_cao_kiem_toan_2022s.pdf" TargetMode="External"/><Relationship Id="rId644" Type="http://schemas.openxmlformats.org/officeDocument/2006/relationships/hyperlink" Target="https://static2.vietstock.vn/data/UPCOM/2023/BCTC/VN/NAM/PVR_Baocaotaichinh_2023_Kiemtoan/2_pvr_2024_3_18_7166d5c_bctc2023_ks.pdf" TargetMode="External"/><Relationship Id="rId851" Type="http://schemas.openxmlformats.org/officeDocument/2006/relationships/hyperlink" Target="https://static2.vietstock.vn/data/HNX/2023/BCTC/VN/NAM/TNG_Baocaotaichinh_2023_Kiemtoan_Hopnhat/1_tng_2024_4_4_03ec719_bao_cao_tai_chinh_2023_hop_nhat.pdf" TargetMode="External"/><Relationship Id="rId1274" Type="http://schemas.openxmlformats.org/officeDocument/2006/relationships/hyperlink" Target="https://static2.vietstock.vn/data/HOSE/2022/BCTC/VN/NAM/GSP_Baocaotaichinh_2022_Kiemtoan.pdf" TargetMode="External"/><Relationship Id="rId1481" Type="http://schemas.openxmlformats.org/officeDocument/2006/relationships/hyperlink" Target="https://cafef.vn/du-lieu/bao-cao-tai-chinh/pgc/incsta/2023/0/0/0/bao-cao-tai-chinh-.chn" TargetMode="External"/><Relationship Id="rId1579" Type="http://schemas.openxmlformats.org/officeDocument/2006/relationships/hyperlink" Target="https://static2.vietstock.vn/data/HOSE/2022/BCTC/VN/NAM/SJS_Baocaotaichinh_2022_Kiemtoan_Hopnhat.pdf" TargetMode="External"/><Relationship Id="rId504" Type="http://schemas.openxmlformats.org/officeDocument/2006/relationships/hyperlink" Target="https://static2.vietstock.vn/data/HNX/2021/BCTC/VN/NAM/NTP_Baocaotaichinh_2021_Kiemtoan_Hopnhat.pdf" TargetMode="External"/><Relationship Id="rId711" Type="http://schemas.openxmlformats.org/officeDocument/2006/relationships/hyperlink" Target="https://static2.vietstock.vn/data/HNX/2021/BCTC/VN/NAM/SD9_Baocaotaichinh_2021_Kiemtoan_Hopnhat.pdf" TargetMode="External"/><Relationship Id="rId949" Type="http://schemas.openxmlformats.org/officeDocument/2006/relationships/hyperlink" Target="https://static2.vietstock.vn/data/HNX/2022/BCTC/VN/NAM/VE8_Baocaotaichinh_2022_Kiemtoan.pdf" TargetMode="External"/><Relationship Id="rId1134" Type="http://schemas.openxmlformats.org/officeDocument/2006/relationships/hyperlink" Target="https://static2.vietstock.vn/data/HOSE/2023/BCTC/VN/NAM/CTG_Baocaotaichinh_2023_Kiemtoan_Hopnhat.pdf" TargetMode="External"/><Relationship Id="rId1341" Type="http://schemas.openxmlformats.org/officeDocument/2006/relationships/hyperlink" Target="https://static2.vietstock.vn/data/HOSE/2023/BCTC/VN/NAM/HT1_Baocaotaichinh_2023_Kiemtoan_Hopnhat.pdf" TargetMode="External"/><Relationship Id="rId1786" Type="http://schemas.openxmlformats.org/officeDocument/2006/relationships/hyperlink" Target="https://static2.vietstock.vn/data/HOSE/2021/BCTC/VN/NAM/HDB_Baocaotaichinh_2021_Kiemtoan_Hopnhat.pdf" TargetMode="External"/><Relationship Id="rId78" Type="http://schemas.openxmlformats.org/officeDocument/2006/relationships/hyperlink" Target="https://static2.vietstock.vn/data/HNX/2023/BCTC/VN/NAM/BVS_Baocaotaichinh_2023_Kiemtoan/1_bvs_2024_4_3_4c895d9_bvsc_bctc_31_12_2023.pdf" TargetMode="External"/><Relationship Id="rId809" Type="http://schemas.openxmlformats.org/officeDocument/2006/relationships/hyperlink" Target="https://static2.vietstock.vn/data/HNX/2023/BCTC/VN/NAM/TC6_Baocaotaichinh_2023_Kiemtoan_1.pdf" TargetMode="External"/><Relationship Id="rId1201" Type="http://schemas.openxmlformats.org/officeDocument/2006/relationships/hyperlink" Target="https://static2.vietstock.vn/data/HOSE/2021/BCTC/VN/NAM/DRL_Baocaotaichinh_2021_Kiemtoan.pdf" TargetMode="External"/><Relationship Id="rId1439" Type="http://schemas.openxmlformats.org/officeDocument/2006/relationships/hyperlink" Target="https://static2.vietstock.vn/data/HOSE/2023/BCTC/VN/NAM/MSN_Baocaotaichinh_2023_Kiemtoan_Hopnhat.pdf" TargetMode="External"/><Relationship Id="rId1646" Type="http://schemas.openxmlformats.org/officeDocument/2006/relationships/hyperlink" Target="https://static2.vietstock.vn/data/HOSE/2023/BCTC/VN/NAM/TCO_Baocaotaichinh_2023_Kiemtoan_Hopnhat.pdf" TargetMode="External"/><Relationship Id="rId1853" Type="http://schemas.openxmlformats.org/officeDocument/2006/relationships/hyperlink" Target="https://static2.vietstock.vn/data/HOSE/2022/BCTC/VN/NAM/SMB_Baocaotaichinh_2022_Kiemtoan_Hopnhat.pdf" TargetMode="External"/><Relationship Id="rId1506" Type="http://schemas.openxmlformats.org/officeDocument/2006/relationships/hyperlink" Target="https://static2.vietstock.vn/data/HOSE/2021/BCTC/VN/NAM/PTL_Baocaotaichinh_2021_Kiemtoan_Hopnhat.pdf" TargetMode="External"/><Relationship Id="rId1713" Type="http://schemas.openxmlformats.org/officeDocument/2006/relationships/hyperlink" Target="https://static2.vietstock.vn/data/HOSE/2021/BCTC/VN/NAM/UIC_Baocaotaichinh_2021_Kiemtoan.pdf?fbclid=IwZXh0bgNhZW0CMTAAAR3Yof4ufgPUzqQ_xh4xrVgcJCFTblMFjSKbSDg40q5a8e8Zqkb4aO0iVF0_aem_S1D9faJ-xKyeG7JYeYf31Q" TargetMode="External"/><Relationship Id="rId294" Type="http://schemas.openxmlformats.org/officeDocument/2006/relationships/hyperlink" Target="https://static2.vietstock.vn/data/HNX/2021/BCTC/VN/NAM/HMH_Baocaotaichinh_2021_Kiemtoan_Hopnhat.pdf" TargetMode="External"/><Relationship Id="rId154" Type="http://schemas.openxmlformats.org/officeDocument/2006/relationships/hyperlink" Target="https://static2.vietstock.vn/data/HNX/2022/BCTC/VN/NAM/D11_Baocaotaichinh_2022_Kiemtoan/2_d11_2023_3_20_90f515a_bao_cao_tai_chinh_nam_2022.pdf" TargetMode="External"/><Relationship Id="rId361" Type="http://schemas.openxmlformats.org/officeDocument/2006/relationships/hyperlink" Target="https://static2.vietstock.vn/data/HNX/2022/BCTC/VN/NAM/KSD_Baocaotaichinh_2022_Kiemtoan.pdf" TargetMode="External"/><Relationship Id="rId599" Type="http://schemas.openxmlformats.org/officeDocument/2006/relationships/hyperlink" Target="https://static2.vietstock.vn/data/HNX/2023/BCTC/VN/NAM/PSC_Baocaotaichinh_2023_Kiemtoan/2_psc_2024_3_26_b49ab60_bckt_2023_da_ky.pdf" TargetMode="External"/><Relationship Id="rId459" Type="http://schemas.openxmlformats.org/officeDocument/2006/relationships/hyperlink" Target="https://static2.vietstock.vn/data/HNX/2022/BCTC/VN/NAM/MKV_Baocaotaichinh_2022_Kiemtoan/2_mkv_2023_3_31_53386af_bctc_nam_2022_sau_kiem_toan_daky.pdf" TargetMode="External"/><Relationship Id="rId666" Type="http://schemas.openxmlformats.org/officeDocument/2006/relationships/hyperlink" Target="https://static2.vietstock.vn/data/HNX/2021/BCTC/VN/NAM/QTC_Baocaotaichinh_2021_Kiemtoan_Hopnhat.pdf" TargetMode="External"/><Relationship Id="rId873" Type="http://schemas.openxmlformats.org/officeDocument/2006/relationships/hyperlink" Target="https://static2.vietstock.vn/data/HNX/2021/BCTC/VN/NAM/TV4_Baocaotaichinh_2021_Kiemtoan.pdf" TargetMode="External"/><Relationship Id="rId1089" Type="http://schemas.openxmlformats.org/officeDocument/2006/relationships/hyperlink" Target="https://static2.vietstock.vn/data/HOSE/2021/BCTC/VN/NAM/CLC_Baocaotaichinh_2021_Kiemtoan.pdf" TargetMode="External"/><Relationship Id="rId1296" Type="http://schemas.openxmlformats.org/officeDocument/2006/relationships/hyperlink" Target="https://static2.vietstock.vn/data/HOSE/2023/BCTC/VN/NAM/HAX_Baocaotaichinh_2023_Kiemtoan_Hopnhat.pdf" TargetMode="External"/><Relationship Id="rId221" Type="http://schemas.openxmlformats.org/officeDocument/2006/relationships/hyperlink" Target="https://static2.vietstock.vn/data/HNX/2023/BCTC/VN/QUY%204/DZM_Baocaotaichinh_Q4_2023_Hopnhat.pdf" TargetMode="External"/><Relationship Id="rId319" Type="http://schemas.openxmlformats.org/officeDocument/2006/relationships/hyperlink" Target="https://static2.vietstock.vn/data/HNX/2022/BCTC/VN/NAM/HUT_Baocaotaichinh_2022_Kiemtoan_Hopnhat/2_hut_2023_3_1_d66f2fe_bctc_hop_nhat_2022.pdf" TargetMode="External"/><Relationship Id="rId526" Type="http://schemas.openxmlformats.org/officeDocument/2006/relationships/hyperlink" Target="https://static2.vietstock.vn/data/UPCOM/2022/BCTC/VN/NAM/PCN_Baocaotaichinh_2022_Kiemtoan/BCTC%20%C4%91%C3%A3%20ki%E1%BB%83m%20to%C3%A1n%20n%C4%83m%202022%20DMC%20%C4%91%C3%A3%20k%C3%BD%20s%E1%BB%91.pdf" TargetMode="External"/><Relationship Id="rId1156" Type="http://schemas.openxmlformats.org/officeDocument/2006/relationships/hyperlink" Target="https://static2.vietstock.vn/data/HOSE/2021/BCTC/VN/NAM/DCM_Baocaotaichinh_2021_Kiemtoan_Hopnhat.pdf" TargetMode="External"/><Relationship Id="rId1363" Type="http://schemas.openxmlformats.org/officeDocument/2006/relationships/hyperlink" Target="https://static2.vietstock.vn/data/HOSE/2021/BCTC/VN/NAM/IDI_Baocaotaichinh_2021_Kiemtoan_Hopnhat.pdf" TargetMode="External"/><Relationship Id="rId733" Type="http://schemas.openxmlformats.org/officeDocument/2006/relationships/hyperlink" Target="https://static2.vietstock.vn/data/HNX/2022/BCTC/VN/NAM/SDT_Baocaotaichinh_2022_Kiemtoan_Hopnhat/2_sdt_2023_3_30_e17dee9_bctc_hop_nhat_2022.pdf" TargetMode="External"/><Relationship Id="rId940" Type="http://schemas.openxmlformats.org/officeDocument/2006/relationships/hyperlink" Target="https://static2.vietstock.vn/data/HNX/2022/BCTC/VN/NAM/VE1_Baocaotaichinh_2022_Kiemtoan/2_ve1_2023_3_27_63ba107_bao_cao_tai_chinh_nam_2022_cims.pdf" TargetMode="External"/><Relationship Id="rId1016" Type="http://schemas.openxmlformats.org/officeDocument/2006/relationships/hyperlink" Target="https://static2.vietstock.vn/data/HOSE/2023/BCTC/VN/NAM/ASP_Baocaotaichinh_2023_Kiemtoan_Hopnhat.pdf" TargetMode="External"/><Relationship Id="rId1570" Type="http://schemas.openxmlformats.org/officeDocument/2006/relationships/hyperlink" Target="https://static2.vietstock.vn/data/HOSE/2022/BCTC/VN/NAM/SHI_Baocaotaichinh_2022_Kiemtoan_Hopnhat.pdf" TargetMode="External"/><Relationship Id="rId1668" Type="http://schemas.openxmlformats.org/officeDocument/2006/relationships/hyperlink" Target="https://static2.vietstock.vn/data/HOSE/2021/BCTC/VN/NAM/TIX_Baocaotaichinh_2021_Kiemtoan.pdf" TargetMode="External"/><Relationship Id="rId800" Type="http://schemas.openxmlformats.org/officeDocument/2006/relationships/hyperlink" Target="https://static2.vietstock.vn/data/HNX/2023/BCTC/VN/NAM/SVN_Baocaotaichinh_2023_Kiemtoan_Hopnhat/2_svn_2024_4_4_cabb9bd_svn__bctc_hop_nhat_nam_2023.pdf" TargetMode="External"/><Relationship Id="rId1223" Type="http://schemas.openxmlformats.org/officeDocument/2006/relationships/hyperlink" Target="https://static2.vietstock.vn/data/HOSE/2022/BCTC/VN/NAM/DXV_Baocaotaichinh_2022_Kiemtoan.pdf" TargetMode="External"/><Relationship Id="rId1430" Type="http://schemas.openxmlformats.org/officeDocument/2006/relationships/hyperlink" Target="https://static2.vietstock.vn/data/HOSE/2022/BCTC/VN/NAM/MCP_Baocaotaichinh_2022_Kiemtoan.pdf" TargetMode="External"/><Relationship Id="rId1528" Type="http://schemas.openxmlformats.org/officeDocument/2006/relationships/hyperlink" Target="https://static2.vietstock.vn/data/HOSE/2022/BCTC/VN/NAM/S4A_Baocaotaichinh_2022_Kiemtoan.pdf" TargetMode="External"/><Relationship Id="rId1735" Type="http://schemas.openxmlformats.org/officeDocument/2006/relationships/hyperlink" Target="https://static2.vietstock.vn/data/HOSE/2022/BCTC/VN/NAM/VID_Baocaotaichinh_2022_Kiemtoan_Hopnhat.pdf" TargetMode="External"/><Relationship Id="rId27" Type="http://schemas.openxmlformats.org/officeDocument/2006/relationships/hyperlink" Target="https://static2.vietstock.vn/data/UPCOM/2023/BCTC/VN/NAM/APP_Baocaotaichinh_2023_Kiemtoan.pdf" TargetMode="External"/><Relationship Id="rId1802" Type="http://schemas.openxmlformats.org/officeDocument/2006/relationships/hyperlink" Target="https://static2.vietstock.vn/data/HOSE/2022/BCTC/VN/NAM/SHB_Baocaotaichinh_2022_Kiemtoan_Hopnhat.pdf" TargetMode="External"/><Relationship Id="rId176" Type="http://schemas.openxmlformats.org/officeDocument/2006/relationships/hyperlink" Target="https://static2.vietstock.vn/data/HOSE/2023/BCTC/VN/NAM/DGC_Baocaotaichinh_2023_Kiemtoan_Hopnhat.pdf" TargetMode="External"/><Relationship Id="rId383" Type="http://schemas.openxmlformats.org/officeDocument/2006/relationships/hyperlink" Target="https://static2.vietstock.vn/data/HNX/2023/BCTC/VN/NAM/L18_Baocaotaichinh_2023_Kiemtoan_Hopnhat/3_l18_2024_4_2_f6895be_bctc_hop_nhat_nam_2023.pdf" TargetMode="External"/><Relationship Id="rId590" Type="http://schemas.openxmlformats.org/officeDocument/2006/relationships/hyperlink" Target="https://static2.vietstock.vn/data/HNX/2023/BCTC/VN/NAM/PPS_Baocaotaichinh_2023_Kiemtoan.pdf" TargetMode="External"/><Relationship Id="rId243" Type="http://schemas.openxmlformats.org/officeDocument/2006/relationships/hyperlink" Target="https://static2.vietstock.vn/data/HNX/2021/BCTC/VN/NAM/GMX_Baocaotaichinh_2021_Kiemtoan.pdf" TargetMode="External"/><Relationship Id="rId450" Type="http://schemas.openxmlformats.org/officeDocument/2006/relationships/hyperlink" Target="https://static2.vietstock.vn/data/HNX/2023/BCTC/VN/NAM/MDC_Baocaotaichinh_2023_Kiemtoan_1.pdf" TargetMode="External"/><Relationship Id="rId688" Type="http://schemas.openxmlformats.org/officeDocument/2006/relationships/hyperlink" Target="https://static2.vietstock.vn/data/HNX/2022/BCTC/VN/NAM/SCI_Baocaotaichinh_2022_Kiemtoan_Hopnhat.pdf" TargetMode="External"/><Relationship Id="rId895" Type="http://schemas.openxmlformats.org/officeDocument/2006/relationships/hyperlink" Target="https://static2.vietstock.vn/data/HNX/2022/BCTC/VN/NAM/VBC_Baocaotaichinh_2022_Kiemtoan.pdf" TargetMode="External"/><Relationship Id="rId1080" Type="http://schemas.openxmlformats.org/officeDocument/2006/relationships/hyperlink" Target="https://static2.vietstock.vn/data/HOSE/2021/BCTC/VN/NAM/CHP_Baocaotaichinh_2021_Kiemtoan.pdf" TargetMode="External"/><Relationship Id="rId103" Type="http://schemas.openxmlformats.org/officeDocument/2006/relationships/hyperlink" Target="https://static2.vietstock.vn/data/HNX/2021/BCTC/VN/NAM/CKV_Baocaotaichinh_2021_Kiemtoan_DieuChinh.pdf" TargetMode="External"/><Relationship Id="rId310" Type="http://schemas.openxmlformats.org/officeDocument/2006/relationships/hyperlink" Target="https://static2.vietstock.vn/data/OTC/2022/BCTC/VN/NAM/HST_Baocaotaichinh_2022_Kiemtoan.pdf" TargetMode="External"/><Relationship Id="rId548" Type="http://schemas.openxmlformats.org/officeDocument/2006/relationships/hyperlink" Target="https://static2.vietstock.vn/data/HOSE/2023/BCTC/VN/NAM/PHC_Baocaotaichinh_2023_Kiemtoan_Hopnhat.pdf" TargetMode="External"/><Relationship Id="rId755" Type="http://schemas.openxmlformats.org/officeDocument/2006/relationships/hyperlink" Target="https://static2.vietstock.vn/data/HNX/2023/BCTC/VN/NAM/SGD_Baocaotaichinh_2023_Kiemtoan_Hopnhat.pdf" TargetMode="External"/><Relationship Id="rId962" Type="http://schemas.openxmlformats.org/officeDocument/2006/relationships/hyperlink" Target="https://static2.vietstock.vn/data/HNX/2023/BCTC/VN/NAM/VGP_Baocaotaichinh_2023_Kiemtoan.pdf" TargetMode="External"/><Relationship Id="rId1178" Type="http://schemas.openxmlformats.org/officeDocument/2006/relationships/hyperlink" Target="https://static2.vietstock.vn/data/HOSE/2022/BCTC/VN/NAM/DIG_Baocaotaichinh_2022_Kiemtoan_Hopnhat.pdf" TargetMode="External"/><Relationship Id="rId1385" Type="http://schemas.openxmlformats.org/officeDocument/2006/relationships/hyperlink" Target="https://static2.vietstock.vn/data/HOSE/2022/BCTC/VN/NAM/KDC_Baocaotaichinh_2022_Kiemtoan_Hopnhat.pdf" TargetMode="External"/><Relationship Id="rId1592" Type="http://schemas.openxmlformats.org/officeDocument/2006/relationships/hyperlink" Target="https://static2.vietstock.vn/data/HOSE/2023/BCTC/VN/NAM/SPM_Baocaotaichinh_2023_Kiemtoan.pdf" TargetMode="External"/><Relationship Id="rId91" Type="http://schemas.openxmlformats.org/officeDocument/2006/relationships/hyperlink" Target="https://static2.vietstock.vn/data/UPCOM/2021/BCTC/VN/NAM/CCM_Baocaotaichinh_2021_Kiemtoan_Hopnhat.pdf" TargetMode="External"/><Relationship Id="rId408" Type="http://schemas.openxmlformats.org/officeDocument/2006/relationships/hyperlink" Target="https://static2.vietstock.vn/data/HNX/2022/BCTC/VN/NAM/LDP_Baocaotaichinh_2022_Kiemtoan_Hopnhat.pdf" TargetMode="External"/><Relationship Id="rId615" Type="http://schemas.openxmlformats.org/officeDocument/2006/relationships/hyperlink" Target="https://static2.vietstock.vn/data/HNX/2021/BCTC/VN/NAM/PTI_Baocaotaichinh_2021_Kiemtoan_Hopnhat.pdf" TargetMode="External"/><Relationship Id="rId822" Type="http://schemas.openxmlformats.org/officeDocument/2006/relationships/hyperlink" Target="https://static2.vietstock.vn/data/HNX/2021/BCTC/VN/NAM/THB_Baocaotaichinh_2021_Kiemtoan_Hopnhat/3_thb_2022_3_24_b4223bc_bctc_hop_nhat_cty_cp_bia_hnth_2021.pdf" TargetMode="External"/><Relationship Id="rId1038" Type="http://schemas.openxmlformats.org/officeDocument/2006/relationships/hyperlink" Target="https://static2.vietstock.vn/data/HOSE/2021/BCTC/VN/NAM/BMC_Baocaotaichinh_2021_Kiemtoan.PDF" TargetMode="External"/><Relationship Id="rId1245" Type="http://schemas.openxmlformats.org/officeDocument/2006/relationships/hyperlink" Target="https://static2.vietstock.vn/data/HOSE/2023/BCTC/VN/NAM/FIT_Baocaotaichinh_2023_Kiemtoan_Hopnhat.pdf" TargetMode="External"/><Relationship Id="rId1452" Type="http://schemas.openxmlformats.org/officeDocument/2006/relationships/hyperlink" Target="https://cafef.vn/du-lieu/bao-cao-tai-chinh/nt2/bsheet/2023/3/0/0/can-doi-ke-toan-cong-ty-co-phan-dien-luc-dau-khi-nhon-trach-2.chn" TargetMode="External"/><Relationship Id="rId1105" Type="http://schemas.openxmlformats.org/officeDocument/2006/relationships/hyperlink" Target="https://static2.vietstock.vn/data/HOSE/2021/BCTC/VN/NAM/CMV_Baocaotaichinh_2021_Kiemtoan_Hopnhat.pdf" TargetMode="External"/><Relationship Id="rId1312" Type="http://schemas.openxmlformats.org/officeDocument/2006/relationships/hyperlink" Target="https://static2.vietstock.vn/data/HOSE/2021/BCTC/VN/NAM/HID_Baocaotaichinh_2021_Kiemtoan_Hopnhat.pdf" TargetMode="External"/><Relationship Id="rId1757" Type="http://schemas.openxmlformats.org/officeDocument/2006/relationships/hyperlink" Target="https://static2.vietstock.vn/data/HOSE/2022/BCTC/VN/NAM/VOS_Baocaotaichinh_2022_Kiemtoan_Hopnhat.pdf" TargetMode="External"/><Relationship Id="rId49" Type="http://schemas.openxmlformats.org/officeDocument/2006/relationships/hyperlink" Target="https://static2.vietstock.vn/data/HNX/2023/BCTC/VN/NAM/BED_Baocaotaichinh_2023_Kiemtoan.pdf" TargetMode="External"/><Relationship Id="rId1617" Type="http://schemas.openxmlformats.org/officeDocument/2006/relationships/hyperlink" Target="https://static2.vietstock.vn/data/HOSE/2021/BCTC/VN/NAM/SVC_Baocaotaichinh_2021_Kiemtoan_Hopnhat.pdf" TargetMode="External"/><Relationship Id="rId1824" Type="http://schemas.openxmlformats.org/officeDocument/2006/relationships/hyperlink" Target="https://static2.vietstock.vn/data/HOSE/2023/BCTC/VN/NAM/VPB_Baocaotaichinh_2023_Kiemtoan_Hopnhat/VPBANK%2031.12.2023%20-%20BCTC%20h_p%20nh_t%20-%20VAS.PDF" TargetMode="External"/><Relationship Id="rId198" Type="http://schemas.openxmlformats.org/officeDocument/2006/relationships/hyperlink" Target="https://static2.vietstock.vn/data/HNX/2021/BCTC/VN/NAM/DNC_Baocaotaichinh_2021_Kiemtoan.pdf" TargetMode="External"/><Relationship Id="rId265" Type="http://schemas.openxmlformats.org/officeDocument/2006/relationships/hyperlink" Target="https://static2.vietstock.vn/data/HNX/2022/BCTC/VN/NAM/HEV_Baocaotaichinh_2022_Kiemtoan/1_hev_2023_3_1_01905c3_bao_cao_tai_chinh_2022_hev.pdf" TargetMode="External"/><Relationship Id="rId472" Type="http://schemas.openxmlformats.org/officeDocument/2006/relationships/hyperlink" Target="https://static2.vietstock.vn/data/HNX/2023/BCTC/VN/NAM/NAG_Baocaotaichinh_2023_Kiemtoan_Hopnhat.pdf" TargetMode="External"/><Relationship Id="rId125" Type="http://schemas.openxmlformats.org/officeDocument/2006/relationships/hyperlink" Target="https://static2.vietstock.vn/data/HOSE/2022/BCTC/VN/NAM/TNI_Baocaotaichinh_2022_Kiemtoan_Hopnhat.pdf" TargetMode="External"/><Relationship Id="rId332" Type="http://schemas.openxmlformats.org/officeDocument/2006/relationships/hyperlink" Target="https://static2.vietstock.vn/data/HNX/2023/BCTC/VN/NAM/IDV_Baocaotaichinh_2023_Kiemtoan_Hopnhat/1_idv_2023_11_7_6367e9f_bao_cao_tai_chinh_hop_nhat_da_duoc_kiem_toan_cho_nam_tai_chinh_ket_thuc_ngay_30_9_2023.pdf" TargetMode="External"/><Relationship Id="rId777" Type="http://schemas.openxmlformats.org/officeDocument/2006/relationships/hyperlink" Target="https://static2.vietstock.vn/data/HNX/2021/BCTC/VN/NAM/SMN_Baocaotaichinh_2021_Kiemtoan.pdf" TargetMode="External"/><Relationship Id="rId984" Type="http://schemas.openxmlformats.org/officeDocument/2006/relationships/hyperlink" Target="https://static2.vietstock.vn/data/HOSE/2021/BCTC/VN/NAM/ABT_Baocaotaichinh_2021_Kiemtoan_Hopnhat.pdf" TargetMode="External"/><Relationship Id="rId637" Type="http://schemas.openxmlformats.org/officeDocument/2006/relationships/hyperlink" Target="https://static2.vietstock.vn/data/HNX/2022/BCTC/VN/NAM/PVI_Baocaotaichinh_2022_Kiemtoan_Hopnhat/1_pvi_2023_3_2_3cc45eb_pvi_bctchopnhat2022.pdf" TargetMode="External"/><Relationship Id="rId844" Type="http://schemas.openxmlformats.org/officeDocument/2006/relationships/hyperlink" Target="https://static2.vietstock.vn/data/HNX/2022/BCTC/VN/NAM/TMC_Baocaotaichinh_2022_Kiemtoan/1_tmc_2023_2_21_01aaec4_bctc_kt_2022_ky_sosau_kiem_toan.pdf" TargetMode="External"/><Relationship Id="rId1267" Type="http://schemas.openxmlformats.org/officeDocument/2006/relationships/hyperlink" Target="https://static2.vietstock.vn/data/HOSE/2021/BCTC/VN/NAM/GIL_Baocaotaichinh_2021_Kiemtoan_Hopnhat.pdf" TargetMode="External"/><Relationship Id="rId1474" Type="http://schemas.openxmlformats.org/officeDocument/2006/relationships/hyperlink" Target="https://static2.vietstock.vn/data/HOSE/2021/BCTC/VN/NAM/PDN_Baocaotaichinh_2021_Kiemtoan.pdf" TargetMode="External"/><Relationship Id="rId1681" Type="http://schemas.openxmlformats.org/officeDocument/2006/relationships/hyperlink" Target="https://static2.vietstock.vn/data/HOSE/2022/BCTC/VN/NAM/TMS_Baocaotaichinh_2022_Kiemtoan_Hopnhat.pdf" TargetMode="External"/><Relationship Id="rId704" Type="http://schemas.openxmlformats.org/officeDocument/2006/relationships/hyperlink" Target="https://static2.vietstock.vn/data/HNX/2023/BCTC/VN/NAM/SD5_Baocaotaichinh_2023_Kiemtoan.pdf" TargetMode="External"/><Relationship Id="rId911" Type="http://schemas.openxmlformats.org/officeDocument/2006/relationships/hyperlink" Target="https://static2.vietstock.vn/data/HNX/2023/BCTC/VN/NAM/VC6_Baocaotaichinh_2023_Kiemtoan_Hopnhat/2_vc6_2024_4_2_97df633_visicons_hop_nhat_31_dec_2023.pdf" TargetMode="External"/><Relationship Id="rId1127" Type="http://schemas.openxmlformats.org/officeDocument/2006/relationships/hyperlink" Target="https://static2.vietstock.vn/data/HOSE/2022/BCTC/VN/NAM/CTD_Baocaotaichinh_2022_Kiemtoan_Hopnhat.pdf" TargetMode="External"/><Relationship Id="rId1334" Type="http://schemas.openxmlformats.org/officeDocument/2006/relationships/hyperlink" Target="https://static2.vietstock.vn/data/HOSE/2022/BCTC/VN/NAM/HRC_Baocaotaichinh_2022.pdf" TargetMode="External"/><Relationship Id="rId1541" Type="http://schemas.openxmlformats.org/officeDocument/2006/relationships/hyperlink" Target="https://static2.vietstock.vn/data/HOSE/2023/BCTC/VN/NAM/SBA_Baocaotaichinh_2023_Kiemtoan.pdf" TargetMode="External"/><Relationship Id="rId1779" Type="http://schemas.openxmlformats.org/officeDocument/2006/relationships/hyperlink" Target="https://static2.vietstock.vn/data/HOSE/2023/BCTC/VN/NAM/VTB_Baocaotaichinh_2023_Kiemtoan_Hopnhat.pdf" TargetMode="External"/><Relationship Id="rId40" Type="http://schemas.openxmlformats.org/officeDocument/2006/relationships/hyperlink" Target="https://file.hstatic.net/1000343376/file/bctc_da_kiem_toan_nam_2023_0001_b79d09ece11d47a2baf2f1bcf63bb80a.pdf" TargetMode="External"/><Relationship Id="rId1401" Type="http://schemas.openxmlformats.org/officeDocument/2006/relationships/hyperlink" Target="https://static2.vietstock.vn/data/HOSE/2023/BCTC/VN/NAM/KSB_Baocaotaichinh_2023_Kiemtoan_Hopnhat_1.pdf" TargetMode="External"/><Relationship Id="rId1639" Type="http://schemas.openxmlformats.org/officeDocument/2006/relationships/hyperlink" Target="https://static2.vietstock.vn/data/HOSE/2022/BCTC/VN/NAM/TCL_Baocaotaichinh_2022_Kiemtoan_Hopnhat.pdf" TargetMode="External"/><Relationship Id="rId1846" Type="http://schemas.openxmlformats.org/officeDocument/2006/relationships/hyperlink" Target="https://static2.vietstock.vn/data/HOSE/2021/BCTC/VN/NAM/SGN_Baocaotaichinh_2021_Kiemtoan_Hopnhat.pdf" TargetMode="External"/><Relationship Id="rId1706" Type="http://schemas.openxmlformats.org/officeDocument/2006/relationships/hyperlink" Target="https://static2.vietstock.vn/data/HOSE/2023/BCTC/VN/NAM/TTF_Baocaotaichinh_2023_Kiemtoan_Hopnhat.pdf" TargetMode="External"/><Relationship Id="rId287" Type="http://schemas.openxmlformats.org/officeDocument/2006/relationships/hyperlink" Target="https://static2.vietstock.vn/data/HNX/2023/BCTC/VN/NAM/HLC_Baocaotaichinh_2023_Kiemtoan_1.pdf" TargetMode="External"/><Relationship Id="rId494" Type="http://schemas.openxmlformats.org/officeDocument/2006/relationships/hyperlink" Target="https://static2.vietstock.vn/data/UPCOM/2021/BCTC/VN/NAM/NGC_Baocaotaichinh_2021_Kiemtoan/1_ngc_2022_4_5_41eabcd_bao_cao_tc_soat_xet_nam_2021_signed.pdf" TargetMode="External"/><Relationship Id="rId147" Type="http://schemas.openxmlformats.org/officeDocument/2006/relationships/hyperlink" Target="https://static2.vietstock.vn/data/HOSE/2021/BCTC/VN/NAM/CVT_Baocaotaichinh_2021_Kiemtoan_Hopnhat.pdf" TargetMode="External"/><Relationship Id="rId354" Type="http://schemas.openxmlformats.org/officeDocument/2006/relationships/hyperlink" Target="https://miraejsc.com/upload/files/financial-report(77).pdf" TargetMode="External"/><Relationship Id="rId799" Type="http://schemas.openxmlformats.org/officeDocument/2006/relationships/hyperlink" Target="https://static2.vietstock.vn/data/HNX/2022/BCTC/VN/NAM/SVN_Baocaotaichinh_2022_Kiemtoan_Hopnhat.pdf" TargetMode="External"/><Relationship Id="rId1191" Type="http://schemas.openxmlformats.org/officeDocument/2006/relationships/hyperlink" Target="https://static2.vietstock.vn/data/HOSE/2023/BCTC/VN/NAM/DPR_Baocaotaichinh_2023_Kiemtoan_Hopnhat.pdf" TargetMode="External"/><Relationship Id="rId561" Type="http://schemas.openxmlformats.org/officeDocument/2006/relationships/hyperlink" Target="https://static2.vietstock.vn/data/HNX/2021/BCTC/VN/NAM/PJC_Baocaotaichinh_2021_Kiemtoan.pdf" TargetMode="External"/><Relationship Id="rId659" Type="http://schemas.openxmlformats.org/officeDocument/2006/relationships/hyperlink" Target="https://static2.vietstock.vn/data/HNX/2023/BCTC/VN/NAM/QHD_Baocaotaichinh_2023_Kiemtoan.pdf" TargetMode="External"/><Relationship Id="rId866" Type="http://schemas.openxmlformats.org/officeDocument/2006/relationships/hyperlink" Target="https://static2.vietstock.vn/data/UPCOM/2023/BCTC/VN/NAM/TTZ_Baocaotaichinh_2023_Kiemtoan_Hopnhat.pdf" TargetMode="External"/><Relationship Id="rId1289" Type="http://schemas.openxmlformats.org/officeDocument/2006/relationships/hyperlink" Target="https://static2.vietstock.vn/data/HOSE/2022/BCTC/VN/NAM/HAR_Baocaotaichinh_2022_Kiemtoan/20230330_20230330%20-%20HAR%20-%20BCTC%20KT%202022.pdf" TargetMode="External"/><Relationship Id="rId1496" Type="http://schemas.openxmlformats.org/officeDocument/2006/relationships/hyperlink" Target="https://static2.vietstock.vn/data/HOSE/2021/BCTC/VN/NAM/PNJ_Baocaotaichinh_2021_Kiemtoan_Hopnhat.pdf" TargetMode="External"/><Relationship Id="rId214" Type="http://schemas.openxmlformats.org/officeDocument/2006/relationships/hyperlink" Target="https://static2.vietstock.vn/data/HNX/2022/BCTC/VN/NAM/DST_Baocaotaichinh_2022_Kiemtoan_Hopnhat/1_dst_2023_4_3_04cb8cc_bctc_hop_nhat_2022_cks.pdf" TargetMode="External"/><Relationship Id="rId421" Type="http://schemas.openxmlformats.org/officeDocument/2006/relationships/hyperlink" Target="https://static2.vietstock.vn/data/UPCOM/2023/BCTC/VN/NAM/LO5_Baocaotaichinh_2023_Kiemtoan.pdf" TargetMode="External"/><Relationship Id="rId519" Type="http://schemas.openxmlformats.org/officeDocument/2006/relationships/hyperlink" Target="https://static2.vietstock.vn/data/HNX/2021/BCTC/VN/NAM/PCE_Baocaotaichinh_2021_Kiemtoan.pdf" TargetMode="External"/><Relationship Id="rId1051" Type="http://schemas.openxmlformats.org/officeDocument/2006/relationships/hyperlink" Target="https://static2.vietstock.vn/data/HOSE/2022/BCTC/VN/NAM/BSI_Baocaotaichinh_2022_Kiemtoan.pdf" TargetMode="External"/><Relationship Id="rId1149" Type="http://schemas.openxmlformats.org/officeDocument/2006/relationships/hyperlink" Target="https://static2.vietstock.vn/data/HOSE/2023/BCTC/VN/NAM/DAH_Baocaotaichinh_2023_Kiemtoan_Hopnhat_1.pdf" TargetMode="External"/><Relationship Id="rId1356" Type="http://schemas.openxmlformats.org/officeDocument/2006/relationships/hyperlink" Target="https://static2.vietstock.vn/data/UPCOM/2023/BCTC/VN/NAM/HU3_Baocaotaichinh_2023_Kiemtoan.pdf" TargetMode="External"/><Relationship Id="rId726" Type="http://schemas.openxmlformats.org/officeDocument/2006/relationships/hyperlink" Target="https://static2.vietstock.vn/data/HNX/2021/BCTC/VN/NAM/SDN_Baocaotaichinh_2021_Kiemtoan/1_sdn_2022_3_3_0dfe37b_bao_cao_tai_chinh_nam_2021_da_duoc_kiem_toan.pdf" TargetMode="External"/><Relationship Id="rId933" Type="http://schemas.openxmlformats.org/officeDocument/2006/relationships/hyperlink" Target="https://static2.vietstock.vn/data/HNX/2021/BCTC/VN/NAM/VDL_Baocaotaichinh_2021_Kiemtoan_Hopnhat.pdf" TargetMode="External"/><Relationship Id="rId1009" Type="http://schemas.openxmlformats.org/officeDocument/2006/relationships/hyperlink" Target="https://static2.vietstock.vn/data/HOSE/2022/BCTC/VN/NAM/APG_Baocaotaichinh_2022_Kiemtoan.pdf" TargetMode="External"/><Relationship Id="rId1563" Type="http://schemas.openxmlformats.org/officeDocument/2006/relationships/hyperlink" Target="https://static2.vietstock.vn/data/HOSE/2021/BCTC/VN/NAM/SGT_Baocaotaichinh_2021_Kiemtoan_Hopnhat.pdf" TargetMode="External"/><Relationship Id="rId1770" Type="http://schemas.openxmlformats.org/officeDocument/2006/relationships/hyperlink" Target="https://static2.vietstock.vn/data/HOSE/2023/BCTC/VN/NAM/VSC_Baocaotaichinh_2023_Kiemtoan_Hopnhat.pdf" TargetMode="External"/><Relationship Id="rId62" Type="http://schemas.openxmlformats.org/officeDocument/2006/relationships/hyperlink" Target="https://static2.vietstock.vn/data/HNX/2022/BCTC/VN/NAM/BPC_Baocaotaichinh_2022_Kiemtoan.pdf" TargetMode="External"/><Relationship Id="rId1216" Type="http://schemas.openxmlformats.org/officeDocument/2006/relationships/hyperlink" Target="https://static2.vietstock.vn/data/HOSE/2021/BCTC/VN/NAM/DVP_Baocaotaichinh_2021_Kiemtoan.pdf" TargetMode="External"/><Relationship Id="rId1423" Type="http://schemas.openxmlformats.org/officeDocument/2006/relationships/hyperlink" Target="https://cafef.vn/du-lieu/bao-cao-tai-chinh/lm8/incsta/2023/0/0/0/bao-cao-tai-chinh-.chn" TargetMode="External"/><Relationship Id="rId1630" Type="http://schemas.openxmlformats.org/officeDocument/2006/relationships/hyperlink" Target="https://static2.vietstock.vn/data/HOSE/2022/BCTC/VN/NAM/SZL_Baocaotaichinh_2022_Kiemtoan.pdf" TargetMode="External"/><Relationship Id="rId1728" Type="http://schemas.openxmlformats.org/officeDocument/2006/relationships/hyperlink" Target="https://static2.vietstock.vn/data/HOSE/2021/BCTC/VN/NAM/VHC_Baocaotaichinh_2021_Kiemtoan_Hopnhat.pdf" TargetMode="External"/><Relationship Id="rId169" Type="http://schemas.openxmlformats.org/officeDocument/2006/relationships/hyperlink" Target="https://static2.vietstock.vn/data/HNX/2022/BCTC/VN/NAM/DC2_Baocaotaichinh_2022_Kiemtoan.pdf" TargetMode="External"/><Relationship Id="rId376" Type="http://schemas.openxmlformats.org/officeDocument/2006/relationships/hyperlink" Target="https://static2.vietstock.vn/data/HNX/2022/BCTC/VN/NAM/KVC_Baocaotaichinh_2022_Kiemtoan.pdf" TargetMode="External"/><Relationship Id="rId583" Type="http://schemas.openxmlformats.org/officeDocument/2006/relationships/hyperlink" Target="https://static2.vietstock.vn/data/HNX/2022/BCTC/VN/NAM/PPE_Baocaotaichinh_2022_Kiemtoan.pdf" TargetMode="External"/><Relationship Id="rId790" Type="http://schemas.openxmlformats.org/officeDocument/2006/relationships/hyperlink" Target="https://static2.vietstock.vn/data/HNX/2022/BCTC/VN/NAM/SSM_Baocaotaichinh_2022_Kiemtoan.pdf" TargetMode="External"/><Relationship Id="rId4" Type="http://schemas.openxmlformats.org/officeDocument/2006/relationships/hyperlink" Target="https://static2.vietstock.vn/data/UPCOM/2021/BCTC/VN/NAM/ACM_Baocaotaichinh_2021_Kiemtoan/1_acm_2022_8_3_28ffab7_bctc_tong_hop_2021_da_duoc_kiem_toan_07142022_134317.pdf" TargetMode="External"/><Relationship Id="rId236" Type="http://schemas.openxmlformats.org/officeDocument/2006/relationships/hyperlink" Target="https://static2.vietstock.vn/data/HNX/2023/BCTC/VN/NAM/FID_Baocaotaichinh_2023_Kiemtoan_Hopnhat.pdf" TargetMode="External"/><Relationship Id="rId443" Type="http://schemas.openxmlformats.org/officeDocument/2006/relationships/hyperlink" Target="https://static2.vietstock.vn/data/HNX/2022/BCTC/VN/NAM/MCF_Baocaotaichinh_2022_Kiemtoan.pdf" TargetMode="External"/><Relationship Id="rId650" Type="http://schemas.openxmlformats.org/officeDocument/2006/relationships/hyperlink" Target="https://static2.vietstock.vn/data/UPCOM/2023/BCTC/VN/NAM/PVV_Baocaotaichinh_2023_Kiemtoan_Hopnhat/2_pvv_2024_2_27_82c65bb_bctc_kiem_toan_hop_nhat_2023_compressed.pdf" TargetMode="External"/><Relationship Id="rId888" Type="http://schemas.openxmlformats.org/officeDocument/2006/relationships/hyperlink" Target="https://static2.vietstock.vn/data/HNX/2021/BCTC/VN/NAM/V12_Baocaotaichinh_2021_Kiemtoan.pdf" TargetMode="External"/><Relationship Id="rId1073" Type="http://schemas.openxmlformats.org/officeDocument/2006/relationships/hyperlink" Target="https://static2.vietstock.vn/data/HOSE/2023/BCTC/VN/NAM/CCI_Baocaotaichinh_2023_Kiemtoan.pdf" TargetMode="External"/><Relationship Id="rId1280" Type="http://schemas.openxmlformats.org/officeDocument/2006/relationships/hyperlink" Target="https://static2.vietstock.vn/data/HOSE/2022/BCTC/VN/NAM/HAG_Baocaotaichinh_2022_Kiemtoan_Hopnhat.pdf" TargetMode="External"/><Relationship Id="rId303" Type="http://schemas.openxmlformats.org/officeDocument/2006/relationships/hyperlink" Target="https://static2.vietstock.vn/data/UPCOM/2021/BCTC/VN/NAM/HAC_Baocaotaichinh_2021_Kiemtoan/2_hac_2022_3_24_4279c9e_haseco_bao_cao_tai_chinh_kiem_toan_nam_2021.pdf" TargetMode="External"/><Relationship Id="rId748" Type="http://schemas.openxmlformats.org/officeDocument/2006/relationships/hyperlink" Target="https://cafef1.mediacdn.vn/Images/Uploaded/DuLieuDownload/BCTC/SFN_22CN_BCTC_KT_08032024033608.pdf" TargetMode="External"/><Relationship Id="rId955" Type="http://schemas.openxmlformats.org/officeDocument/2006/relationships/hyperlink" Target="https://static2.vietstock.vn/data/UPCOM/2022/BCTC/VN/NAM/VFR_Baocaotaichinh_2022_Kiemtoan_Hopnhat/2_vfr_2023_3_31_caa6ec3_2022_bckt_hop_nhat.pdf" TargetMode="External"/><Relationship Id="rId1140" Type="http://schemas.openxmlformats.org/officeDocument/2006/relationships/hyperlink" Target="https://static2.vietstock.vn/data/UPCOM/2023/BCTC/VN/NAM/CYC_Baocaotaichinh_2023_Kiemtoan.pdf" TargetMode="External"/><Relationship Id="rId1378" Type="http://schemas.openxmlformats.org/officeDocument/2006/relationships/hyperlink" Target="https://static2.vietstock.vn/data/HOSE/2021/BCTC/VN/NAM/JVC_Baocaotaichinh_2021_Kiemtoan_Hopnhat.pdf" TargetMode="External"/><Relationship Id="rId1585" Type="http://schemas.openxmlformats.org/officeDocument/2006/relationships/hyperlink" Target="https://static2.vietstock.vn/data/HOSE/2022/BCTC/VN/NAM/SMA_Baocaotaichinh_2022_Kiemtoan.pdf" TargetMode="External"/><Relationship Id="rId1792" Type="http://schemas.openxmlformats.org/officeDocument/2006/relationships/hyperlink" Target="https://static2.vietstock.vn/data/HOSE/2021/BCTC/VN/NAM/MSB_Baocaotaichinh_2021_Kiemtoan_Hopnhat.pdf" TargetMode="External"/><Relationship Id="rId84" Type="http://schemas.openxmlformats.org/officeDocument/2006/relationships/hyperlink" Target="https://static2.vietstock.vn/data/UPCOM/2023/BCTC/VN/NAM/C92_Baocaotaichinh_2023_Kiemtoan.pdf" TargetMode="External"/><Relationship Id="rId510" Type="http://schemas.openxmlformats.org/officeDocument/2006/relationships/hyperlink" Target="https://static2.vietstock.vn/data/HNX/2021/BCTC/VN/NAM/ONE_Baocaotaichinh_2021_Kiemtoan/2_one_2022_4_4_4070f14_bctc_2021_signature.pdf" TargetMode="External"/><Relationship Id="rId608" Type="http://schemas.openxmlformats.org/officeDocument/2006/relationships/hyperlink" Target="https://static2.vietstock.vn/data/HNX/2023/BCTC/VN/NAM/PSI_Baocaotaichinh_2023_Kiemtoan.PDF" TargetMode="External"/><Relationship Id="rId815" Type="http://schemas.openxmlformats.org/officeDocument/2006/relationships/hyperlink" Target="https://static2.vietstock.vn/data/HOSE/2023/BCTC/VN/NAM/TEG_Baocaotaichinh_2023_Kiemtoan_Hopnhat.pdf" TargetMode="External"/><Relationship Id="rId1238" Type="http://schemas.openxmlformats.org/officeDocument/2006/relationships/hyperlink" Target="https://static2.vietstock.vn/data/HOSE/2022/BCTC/VN/NAM/FCN_Baocaotaichinh_2022_Kiemtoan_Hopnhat.pdf" TargetMode="External"/><Relationship Id="rId1445" Type="http://schemas.openxmlformats.org/officeDocument/2006/relationships/hyperlink" Target="https://cafef.vn/du-lieu/bao-cao-tai-chinh/nbb/bsheet/2023/0/0/0/0/bao-cao-tai-chinh-.chn" TargetMode="External"/><Relationship Id="rId1652" Type="http://schemas.openxmlformats.org/officeDocument/2006/relationships/hyperlink" Target="https://static2.vietstock.vn/data/HOSE/2023/BCTC/VN/NAM/TCT_Baocaotaichinh_2023_Kiemtoan_1.pdf" TargetMode="External"/><Relationship Id="rId1000" Type="http://schemas.openxmlformats.org/officeDocument/2006/relationships/hyperlink" Target="https://static2.vietstock.vn/data/HOSE/2022/BCTC/VN/NAM/AGR_Baocaotaichinh_2022_Kiemtoan.pdf" TargetMode="External"/><Relationship Id="rId1305" Type="http://schemas.openxmlformats.org/officeDocument/2006/relationships/hyperlink" Target="https://static2.vietstock.vn/data/HOSE/2023/BCTC/VN/NAM/HDC_Baocaotaichinh_2023_Kiemtoan_Hopnhat.pdf" TargetMode="External"/><Relationship Id="rId1512" Type="http://schemas.openxmlformats.org/officeDocument/2006/relationships/hyperlink" Target="https://static2.vietstock.vn/data/HOSE/2021/BCTC/VN/NAM/PVT_Baocaotaichinh_2021_Kiemtoan_Hopnhat.pdf" TargetMode="External"/><Relationship Id="rId1817" Type="http://schemas.openxmlformats.org/officeDocument/2006/relationships/hyperlink" Target="https://static2.vietstock.vn/data/HOSE/2022/BCTC/VN/NAM/VCB_Baocaotaichinh_2022_Kiemtoan_Hopnhat.pdf" TargetMode="External"/><Relationship Id="rId11" Type="http://schemas.openxmlformats.org/officeDocument/2006/relationships/hyperlink" Target="https://static2.vietstock.vn/data/HNX/2022/BCTC/VN/NAM/ALT_Baocaotaichinh_2022_Kiemtoan_Hopnhat.pdf" TargetMode="External"/><Relationship Id="rId398" Type="http://schemas.openxmlformats.org/officeDocument/2006/relationships/hyperlink" Target="https://static2.vietstock.vn/data/HNX/2022/BCTC/VN/NAM/LAS_Baocaotaichinh_2022_Kiemtoan.pdf" TargetMode="External"/><Relationship Id="rId160" Type="http://schemas.openxmlformats.org/officeDocument/2006/relationships/hyperlink" Target="https://static2.vietstock.vn/data/HNX/2022/BCTC/VN/NAM/DAE_Baocaotaichinh_2022_Kiemtoan.pdf" TargetMode="External"/><Relationship Id="rId258" Type="http://schemas.openxmlformats.org/officeDocument/2006/relationships/hyperlink" Target="https://static2.vietstock.vn/data/HNX/2021/BCTC/VN/NAM/HCT_Baocaotaichinh_2021_Kiemtoan/1_hct_2022_3_11_948cd88_hct__bao_cao_tai_chinh_nam_2021_da_kiem_toan.pdf" TargetMode="External"/><Relationship Id="rId465" Type="http://schemas.openxmlformats.org/officeDocument/2006/relationships/hyperlink" Target="https://static2.vietstock.vn/data/OTC/2022/BCTC/VN/NAM/MLG_Baocaotaichinh_2022_Kiemtoan_Hopnhat.pdf" TargetMode="External"/><Relationship Id="rId672" Type="http://schemas.openxmlformats.org/officeDocument/2006/relationships/hyperlink" Target="https://static2.vietstock.vn/data/HNX/2021/BCTC/VN/NAM/S55_Baocaotaichinh_2021_Kiemtoan_Hopnhat.pdf" TargetMode="External"/><Relationship Id="rId1095" Type="http://schemas.openxmlformats.org/officeDocument/2006/relationships/hyperlink" Target="https://static2.vietstock.vn/data/HOSE/2023/BCTC/VN/NAM/CLL_Baocaotaichinh_2023_Kiemtoan_Hopnhat.pdf" TargetMode="External"/><Relationship Id="rId118" Type="http://schemas.openxmlformats.org/officeDocument/2006/relationships/hyperlink" Target="https://static2.vietstock.vn/data/HNX/2021/BCTC/VN/NAM/CMS_Baocaotaichinh_2021_Kiemtoan_Hopnhat/2_cms_2022_3_17_d0de5b8_bctc_hop_nhat_2021_signed.pdf" TargetMode="External"/><Relationship Id="rId325" Type="http://schemas.openxmlformats.org/officeDocument/2006/relationships/hyperlink" Target="https://static2.vietstock.vn/data/HNX/2022/BCTC/VN/NAM/ICG_Baocaotaichinh_2022_Kiemtoan_Hopnhat.pdf" TargetMode="External"/><Relationship Id="rId532" Type="http://schemas.openxmlformats.org/officeDocument/2006/relationships/hyperlink" Target="https://static2.vietstock.vn/data/HNX/2022/BCTC/VN/NAM/PDB_Baocaotaichinh_2022_Kiemtoan_Hopnhat/3_pdb_2023_4_4_a805956_bctc_hn.pdf" TargetMode="External"/><Relationship Id="rId977" Type="http://schemas.openxmlformats.org/officeDocument/2006/relationships/hyperlink" Target="https://static2.vietstock.vn/data/HNX/2023/BCTC/VN/NAM/VNT_Baocaotaichinh_2023_Kiemtoan_Hopnhat.pdf" TargetMode="External"/><Relationship Id="rId1162" Type="http://schemas.openxmlformats.org/officeDocument/2006/relationships/hyperlink" Target="https://static2.vietstock.vn/data/HOSE/2021/BCTC/VN/NAM/DHA_Baocaotaichinh_2021_Kiemtoan.pdf" TargetMode="External"/><Relationship Id="rId837" Type="http://schemas.openxmlformats.org/officeDocument/2006/relationships/hyperlink" Target="https://static2.vietstock.vn/data/HNX/2021/BCTC/VN/NAM/TKU_Baocaotaichinh_2021_Kiemtoan.pdf" TargetMode="External"/><Relationship Id="rId1022" Type="http://schemas.openxmlformats.org/officeDocument/2006/relationships/hyperlink" Target="https://static2.vietstock.vn/data/HOSE/2023/BCTC/VN/NAM/BCE_Baocaotaichinh_2023_Kiemtoan_Hopnhat.pdf" TargetMode="External"/><Relationship Id="rId1467" Type="http://schemas.openxmlformats.org/officeDocument/2006/relationships/hyperlink" Target="https://static2.vietstock.vn/data/HOSE/2023/BCTC/VN/NAM/PAC_Baocaotaichinh_2023_Kiemtoan_1.pdf" TargetMode="External"/><Relationship Id="rId1674" Type="http://schemas.openxmlformats.org/officeDocument/2006/relationships/hyperlink" Target="https://static2.vietstock.vn/data/HOSE/2021/BCTC/VN/NAM/TLH_Baocaotaichinh_2021_Kiemtoan_Hopnhat.pdf" TargetMode="External"/><Relationship Id="rId904" Type="http://schemas.openxmlformats.org/officeDocument/2006/relationships/hyperlink" Target="https://static2.vietstock.vn/data/HNX/2022/BCTC/VN/NAM/VC2_Baocaotaichinh_2022_Kiemtoan_Hopnhat_DieuChinh.pdf" TargetMode="External"/><Relationship Id="rId1327" Type="http://schemas.openxmlformats.org/officeDocument/2006/relationships/hyperlink" Target="https://static2.vietstock.vn/data/HOSE/2021/BCTC/VN/NAM/HPG_Baocaotaichinh_2021_Kiemtoan_Hopnhat.pdf" TargetMode="External"/><Relationship Id="rId1534" Type="http://schemas.openxmlformats.org/officeDocument/2006/relationships/hyperlink" Target="https://static2.vietstock.vn/data/HOSE/2022/BCTC/VN/NAM/SAM_Baocaotaichinh_2022_Kiemtoan_Hopnhat.pdf" TargetMode="External"/><Relationship Id="rId1741" Type="http://schemas.openxmlformats.org/officeDocument/2006/relationships/hyperlink" Target="https://static2.vietstock.vn/data/HOSE/2022/BCTC/VN/NAM/VJC_Baocaotaichinh_2022_Kiemtoan_Hopnhat_DieuChinh.pdf" TargetMode="External"/><Relationship Id="rId33" Type="http://schemas.openxmlformats.org/officeDocument/2006/relationships/hyperlink" Target="https://static2.vietstock.vn/data/HNX/2023/BCTC/VN/NAM/ARM_Baocaotaichinh_2023_Kiemtoan.pdf" TargetMode="External"/><Relationship Id="rId1601" Type="http://schemas.openxmlformats.org/officeDocument/2006/relationships/hyperlink" Target="https://static2.vietstock.vn/data/HOSE/2023/BCTC/VN/NAM/SSC_Baocaotaichinh_2023_Kiemtoan.pdf" TargetMode="External"/><Relationship Id="rId1839" Type="http://schemas.openxmlformats.org/officeDocument/2006/relationships/hyperlink" Target="https://static2.vietstock.vn/data/HOSE/2023/BCTC/VN/NAM/HHV_Baocaotaichinh_2023_Kiemtoan_Hopnhat.pdf" TargetMode="External"/><Relationship Id="rId182" Type="http://schemas.openxmlformats.org/officeDocument/2006/relationships/hyperlink" Target="https://static2.vietstock.vn/data/HNX/2023/BCTC/VN/NAM/DHT_Baocaotaichinh_2023_Kiemtoan_Hopnhat.pdf" TargetMode="External"/><Relationship Id="rId487" Type="http://schemas.openxmlformats.org/officeDocument/2006/relationships/hyperlink" Target="https://static2.vietstock.vn/data/HNX/2023/BCTC/VN/NAM/NDX_Baocaotaichinh_2023_Kiemtoan_Hopnhat.pdf" TargetMode="External"/><Relationship Id="rId694" Type="http://schemas.openxmlformats.org/officeDocument/2006/relationships/hyperlink" Target="https://static2.vietstock.vn/data/UPCOM/2022/BCTC/VN/NAM/SCL_Baocaotaichinh_2022_Kiemtoan/3_scl_2023_3_27_8127791_bctc_2022.pdf" TargetMode="External"/><Relationship Id="rId347" Type="http://schemas.openxmlformats.org/officeDocument/2006/relationships/hyperlink" Target="https://static2.vietstock.vn/data/HNX/2023/BCTC/VN/NAM/VIG_Baocaotaichinh_2023_Kiemtoan/1_vig_2024_3_29_0d14461_bctc_bckt_2023_full.pdf" TargetMode="External"/><Relationship Id="rId999" Type="http://schemas.openxmlformats.org/officeDocument/2006/relationships/hyperlink" Target="https://static2.vietstock.vn/data/HOSE/2021/BCTC/VN/NAM/AGR_Baocaotaichinh_2021_Kiemtoan.pdf" TargetMode="External"/><Relationship Id="rId1184" Type="http://schemas.openxmlformats.org/officeDocument/2006/relationships/hyperlink" Target="https://static2.vietstock.vn/data/HOSE/2022/BCTC/VN/NAM/DMC_Baocaotaichinh_2022_Kiemtoan.pdf" TargetMode="External"/><Relationship Id="rId554" Type="http://schemas.openxmlformats.org/officeDocument/2006/relationships/hyperlink" Target="https://static2.vietstock.vn/data/UPCOM/2023/BCTC/VN/NAM/PHS_Baocaotaichinh_2023_Kiemtoan/2_phs_2024_3_14_a793887_50_2024_cv_cbtt_bao_cao_tai_chinh_2023_v__hnx_signed.pdf" TargetMode="External"/><Relationship Id="rId761" Type="http://schemas.openxmlformats.org/officeDocument/2006/relationships/hyperlink" Target="https://static2.vietstock.vn/data/HNX/2023/BCTC/VN/NAM/SHB_Baocaotaichinh_2023_Kiemtoan_Hopnhat/SHB%20-%20BCTC%20h_p%20nh_t%202023_m%C3%A0u.pdf" TargetMode="External"/><Relationship Id="rId859" Type="http://schemas.openxmlformats.org/officeDocument/2006/relationships/hyperlink" Target="https://static2.vietstock.vn/data/HNX/2022/BCTC/VN/NAM/TTC_Baocaotaichinh_2022_Kiemtoan.pdf" TargetMode="External"/><Relationship Id="rId1391" Type="http://schemas.openxmlformats.org/officeDocument/2006/relationships/hyperlink" Target="https://static2.vietstock.vn/data/HOSE/2022/BCTC/VN/NAM/KHP_Baocaotaichinh_2022_Kiemtoan.pdf" TargetMode="External"/><Relationship Id="rId1489" Type="http://schemas.openxmlformats.org/officeDocument/2006/relationships/hyperlink" Target="https://static2.vietstock.vn/data/HOSE/2023/BCTC/VN/NAM/PHR_Baocaotaichinh_2023_Kiemtoan_Hopnhat.pdf" TargetMode="External"/><Relationship Id="rId1696" Type="http://schemas.openxmlformats.org/officeDocument/2006/relationships/hyperlink" Target="https://static2.vietstock.vn/data/HOSE/2022/BCTC/VN/NAM/TRA_Baocaotaichinh_2022_Kiemtoan_Hopnhat.pdf" TargetMode="External"/><Relationship Id="rId207" Type="http://schemas.openxmlformats.org/officeDocument/2006/relationships/hyperlink" Target="https://static2.vietstock.vn/data/HNX/2021/BCTC/VN/NAM/DP3_Baocaotaichinh_2021_Kiemtoan.pdf" TargetMode="External"/><Relationship Id="rId414" Type="http://schemas.openxmlformats.org/officeDocument/2006/relationships/hyperlink" Target="https://static2.vietstock.vn/data/HNX/2022/BCTC/VN/NAM/LIG_Baocaotaichinh_2022_Kiemtoan_Hopnhat.pdf" TargetMode="External"/><Relationship Id="rId621" Type="http://schemas.openxmlformats.org/officeDocument/2006/relationships/hyperlink" Target="https://static2.vietstock.vn/data/HNX/2021/BCTC/VN/NAM/PV2_Baocaotaichinh_2021_Kiemtoan/1_pv2_2022_4_5_00cdbd1_bao_cao_tai_chinh_nam_2021.pdf" TargetMode="External"/><Relationship Id="rId1044" Type="http://schemas.openxmlformats.org/officeDocument/2006/relationships/hyperlink" Target="https://static2.vietstock.vn/data/HOSE/2021/BCTC/VN/NAM/BMP_Baocaotaichinh_2021_Kiemtoan_Hopnhat.pdf" TargetMode="External"/><Relationship Id="rId1251" Type="http://schemas.openxmlformats.org/officeDocument/2006/relationships/hyperlink" Target="https://static2.vietstock.vn/data/HOSE/2023/BCTC/VN/NAM/FPT_Baocaotaichinh_2023_Kiemtoan_Hopnhat.pdf" TargetMode="External"/><Relationship Id="rId1349" Type="http://schemas.openxmlformats.org/officeDocument/2006/relationships/hyperlink" Target="https://static2.vietstock.vn/data/HOSE/2022/BCTC/VN/NAM/HTV_Baocaotaichinh_2022_Kiemtoan_Hopnhat.pdf" TargetMode="External"/><Relationship Id="rId719" Type="http://schemas.openxmlformats.org/officeDocument/2006/relationships/hyperlink" Target="https://static2.vietstock.vn/data/HNX/2023/BCTC/VN/NAM/SDC_Baocaotaichinh_2023_Kiemtoan_Hopnhat/2_sdc_2024_3_13_70b20ca_bao_cao_tai_chinh_kiem_toan_hop_nhat_2023ks.pdf" TargetMode="External"/><Relationship Id="rId926" Type="http://schemas.openxmlformats.org/officeDocument/2006/relationships/hyperlink" Target="https://static2.vietstock.vn/data/HNX/2023/BCTC/VN/NAM/VCM_Baocaotaichinh_2023_Kiemtoan_1/2_vcm_2024_4_1_1db4cee_bctc_bv_life_2023__signed.pdf" TargetMode="External"/><Relationship Id="rId1111" Type="http://schemas.openxmlformats.org/officeDocument/2006/relationships/hyperlink" Target="https://static2.vietstock.vn/data/HOSE/2021/BCTC/VN/NAM/CNG_Baocaotaichinh_2021_Kiemtoan.pdf" TargetMode="External"/><Relationship Id="rId1556" Type="http://schemas.openxmlformats.org/officeDocument/2006/relationships/hyperlink" Target="https://static2.vietstock.vn/data/HOSE/2023/BCTC/VN/NAM/SFC_Baocaotaichinh_2023_Kiemtoan.pdf" TargetMode="External"/><Relationship Id="rId1763" Type="http://schemas.openxmlformats.org/officeDocument/2006/relationships/hyperlink" Target="https://static2.vietstock.vn/data/HOSE/2022/BCTC/VN/NAM/VPS_Baocaotaichinh_2022_Kiemtoan_Hopnhat.pdf" TargetMode="External"/><Relationship Id="rId55" Type="http://schemas.openxmlformats.org/officeDocument/2006/relationships/hyperlink" Target="https://static2.vietstock.vn/data/HNX/2021/BCTC/VN/NAM/BKC_Baocaotaichinh_2021_Kiemtoan_Hopnhat.pdf" TargetMode="External"/><Relationship Id="rId1209" Type="http://schemas.openxmlformats.org/officeDocument/2006/relationships/hyperlink" Target="https://static2.vietstock.vn/data/HOSE/2023/BCTC/VN/NAM/DTA_Baocaotaichinh_2023_Kiemtoan.pdf" TargetMode="External"/><Relationship Id="rId1416" Type="http://schemas.openxmlformats.org/officeDocument/2006/relationships/hyperlink" Target="https://cafef.vn/du-lieu/bao-cao-tai-chinh/lgc/incsta/2023/0/0/0/0/ket-qua-hoat-dong-kinh-doanh-.chn" TargetMode="External"/><Relationship Id="rId1623" Type="http://schemas.openxmlformats.org/officeDocument/2006/relationships/hyperlink" Target="https://static2.vietstock.vn/data/HOSE/2021/BCTC/VN/NAM/SVT_Baocaotaichinh_2021_Kiemtoan.pdf" TargetMode="External"/><Relationship Id="rId1830" Type="http://schemas.openxmlformats.org/officeDocument/2006/relationships/hyperlink" Target="https://static2.vietstock.vn/data/HOSE/2023/BCTC/VN/NAM/DBD_Baocaotaichinh_2023_Kiemtoan_Hopnhat.pdf" TargetMode="External"/><Relationship Id="rId271" Type="http://schemas.openxmlformats.org/officeDocument/2006/relationships/hyperlink" Target="https://static2.vietstock.vn/data/HNX/2022/BCTC/VN/NAM/HHC_Baocaotaichinh_2022_Kiemtoan.pdf" TargetMode="External"/><Relationship Id="rId937" Type="http://schemas.openxmlformats.org/officeDocument/2006/relationships/hyperlink" Target="https://static2.vietstock.vn/data/HOSE/2022/BCTC/VN/NAM/VDS_Baocaotaichinh_2022_Kiemtoan_Hopnhat.pdf" TargetMode="External"/><Relationship Id="rId1122" Type="http://schemas.openxmlformats.org/officeDocument/2006/relationships/hyperlink" Target="https://static2.vietstock.vn/data/HOSE/2023/BCTC/VN/NAM/CSM_Baocaotaichinh_2023_Kiemtoan.pdf" TargetMode="External"/><Relationship Id="rId1567" Type="http://schemas.openxmlformats.org/officeDocument/2006/relationships/hyperlink" Target="https://static2.vietstock.vn/data/HOSE/2022/BCTC/VN/NAM/SHA_Baocaotaichinh_2022_Kiemtoan_Hopnhat.pdf" TargetMode="External"/><Relationship Id="rId1774" Type="http://schemas.openxmlformats.org/officeDocument/2006/relationships/hyperlink" Target="https://static2.vietstock.vn/data/HOSE/2021/BCTC/VN/NAM/VSI_Baocaotaichinh_2021_Kiemtoan_Hopnhat.pdf" TargetMode="External"/><Relationship Id="rId66" Type="http://schemas.openxmlformats.org/officeDocument/2006/relationships/hyperlink" Target="https://static2.vietstock.vn/data/HOSE/2023/BCTC/VN/NAM/BTT_TMBCTC_2023_Kiemtoan_Hopnhat_DieuChinh.pdf" TargetMode="External"/><Relationship Id="rId131" Type="http://schemas.openxmlformats.org/officeDocument/2006/relationships/hyperlink" Target="https://static2.vietstock.vn/data/HNX/2023/BCTC/VN/NAM/CTB_Baocaotaichinh_2023_Kiemtoan.pdf" TargetMode="External"/><Relationship Id="rId369" Type="http://schemas.openxmlformats.org/officeDocument/2006/relationships/hyperlink" Target="https://static2.vietstock.vn/data/HNX/2021/BCTC/VN/NAM/KTS_Baocaotaichinh_2021_Kiemtoan.pdf" TargetMode="External"/><Relationship Id="rId576" Type="http://schemas.openxmlformats.org/officeDocument/2006/relationships/hyperlink" Target="https://static2.vietstock.vn/data/HNX/2021/BCTC/VN/NAM/PMS_Baocaotaichinh_2021_Kiemtoan_Hopnhat.pdf" TargetMode="External"/><Relationship Id="rId783" Type="http://schemas.openxmlformats.org/officeDocument/2006/relationships/hyperlink" Target="https://static2.vietstock.vn/data/HNX/2021/BCTC/VN/NAM/SPI_Baocaotaichinh_2021_Kiemtoan_Hopnhat.pdf" TargetMode="External"/><Relationship Id="rId990" Type="http://schemas.openxmlformats.org/officeDocument/2006/relationships/hyperlink" Target="https://static2.vietstock.vn/data/HOSE/2021/BCTC/VN/NAM/ACL_Baocaotaichinh_2021_Kiemtoan_Hopnhat.pdf" TargetMode="External"/><Relationship Id="rId1427" Type="http://schemas.openxmlformats.org/officeDocument/2006/relationships/hyperlink" Target="https://static2.vietstock.vn/data/HOSE/2022/BCTC/VN/NAM/MBB_Baocaotaichinh_2022_Kiemtoan_Hopnhat.pdf" TargetMode="External"/><Relationship Id="rId1634" Type="http://schemas.openxmlformats.org/officeDocument/2006/relationships/hyperlink" Target="https://static2.vietstock.vn/data/HOSE/2023/BCTC/VN/NAM/TBC_Baocaotaichinh_2023_Kiemtoan_Hopnhat.pdf" TargetMode="External"/><Relationship Id="rId1841" Type="http://schemas.openxmlformats.org/officeDocument/2006/relationships/hyperlink" Target="https://static2.vietstock.vn/data/HOSE/2022/BCTC/VN/NAM/HVN_Baocaotaichinh_2022_Kiemtoan_Hopnhat.PDF" TargetMode="External"/><Relationship Id="rId229" Type="http://schemas.openxmlformats.org/officeDocument/2006/relationships/hyperlink" Target="https://static2.vietstock.vn/data/UPCOM/2022/BCTC/VN/NAM/EFI_Baocaotaichinh_2022_Kiemtoan.pdf" TargetMode="External"/><Relationship Id="rId436" Type="http://schemas.openxmlformats.org/officeDocument/2006/relationships/hyperlink" Target="https://static2.vietstock.vn/data/HNX/2021/BCTC/VN/NAM/MBS_Baocaotaichinh_2021_Kiemtoan/3.MBS_2022.2.10_bea83a6_MBS_Baocaotaichinhkiemtoannam2021s.pdf" TargetMode="External"/><Relationship Id="rId643" Type="http://schemas.openxmlformats.org/officeDocument/2006/relationships/hyperlink" Target="https://static2.vietstock.vn/data/UPCOM/2022/BCTC/VN/NAM/PVR_Baocaotaichinh_2022_Kiemtoan/4_pvr_2023_3_8_deb2321_bao_cao_tai_chinh_2022_ky_so.pdf" TargetMode="External"/><Relationship Id="rId1066" Type="http://schemas.openxmlformats.org/officeDocument/2006/relationships/hyperlink" Target="https://static2.vietstock.vn/data/HOSE/2022/BCTC/VN/NAM/C47_Baocaotaichinh_2022_Kiemtoan_Hopnhat.pdf" TargetMode="External"/><Relationship Id="rId1273" Type="http://schemas.openxmlformats.org/officeDocument/2006/relationships/hyperlink" Target="https://static2.vietstock.vn/data/HOSE/2021/BCTC/VN/NAM/GSP_Baocaotaichinh_2021_Kiemtoan.pdf" TargetMode="External"/><Relationship Id="rId1480" Type="http://schemas.openxmlformats.org/officeDocument/2006/relationships/hyperlink" Target="https://cafef.vn/du-lieu/bao-cao-tai-chinh/pet/incsta/2024/0/0/0/ket-qua-hoat-dong-kinh-doanh-.chn" TargetMode="External"/><Relationship Id="rId850" Type="http://schemas.openxmlformats.org/officeDocument/2006/relationships/hyperlink" Target="https://static2.vietstock.vn/data/HNX/2022/BCTC/VN/NAM/TNG_Baocaotaichinh_2022_Kiemtoan_Hopnhat/1_tng_2023_3_30_60f390e_bctc_hop_nhat_2022_da_kiem_toan__vie.pdf" TargetMode="External"/><Relationship Id="rId948" Type="http://schemas.openxmlformats.org/officeDocument/2006/relationships/hyperlink" Target="https://static2.vietstock.vn/data/HNX/2021/BCTC/VN/NAM/VE8_Baocaotaichinh_2021_Kiemtoan.pdf" TargetMode="External"/><Relationship Id="rId1133" Type="http://schemas.openxmlformats.org/officeDocument/2006/relationships/hyperlink" Target="https://static2.vietstock.vn/data/HOSE/2022/BCTC/VN/NAM/CTG_Baocaotaichinh_2022_Kiemtoan_Hopnhat.pdf" TargetMode="External"/><Relationship Id="rId1578" Type="http://schemas.openxmlformats.org/officeDocument/2006/relationships/hyperlink" Target="https://static2.vietstock.vn/data/HOSE/2021/BCTC/VN/NAM/SJS_Baocaotaichinh_2021_Kiemtoan_Hopnhat.pdf" TargetMode="External"/><Relationship Id="rId1701" Type="http://schemas.openxmlformats.org/officeDocument/2006/relationships/hyperlink" Target="https://static2.vietstock.vn/data/HOSE/2021/BCTC/VN/NAM/TSC_Baocaotaichinh_2021_Kiemtoan_Hopnhat.pdf" TargetMode="External"/><Relationship Id="rId1785" Type="http://schemas.openxmlformats.org/officeDocument/2006/relationships/hyperlink" Target="https://static2.vietstock.vn/data/HOSE/2023/BCTC/VN/NAM/EVF_Baocaotaichinh_2023_Kiemtoan.pdf" TargetMode="External"/><Relationship Id="rId77" Type="http://schemas.openxmlformats.org/officeDocument/2006/relationships/hyperlink" Target="https://static2.vietstock.vn/data/HNX/2022/BCTC/VN/NAM/BVS_Baocaotaichinh_2022_Kiemtoan/2_bvs_2023_3_31_32f59b1_bvsc_bao_cao_tai_chinh_31_12_2022.pdf" TargetMode="External"/><Relationship Id="rId282" Type="http://schemas.openxmlformats.org/officeDocument/2006/relationships/hyperlink" Target="https://static2.vietstock.vn/data/HNX/2021/BCTC/VN/NAM/HKT_Baocaotaichinh_2021_Kiemtoan.pdf" TargetMode="External"/><Relationship Id="rId503" Type="http://schemas.openxmlformats.org/officeDocument/2006/relationships/hyperlink" Target="https://static2.vietstock.vn/data/HNX/2023/BCTC/VN/NAM/NST_Baocaotaichinh_2023_Kiemtoan/1_nst_2024_2_5_a5043fc_bao_cao_tai_chinh_nam_2023_kiem_toan.pdf" TargetMode="External"/><Relationship Id="rId587" Type="http://schemas.openxmlformats.org/officeDocument/2006/relationships/hyperlink" Target="https://static2.vietstock.vn/data/HNX/2023/BCTC/VN/NAM/PPP_Baocaotaichinh_2023_Kiemtoan_Hopnhat.pdf" TargetMode="External"/><Relationship Id="rId710" Type="http://schemas.openxmlformats.org/officeDocument/2006/relationships/hyperlink" Target="https://static2.vietstock.vn/data/UPCOM/2023/BCTC/VN/NAM/SD7_Baocaotaichinh_2023_Kiemtoan.pdf" TargetMode="External"/><Relationship Id="rId808" Type="http://schemas.openxmlformats.org/officeDocument/2006/relationships/hyperlink" Target="https://static2.vietstock.vn/data/HNX/2022/BCTC/VN/NAM/TC6_Baocaotaichinh_2022_Kiemtoan.pdf" TargetMode="External"/><Relationship Id="rId1340" Type="http://schemas.openxmlformats.org/officeDocument/2006/relationships/hyperlink" Target="http://static2.vietstock.vn/data/HOSE/2022/BCTC/VN/NAM/HT1_Baocaotaichinh_2022_Kiemtoan_Hopnhat.pdf" TargetMode="External"/><Relationship Id="rId1438" Type="http://schemas.openxmlformats.org/officeDocument/2006/relationships/hyperlink" Target="https://static2.vietstock.vn/data/HOSE/2022/BCTC/VN/NAM/MSN_Baocaotaichinh_2022_Kiemtoan_Hopnhat.pdf" TargetMode="External"/><Relationship Id="rId1645" Type="http://schemas.openxmlformats.org/officeDocument/2006/relationships/hyperlink" Target="https://static2.vietstock.vn/data/HOSE/2022/BCTC/VN/NAM/TCO_Baocaotaichinh_2022_Kiemtoan_Hopnhat.pdf" TargetMode="External"/><Relationship Id="rId8" Type="http://schemas.openxmlformats.org/officeDocument/2006/relationships/hyperlink" Target="https://static2.vietstock.vn/data/HNX/2022/BCTC/VN/NAM/ADC_Baocaotaichinh_2022_Kiemtoan.pdf" TargetMode="External"/><Relationship Id="rId142" Type="http://schemas.openxmlformats.org/officeDocument/2006/relationships/hyperlink" Target="https://static2.vietstock.vn/data/HNX/2022/BCTC/VN/NAM/CTT_Baocaotaichinh_2022_Kiemtoan.pdf" TargetMode="External"/><Relationship Id="rId447" Type="http://schemas.openxmlformats.org/officeDocument/2006/relationships/hyperlink" Target="https://static2.vietstock.vn/data/HNX/2023/BCTC/VN/NAM/MCO_Baocaotaichinh_2023_Kiemtoan/2_mco_2024_4_1_c5366f5_bctc_th_2023.pdf" TargetMode="External"/><Relationship Id="rId794" Type="http://schemas.openxmlformats.org/officeDocument/2006/relationships/hyperlink" Target="https://static2.vietstock.vn/data/HNX/2023/BCTC/VN/NAM/STC_Baocaotaichinh_2023_Kiemtoan_Hopnhat.pdf" TargetMode="External"/><Relationship Id="rId1077" Type="http://schemas.openxmlformats.org/officeDocument/2006/relationships/hyperlink" Target="https://static2.vietstock.vn/data/HOSE/2021/BCTC/VN/NAM/CDC_Baocaotaichinh_2021_Kiemtoan_Hopnhat.pdf" TargetMode="External"/><Relationship Id="rId1200" Type="http://schemas.openxmlformats.org/officeDocument/2006/relationships/hyperlink" Target="https://static2.vietstock.vn/data/HOSE/2023/BCTC/VN/NAM/DRH_Baocaotaichinh_2023_Kiemtoan_Hopnhat.pdf" TargetMode="External"/><Relationship Id="rId1852" Type="http://schemas.openxmlformats.org/officeDocument/2006/relationships/hyperlink" Target="https://static2.vietstock.vn/data/HOSE/2021/BCTC/VN/NAM/SMB_Baocaotaichinh_2021_Kiemtoan_Hopnhat.pdf" TargetMode="External"/><Relationship Id="rId654" Type="http://schemas.openxmlformats.org/officeDocument/2006/relationships/hyperlink" Target="https://static2.vietstock.vn/data/UPCOM/2021/BCTC/VN/NAM/PXA_Baocaotaichinh_2021_Kiemtoan.pdf" TargetMode="External"/><Relationship Id="rId861" Type="http://schemas.openxmlformats.org/officeDocument/2006/relationships/hyperlink" Target="https://static2.vietstock.vn/data/HNX/2021/BCTC/VN/NAM/TTH_Baocaotaichinh_2021_Kiemtoan.pdf" TargetMode="External"/><Relationship Id="rId959" Type="http://schemas.openxmlformats.org/officeDocument/2006/relationships/hyperlink" Target="https://static2.vietstock.vn/data/HOSE/2023/BCTC/VN/NAM/VGC_Baocaotaichinh_2023_Kiemtoan_Hopnhat.pdf" TargetMode="External"/><Relationship Id="rId1284" Type="http://schemas.openxmlformats.org/officeDocument/2006/relationships/hyperlink" Target="https://static2.vietstock.vn/data/HOSE/2023/BCTC/VN/NAM/HAH_Baocaotaichinh_2023_Kiemtoan_Hopnhat.pdf" TargetMode="External"/><Relationship Id="rId1491" Type="http://schemas.openxmlformats.org/officeDocument/2006/relationships/hyperlink" Target="https://static2.vietstock.vn/data/HOSE/2022/BCTC/VN/NAM/PIT_Baocaotaichinh_2022_Kiemtoan_Hopnhat.pdf" TargetMode="External"/><Relationship Id="rId1505" Type="http://schemas.openxmlformats.org/officeDocument/2006/relationships/hyperlink" Target="https://static2.vietstock.vn/data/HOSE/2023/BCTC/VN/NAM/PTC_Baocaotaichinh_2023_Kiemtoan_Hopnhat.pdf" TargetMode="External"/><Relationship Id="rId1589" Type="http://schemas.openxmlformats.org/officeDocument/2006/relationships/hyperlink" Target="https://static2.vietstock.vn/data/HOSE/2023/BCTC/VN/NAM/SMC_Baocaotaichinh_2023_Kiemtoan_Hopnhat.pdf" TargetMode="External"/><Relationship Id="rId1712" Type="http://schemas.openxmlformats.org/officeDocument/2006/relationships/hyperlink" Target="https://static2.vietstock.vn/data/HOSE/2023/BCTC/VN/NAM/TYA_Baocaotaichinh_2023_Kiemtoan.pdf" TargetMode="External"/><Relationship Id="rId293" Type="http://schemas.openxmlformats.org/officeDocument/2006/relationships/hyperlink" Target="https://static2.vietstock.vn/data/UPCOM/2023/BCTC/VN/NAM/HLY_Baocaotaichinh_2023_Kiemtoan/1_hly_2024_2_7_ca2a4e5_bctc_nam_2023.pdf" TargetMode="External"/><Relationship Id="rId307" Type="http://schemas.openxmlformats.org/officeDocument/2006/relationships/hyperlink" Target="https://static2.vietstock.vn/data/UPCOM/2022/BCTC/VN/NAM/HPM_Baocaotaichinh_2022_Kiemtoan/2_hpm_2023_5_29_b225727_bctcnam2022.pdf" TargetMode="External"/><Relationship Id="rId514" Type="http://schemas.openxmlformats.org/officeDocument/2006/relationships/hyperlink" Target="https://static2.vietstock.vn/data/HOSE/2022/BCTC/VN/NAM/ORS_Baocaotaichinh_2022_Kiemtoan/01.BCTC2022_GopGiaitrinh.pdf" TargetMode="External"/><Relationship Id="rId721" Type="http://schemas.openxmlformats.org/officeDocument/2006/relationships/hyperlink" Target="https://static2.vietstock.vn/data/UPCOM/2022/BCTC/VN/NAM/SDD_Baocaotaichinh_2022_Kiemtoan.PDF" TargetMode="External"/><Relationship Id="rId1144" Type="http://schemas.openxmlformats.org/officeDocument/2006/relationships/hyperlink" Target="https://static2.vietstock.vn/data/HOSE/2021/BCTC/VN/NAM/DAG_Baocaotaichinh_2021_Kiemtoan_Hopnhat.pdf" TargetMode="External"/><Relationship Id="rId1351" Type="http://schemas.openxmlformats.org/officeDocument/2006/relationships/hyperlink" Target="https://static2.vietstock.vn/data/HOSE/2021/BCTC/VN/NAM/HU1_Baocaotaichinh_2021_Kiemtoan_Hopnhat.pdf" TargetMode="External"/><Relationship Id="rId1449" Type="http://schemas.openxmlformats.org/officeDocument/2006/relationships/hyperlink" Target="https://static2.vietstock.vn/data/HOSE/2023/BCTC/VN/NAM/NKG_Baocaotaichinh_2023_Kiemtoan_Hopnhat.pdf" TargetMode="External"/><Relationship Id="rId1796" Type="http://schemas.openxmlformats.org/officeDocument/2006/relationships/hyperlink" Target="https://static2.vietstock.vn/data/UPCOM/2022/BCTC/VN/NAM/NAB_Baocaotaichinh_2022_Kiemtoan_Hopnhat.pdf" TargetMode="External"/><Relationship Id="rId88" Type="http://schemas.openxmlformats.org/officeDocument/2006/relationships/hyperlink" Target="https://static2.vietstock.vn/data/HNX/2021/BCTC/VN/NAM/CAP_Baocaotaichinh_2021_Kiemtoan.pdf" TargetMode="External"/><Relationship Id="rId153" Type="http://schemas.openxmlformats.org/officeDocument/2006/relationships/hyperlink" Target="https://static2.vietstock.vn/data/HNX/2021/BCTC/VN/NAM/D11_Baocaotaichinh_2021_Kiemtoan/2_d11_2022_3_7_8a266cf_bao_cao_tai_chinh_nam_2021.pdf" TargetMode="External"/><Relationship Id="rId360" Type="http://schemas.openxmlformats.org/officeDocument/2006/relationships/hyperlink" Target="https://static2.vietstock.vn/data/HNX/2021/BCTC/VN/NAM/KSD_Baocaotaichinh_2021_Kiemtoan.pdf" TargetMode="External"/><Relationship Id="rId598" Type="http://schemas.openxmlformats.org/officeDocument/2006/relationships/hyperlink" Target="https://static2.vietstock.vn/data/HNX/2022/BCTC/VN/NAM/PSC_Baocaotaichinh_2022_Kiemtoan/1_psc_2023_3_14_1e12675_signed_bckt_2022.pdf" TargetMode="External"/><Relationship Id="rId819" Type="http://schemas.openxmlformats.org/officeDocument/2006/relationships/hyperlink" Target="https://static2.vietstock.vn/data/HNX/2021/BCTC/VN/NAM/TFC_Baocaotaichinh_2021_Kiemtoan_Hopnhat.pdf" TargetMode="External"/><Relationship Id="rId1004" Type="http://schemas.openxmlformats.org/officeDocument/2006/relationships/hyperlink" Target="https://static2.vietstock.vn/data/HOSE/2023/BCTC/VN/NAM/ANV_Baocaotaichinh_2023_Kiemtoan_Hopnhat.pdf" TargetMode="External"/><Relationship Id="rId1211" Type="http://schemas.openxmlformats.org/officeDocument/2006/relationships/hyperlink" Target="https://static2.vietstock.vn/data/HOSE/2022/BCTC/VN/QUY%204/DTL_Baocaotaichinh_Q4_2022_Hopnhat.pdf" TargetMode="External"/><Relationship Id="rId1656" Type="http://schemas.openxmlformats.org/officeDocument/2006/relationships/hyperlink" Target="https://static2.vietstock.vn/data/HOSE/2021/BCTC/VN/NAM/TDH_Baocaotaichinh_2021_Kiemtoan_Hopnhat.pdf" TargetMode="External"/><Relationship Id="rId1863" Type="http://schemas.openxmlformats.org/officeDocument/2006/relationships/hyperlink" Target="https://static2.vietstock.vn/data/HOSE/2023/BCTC/VN/NAM/VPD_Baocaotaichinh_2023_Kiemtoan.pdf" TargetMode="External"/><Relationship Id="rId220" Type="http://schemas.openxmlformats.org/officeDocument/2006/relationships/hyperlink" Target="https://static2.vietstock.vn/data/UPCOM/2022/BCTC/VN/QUY%204/DZM_LCTT_Q4_2022_Hopnhat_DieuChinh/2_dzm_2023_2_20_3e91b94_dzm__chungkhoan__22q4__bctchn_da_ky_so.pdf" TargetMode="External"/><Relationship Id="rId458" Type="http://schemas.openxmlformats.org/officeDocument/2006/relationships/hyperlink" Target="https://static2.vietstock.vn/data/HNX/2021/BCTC/VN/NAM/MKV_Baocaotaichinh_2021_Kiemtoan.pdf" TargetMode="External"/><Relationship Id="rId665" Type="http://schemas.openxmlformats.org/officeDocument/2006/relationships/hyperlink" Target="https://static2.vietstock.vn/data/HNX/2023/BCTC/VN/NAM/QST_Baocaotaichinh_2023_Kiemtoan.pdf" TargetMode="External"/><Relationship Id="rId872" Type="http://schemas.openxmlformats.org/officeDocument/2006/relationships/hyperlink" Target="https://static2.vietstock.vn/data/HNX/2023/BCTC/VN/NAM/TV3_Baocaotaichinh_2023_Kiemtoan.pdf" TargetMode="External"/><Relationship Id="rId1088" Type="http://schemas.openxmlformats.org/officeDocument/2006/relationships/hyperlink" Target="https://static2.vietstock.vn/data/HOSE/2023/BCTC/VN/NAM/CII_Baocaotaichinh_2023_Kiemtoan_Hopnhat.pdf" TargetMode="External"/><Relationship Id="rId1295" Type="http://schemas.openxmlformats.org/officeDocument/2006/relationships/hyperlink" Target="https://static2.vietstock.vn/data/HOSE/2022/BCTC/VN/NAM/HAX_Baocaotaichinh_2022_Kiemtoan_Hopnhat.pdf" TargetMode="External"/><Relationship Id="rId1309" Type="http://schemas.openxmlformats.org/officeDocument/2006/relationships/hyperlink" Target="https://static2.vietstock.vn/data/HOSE/2021/BCTC/VN/NAM/HHS_Baocaotaichinh_2021_Kiemtoan_Hopnhat.pdf" TargetMode="External"/><Relationship Id="rId1516" Type="http://schemas.openxmlformats.org/officeDocument/2006/relationships/hyperlink" Target="https://static2.vietstock.vn/data/HOSE/2022/BCTC/VN/NAM/QCG_Baocaotaichinh_2022_Kiemtoan_Hopnhat.pdf" TargetMode="External"/><Relationship Id="rId1723" Type="http://schemas.openxmlformats.org/officeDocument/2006/relationships/hyperlink" Target="https://l.facebook.com/l.php?u=https%3A%2F%2Fstatic2.vietstock.vn%2Fdata%2FHOSE%2F2022%2FBCTC%2FVN%2FNAM%2FVCF_Baocaotaichinh_2022_Kiemtoan.pdf%3Ffbclid%3DIwZXh0bgNhZW0CMTAAAR15OonNt346XR3K0q94SJv06VdS6bJTb0RxFKGUgc_KRZXPxbIuKdzq2SY_aem_2c9I4CNZzrXD8GjcaJf0Xw&amp;h=AT16xIU0Xt68Vp4CyMja_tDCL2RPjhzXvV7DwRbF9DDfXtIvL-UBSjcAoZwy2nGuQ7LUVH7tu5NzSsFlhPb4b2WsoCscDaunC0Vsugbx8x0tjwbGCpWuz25JPGjWeG01A_1UkxVNxNM" TargetMode="External"/><Relationship Id="rId15" Type="http://schemas.openxmlformats.org/officeDocument/2006/relationships/hyperlink" Target="https://static2.vietstock.vn/data/HNX/2023/BCTC/VN/NAM/AMC_Baocaotaichinh_2023_Kiemtoan.pdf" TargetMode="External"/><Relationship Id="rId318" Type="http://schemas.openxmlformats.org/officeDocument/2006/relationships/hyperlink" Target="https://static2.vietstock.vn/data/HNX/2021/BCTC/VN/NAM/HUT_Baocaotaichinh_2021_Kiemtoan_Hopnhat.pdf" TargetMode="External"/><Relationship Id="rId525" Type="http://schemas.openxmlformats.org/officeDocument/2006/relationships/hyperlink" Target="https://static2.vietstock.vn/data/UPCOM/2021/BCTC/VN/NAM/PCN_Baocaotaichinh_2021_Kiemtoan/2_pcn_2024_1_2_fcbfb4e_bctc_dmc_2021_da_ky.pdf" TargetMode="External"/><Relationship Id="rId732" Type="http://schemas.openxmlformats.org/officeDocument/2006/relationships/hyperlink" Target="https://static2.vietstock.vn/data/HNX/2021/BCTC/VN/NAM/SDT_Baocaotaichinh_2021_Kiemtoan_Hopnhat.pdf" TargetMode="External"/><Relationship Id="rId1155" Type="http://schemas.openxmlformats.org/officeDocument/2006/relationships/hyperlink" Target="https://static2.vietstock.vn/data/HOSE/2023/BCTC/VN/NAM/DCL_Baocaotaichinh_2023_Kiemtoan_Hopnhat.pdf" TargetMode="External"/><Relationship Id="rId1362" Type="http://schemas.openxmlformats.org/officeDocument/2006/relationships/hyperlink" Target="https://static2.vietstock.vn/data/UPCOM/2023/BCTC/VN/NAM/ICF_Baocaotaichinh_2023_Kiemtoan/ICF_Baocaotaichinh_2023_1.pdf" TargetMode="External"/><Relationship Id="rId99" Type="http://schemas.openxmlformats.org/officeDocument/2006/relationships/hyperlink" Target="https://static2.vietstock.vn/data/HNX/2023/BCTC/VN/NAM/CEO_Baocaotaichinh_2023_Kiemtoan_Hopnhat/2_ceo_2024_3_26_be464b6_bctc_nam_2023_hop_nhat_signed.pdf" TargetMode="External"/><Relationship Id="rId164" Type="http://schemas.openxmlformats.org/officeDocument/2006/relationships/hyperlink" Target="https://static2.vietstock.vn/data/HOSE/2023/BCTC/VN/NAM/DBC_Baocaotaichinh_2023_Kiemtoan_Hopnhat.pdf" TargetMode="External"/><Relationship Id="rId371" Type="http://schemas.openxmlformats.org/officeDocument/2006/relationships/hyperlink" Target="https://static2.vietstock.vn/data/HNX/2023/BCTC/VN/NAM/KTS_Baocaotaichinh_2023_Kiemtoan.pdf" TargetMode="External"/><Relationship Id="rId1015" Type="http://schemas.openxmlformats.org/officeDocument/2006/relationships/hyperlink" Target="https://static2.vietstock.vn/data/HOSE/2022/BCTC/VN/NAM/ASP_Baocaotaichinh_2022_Kiemtoan_Hopnhat.pdf" TargetMode="External"/><Relationship Id="rId1222" Type="http://schemas.openxmlformats.org/officeDocument/2006/relationships/hyperlink" Target="https://static2.vietstock.vn/data/HOSE/2021/BCTC/VN/NAM/DXV_Baocaotaichinh_2021_Kiemtoan/20220309_20220309%20-%20DXV%20-%20BCTC%20KT%20Nam%202021.pdf" TargetMode="External"/><Relationship Id="rId1667" Type="http://schemas.openxmlformats.org/officeDocument/2006/relationships/hyperlink" Target="https://static2.vietstock.vn/data/HOSE/2023/BCTC/VN/NAM/TIP_Baocaotaichinh_2023_Kiemtoan_Hopnhat.pdf" TargetMode="External"/><Relationship Id="rId469" Type="http://schemas.openxmlformats.org/officeDocument/2006/relationships/hyperlink" Target="https://static2.vietstock.vn/data/UPCOM/2023/BCTC/VN/NAM/MLS_Baocaotaichinh_2023_Kiemtoan.pdf" TargetMode="External"/><Relationship Id="rId676" Type="http://schemas.openxmlformats.org/officeDocument/2006/relationships/hyperlink" Target="https://static2.vietstock.vn/data/UPCOM/2022/BCTC/VN/NAM/S74_Baocaotaichinh_2022_Kiemtoan.pdf" TargetMode="External"/><Relationship Id="rId883" Type="http://schemas.openxmlformats.org/officeDocument/2006/relationships/hyperlink" Target="https://static2.vietstock.vn/data/HNX/2022/BCTC/VN/NAM/TXM_Baocaotaichinh_2022_Kiemtoan/3_txm_2023_3_23_5779fb1_bctc_nam_2022_da_kiem_toan.pdf" TargetMode="External"/><Relationship Id="rId1099" Type="http://schemas.openxmlformats.org/officeDocument/2006/relationships/hyperlink" Target="https://static2.vietstock.vn/data/HOSE/2021/BCTC/VN/NAM/CMG_Baocaotaichinh_2021_Kiemtoan_Hopnhat.pdf" TargetMode="External"/><Relationship Id="rId1527" Type="http://schemas.openxmlformats.org/officeDocument/2006/relationships/hyperlink" Target="https://static2.vietstock.vn/data/HOSE/2021/BCTC/VN/NAM/S4A_Baocaotaichinh_2021_Kiemtoan.pdf" TargetMode="External"/><Relationship Id="rId1734" Type="http://schemas.openxmlformats.org/officeDocument/2006/relationships/hyperlink" Target="https://static2.vietstock.vn/data/HOSE/2021/BCTC/VN/NAM/VID_Baocaotaichinh_2021_Kiemtoan_Hopnhat.pdf" TargetMode="External"/><Relationship Id="rId26" Type="http://schemas.openxmlformats.org/officeDocument/2006/relationships/hyperlink" Target="https://static2.vietstock.vn/data/UPCOM/2022/BCTC/VN/NAM/APP_Baocaotaichinh_2022_Kiemtoan.pdf" TargetMode="External"/><Relationship Id="rId231" Type="http://schemas.openxmlformats.org/officeDocument/2006/relationships/hyperlink" Target="https://static2.vietstock.vn/data/HNX/2021/BCTC/VN/NAM/EID_Baocaotaichinh_2021_Kiemtoan_Hopnhat.pdf" TargetMode="External"/><Relationship Id="rId329" Type="http://schemas.openxmlformats.org/officeDocument/2006/relationships/hyperlink" Target="https://static2.vietstock.vn/data/HNX/2023/BCTC/VN/NAM/IDJ_Baocaotaichinh_2023_Kiemtoan_Hopnhat.pdf" TargetMode="External"/><Relationship Id="rId536" Type="http://schemas.openxmlformats.org/officeDocument/2006/relationships/hyperlink" Target="https://static2.vietstock.vn/data/UPCOM/2023/BCTC/VN/NAM/PDC_Baocaotaichinh_2023_Kiemtoan.pdf" TargetMode="External"/><Relationship Id="rId1166" Type="http://schemas.openxmlformats.org/officeDocument/2006/relationships/hyperlink" Target="https://static2.vietstock.vn/data/HOSE/2022/BCTC/VN/NAM/DHC_Baocaotaichinh_2022_Kiemtoan_Hopnhat.pdf" TargetMode="External"/><Relationship Id="rId1373" Type="http://schemas.openxmlformats.org/officeDocument/2006/relationships/hyperlink" Target="https://static2.vietstock.vn/data/HOSE/2022/BCTC/VN/NAM/ITC_Baocaotaichinh_2022_Kiemtoan_Hopnhat.pdf" TargetMode="External"/><Relationship Id="rId175" Type="http://schemas.openxmlformats.org/officeDocument/2006/relationships/hyperlink" Target="https://static2.vietstock.vn/data/HOSE/2022/BCTC/VN/NAM/DGC_Baocaotaichinh_2022_Kiemtoan_Hopnhat.pdf" TargetMode="External"/><Relationship Id="rId743" Type="http://schemas.openxmlformats.org/officeDocument/2006/relationships/hyperlink" Target="https://static2.vietstock.vn/data/HNX/2023/BCTC/VN/NAM/SEB_Baocaotaichinh_2023_Kiemtoan_Hopnhat/2_seb_2024_3_4_ba885d7_bctc_hn_nam_2023.pdf" TargetMode="External"/><Relationship Id="rId950" Type="http://schemas.openxmlformats.org/officeDocument/2006/relationships/hyperlink" Target="https://static2.vietstock.vn/data/HNX/2023/BCTC/VN/NAM/VE8_Baocaotaichinh_2023_Kiemtoan/2_ve8_2024_4_12_1fa534c_bctc_2023.pdf" TargetMode="External"/><Relationship Id="rId1026" Type="http://schemas.openxmlformats.org/officeDocument/2006/relationships/hyperlink" Target="https://static2.vietstock.vn/data/HOSE/2021/BCTC/VN/NAM/BFC_Baocaotaichinh_2021_Kiemtoan_Hopnhat.pdf" TargetMode="External"/><Relationship Id="rId1580" Type="http://schemas.openxmlformats.org/officeDocument/2006/relationships/hyperlink" Target="https://static2.vietstock.vn/data/HOSE/2023/BCTC/VN/NAM/SJS_Baocaotaichinh_2023_Kiemtoan_Hopnhat.pdf" TargetMode="External"/><Relationship Id="rId1678" Type="http://schemas.openxmlformats.org/officeDocument/2006/relationships/hyperlink" Target="https://static2.vietstock.vn/data/HOSE/2022/BCTC/VN/NAM/TMP_Baocaotaichinh_2022_Kiemtoan_Hopnhat.pdf" TargetMode="External"/><Relationship Id="rId1801" Type="http://schemas.openxmlformats.org/officeDocument/2006/relationships/hyperlink" Target="https://static2.vietstock.vn/data/HOSE/2021/BCTC/VN/NAM/SHB_Baocaotaichinh_2021_Kiemtoan_Hopnhat.pdf" TargetMode="External"/><Relationship Id="rId382" Type="http://schemas.openxmlformats.org/officeDocument/2006/relationships/hyperlink" Target="https://static2.vietstock.vn/data/HNX/2022/BCTC/VN/NAM/L18_Baocaotaichinh_2022_Kiemtoan_Hopnhat.pdf" TargetMode="External"/><Relationship Id="rId603" Type="http://schemas.openxmlformats.org/officeDocument/2006/relationships/hyperlink" Target="https://static2.vietstock.vn/data/HNX/2021/BCTC/VN/NAM/PSE_Baocaotaichinh_2021_Kiemtoan.pdf" TargetMode="External"/><Relationship Id="rId687" Type="http://schemas.openxmlformats.org/officeDocument/2006/relationships/hyperlink" Target="https://static2.vietstock.vn/data/HNX/2021/BCTC/VN/NAM/SCI_Baocaotaichinh_2021_Kiemtoan_Hopnhat.pdf" TargetMode="External"/><Relationship Id="rId810" Type="http://schemas.openxmlformats.org/officeDocument/2006/relationships/hyperlink" Target="https://static2.vietstock.vn/data/HNX/2021/BCTC/VN/NAM/TDN_Baocaotaichinh_2021_Kiemtoan.pdf" TargetMode="External"/><Relationship Id="rId908" Type="http://schemas.openxmlformats.org/officeDocument/2006/relationships/hyperlink" Target="https://static2.vietstock.vn/data/HNX/2023/BCTC/VN/NAM/VC3_Baocaotaichinh_2023_Kiemtoan_Hopnhat.pdf" TargetMode="External"/><Relationship Id="rId1233" Type="http://schemas.openxmlformats.org/officeDocument/2006/relationships/hyperlink" Target="https://static2.vietstock.vn/data/HOSE/2023/BCTC/VN/NAM/EVE_Baocaotaichinh_2023_Kiemtoan_Hopnhat.pdf" TargetMode="External"/><Relationship Id="rId1440" Type="http://schemas.openxmlformats.org/officeDocument/2006/relationships/hyperlink" Target="https://cafef.vn/du-lieu/bao-cao-tai-chinh/mwg/incsta/2023/0/0/0/bao-cao-tai-chinh-.chn" TargetMode="External"/><Relationship Id="rId1538" Type="http://schemas.openxmlformats.org/officeDocument/2006/relationships/hyperlink" Target="https://static2.vietstock.vn/data/HOSE/2023/BCTC/VN/NAM/SAV_Baocaotaichinh_2023_Kiemtoan.pdf" TargetMode="External"/><Relationship Id="rId242" Type="http://schemas.openxmlformats.org/officeDocument/2006/relationships/hyperlink" Target="https://static2.vietstock.vn/data/HNX/2023/BCTC/VN/NAM/GLT_Baocaotaichinh_2023_Kiemtoan_Hopnhat/2_glt_2024_6_7_eb1f72e_glt_bctc_hop_nhat_nam_2023_da_kiem_toan_signed.pdf" TargetMode="External"/><Relationship Id="rId894" Type="http://schemas.openxmlformats.org/officeDocument/2006/relationships/hyperlink" Target="https://static2.vietstock.vn/data/HNX/2021/BCTC/VN/NAM/VBC_Baocaotaichinh_2021_Kiemtoan.pdf" TargetMode="External"/><Relationship Id="rId1177" Type="http://schemas.openxmlformats.org/officeDocument/2006/relationships/hyperlink" Target="https://static2.vietstock.vn/data/HOSE/2021/BCTC/VN/NAM/DIG_Baocaotaichinh_2021_Kiemtoan_Hopnhat.pdf" TargetMode="External"/><Relationship Id="rId1300" Type="http://schemas.openxmlformats.org/officeDocument/2006/relationships/hyperlink" Target="https://static2.vietstock.vn/data/HOSE/2021/BCTC/VN/NAM/HCM_Baocaotaichinh_2021_Kiemtoan.pdf" TargetMode="External"/><Relationship Id="rId1745" Type="http://schemas.openxmlformats.org/officeDocument/2006/relationships/hyperlink" Target="https://cafef.vn/du-lieu/bao-cao-tai-chinh/vne/incsta/2023/0/0/0/bao-cao-tai-chinh-.chn" TargetMode="External"/><Relationship Id="rId37" Type="http://schemas.openxmlformats.org/officeDocument/2006/relationships/hyperlink" Target="https://bauxeo.com.vn/bao-cao-tai-chinh/" TargetMode="External"/><Relationship Id="rId102" Type="http://schemas.openxmlformats.org/officeDocument/2006/relationships/hyperlink" Target="https://static2.vietstock.vn/data/HNX/2023/BCTC/VN/NAM/CJC_Baocaotaichinh_2023_Kiemtoan/1_cjc_2024_4_3_8a920ab_cjc_bctc_kiem_toan_nam_2023.pdf" TargetMode="External"/><Relationship Id="rId547" Type="http://schemas.openxmlformats.org/officeDocument/2006/relationships/hyperlink" Target="https://static2.vietstock.vn/data/HOSE/2022/BCTC/VN/NAM/PHC_Baocaotaichinh_2022_Kiemtoan_Hopnhat.pdf" TargetMode="External"/><Relationship Id="rId754" Type="http://schemas.openxmlformats.org/officeDocument/2006/relationships/hyperlink" Target="https://static2.vietstock.vn/data/HNX/2022/BCTC/VN/NAM/SGD_Baocaotaichinh_2022_Kiemtoan_Hopnhat.pdf" TargetMode="External"/><Relationship Id="rId961" Type="http://schemas.openxmlformats.org/officeDocument/2006/relationships/hyperlink" Target="https://static2.vietstock.vn/data/HNX/2022/BCTC/VN/NAM/VGP_Baocaotaichinh_2022_Kiemtoan.pdf" TargetMode="External"/><Relationship Id="rId1384" Type="http://schemas.openxmlformats.org/officeDocument/2006/relationships/hyperlink" Target="https://static2.vietstock.vn/data/HOSE/2020/BCTC/VN/NAM/KDC_Baocaotaichinh_2020_Kiemtoan_Hopnhat.pdf" TargetMode="External"/><Relationship Id="rId1591" Type="http://schemas.openxmlformats.org/officeDocument/2006/relationships/hyperlink" Target="https://static2.vietstock.vn/data/HOSE/2022/BCTC/VN/NAM/SPM_Baocaotaichinh_2022_Kiemtoan.pdf" TargetMode="External"/><Relationship Id="rId1605" Type="http://schemas.openxmlformats.org/officeDocument/2006/relationships/hyperlink" Target="https://static2.vietstock.vn/data/HOSE/2021/BCTC/VN/NAM/ST8_Baocaotaichinh_2021_Kiemtoan_Congtyme.pdf" TargetMode="External"/><Relationship Id="rId1689" Type="http://schemas.openxmlformats.org/officeDocument/2006/relationships/hyperlink" Target="https://static2.vietstock.vn/data/HOSE/2021/BCTC/VN/NAM/TNC_Baocaotaichinh_2021_Kiemtoan.pdf" TargetMode="External"/><Relationship Id="rId1812" Type="http://schemas.openxmlformats.org/officeDocument/2006/relationships/hyperlink" Target="https://static2.vietstock.vn/data/HOSE/2023/BCTC/VN/NAM/TCB_Baocaotaichinh_2023_Kiemtoan_Hopnhat.pdf" TargetMode="External"/><Relationship Id="rId90" Type="http://schemas.openxmlformats.org/officeDocument/2006/relationships/hyperlink" Target="https://static2.vietstock.vn/data/HNX/2023/BCTC/VN/NAM/CAP_Baocaotaichinh_2023_Kiemtoan.pdf" TargetMode="External"/><Relationship Id="rId186" Type="http://schemas.openxmlformats.org/officeDocument/2006/relationships/hyperlink" Target="https://static2.vietstock.vn/data/UPCOM/2021/BCTC/VN/NAM/DID_Baocaotaichinh_2021_Kiemtoan.pdf" TargetMode="External"/><Relationship Id="rId393" Type="http://schemas.openxmlformats.org/officeDocument/2006/relationships/hyperlink" Target="https://static2.vietstock.vn/data/HNX/2023/BCTC/VN/NAM/L61_Baocaotaichinh_2023_Kiemtoan/2_l61_2024_4_1_5300df7_bao_cao_tai_chinh_nam_2023_sau_kiem_toan.pdf" TargetMode="External"/><Relationship Id="rId407" Type="http://schemas.openxmlformats.org/officeDocument/2006/relationships/hyperlink" Target="https://static2.vietstock.vn/data/HNX/2021/BCTC/VN/NAM/LDP_Baocaotaichinh_2021_Kiemtoan.pdf" TargetMode="External"/><Relationship Id="rId614" Type="http://schemas.openxmlformats.org/officeDocument/2006/relationships/hyperlink" Target="https://static2.vietstock.vn/data/HNX/2023/BCTC/VN/NAM/PTD_Baocaotaichinh_2023_Kiemtoan_Hopnhat.pdf" TargetMode="External"/><Relationship Id="rId821" Type="http://schemas.openxmlformats.org/officeDocument/2006/relationships/hyperlink" Target="https://static2.vietstock.vn/data/HNX/2023/BCTC/VN/NAM/TFC_Baocaotaichinh_2023_Kiemtoan_Hopnhat/1_tfc_2024_4_2_2b30ec0_bc_kiem_toan_hop_nhat_n2023_signed.pdf" TargetMode="External"/><Relationship Id="rId1037" Type="http://schemas.openxmlformats.org/officeDocument/2006/relationships/hyperlink" Target="https://static2.vietstock.vn/data/HOSE/2023/BCTC/VN/NAM/BID_Baocaotaichinh_2023_Kiemtoan_Hopnhat.pdf" TargetMode="External"/><Relationship Id="rId1244" Type="http://schemas.openxmlformats.org/officeDocument/2006/relationships/hyperlink" Target="https://static2.vietstock.vn/data/HOSE/2022/BCTC/VN/NAM/FIT_Baocaotaichinh_2022_Kiemtoan_Hopnhat.pdf" TargetMode="External"/><Relationship Id="rId1451" Type="http://schemas.openxmlformats.org/officeDocument/2006/relationships/hyperlink" Target="https://cafef.vn/du-lieu/bao-cao-tai-chinh/nsc/incsta/2024/0/0/0/ket-qua-hoat-dong-kinh-doanh-.chn" TargetMode="External"/><Relationship Id="rId253" Type="http://schemas.openxmlformats.org/officeDocument/2006/relationships/hyperlink" Target="https://static2.vietstock.vn/data/HNX/2022/BCTC/VN/NAM/HBS_Baocaotaichinh_2022_Kiemtoan.pdf" TargetMode="External"/><Relationship Id="rId460" Type="http://schemas.openxmlformats.org/officeDocument/2006/relationships/hyperlink" Target="https://static2.vietstock.vn/data/HNX/2023/BCTC/VN/NAM/MKV_Baocaotaichinh_2023_Kiemtoan.pdf" TargetMode="External"/><Relationship Id="rId698" Type="http://schemas.openxmlformats.org/officeDocument/2006/relationships/hyperlink" Target="https://static2.vietstock.vn/data/UPCOM/2023/BCTC/VN/NAM/SD2_Baocaotaichinh_2023_Kiemtoan_Hopnhat/1_sd2_2024_3_8_2365c9b_bctc_hop_nhat_31122023_compressed_1.pdf" TargetMode="External"/><Relationship Id="rId919" Type="http://schemas.openxmlformats.org/officeDocument/2006/relationships/hyperlink" Target="https://static2.vietstock.vn/data/HNX/2022/BCTC/VN/NAM/VCC_Baocaotaichinh_2022_Kiemtoan/3_vcc_2023_3_17_be21322_vcc_bctc_2022_kiem_toan_signed.pdf" TargetMode="External"/><Relationship Id="rId1090" Type="http://schemas.openxmlformats.org/officeDocument/2006/relationships/hyperlink" Target="https://static2.vietstock.vn/data/HOSE/2022/BCTC/VN/NAM/CLC_Baocaotaichinh_2022_Kiemtoan.pdf" TargetMode="External"/><Relationship Id="rId1104" Type="http://schemas.openxmlformats.org/officeDocument/2006/relationships/hyperlink" Target="https://static2.vietstock.vn/data/UPCOM/2023/BCTC/VN/NAM/CMT_Baocaotaichinh_2023_Kiemtoan_Hopnhat.pdf" TargetMode="External"/><Relationship Id="rId1311" Type="http://schemas.openxmlformats.org/officeDocument/2006/relationships/hyperlink" Target="https://static2.vietstock.vn/data/HOSE/2023/BCTC/VN/NAM/HHS_Baocaotaichinh_2023_Kiemtoan_Hopnhat.pdf" TargetMode="External"/><Relationship Id="rId1549" Type="http://schemas.openxmlformats.org/officeDocument/2006/relationships/hyperlink" Target="https://static2.vietstock.vn/data/HOSE/2022/BCTC/VN/NAM/SC5_Baocaotaichinh_2022_Kiemtoan.pdf" TargetMode="External"/><Relationship Id="rId1756" Type="http://schemas.openxmlformats.org/officeDocument/2006/relationships/hyperlink" Target="https://static2.vietstock.vn/data/HOSE/2021/BCTC/VN/NAM/VOS_Baocaotaichinh_2021_Kiemtoan_Hopnhat.pdf" TargetMode="External"/><Relationship Id="rId48" Type="http://schemas.openxmlformats.org/officeDocument/2006/relationships/hyperlink" Target="https://static2.vietstock.vn/data/HNX/2022/BCTC/VN/NAM/BED_Baocaotaichinh_2022_Kiemtoan.pdf" TargetMode="External"/><Relationship Id="rId113" Type="http://schemas.openxmlformats.org/officeDocument/2006/relationships/hyperlink" Target="https://static2.vietstock.vn/data/HNX/2022/BCTC/VN/NAM/CMC_Baocaotaichinh_2022_Kiemtoan/000000012391680_BAO_CAO_TAI_CHINH_NAM_2022.pdf" TargetMode="External"/><Relationship Id="rId320" Type="http://schemas.openxmlformats.org/officeDocument/2006/relationships/hyperlink" Target="https://static2.vietstock.vn/data/HNX/2023/BCTC/VN/NAM/HUT_Baocaotaichinh_2023_Kiemtoan_Hopnhat/2_hut_2024_4_2_f349167_hut__bctc_hn_2023_signed_final.pdf" TargetMode="External"/><Relationship Id="rId558" Type="http://schemas.openxmlformats.org/officeDocument/2006/relationships/hyperlink" Target="https://static2.vietstock.vn/data/UPCOM/2021/BCTC/VN/NAM/PIV_Baocaotaichinh_2021_Kiemtoan.pdf" TargetMode="External"/><Relationship Id="rId765" Type="http://schemas.openxmlformats.org/officeDocument/2006/relationships/hyperlink" Target="https://static2.vietstock.vn/data/HNX/2021/BCTC/VN/NAM/SHN_Baocaotaichinh_2021_Kiemtoan_Hopnhat.pdf" TargetMode="External"/><Relationship Id="rId972" Type="http://schemas.openxmlformats.org/officeDocument/2006/relationships/hyperlink" Target="https://vinare.com.vn/wp-content/uploads/2022/03/VNR_ToanVanBaoCaoTaiChinhKiemToanHopNhat_2021.pdf" TargetMode="External"/><Relationship Id="rId1188" Type="http://schemas.openxmlformats.org/officeDocument/2006/relationships/hyperlink" Target="https://static2.vietstock.vn/data/HOSE/2023/BCTC/VN/NAM/DPM_Baocaotaichinh_2023_Kiemtoan_Hopnhat.pdf" TargetMode="External"/><Relationship Id="rId1395" Type="http://schemas.openxmlformats.org/officeDocument/2006/relationships/hyperlink" Target="https://static2.vietstock.vn/data/HOSE/2023/BCTC/VN/NAM/KMR_Baocaotaichinh_2023_Kiemtoan.pdf" TargetMode="External"/><Relationship Id="rId1409" Type="http://schemas.openxmlformats.org/officeDocument/2006/relationships/hyperlink" Target="https://static2.vietstock.vn/data/HOSE/2022/BCTC/VN/NAM/LAF_Baocaotaichinh_2022_Kiemtoan.pdf" TargetMode="External"/><Relationship Id="rId1616" Type="http://schemas.openxmlformats.org/officeDocument/2006/relationships/hyperlink" Target="https://static2.vietstock.vn/data/HOSE/2023/BCTC/VN/NAM/STK_Baocaotaichinh_2023_Kiemtoan_Hopnhat.pdf" TargetMode="External"/><Relationship Id="rId1823" Type="http://schemas.openxmlformats.org/officeDocument/2006/relationships/hyperlink" Target="https://static2.vietstock.vn/data/HOSE/2022/BCTC/VN/NAM/VPB_Baocaotaichinh_2022_Kiemtoan_Hopnhat.pdf" TargetMode="External"/><Relationship Id="rId197" Type="http://schemas.openxmlformats.org/officeDocument/2006/relationships/hyperlink" Target="https://static2.vietstock.vn/data/UPCOM/2023/BCTC/VN/NAM/DLR_Baocaotaichinh_2023_Kiemtoan_Hopnhat.pdf" TargetMode="External"/><Relationship Id="rId418" Type="http://schemas.openxmlformats.org/officeDocument/2006/relationships/hyperlink" Target="https://static2.vietstock.vn/data/UPCOM/2023/BCTC/VN/NAM/LM7_Baocaotaichinh_2023_Kiemtoan/3_lm7_2024_3_22_c2342b1_bao_cao_tai_chinh_kiem_toan_nam_2023_compressed.pdf" TargetMode="External"/><Relationship Id="rId625" Type="http://schemas.openxmlformats.org/officeDocument/2006/relationships/hyperlink" Target="https://static2.vietstock.vn/data/HNX/2022/BCTC/VN/NAM/PVB_Baocaotaichinh_2022_Kiemtoan/3_pvb_2023_3_6_f6457c2_cong_bo_bctc_nam_2022_da_duoc_kiem_toan.pdf" TargetMode="External"/><Relationship Id="rId832" Type="http://schemas.openxmlformats.org/officeDocument/2006/relationships/hyperlink" Target="https://static2.vietstock.vn/data/HNX/2022/BCTC/VN/NAM/TIG_Baocaotaichinh_2022_Kiemtoan_Hopnhat/2_tig_2023_3_24_3b05cf0_bctc_kiem_toan_hop_nhat_tig_31122022_compressed.pdf" TargetMode="External"/><Relationship Id="rId1048" Type="http://schemas.openxmlformats.org/officeDocument/2006/relationships/hyperlink" Target="https://static2.vietstock.vn/data/HOSE/2022/BCTC/VN/NAM/BRC_Baocaotaichinh_2022_Kiemtoan.pdf" TargetMode="External"/><Relationship Id="rId1255" Type="http://schemas.openxmlformats.org/officeDocument/2006/relationships/hyperlink" Target="https://static2.vietstock.vn/data/HOSE/2021/BCTC/VN/QUY%204/FTM_Baocaotaichinh_Q4_2021.pdf" TargetMode="External"/><Relationship Id="rId1462" Type="http://schemas.openxmlformats.org/officeDocument/2006/relationships/hyperlink" Target="https://static2.vietstock.vn/data/HOSE/2021/BCTC/VN/NAM/OPC_Baocaotaichinh_2021_Kiemtoan_Hopnhat.pdf" TargetMode="External"/><Relationship Id="rId264" Type="http://schemas.openxmlformats.org/officeDocument/2006/relationships/hyperlink" Target="https://static2.vietstock.vn/data/HNX/2021/BCTC/VN/NAM/HEV_Baocaotaichinh_2021_Kiemtoan.pdf" TargetMode="External"/><Relationship Id="rId471" Type="http://schemas.openxmlformats.org/officeDocument/2006/relationships/hyperlink" Target="https://static2.vietstock.vn/data/HNX/2022/BCTC/VN/NAM/NAG_Baocaotaichinh_2022_Kiemtoan_Hopnhat.pdf" TargetMode="External"/><Relationship Id="rId1115" Type="http://schemas.openxmlformats.org/officeDocument/2006/relationships/hyperlink" Target="https://static2.vietstock.vn/data/HOSE/2022/BCTC/VN/NAM/COM_Baocaotaichinh_2022_Kiemtoan.pdf" TargetMode="External"/><Relationship Id="rId1322" Type="http://schemas.openxmlformats.org/officeDocument/2006/relationships/hyperlink" Target="https://static2.vietstock.vn/data/HOSE/2022/BCTC/VN/NAM/HNG_Baocaotaichinh_2022_Kiemtoan_Hopnhat.pdf" TargetMode="External"/><Relationship Id="rId1767" Type="http://schemas.openxmlformats.org/officeDocument/2006/relationships/hyperlink" Target="https://static2.vietstock.vn/data/HOSE/2023/BCTC/VN/NAM/VRC_Baocaotaichinh_2023_Kiemtoan_Hopnhat.pdf" TargetMode="External"/><Relationship Id="rId59" Type="http://schemas.openxmlformats.org/officeDocument/2006/relationships/hyperlink" Target="https://static2.vietstock.vn/data/HNX/2022/BCTC/VN/NAM/BLF_Baocaotaichinh_2022_Kiemtoan.pdf" TargetMode="External"/><Relationship Id="rId124" Type="http://schemas.openxmlformats.org/officeDocument/2006/relationships/hyperlink" Target="https://static2.vietstock.vn/data/HOSE/2021/BCTC/VN/NAM/TNI_Baocaotaichinh_2021_Kiemtoan_Hopnhat_DieuChinh.pdf" TargetMode="External"/><Relationship Id="rId569" Type="http://schemas.openxmlformats.org/officeDocument/2006/relationships/hyperlink" Target="https://static2.vietstock.vn/data/HNX/2023/BCTC/VN/NAM/PMB_Baocaotaichinh_2023_Kiemtoan.pdf" TargetMode="External"/><Relationship Id="rId776" Type="http://schemas.openxmlformats.org/officeDocument/2006/relationships/hyperlink" Target="https://static2.vietstock.vn/data/HNX/2023/BCTC/VN/NAM/SLS_Baocaotaichinh_2023_Kiemtoan/1_sls_2023_9_8_707b9fc_bao_cao_tai_chinh_kiem_toan_nam_20222023.pdf" TargetMode="External"/><Relationship Id="rId983" Type="http://schemas.openxmlformats.org/officeDocument/2006/relationships/hyperlink" Target="https://static2.vietstock.vn/data/HOSE/2023/BCTC/VN/NAM/AAM_Baocaotaichinh_2023_Kiemtoan.pdf" TargetMode="External"/><Relationship Id="rId1199" Type="http://schemas.openxmlformats.org/officeDocument/2006/relationships/hyperlink" Target="https://static2.vietstock.vn/data/HOSE/2022/BCTC/VN/NAM/DRH_Baocaotaichinh_2022_Kiemtoan_Hopnhat.pdf" TargetMode="External"/><Relationship Id="rId1627" Type="http://schemas.openxmlformats.org/officeDocument/2006/relationships/hyperlink" Target="https://static2.vietstock.vn/data/HOSE/2022/BCTC/VN/NAM/SZC_Baocaotaichinh_2022_Kiemtoan.pdf" TargetMode="External"/><Relationship Id="rId1834" Type="http://schemas.openxmlformats.org/officeDocument/2006/relationships/hyperlink" Target="https://static2.vietstock.vn/data/HOSE/2021/BCTC/VN/NAM/GEX_Baocaotaichinh_2021_Kiemtoan_Hopnhat.pdf" TargetMode="External"/><Relationship Id="rId331" Type="http://schemas.openxmlformats.org/officeDocument/2006/relationships/hyperlink" Target="https://static2.vietstock.vn/data/HNX/2022/BCTC/VN/NAM/IDV_Baocaotaichinh_2022_Kiemtoan_Hopnhat.pdf" TargetMode="External"/><Relationship Id="rId429" Type="http://schemas.openxmlformats.org/officeDocument/2006/relationships/hyperlink" Target="https://static2.vietstock.vn/data/HNX/2021/BCTC/VN/NAM/MAS_Baocaotaichinh_2021_Kiemtoan.pdf" TargetMode="External"/><Relationship Id="rId636" Type="http://schemas.openxmlformats.org/officeDocument/2006/relationships/hyperlink" Target="https://static2.vietstock.vn/data/HNX/2021/BCTC/VN/NAM/PVI_Baocaotaichinh_2021_Kiemtoan_Hopnhat/2_pvi_2022_2_24_fa28517_pvi_bctchopnhat2021.pdf" TargetMode="External"/><Relationship Id="rId1059" Type="http://schemas.openxmlformats.org/officeDocument/2006/relationships/hyperlink" Target="https://static2.vietstock.vn/data/HOSE/2021/BCTC/VN/NAM/BVH_Baocaotaichinh_2021_Kiemtoan_Hopnhat.pdf" TargetMode="External"/><Relationship Id="rId1266" Type="http://schemas.openxmlformats.org/officeDocument/2006/relationships/hyperlink" Target="https://static2.vietstock.vn/data/HOSE/2023/BCTC/VN/NAM/GDT_Baocaotaichinh_2023_Kiemtoan_Hopnhat.pdf" TargetMode="External"/><Relationship Id="rId1473" Type="http://schemas.openxmlformats.org/officeDocument/2006/relationships/hyperlink" Target="https://static2.vietstock.vn/data/HOSE/2023/BCTC/VN/NAM/PC1_Baocaotaichinh_2023_Kiemtoan_Hopnhat.pdf" TargetMode="External"/><Relationship Id="rId843" Type="http://schemas.openxmlformats.org/officeDocument/2006/relationships/hyperlink" Target="https://static2.vietstock.vn/data/HNX/2021/BCTC/VN/NAM/TMC_Baocaotaichinh_2021_Kiemtoan/1.TMC_2022.2.16_0b4d61e_BAOCAOKIEMTOAN2021.pdf" TargetMode="External"/><Relationship Id="rId1126" Type="http://schemas.openxmlformats.org/officeDocument/2006/relationships/hyperlink" Target="https://static2.vietstock.vn/data/HOSE/2021/BCTC/VN/NAM/CTD_Baocaotaichinh_2021_Kiemtoan_Hopnhat.pdf" TargetMode="External"/><Relationship Id="rId1680" Type="http://schemas.openxmlformats.org/officeDocument/2006/relationships/hyperlink" Target="https://static2.vietstock.vn/data/HOSE/2021/BCTC/VN/NAM/TMS_Baocaotaichinh_2021_Kiemtoan_Hopnhat.pdf" TargetMode="External"/><Relationship Id="rId1778" Type="http://schemas.openxmlformats.org/officeDocument/2006/relationships/hyperlink" Target="https://static2.vietstock.vn/data/HOSE/2022/BCTC/VN/NAM/VTB_Baocaotaichinh_2022_Kiemtoan_Hopnhat.pdf" TargetMode="External"/><Relationship Id="rId275" Type="http://schemas.openxmlformats.org/officeDocument/2006/relationships/hyperlink" Target="https://static2.vietstock.vn/data/UPCOM/2023/BCTC/VN/NAM/HHG_Baocaotaichinh_2023_Kiemtoan_Hopnhat/1_hhg_2024_3_18_224b2c6_bctc_hn.pdf" TargetMode="External"/><Relationship Id="rId482" Type="http://schemas.openxmlformats.org/officeDocument/2006/relationships/hyperlink" Target="https://static2.vietstock.vn/data/HNX/2021/BCTC/VN/NAM/NDN_Baocaotaichinh_2021_Kiemtoan.pdf" TargetMode="External"/><Relationship Id="rId703" Type="http://schemas.openxmlformats.org/officeDocument/2006/relationships/hyperlink" Target="https://static2.vietstock.vn/data/HNX/2022/BCTC/VN/NAM/SD5_Baocaotaichinh_2022_Kiemtoan.pdf" TargetMode="External"/><Relationship Id="rId910" Type="http://schemas.openxmlformats.org/officeDocument/2006/relationships/hyperlink" Target="https://static2.vietstock.vn/data/HNX/2022/BCTC/VN/NAM/VC6_Baocaotaichinh_2022_Kiemtoan_Hopnhat/2_vc6_2023_3_23_2f20faf_bctc_hop_nhat_2022_bandaydu_0001.pdf" TargetMode="External"/><Relationship Id="rId1333" Type="http://schemas.openxmlformats.org/officeDocument/2006/relationships/hyperlink" Target="https://static2.vietstock.vn/data/HOSE/2021/BCTC/VN/NAM/HRC_Baocaotaichinh_2021_Kiemtoan.pdf" TargetMode="External"/><Relationship Id="rId1540" Type="http://schemas.openxmlformats.org/officeDocument/2006/relationships/hyperlink" Target="https://static2.vietstock.vn/data/HOSE/2022/BCTC/VN/NAM/SBA_Baocaotaichinh_2022_Kiemtoan.pdf" TargetMode="External"/><Relationship Id="rId1638" Type="http://schemas.openxmlformats.org/officeDocument/2006/relationships/hyperlink" Target="https://static2.vietstock.vn/data/HOSE/2021/BCTC/VN/NAM/TCL_Baocaotaichinh_2021_Kiemtoan_Hopnhat.pdf" TargetMode="External"/><Relationship Id="rId135" Type="http://schemas.openxmlformats.org/officeDocument/2006/relationships/hyperlink" Target="https://static2.vietstock.vn/data/HNX/2021/BCTC/VN/NAM/CTP_Baocaotaichinh_2021_Kiemtoan.pdf" TargetMode="External"/><Relationship Id="rId342" Type="http://schemas.openxmlformats.org/officeDocument/2006/relationships/hyperlink" Target="https://static2.vietstock.vn/data/HNX/2021/BCTC/VN/NAM/ITQ_Baocaotaichinh_2021_Kiemtoan.pdf" TargetMode="External"/><Relationship Id="rId787" Type="http://schemas.openxmlformats.org/officeDocument/2006/relationships/hyperlink" Target="https://static2.vietstock.vn/data/HNX/2022/BCTC/VN/NAM/SRA_Baocaotaichinh_2022_Kiemtoan_Hopnhat/2_sra_2023_4_3_2328595_bao_cao_tai_chinh_nam_hop_nhat_2022.pdf" TargetMode="External"/><Relationship Id="rId994" Type="http://schemas.openxmlformats.org/officeDocument/2006/relationships/hyperlink" Target="https://static2.vietstock.vn/data/HOSE/2022/BCTC/VN/NAM/ADS_Baocaotaichinh_2022_Kiemtoan_Hopnhat.pdf" TargetMode="External"/><Relationship Id="rId1400" Type="http://schemas.openxmlformats.org/officeDocument/2006/relationships/hyperlink" Target="https://static2.vietstock.vn/data/HOSE/2022/BCTC/VN/NAM/KSB_Baocaotaichinh_2022_Kiemtoan_Hopnhat.pdf" TargetMode="External"/><Relationship Id="rId1845" Type="http://schemas.openxmlformats.org/officeDocument/2006/relationships/hyperlink" Target="https://static2.vietstock.vn/data/HOSE/2023/BCTC/VN/NAM/PVP_Baocaotaichinh_2023_Kiemtoan.pdf" TargetMode="External"/><Relationship Id="rId202" Type="http://schemas.openxmlformats.org/officeDocument/2006/relationships/hyperlink" Target="https://static2.vietstock.vn/data/HNX/2022/BCTC/VN/NAM/DNM_Baocaotaichinh_2022_Kiemtoan/1_dnm_2023_6_8_3d26bd4_bctc_2022_signed.pdf" TargetMode="External"/><Relationship Id="rId647" Type="http://schemas.openxmlformats.org/officeDocument/2006/relationships/hyperlink" Target="https://static2.vietstock.vn/data/HNX/2023/BCTC/VN/NAM/PVS_Baocaotaichinh_2023_Kiemtoan_Hopnhat.pdf" TargetMode="External"/><Relationship Id="rId854" Type="http://schemas.openxmlformats.org/officeDocument/2006/relationships/hyperlink" Target="https://static2.vietstock.vn/data/HNX/2023/BCTC/VN/NAM/TPH_Baocaotaichinh_2023_Kiemtoan/2_tph_2024_3_6_eac1e7a_bao_cao_tai_chinh_nam_2023_sign.pdf" TargetMode="External"/><Relationship Id="rId1277" Type="http://schemas.openxmlformats.org/officeDocument/2006/relationships/hyperlink" Target="https://static2.vietstock.vn/data/HOSE/2022/BCTC/VN/NAM/GTA_Baocaotaichinh_2022_Kiemtoan.pdf" TargetMode="External"/><Relationship Id="rId1484" Type="http://schemas.openxmlformats.org/officeDocument/2006/relationships/hyperlink" Target="https://static2.vietstock.vn/data/HOSE/2021/BCTC/VN/NAM/PGI_Baocaotaichinh_2021_Kiemtoan.pdf" TargetMode="External"/><Relationship Id="rId1691" Type="http://schemas.openxmlformats.org/officeDocument/2006/relationships/hyperlink" Target="https://static2.vietstock.vn/data/HOSE/2023/BCTC/VN/NAM/TNC_Baocaotaichinh_2023_Kiemtoan.pdf" TargetMode="External"/><Relationship Id="rId1705" Type="http://schemas.openxmlformats.org/officeDocument/2006/relationships/hyperlink" Target="https://static2.vietstock.vn/data/HOSE/2022/BCTC/VN/NAM/TTF_Baocaotaichinh_2022_Kiemtoan_Hopnhat.pdf" TargetMode="External"/><Relationship Id="rId286" Type="http://schemas.openxmlformats.org/officeDocument/2006/relationships/hyperlink" Target="https://static2.vietstock.vn/data/HNX/2022/BCTC/VN/NAM/HLC_Baocaotaichinh_2022_Kiemtoan.pdf" TargetMode="External"/><Relationship Id="rId493" Type="http://schemas.openxmlformats.org/officeDocument/2006/relationships/hyperlink" Target="https://static2.vietstock.vn/data/HNX/2023/BCTC/VN/NAM/NFC_Baocaotaichinh_2023_Kiemtoan.pdf" TargetMode="External"/><Relationship Id="rId507" Type="http://schemas.openxmlformats.org/officeDocument/2006/relationships/hyperlink" Target="https://static2.vietstock.vn/data/HNX/2021/BCTC/VN/NAM/NVB_Baocaotaichinh_2021_Kiemtoan_Hopnhat/2_nvb_2022_4_4_a05a762_bctc_hop_nhat_2021_compressed.pdf" TargetMode="External"/><Relationship Id="rId714" Type="http://schemas.openxmlformats.org/officeDocument/2006/relationships/hyperlink" Target="https://static2.vietstock.vn/data/HNX/2021/BCTC/VN/NAM/SDA_Baocaotaichinh_2021_Kiemtoan/2_sda_2022_4_4_c4f29cc_31032022__sda__bctc_nam_2021.pdf" TargetMode="External"/><Relationship Id="rId921" Type="http://schemas.openxmlformats.org/officeDocument/2006/relationships/hyperlink" Target="https://static2.vietstock.vn/data/HOSE/2021/BCTC/VN/NAM/VCG_Baocaotaichinh_2021_Kiemtoan_Hopnhat.pdf" TargetMode="External"/><Relationship Id="rId1137" Type="http://schemas.openxmlformats.org/officeDocument/2006/relationships/hyperlink" Target="https://static2.vietstock.vn/data/HOSE/2023/BCTC/VN/NAM/CTI_Baocaotaichinh_2023_Kiemtoan_Hopnhat.pdf" TargetMode="External"/><Relationship Id="rId1344" Type="http://schemas.openxmlformats.org/officeDocument/2006/relationships/hyperlink" Target="https://static2.vietstock.vn/data/HOSE/2023/BCTC/VN/NAM/HTI_Baocaotaichinh_2023_Kiemtoan.pdf" TargetMode="External"/><Relationship Id="rId1551" Type="http://schemas.openxmlformats.org/officeDocument/2006/relationships/hyperlink" Target="https://static2.vietstock.vn/data/HOSE/2021/BCTC/VN/NAM/SCR_Baocaotaichinh_2021_Kiemtoan_Hopnhat.pdf" TargetMode="External"/><Relationship Id="rId1789" Type="http://schemas.openxmlformats.org/officeDocument/2006/relationships/hyperlink" Target="https://static2.vietstock.vn/data/HOSE/2021/BCTC/VN/NAM/LPB_Baocaotaichinh_2021_Kiemtoan.pdf" TargetMode="External"/><Relationship Id="rId50" Type="http://schemas.openxmlformats.org/officeDocument/2006/relationships/hyperlink" Target="https://static2.vietstock.vn/data/UPCOM/2021/BCTC/VN/NAM/BHT_Baocaotaichinh_2021_Kiemtoan.pdf" TargetMode="External"/><Relationship Id="rId146" Type="http://schemas.openxmlformats.org/officeDocument/2006/relationships/hyperlink" Target="https://static2.vietstock.vn/data/UPCOM/2023/BCTC/VN/NAM/CTX_Baocaotaichinh_2023_Kiemtoan_Hopnhat.pdf" TargetMode="External"/><Relationship Id="rId353" Type="http://schemas.openxmlformats.org/officeDocument/2006/relationships/hyperlink" Target="https://static2.vietstock.vn/data/HNX/2023/BCTC/VN/NAM/KKC_Baocaotaichinh_2023_Kiemtoan.pdf" TargetMode="External"/><Relationship Id="rId560" Type="http://schemas.openxmlformats.org/officeDocument/2006/relationships/hyperlink" Target="https://static2.vietstock.vn/data/UPCOM/2023/BCTC/VN/NAM/PIV_Baocaotaichinh_2023_Kiemtoan.pdf" TargetMode="External"/><Relationship Id="rId798" Type="http://schemas.openxmlformats.org/officeDocument/2006/relationships/hyperlink" Target="https://static2.vietstock.vn/data/HNX/2021/BCTC/VN/NAM/SVN_Baocaotaichinh_2021_Kiemtoan.pdf" TargetMode="External"/><Relationship Id="rId1190" Type="http://schemas.openxmlformats.org/officeDocument/2006/relationships/hyperlink" Target="https://static2.vietstock.vn/data/HOSE/2022/BCTC/VN/NAM/DPR_Baocaotaichinh_2022_Kiemtoan_Hopnhat.pdf" TargetMode="External"/><Relationship Id="rId1204" Type="http://schemas.openxmlformats.org/officeDocument/2006/relationships/hyperlink" Target="https://static2.vietstock.vn/data/HOSE/2021/BCTC/VN/NAM/DSN_Baocaotaichinh_2021_Kiemtoan_Hopnhat.pdf" TargetMode="External"/><Relationship Id="rId1411" Type="http://schemas.openxmlformats.org/officeDocument/2006/relationships/hyperlink" Target="https://static2.vietstock.vn/data/HOSE/2021/BCTC/VN/NAM/LBM_Baocaotaichinh_2021_Kiemtoan_Hopnhat.PDF" TargetMode="External"/><Relationship Id="rId1649" Type="http://schemas.openxmlformats.org/officeDocument/2006/relationships/hyperlink" Target="https://static2.vietstock.vn/data/HOSE/2023/BCTC/VN/NAM/TCR_Baocaotaichinh_2023_Kiemtoan_Hopnhat.pdf" TargetMode="External"/><Relationship Id="rId1856" Type="http://schemas.openxmlformats.org/officeDocument/2006/relationships/hyperlink" Target="https://static2.vietstock.vn/data/HNX/2022/BCTC/VN/NAM/SPC_Baocaotaichinh_2022_Kiemtoan_Hopnhat.pdf" TargetMode="External"/><Relationship Id="rId213" Type="http://schemas.openxmlformats.org/officeDocument/2006/relationships/hyperlink" Target="https://static2.vietstock.vn/data/HNX/2021/BCTC/VN/NAM/DST_Baocaotaichinh_2021_Kiemtoan_Hopnhat/2_dst_2022_3_9_85e6202_bctc_hop_nhat_cks.pdf" TargetMode="External"/><Relationship Id="rId420" Type="http://schemas.openxmlformats.org/officeDocument/2006/relationships/hyperlink" Target="https://static2.vietstock.vn/data/UPCOM/2022/BCTC/VN/NAM/LO5_Baocaotaichinh_2022_Kiemtoan.pdf" TargetMode="External"/><Relationship Id="rId658" Type="http://schemas.openxmlformats.org/officeDocument/2006/relationships/hyperlink" Target="https://static2.vietstock.vn/data/HNX/2022/BCTC/VN/NAM/QHD_Baocaotaichinh_2022_Kiemtoan/2_qhd_2023_3_30_7c66eff_bao_cao_kiem_toan_nam_2022.pdf" TargetMode="External"/><Relationship Id="rId865" Type="http://schemas.openxmlformats.org/officeDocument/2006/relationships/hyperlink" Target="https://static2.vietstock.vn/data/HNX/2022/BCTC/VN/NAM/TTZ_Baocaotaichinh_2022_Kiemtoan_Hopnhat/3_ttz_2023_4_6_934836f_ttz_bc_tai_chinh_hop_nhat__ttr.pdf" TargetMode="External"/><Relationship Id="rId1050" Type="http://schemas.openxmlformats.org/officeDocument/2006/relationships/hyperlink" Target="https://static2.vietstock.vn/data/HOSE/2021/BCTC/VN/NAM/BSI_Baocaotaichinh_2021_Kiemtoan.pdf" TargetMode="External"/><Relationship Id="rId1288" Type="http://schemas.openxmlformats.org/officeDocument/2006/relationships/hyperlink" Target="https://static2.vietstock.vn/data/HOSE/2021/BCTC/VN/NAM/HAR_Baocaotaichinh_2021_Kiemtoan_Hopnhat.pdf" TargetMode="External"/><Relationship Id="rId1495" Type="http://schemas.openxmlformats.org/officeDocument/2006/relationships/hyperlink" Target="https://static2.vietstock.vn/data/HOSE/2023/BCTC/VN/NAM/PJT_Baocaotaichinh_2023_Kiemtoan_Hopnhat.pdf" TargetMode="External"/><Relationship Id="rId1509" Type="http://schemas.openxmlformats.org/officeDocument/2006/relationships/hyperlink" Target="https://static2.vietstock.vn/data/HOSE/2021/BCTC/VN/NAM/PVD_Baocaotaichinh_2021_Kiemtoan_Hopnhat.pdf" TargetMode="External"/><Relationship Id="rId1716" Type="http://schemas.openxmlformats.org/officeDocument/2006/relationships/hyperlink" Target="https://static2.vietstock.vn/data/HOSE/2021/BCTC/VN/NAM/VAF_Baocaotaichinh_2021_Kiemtoan.PDF" TargetMode="External"/><Relationship Id="rId297" Type="http://schemas.openxmlformats.org/officeDocument/2006/relationships/hyperlink" Target="https://static2.vietstock.vn/data/UPCOM/2021/BCTC/VN/NAM/HNM_Baocaotaichinh_2021_Kiemtoan.pdf" TargetMode="External"/><Relationship Id="rId518" Type="http://schemas.openxmlformats.org/officeDocument/2006/relationships/hyperlink" Target="https://static2.vietstock.vn/data/HNX/2023/BCTC/VN/NAM/PBP_Baocaotaichinh_2023_Kiemtoan.pdf" TargetMode="External"/><Relationship Id="rId725" Type="http://schemas.openxmlformats.org/officeDocument/2006/relationships/hyperlink" Target="https://static2.vietstock.vn/data/HNX/2023/BCTC/VN/NAM/SDG_Baocaotaichinh_2023_Kiemtoan_Hopnhat.pdf" TargetMode="External"/><Relationship Id="rId932" Type="http://schemas.openxmlformats.org/officeDocument/2006/relationships/hyperlink" Target="https://static2.vietstock.vn/data/HNX/2022/BCTC/VN/NAM/VCS_Baocaotaichinh_2022_Kiemtoan_Hopnhat/1_vcs_2023_3_28_97a705a_vcs_bctc_hop_nhat_da_kiem_toan_2022_signed.pdf" TargetMode="External"/><Relationship Id="rId1148" Type="http://schemas.openxmlformats.org/officeDocument/2006/relationships/hyperlink" Target="https://static2.vietstock.vn/data/HOSE/2022/BCTC/VN/NAM/DAH_Baocaotaichinh_2022_Kiemtoan.pdf" TargetMode="External"/><Relationship Id="rId1355" Type="http://schemas.openxmlformats.org/officeDocument/2006/relationships/hyperlink" Target="https://static2.vietstock.vn/data/HOSE/2022/BCTC/VN/NAM/HU3_Baocaotaichinh_2022_Kiemtoan.pdf" TargetMode="External"/><Relationship Id="rId1562" Type="http://schemas.openxmlformats.org/officeDocument/2006/relationships/hyperlink" Target="https://static2.vietstock.vn/data/HOSE/2023/BCTC/VN/NAM/SFI_Baocaotaichinh_2023_Kiemtoan_Hopnhat.pdf" TargetMode="External"/><Relationship Id="rId157" Type="http://schemas.openxmlformats.org/officeDocument/2006/relationships/hyperlink" Target="https://static2.vietstock.vn/data/HNX/2022/BCTC/VN/NAM/DAD_Baocaotaichinh_2022_Kiemtoan.pdf" TargetMode="External"/><Relationship Id="rId364" Type="http://schemas.openxmlformats.org/officeDocument/2006/relationships/hyperlink" Target="https://static2.vietstock.vn/data/HNX/2022/BCTC/VN/NAM/KSQ_Baocaotaichinh_2022_Kiemtoan.pdf" TargetMode="External"/><Relationship Id="rId1008" Type="http://schemas.openxmlformats.org/officeDocument/2006/relationships/hyperlink" Target="https://static2.vietstock.vn/data/HOSE/2021/BCTC/VN/NAM/APG_Baocaotaichinh_2021_Kiemtoan.pdf" TargetMode="External"/><Relationship Id="rId1215" Type="http://schemas.openxmlformats.org/officeDocument/2006/relationships/hyperlink" Target="https://static2.vietstock.vn/data/HOSE/2023/BCTC/VN/NAM/DTT_Baocaotaichinh_2023_Kiemtoan.pdf" TargetMode="External"/><Relationship Id="rId1422" Type="http://schemas.openxmlformats.org/officeDocument/2006/relationships/hyperlink" Target="https://static2.vietstock.vn/data/HOSE/2023/BCTC/VN/NAM/LIX_Baocaotaichinh_2023_Kiemtoan.pdf" TargetMode="External"/><Relationship Id="rId61" Type="http://schemas.openxmlformats.org/officeDocument/2006/relationships/hyperlink" Target="https://drive.google.com/file/d/1PxQsbyOKBVIZDMEsPEbB0gjt75GqGyy_/view?usp=sharing" TargetMode="External"/><Relationship Id="rId571" Type="http://schemas.openxmlformats.org/officeDocument/2006/relationships/hyperlink" Target="https://static2.vietstock.vn/data/HNX/2022/BCTC/VN/NAM/PMC_Baocaotaichinh_2022_Kiemtoan.pdf" TargetMode="External"/><Relationship Id="rId669" Type="http://schemas.openxmlformats.org/officeDocument/2006/relationships/hyperlink" Target="https://static2.vietstock.vn/data/HNX/2021/BCTC/VN/NAM/RCL_Baocaotaichinh_2021_Kiemtoan.pdf" TargetMode="External"/><Relationship Id="rId876" Type="http://schemas.openxmlformats.org/officeDocument/2006/relationships/hyperlink" Target="https://static2.vietstock.vn/data/HNX/2021/BCTC/VN/NAM/TVC_Baocaotaichinh_2021_Kiemtoan_Hopnhat.pdf" TargetMode="External"/><Relationship Id="rId1299" Type="http://schemas.openxmlformats.org/officeDocument/2006/relationships/hyperlink" Target="https://static2.vietstock.vn/data/HOSE/2023/BCTC/VN/NAM/HCD_Baocaotaichinh_2023_Kiemtoan_1.pdf" TargetMode="External"/><Relationship Id="rId1727" Type="http://schemas.openxmlformats.org/officeDocument/2006/relationships/hyperlink" Target="https://l.facebook.com/l.php?u=https%3A%2F%2Fstatic2.vietstock.vn%2Fdata%2FHOSE%2F2023%2FBCTC%2FVN%2FNAM%2FVFG_Baocaotaichinh_2023_Kiemtoan%2F20240327__VFG__BCTC.2023_KiemToan.Signed.pdf%3Ffbclid%3DIwZXh0bgNhZW0CMTAAAR15OonNt346XR3K0q94SJv06VdS6bJTb0RxFKGUgc_KRZXPxbIuKdzq2SY_aem_2c9I4CNZzrXD8GjcaJf0Xw&amp;h=AT16xIU0Xt68Vp4CyMja_tDCL2RPjhzXvV7DwRbF9DDfXtIvL-UBSjcAoZwy2nGuQ7LUVH7tu5NzSsFlhPb4b2WsoCscDaunC0Vsugbx8x0tjwbGCpWuz25JPGjWeG01A_1UkxVNxNM" TargetMode="External"/><Relationship Id="rId19" Type="http://schemas.openxmlformats.org/officeDocument/2006/relationships/hyperlink" Target="https://static2.vietstock.vn/data/HNX/2021/BCTC/VN/NAM/AMV_Baocaotaichinh_2021_Kiemtoan_Hopnhat.pdf" TargetMode="External"/><Relationship Id="rId224" Type="http://schemas.openxmlformats.org/officeDocument/2006/relationships/hyperlink" Target="https://static2.vietstock.vn/data/HNX/2023/BCTC/VN/NAM/EBS_Baocaotaichinh_2023_Kiemtoan_Hopnhat.pdf" TargetMode="External"/><Relationship Id="rId431" Type="http://schemas.openxmlformats.org/officeDocument/2006/relationships/hyperlink" Target="https://static2.vietstock.vn/data/HNX/2023/BCTC/VN/NAM/MAS_Baocaotaichinh_2023_Kiemtoan/2_mas_2024_3_12_c393b08_bctc_kiem_toan_2023.pdf" TargetMode="External"/><Relationship Id="rId529" Type="http://schemas.openxmlformats.org/officeDocument/2006/relationships/hyperlink" Target="https://static2.vietstock.vn/data/HNX/2022/BCTC/VN/NAM/PCT_Baocaotaichinh_2022_Kiemtoan/2_pct_2023_3_13_e249f10_bctc_kiem_toan_2022_hnx.pdf" TargetMode="External"/><Relationship Id="rId736" Type="http://schemas.openxmlformats.org/officeDocument/2006/relationships/hyperlink" Target="https://static2.vietstock.vn/data/HNX/2022/BCTC/VN/NAM/SDU_Baocaotaichinh_2022_Kiemtoan_Hopnhat/BCTCHN%202022%20sau%20KT.pdf" TargetMode="External"/><Relationship Id="rId1061" Type="http://schemas.openxmlformats.org/officeDocument/2006/relationships/hyperlink" Target="https://static2.vietstock.vn/data/HOSE/2023/BCTC/VN/NAM/BVH_Baocaotaichinh_2023_Kiemtoan_Hopnhat.pdf" TargetMode="External"/><Relationship Id="rId1159" Type="http://schemas.openxmlformats.org/officeDocument/2006/relationships/hyperlink" Target="https://static2.vietstock.vn/data/HOSE/2021/BCTC/VN/NAM/DGW_Baocaotaichinh_2021_Kiemtoan_Hopnhat.pdf" TargetMode="External"/><Relationship Id="rId1366" Type="http://schemas.openxmlformats.org/officeDocument/2006/relationships/hyperlink" Target="https://static2.vietstock.vn/data/HOSE/2021/BCTC/VN/NAM/IJC_Baocaotaichinh_2021_Kiemtoan_Hopnhat.pdf" TargetMode="External"/><Relationship Id="rId168" Type="http://schemas.openxmlformats.org/officeDocument/2006/relationships/hyperlink" Target="https://static2.vietstock.vn/data/HNX/2021/BCTC/VN/NAM/DC2_Baocaotaichinh_2021_Kiemtoan.pdf" TargetMode="External"/><Relationship Id="rId943" Type="http://schemas.openxmlformats.org/officeDocument/2006/relationships/hyperlink" Target="https://static2.vietstock.vn/data/HNX/2022/BCTC/VN/NAM/VE3_Baocaotaichinh_2022_Kiemtoan/2_ve3_2023_3_28_59ece54_bao_cao_tai_chinh_2022__vneco3__da_ky.pdf" TargetMode="External"/><Relationship Id="rId1019" Type="http://schemas.openxmlformats.org/officeDocument/2006/relationships/hyperlink" Target="https://static2.vietstock.vn/data/HOSE/2023/BCTC/VN/NAM/BBC_Baocaotaichinh_2023_Kiemtoan_Hopnhat.pdf" TargetMode="External"/><Relationship Id="rId1573" Type="http://schemas.openxmlformats.org/officeDocument/2006/relationships/hyperlink" Target="https://static2.vietstock.vn/data/HOSE/2022/BCTC/VN/NAM/SHP_Baocaotaichinh_2022_Kiemtoan.pdf" TargetMode="External"/><Relationship Id="rId1780" Type="http://schemas.openxmlformats.org/officeDocument/2006/relationships/hyperlink" Target="https://static2.vietstock.vn/data/HOSE/2021/BCTC/VN/NAM/VTO_Baocaotaichinh_2021_Kiemtoan_Hopnhat.pdf" TargetMode="External"/><Relationship Id="rId72" Type="http://schemas.openxmlformats.org/officeDocument/2006/relationships/hyperlink" Target="https://static2.vietstock.vn/data/UPCOM/2023/BCTC/VN/NAM/BTH_Baocaotaichinh_2023_Kiemtoan/1_bth_2024_3_31_30b7bc8_bckit_31_12_2023__ctcp_che_tao_bien_the_va_vat_lieu_dien_ha_noi_phat_hanh.pdf" TargetMode="External"/><Relationship Id="rId375" Type="http://schemas.openxmlformats.org/officeDocument/2006/relationships/hyperlink" Target="https://static2.vietstock.vn/data/HNX/2021/BCTC/VN/NAM/KVC_Baocaotaichinh_2021_Kiemtoan.pdf" TargetMode="External"/><Relationship Id="rId582" Type="http://schemas.openxmlformats.org/officeDocument/2006/relationships/hyperlink" Target="https://static2.vietstock.vn/data/HNX/2021/BCTC/VN/NAM/PPE_Baocaotaichinh_2021_Kiemtoan.pdf" TargetMode="External"/><Relationship Id="rId803" Type="http://schemas.openxmlformats.org/officeDocument/2006/relationships/hyperlink" Target="https://static2.vietstock.vn/data/HNX/2023/BCTC/VN/NAM/TA9_Baocaotaichinh_2023_Kiemtoan.pdf" TargetMode="External"/><Relationship Id="rId1226" Type="http://schemas.openxmlformats.org/officeDocument/2006/relationships/hyperlink" Target="https://static2.vietstock.vn/data/HOSE/2022/BCTC/VN/NAM/EIB_Baocaotaichinh_2022_Kiemtoan_Hopnhat.pdf" TargetMode="External"/><Relationship Id="rId1433" Type="http://schemas.openxmlformats.org/officeDocument/2006/relationships/hyperlink" Target="https://static2.vietstock.vn/data/HOSE/2022/BCTC/VN/NAM/MDG_Baocaotaichinh_2022_Kiemtoan.pdf" TargetMode="External"/><Relationship Id="rId1640" Type="http://schemas.openxmlformats.org/officeDocument/2006/relationships/hyperlink" Target="https://static2.vietstock.vn/data/HOSE/2023/BCTC/VN/NAM/TCL_Baocaotaichinh_2023_Kiemtoan_Hopnhat.pdf" TargetMode="External"/><Relationship Id="rId1738" Type="http://schemas.openxmlformats.org/officeDocument/2006/relationships/hyperlink" Target="https://static2.vietstock.vn/data/HOSE/2022/BCTC/VN/NAM/VIP_Baocaotaichinh_2022_Kiemtoan_Hopnhat.pdf" TargetMode="External"/><Relationship Id="rId3" Type="http://schemas.openxmlformats.org/officeDocument/2006/relationships/hyperlink" Target="https://static2.vietstock.vn/data/HOSE/2023/BCTC/VN/NAM/ACB_Baocaotaichinh_2023_Kiemtoan_Congtyme/ACB_BCTC%20ri%C3%AAng%20ki_m%20to%C3%A1n%20nam%202023.pdf" TargetMode="External"/><Relationship Id="rId235" Type="http://schemas.openxmlformats.org/officeDocument/2006/relationships/hyperlink" Target="https://static2.vietstock.vn/data/HNX/2022/BCTC/VN/NAM/FID_Baocaotaichinh_2022_Kiemtoan.pdf" TargetMode="External"/><Relationship Id="rId442" Type="http://schemas.openxmlformats.org/officeDocument/2006/relationships/hyperlink" Target="https://static2.vietstock.vn/data/HNX/2021/BCTC/VN/NAM/MCF_Baocaotaichinh_2021_Kiemtoan.pdf" TargetMode="External"/><Relationship Id="rId887" Type="http://schemas.openxmlformats.org/officeDocument/2006/relationships/hyperlink" Target="https://static2.vietstock.vn/data/HNX/2023/BCTC/VN/NAM/UNI_Baocaotaichinh_2023_Kiemtoan/1_uni_2024_4_4_107fa7a_bctc_2023_merged.pdf" TargetMode="External"/><Relationship Id="rId1072" Type="http://schemas.openxmlformats.org/officeDocument/2006/relationships/hyperlink" Target="https://static2.vietstock.vn/data/HOSE/2022/BCTC/VN/NAM/CCI_Baocaotaichinh_2022_Kiemtoan.pdf" TargetMode="External"/><Relationship Id="rId1500" Type="http://schemas.openxmlformats.org/officeDocument/2006/relationships/hyperlink" Target="https://static2.vietstock.vn/data/HOSE/2021/BCTC/VN/NAM/PTB_Baocaotaichinh_2021_Kiemtoan_Hopnhat.pdf" TargetMode="External"/><Relationship Id="rId302" Type="http://schemas.openxmlformats.org/officeDocument/2006/relationships/hyperlink" Target="https://static2.vietstock.vn/data/HNX/2023/BCTC/VN/NAM/HOM_Baocaotaichinh_2023_Kiemtoan.pdf" TargetMode="External"/><Relationship Id="rId747" Type="http://schemas.openxmlformats.org/officeDocument/2006/relationships/hyperlink" Target="https://cafef1.mediacdn.vn/Images/Uploaded/DuLieuDownload/2021/SFN_21CN_BCTC_KT.pdf" TargetMode="External"/><Relationship Id="rId954" Type="http://schemas.openxmlformats.org/officeDocument/2006/relationships/hyperlink" Target="https://static2.vietstock.vn/data/UPCOM/2021/BCTC/VN/NAM/VFR_Baocaotaichinh_2021_Kiemtoan_Hopnhat/1_vfr_2022_4_1_471eabc_bckt_hop_nhat_2021.pdf" TargetMode="External"/><Relationship Id="rId1377" Type="http://schemas.openxmlformats.org/officeDocument/2006/relationships/hyperlink" Target="https://static2.vietstock.vn/data/HOSE/2023/BCTC/VN/NAM/ITD_Baocaotaichinh_2023_Kiemtoan_Hopnhat.pdf" TargetMode="External"/><Relationship Id="rId1584" Type="http://schemas.openxmlformats.org/officeDocument/2006/relationships/hyperlink" Target="https://static2.vietstock.vn/data/HOSE/2021/BCTC/VN/NAM/SMA_Baocaotaichinh_2021_Kiemtoan.pdf" TargetMode="External"/><Relationship Id="rId1791" Type="http://schemas.openxmlformats.org/officeDocument/2006/relationships/hyperlink" Target="https://static2.vietstock.vn/data/HOSE/2023/BCTC/VN/NAM/LPB_Baocaotaichinh_2023_Kiemtoan_1.pdf" TargetMode="External"/><Relationship Id="rId1805" Type="http://schemas.openxmlformats.org/officeDocument/2006/relationships/hyperlink" Target="https://static2.vietstock.vn/data/HOSE/2022/BCTC/VN/NAM/SSB_Baocaotaichinh_2022_Kiemtoan_Hopnhat.pdf" TargetMode="External"/><Relationship Id="rId83" Type="http://schemas.openxmlformats.org/officeDocument/2006/relationships/hyperlink" Target="https://static2.vietstock.vn/data/UPCOM/2022/BCTC/VN/NAM/C92_Baocaotaichinh_2022_Kiemtoan.pdf" TargetMode="External"/><Relationship Id="rId179" Type="http://schemas.openxmlformats.org/officeDocument/2006/relationships/hyperlink" Target="https://static2.vietstock.vn/data/HNX/2023/BCTC/VN/NAM/DHP_Baocaotaichinh_2023_Kiemtoan.pdf" TargetMode="External"/><Relationship Id="rId386" Type="http://schemas.openxmlformats.org/officeDocument/2006/relationships/hyperlink" Target="https://static2.vietstock.vn/data/UPCOM/2023/BCTC/VN/NAM/L35_Baocaotaichinh_2023_Kiemtoan.pdf" TargetMode="External"/><Relationship Id="rId593" Type="http://schemas.openxmlformats.org/officeDocument/2006/relationships/hyperlink" Target="https://static2.vietstock.vn/data/HNX/2023/BCTC/VN/NAM/PPY_Baocaotaichinh_2023_Kiemtoan/2_ppy_2024_2_15_5c3ac70_bao_cao_tai_chinh_nam_2023_signed.pdf" TargetMode="External"/><Relationship Id="rId607" Type="http://schemas.openxmlformats.org/officeDocument/2006/relationships/hyperlink" Target="https://cafef1.mediacdn.vn/Images/Uploaded/DuLieuDownload/BCTC/PSI_22CN_BCTC_KT.PDF" TargetMode="External"/><Relationship Id="rId814" Type="http://schemas.openxmlformats.org/officeDocument/2006/relationships/hyperlink" Target="https://static2.vietstock.vn/data/HOSE/2022/BCTC/VN/NAM/TEG_Baocaotaichinh_2022_Kiemtoan_Hopnhat.pdf" TargetMode="External"/><Relationship Id="rId1237" Type="http://schemas.openxmlformats.org/officeDocument/2006/relationships/hyperlink" Target="https://static2.vietstock.vn/data/HOSE/2021/BCTC/VN/NAM/FCN_Baocaotaichinh_2021_Kiemtoan_Hopnhat.pdf" TargetMode="External"/><Relationship Id="rId1444" Type="http://schemas.openxmlformats.org/officeDocument/2006/relationships/hyperlink" Target="https://cafef.vn/du-lieu/bao-cao-tai-chinh/anv/incsta/2023/0/0/0/bao-cao-tai-chinh-.chn" TargetMode="External"/><Relationship Id="rId1651" Type="http://schemas.openxmlformats.org/officeDocument/2006/relationships/hyperlink" Target="https://static2.vietstock.vn/data/HOSE/2022/BCTC/VN/NAM/TCT_Baocaotaichinh_2022_Kiemtoan/20230330_20230330%20-%20TCT%20-%20BCTC%20KT%202022.pdf" TargetMode="External"/><Relationship Id="rId246" Type="http://schemas.openxmlformats.org/officeDocument/2006/relationships/hyperlink" Target="https://static2.vietstock.vn/data/HNX/2021/BCTC/VN/NAM/HAD_Baocaotaichinh_2021_Kiemtoan/1_had_2022_3_31_10a73a2_had_baocaotaichinh_nam_2021.pdf" TargetMode="External"/><Relationship Id="rId453" Type="http://schemas.openxmlformats.org/officeDocument/2006/relationships/hyperlink" Target="https://static2.vietstock.vn/data/UPCOM/2023/BCTC/VN/NAM/MEC_Baocaotaichinh_2023_Kiemtoan_Hopnhat/1_mec_2024_4_1_6313632_mec_bctc_hop_nhat_kiem_toan_nam_2023_signed.pdf" TargetMode="External"/><Relationship Id="rId660" Type="http://schemas.openxmlformats.org/officeDocument/2006/relationships/hyperlink" Target="https://static2.vietstock.vn/data/UPCOM/2021/BCTC/VN/NAM/QNC_Baocaotaichinh_2021_Kiemtoan_Hopnhat.pdf" TargetMode="External"/><Relationship Id="rId898" Type="http://schemas.openxmlformats.org/officeDocument/2006/relationships/hyperlink" Target="https://static2.vietstock.vn/data/UPCOM/2022/BCTC/VN/NAM/VBH_Baocaotaichinh_2022_Kiemtoan.pdf" TargetMode="External"/><Relationship Id="rId1083" Type="http://schemas.openxmlformats.org/officeDocument/2006/relationships/hyperlink" Target="https://static2.vietstock.vn/data/HOSE/2021/BCTC/VN/NAM/CIG_Baocaotaichinh_2021_Kiemtoan_Hopnhat.pdf" TargetMode="External"/><Relationship Id="rId1290" Type="http://schemas.openxmlformats.org/officeDocument/2006/relationships/hyperlink" Target="https://static2.vietstock.vn/data/HOSE/2023/BCTC/VN/NAM/HAR_Baocaotaichinh_2023_Kiemtoan_1.pdf" TargetMode="External"/><Relationship Id="rId1304" Type="http://schemas.openxmlformats.org/officeDocument/2006/relationships/hyperlink" Target="https://static2.vietstock.vn/data/HOSE/2022/BCTC/VN/NAM/HDC_Baocaotaichinh_2022_Kiemtoan_Hopnhat.pdf" TargetMode="External"/><Relationship Id="rId1511" Type="http://schemas.openxmlformats.org/officeDocument/2006/relationships/hyperlink" Target="https://static2.vietstock.vn/data/HOSE/2023/BCTC/VN/NAM/PVD_Baocaotaichinh_2023_Kiemtoan_Hopnhat.pdf" TargetMode="External"/><Relationship Id="rId1749" Type="http://schemas.openxmlformats.org/officeDocument/2006/relationships/hyperlink" Target="https://static2.vietstock.vn/data/HOSE/2023/BCTC/VN/NAM/VNL_Baocaotaichinh_2023_Kiemtoan_1.pdf" TargetMode="External"/><Relationship Id="rId106" Type="http://schemas.openxmlformats.org/officeDocument/2006/relationships/hyperlink" Target="https://static2.vietstock.vn/data/HNX/2021/BCTC/VN/NAM/CLH_Baocaotaichinh_2021_Kiemtoan.pdf" TargetMode="External"/><Relationship Id="rId313" Type="http://schemas.openxmlformats.org/officeDocument/2006/relationships/hyperlink" Target="https://static2.vietstock.vn/data/HNX/2022/BCTC/VN/NAM/HTC_Baocaotaichinh_2022_Kiemtoan_Hopnhat.pdf" TargetMode="External"/><Relationship Id="rId758" Type="http://schemas.openxmlformats.org/officeDocument/2006/relationships/hyperlink" Target="https://static2.vietstock.vn/data/HNX/2023/BCTC/VN/NAM/SGH_Baocaotaichinh_2023_Kiemtoan/1_sgh_2024_3_29_0bef708_bctc_da_kiem_toan_2023_kssg.pdf" TargetMode="External"/><Relationship Id="rId965" Type="http://schemas.openxmlformats.org/officeDocument/2006/relationships/hyperlink" Target="https://static2.vietstock.vn/data/HNX/2023/BCTC/VN/NAM/VGS_Baocaotaichinh_2023_Kiemtoan_Hopnhat.pdf" TargetMode="External"/><Relationship Id="rId1150" Type="http://schemas.openxmlformats.org/officeDocument/2006/relationships/hyperlink" Target="https://static2.vietstock.vn/data/HOSE/2021/BCTC/VN/NAM/DAT_Baocaotaichinh_2021_Kiemtoan.pdf" TargetMode="External"/><Relationship Id="rId1388" Type="http://schemas.openxmlformats.org/officeDocument/2006/relationships/hyperlink" Target="https://static2.vietstock.vn/data/HOSE/2022/BCTC/VN/NAM/KDH_Baocaotaichinh_2022_Kiemtoan_Hopnhat.pdf" TargetMode="External"/><Relationship Id="rId1595" Type="http://schemas.openxmlformats.org/officeDocument/2006/relationships/hyperlink" Target="https://static2.vietstock.vn/data/HOSE/2023/BCTC/VN/NAM/SRC_Baocaotaichinh_2023_Kiemtoan.pdf" TargetMode="External"/><Relationship Id="rId1609" Type="http://schemas.openxmlformats.org/officeDocument/2006/relationships/hyperlink" Target="https://static2.vietstock.vn/data/HOSE/2022/BCTC/VN/NAM/STB_Baocaotaichinh_2022_Kiemtoan_Hopnhat.pdf" TargetMode="External"/><Relationship Id="rId1816" Type="http://schemas.openxmlformats.org/officeDocument/2006/relationships/hyperlink" Target="https://static2.vietstock.vn/data/HOSE/2021/BCTC/VN/NAM/VCB_Baocaotaichinh_2021_Kiemtoan_Hopnhat_DieuChinh/20221028_CBTT%20BCTC%20Q3.2022%20va%20Dc%20hoi%20to%20KTNN%202021.pdf" TargetMode="External"/><Relationship Id="rId10" Type="http://schemas.openxmlformats.org/officeDocument/2006/relationships/hyperlink" Target="https://static2.vietstock.vn/data/HNX/2021/BCTC/VN/NAM/ALT_Baocaotaichinh_2021_Kiemtoan_Hopnhat/1_alt_2022_3_30_1deecdb_alta_hop_nhat.pdf" TargetMode="External"/><Relationship Id="rId94" Type="http://schemas.openxmlformats.org/officeDocument/2006/relationships/hyperlink" Target="https://static2.vietstock.vn/data/HNX/2021/BCTC/VN/NAM/CDN_Baocaotaichinh_2021_Kiemtoan.pdf" TargetMode="External"/><Relationship Id="rId397" Type="http://schemas.openxmlformats.org/officeDocument/2006/relationships/hyperlink" Target="https://static2.vietstock.vn/data/HNX/2021/BCTC/VN/NAM/LAS_Baocaotaichinh_2021_Kiemtoan.pdf" TargetMode="External"/><Relationship Id="rId520" Type="http://schemas.openxmlformats.org/officeDocument/2006/relationships/hyperlink" Target="https://static2.vietstock.vn/data/HNX/2022/BCTC/VN/NAM/PCE_Baocaotaichinh_2022_Kiemtoan.PDF" TargetMode="External"/><Relationship Id="rId618" Type="http://schemas.openxmlformats.org/officeDocument/2006/relationships/hyperlink" Target="https://static2.vietstock.vn/data/HNX/2021/BCTC/VN/NAM/PTS_Baocaotaichinh_2021_Kiemtoan_Hopnhat.pdf" TargetMode="External"/><Relationship Id="rId825" Type="http://schemas.openxmlformats.org/officeDocument/2006/relationships/hyperlink" Target="https://static2.vietstock.vn/data/HNX/2021/BCTC/VN/NAM/THS_Baocaotaichinh_2021_Kiemtoan.pdf" TargetMode="External"/><Relationship Id="rId1248" Type="http://schemas.openxmlformats.org/officeDocument/2006/relationships/hyperlink" Target="https://static2.vietstock.vn/data/HOSE/2023/BCTC/VN/NAM/FMC_Baocaotaichinh_2023_Kiemtoan_Hopnhat.pdf" TargetMode="External"/><Relationship Id="rId1455" Type="http://schemas.openxmlformats.org/officeDocument/2006/relationships/hyperlink" Target="https://static2.vietstock.vn/data/HOSE/2022/BCTC/VN/NAM/NVL_Baocaotaichinh_2022_Kiemtoan_Hopnhat.pdf" TargetMode="External"/><Relationship Id="rId1662" Type="http://schemas.openxmlformats.org/officeDocument/2006/relationships/hyperlink" Target="https://static2.vietstock.vn/data/HOSE/2021/BCTC/VN/NAM/THG_Baocaotaichinh_2021_Kiemtoan_Hopnhat.pdf" TargetMode="External"/><Relationship Id="rId257" Type="http://schemas.openxmlformats.org/officeDocument/2006/relationships/hyperlink" Target="https://static2.vietstock.vn/data/HNX/2023/BCTC/VN/NAM/HCC_Baocaotaichinh_2023_Kiemtoan/3_hcc_2024_3_15_e1fac67_bctc_2023_signed.pdf" TargetMode="External"/><Relationship Id="rId464" Type="http://schemas.openxmlformats.org/officeDocument/2006/relationships/hyperlink" Target="https://static2.vietstock.vn/data/OTC/2021/BCTC/VN/NAM/MLG_Baocaotaichinh_2021_Kiemtoan_Hopnhat.pdf" TargetMode="External"/><Relationship Id="rId1010" Type="http://schemas.openxmlformats.org/officeDocument/2006/relationships/hyperlink" Target="https://static2.vietstock.vn/data/HOSE/2023/BCTC/VN/NAM/APG_Baocaotaichinh_2023_Kiemtoan_1.pdf" TargetMode="External"/><Relationship Id="rId1094" Type="http://schemas.openxmlformats.org/officeDocument/2006/relationships/hyperlink" Target="https://static2.vietstock.vn/data/HOSE/2022/BCTC/VN/NAM/CLL_Baocaotaichinh_2022_Kiemtoan_Hopnhat.pdf" TargetMode="External"/><Relationship Id="rId1108" Type="http://schemas.openxmlformats.org/officeDocument/2006/relationships/hyperlink" Target="https://static2.vietstock.vn/data/UPCOM/2021/BCTC/VN/NAM/CAT_Baocaotaichinh_2021_Kiemtoan.pdf" TargetMode="External"/><Relationship Id="rId1315" Type="http://schemas.openxmlformats.org/officeDocument/2006/relationships/hyperlink" Target="https://static2.vietstock.vn/data/UPCOM/2021/BCTC/VN/NAM/HLG_Baocaotaichinh_2021_Kiemtoan_Hopnhat.pdf" TargetMode="External"/><Relationship Id="rId117" Type="http://schemas.openxmlformats.org/officeDocument/2006/relationships/hyperlink" Target="https://static2.vietstock.vn/data/UPCOM/2023/BCTC/VN/NAM/CMI_Baocaotaichinh_2023_Kiemtoan_Hopnhat/1_cmi_2024_4_3_58018cd_bao_cao_tai_chinh_nam_2023_hop_nhat_da_ky.pdf" TargetMode="External"/><Relationship Id="rId671" Type="http://schemas.openxmlformats.org/officeDocument/2006/relationships/hyperlink" Target="https://static2.vietstock.vn/data/HNX/2023/BCTC/VN/NAM/RCL_Baocaotaichinh_2023_Kiemtoan/Bao%20cao%20tai%20chinh%20kiem%20toan%20nam%202023.pdf" TargetMode="External"/><Relationship Id="rId769" Type="http://schemas.openxmlformats.org/officeDocument/2006/relationships/hyperlink" Target="https://static2.vietstock.vn/data/HNX/2022/BCTC/VN/NAM/SHS_Baocaotaichinh_2022_Kiemtoan.pdf" TargetMode="External"/><Relationship Id="rId976" Type="http://schemas.openxmlformats.org/officeDocument/2006/relationships/hyperlink" Target="https://static2.vietstock.vn/data/HNX/2022/BCTC/VN/NAM/VNT_Baocaotaichinh_2022_Kiemtoan_Hopnhat.pdf" TargetMode="External"/><Relationship Id="rId1399" Type="http://schemas.openxmlformats.org/officeDocument/2006/relationships/hyperlink" Target="https://static2.vietstock.vn/data/HOSE/2021/BCTC/VN/NAM/KSB_Baocaotaichinh_2021_Kiemtoan_Hopnhat.pdf" TargetMode="External"/><Relationship Id="rId324" Type="http://schemas.openxmlformats.org/officeDocument/2006/relationships/hyperlink" Target="https://static2.vietstock.vn/data/HNX/2021/BCTC/VN/NAM/ICG_Baocaotaichinh_2021_Kiemtoan_Hopnhat.pdf" TargetMode="External"/><Relationship Id="rId531" Type="http://schemas.openxmlformats.org/officeDocument/2006/relationships/hyperlink" Target="https://static2.vietstock.vn/data/HNX/2021/BCTC/VN/NAM/PDB_Baocaotaichinh_2021_Kiemtoan_Hopnhat/1_pdb_2022_4_5_5a2ddf3_bao_cao_tai_chinh_hop_nhatgop.pdf" TargetMode="External"/><Relationship Id="rId629" Type="http://schemas.openxmlformats.org/officeDocument/2006/relationships/hyperlink" Target="https://static2.vietstock.vn/data/HNX/2023/BCTC/VN/NAM/PVC_Baocaotaichinh_2023_Kiemtoan_Hopnhat/2_pvc_2024_3_21_ebb79d7_pvchem_cfs_fy23_vn_ky_so.pdf" TargetMode="External"/><Relationship Id="rId1161" Type="http://schemas.openxmlformats.org/officeDocument/2006/relationships/hyperlink" Target="https://static2.vietstock.vn/data/HOSE/2023/BCTC/VN/NAM/DGW_Baocaotaichinh_2023_Kiemtoan_Hopnhat.pdf" TargetMode="External"/><Relationship Id="rId1259" Type="http://schemas.openxmlformats.org/officeDocument/2006/relationships/hyperlink" Target="https://static2.vietstock.vn/data/HOSE/2022/BCTC/VN/NAM/FTS_Baocaotaichinh_2022_Kiemtoan.pdf" TargetMode="External"/><Relationship Id="rId1466" Type="http://schemas.openxmlformats.org/officeDocument/2006/relationships/hyperlink" Target="https://static2.vietstock.vn/data/HOSE/2022/BCTC/VN/NAM/PAC_Baocaotaichinh_2022_Kiemtoan.pdf" TargetMode="External"/><Relationship Id="rId836" Type="http://schemas.openxmlformats.org/officeDocument/2006/relationships/hyperlink" Target="https://static2.vietstock.vn/data/HNX/2023/BCTC/VN/NAM/TJC_Baocaotaichinh_2023_Kiemtoan.pdf" TargetMode="External"/><Relationship Id="rId1021" Type="http://schemas.openxmlformats.org/officeDocument/2006/relationships/hyperlink" Target="https://static2.vietstock.vn/data/HOSE/2022/BCTC/VN/NAM/BCE_Baocaotaichinh_2022_Kiemtoan_Hopnhat.pdf" TargetMode="External"/><Relationship Id="rId1119" Type="http://schemas.openxmlformats.org/officeDocument/2006/relationships/hyperlink" Target="https://static2.vietstock.vn/data/UPCOM/2023/BCTC/VN/NAM/SGP_Baocaotaichinh_2023_Kiemtoan_Hopnhat/2_sgp_2024_3_4_5ee009e_bctc_hop_nhat_2023_da_kiem_toan.pdf" TargetMode="External"/><Relationship Id="rId1673" Type="http://schemas.openxmlformats.org/officeDocument/2006/relationships/hyperlink" Target="https://static2.vietstock.vn/data/HOSE/2023/BCTC/VN/NAM/TLG_Baocaotaichinh_2023_Kiemtoan_Hopnhat.pdf" TargetMode="External"/><Relationship Id="rId903" Type="http://schemas.openxmlformats.org/officeDocument/2006/relationships/hyperlink" Target="https://static2.vietstock.vn/data/HNX/2021/BCTC/VN/NAM/VC2_Baocaotaichinh_2021_Kiemtoan_Hopnhat.pdf" TargetMode="External"/><Relationship Id="rId1326" Type="http://schemas.openxmlformats.org/officeDocument/2006/relationships/hyperlink" Target="https://static2.vietstock.vn/data/UPCOM/2023/BCTC/VN/NAM/HOT_Baocaotaichinh_2023_Kiemtoan_Hopnhat/2_hot_2024_3_19_e075efd_20240318_hot_bao_cao_tai_chinh_nam_2023_hop_nhat_daky.pdf" TargetMode="External"/><Relationship Id="rId1533" Type="http://schemas.openxmlformats.org/officeDocument/2006/relationships/hyperlink" Target="https://static2.vietstock.vn/data/HOSE/2021/BCTC/VN/NAM/SAM_Baocaotaichinh_2021_Kiemtoan_Hopnhat.pdf" TargetMode="External"/><Relationship Id="rId1740" Type="http://schemas.openxmlformats.org/officeDocument/2006/relationships/hyperlink" Target="https://static2.vietstock.vn/data/HOSE/2021/BCTC/VN/NAM/VJC_Baocaotaichinh_2021_Kiemtoan_Hopnhat.pdf" TargetMode="External"/><Relationship Id="rId32" Type="http://schemas.openxmlformats.org/officeDocument/2006/relationships/hyperlink" Target="https://static2.vietstock.vn/data/HNX/2022/BCTC/VN/NAM/ARM_Baocaotaichinh_2022_Kiemtoan.pdf" TargetMode="External"/><Relationship Id="rId1600" Type="http://schemas.openxmlformats.org/officeDocument/2006/relationships/hyperlink" Target="https://static2.vietstock.vn/data/HOSE/2022/BCTC/VN/NAM/SSC_Baocaotaichinh_2022_Kiemtoan.pdf" TargetMode="External"/><Relationship Id="rId1838" Type="http://schemas.openxmlformats.org/officeDocument/2006/relationships/hyperlink" Target="https://static2.vietstock.vn/data/HOSE/2022/BCTC/VN/NAM/HHV_Baocaotaichinh_2022_Kiemtoan_Hopnhat.pdf" TargetMode="External"/><Relationship Id="rId181" Type="http://schemas.openxmlformats.org/officeDocument/2006/relationships/hyperlink" Target="https://static2.vietstock.vn/data/HNX/2022/BCTC/VN/NAM/DHT_Baocaotaichinh_2022_Kiemtoan_Hopnhat.pdf" TargetMode="External"/><Relationship Id="rId279" Type="http://schemas.openxmlformats.org/officeDocument/2006/relationships/hyperlink" Target="https://static2.vietstock.vn/data/UPCOM/2021/BCTC/VN/NAM/HKB_Baocaotaichinh_2021_Kiemtoan_Hopnhat.pdf" TargetMode="External"/><Relationship Id="rId486" Type="http://schemas.openxmlformats.org/officeDocument/2006/relationships/hyperlink" Target="https://static2.vietstock.vn/data/HNX/2022/BCTC/VN/NAM/NDX_Baocaotaichinh_2022_Kiemtoan_Hopnhat.pdf" TargetMode="External"/><Relationship Id="rId693" Type="http://schemas.openxmlformats.org/officeDocument/2006/relationships/hyperlink" Target="https://static2.vietstock.vn/data/UPCOM/2021/BCTC/VN/NAM/SCL_Baocaotaichinh_2021_Kiemtoan/1_scl_2022_2_21_6af05c2_bctc_2021.pdf" TargetMode="External"/><Relationship Id="rId139" Type="http://schemas.openxmlformats.org/officeDocument/2006/relationships/hyperlink" Target="https://static2.vietstock.vn/data/HOSE/2022/BCTC/VN/NAM/CTS_Baocaotaichinh_2022_Kiemtoan.pdf" TargetMode="External"/><Relationship Id="rId346" Type="http://schemas.openxmlformats.org/officeDocument/2006/relationships/hyperlink" Target="https://static2.vietstock.vn/data/HNX/2022/BCTC/VN/NAM/VIG_Baocaotaichinh_2022_Kiemtoan/1_vig_2023_2_16_13489ae_vics_bctc_nam_2022.pdf" TargetMode="External"/><Relationship Id="rId553" Type="http://schemas.openxmlformats.org/officeDocument/2006/relationships/hyperlink" Target="https://static2.vietstock.vn/data/UPCOM/2022/BCTC/VN/NAM/PHS_Baocaotaichinh_2022_Kiemtoan.pdf" TargetMode="External"/><Relationship Id="rId760" Type="http://schemas.openxmlformats.org/officeDocument/2006/relationships/hyperlink" Target="https://static2.vietstock.vn/data/HOSE/2022/BCTC/VN/NAM/SHB_Baocaotaichinh_2022_Kiemtoan_Hopnhat.pdf" TargetMode="External"/><Relationship Id="rId998" Type="http://schemas.openxmlformats.org/officeDocument/2006/relationships/hyperlink" Target="https://static2.vietstock.vn/data/HOSE/2023/BCTC/VN/NAM/AGM_Baocaotaichinh_2023_Kiemtoan_Hopnhat.pdf" TargetMode="External"/><Relationship Id="rId1183" Type="http://schemas.openxmlformats.org/officeDocument/2006/relationships/hyperlink" Target="https://static2.vietstock.vn/data/HOSE/2021/BCTC/VN/NAM/DMC_Baocaotaichinh_2021_Kiemtoan.pdf" TargetMode="External"/><Relationship Id="rId1390" Type="http://schemas.openxmlformats.org/officeDocument/2006/relationships/hyperlink" Target="https://static2.vietstock.vn/data/HOSE/2021/BCTC/VN/NAM/KHP_Baocaotaichinh_2021_Kiemtoan.pdf" TargetMode="External"/><Relationship Id="rId206" Type="http://schemas.openxmlformats.org/officeDocument/2006/relationships/hyperlink" Target="https://static2.vietstock.vn/data/HNX/2023/BCTC/VN/NAM/DNP_Baocaotaichinh_2023_Kiemtoan_Hopnhat/1_dnp_2024_4_2_7717f60_20240329dnpbctc_hn_23__31_12_2023_signed.pdf" TargetMode="External"/><Relationship Id="rId413" Type="http://schemas.openxmlformats.org/officeDocument/2006/relationships/hyperlink" Target="https://static2.vietstock.vn/data/HNX/2021/BCTC/VN/NAM/LIG_Baocaotaichinh_2021_Kiemtoan_Hopnhat.pdf" TargetMode="External"/><Relationship Id="rId858" Type="http://schemas.openxmlformats.org/officeDocument/2006/relationships/hyperlink" Target="https://static2.vietstock.vn/data/HNX/2021/BCTC/VN/NAM/TTC_Baocaotaichinh_2021_Kiemtoan.PDF" TargetMode="External"/><Relationship Id="rId1043" Type="http://schemas.openxmlformats.org/officeDocument/2006/relationships/hyperlink" Target="https://static2.vietstock.vn/data/HOSE/2023/BCTC/VN/NAM/BMI_Baocaotaichinh_2023_Kiemtoan_1.pdf" TargetMode="External"/><Relationship Id="rId1488" Type="http://schemas.openxmlformats.org/officeDocument/2006/relationships/hyperlink" Target="https://static2.vietstock.vn/data/HOSE/2021/BCTC/VN/NAM/PHR_Baocaotaichinh_2021_Kiemtoan_Hopnhat.pdf" TargetMode="External"/><Relationship Id="rId1695" Type="http://schemas.openxmlformats.org/officeDocument/2006/relationships/hyperlink" Target="https://static2.vietstock.vn/data/HOSE/2021/BCTC/VN/NAM/TRA_Baocaotaichinh_2021_Kiemtoan_Hopnhat.pdf" TargetMode="External"/><Relationship Id="rId620" Type="http://schemas.openxmlformats.org/officeDocument/2006/relationships/hyperlink" Target="https://static2.vietstock.vn/data/HNX/2023/BCTC/VN/NAM/PTS_Baocaotaichinh_2023_Kiemtoan_Hopnhat.pdf" TargetMode="External"/><Relationship Id="rId718" Type="http://schemas.openxmlformats.org/officeDocument/2006/relationships/hyperlink" Target="https://static2.vietstock.vn/data/HNX/2022/BCTC/VN/NAM/SDC_Baocaotaichinh_2022_Kiemtoan_Hopnhat.pdf" TargetMode="External"/><Relationship Id="rId925" Type="http://schemas.openxmlformats.org/officeDocument/2006/relationships/hyperlink" Target="https://static2.vietstock.vn/data/HNX/2022/BCTC/VN/NAM/VCM_Baocaotaichinh_2022_Kiemtoan/1_vcm_2023_3_28_3e52c79_vcm_bctc2022_signed.pdf" TargetMode="External"/><Relationship Id="rId1250" Type="http://schemas.openxmlformats.org/officeDocument/2006/relationships/hyperlink" Target="https://static2.vietstock.vn/data/HOSE/2022/BCTC/VN/NAM/FPT_Baocaotaichinh_2022_Kiemtoan_Hopnhat.pdf" TargetMode="External"/><Relationship Id="rId1348" Type="http://schemas.openxmlformats.org/officeDocument/2006/relationships/hyperlink" Target="https://static2.vietstock.vn/data/HOSE/2021/BCTC/VN/NAM/HTV_Baocaotaichinh_2021_Kiemtoan_Hopnhat.pdf" TargetMode="External"/><Relationship Id="rId1555" Type="http://schemas.openxmlformats.org/officeDocument/2006/relationships/hyperlink" Target="https://static2.vietstock.vn/data/HOSE/2022/BCTC/VN/NAM/SFC_Baocaotaichinh_2022_Kiemtoan.pdf" TargetMode="External"/><Relationship Id="rId1762" Type="http://schemas.openxmlformats.org/officeDocument/2006/relationships/hyperlink" Target="https://static2.vietstock.vn/data/HOSE/2021/BCTC/VN/NAM/VPS_Baocaotaichinh_2021_Kiemtoan_Hopnhat.pdf" TargetMode="External"/><Relationship Id="rId1110" Type="http://schemas.openxmlformats.org/officeDocument/2006/relationships/hyperlink" Target="https://static2.vietstock.vn/data/UPCOM/2023/BCTC/VN/NAM/CAT_Baocaotaichinh_2023_Kiemtoan.pdf" TargetMode="External"/><Relationship Id="rId1208" Type="http://schemas.openxmlformats.org/officeDocument/2006/relationships/hyperlink" Target="https://static2.vietstock.vn/data/HOSE/2022/BCTC/VN/NAM/DTA_Baocaotaichinh_2022_Kiemtoan.pdf" TargetMode="External"/><Relationship Id="rId1415" Type="http://schemas.openxmlformats.org/officeDocument/2006/relationships/hyperlink" Target="https://cafef.vn/du-lieu/bao-cao-tai-chinh/lcm/incsta/2023/0/0/0/bao-cao-tai-chinh-.chn" TargetMode="External"/><Relationship Id="rId54" Type="http://schemas.openxmlformats.org/officeDocument/2006/relationships/hyperlink" Target="https://drive.google.com/file/d/1Ni2gC_1J6TG_FrpAFcOVdBf8S2GenpUx/view?usp=sharing" TargetMode="External"/><Relationship Id="rId1622" Type="http://schemas.openxmlformats.org/officeDocument/2006/relationships/hyperlink" Target="https://static2.vietstock.vn/data/HOSE/2023/BCTC/VN/NAM/SVI_Baocaotaichinh_2023_Kiemtoan_1.pdf" TargetMode="External"/><Relationship Id="rId270" Type="http://schemas.openxmlformats.org/officeDocument/2006/relationships/hyperlink" Target="https://static2.vietstock.vn/data/HNX/2021/BCTC/VN/NAM/HHC_Baocaotaichinh_2021_Kiemtoan.pdf" TargetMode="External"/><Relationship Id="rId130" Type="http://schemas.openxmlformats.org/officeDocument/2006/relationships/hyperlink" Target="https://static2.vietstock.vn/data/HNX/2022/BCTC/VN/NAM/CTB_Baocaotaichinh_2022_Kiemtoan/1_ctb_2023_3_10_9597cfc_cbtt_bao_cao_tai_chinh_kiem_toan_nam_2022_signed.pdf" TargetMode="External"/><Relationship Id="rId368" Type="http://schemas.openxmlformats.org/officeDocument/2006/relationships/hyperlink" Target="https://static2.vietstock.vn/data/HNX/2023/BCTC/VN/NAM/KST_Baocaotaichinh_2023_Kiemtoan.pdf" TargetMode="External"/><Relationship Id="rId575" Type="http://schemas.openxmlformats.org/officeDocument/2006/relationships/hyperlink" Target="https://static2.vietstock.vn/data/HNX/2023/BCTC/VN/NAM/PMP_Baocaotaichinh_2023_Kiemtoan.pdf" TargetMode="External"/><Relationship Id="rId782" Type="http://schemas.openxmlformats.org/officeDocument/2006/relationships/hyperlink" Target="https://static2.vietstock.vn/data/HNX/2023/BCTC/VN/NAM/SMT_Baocaotaichinh_2023_Kiemtoan.pdf" TargetMode="External"/><Relationship Id="rId228" Type="http://schemas.openxmlformats.org/officeDocument/2006/relationships/hyperlink" Target="https://static2.vietstock.vn/data/UPCOM/2021/BCTC/VN/NAM/EFI_Baocaotaichinh_2021_Kiemtoan_Hopnhat.PDF" TargetMode="External"/><Relationship Id="rId435" Type="http://schemas.openxmlformats.org/officeDocument/2006/relationships/hyperlink" Target="https://static2.vietstock.vn/data/UPCOM/2023/BCTC/VN/NAM/CTX_Baocaotaichinh_2023_Kiemtoan_Hopnhat.pdf" TargetMode="External"/><Relationship Id="rId642" Type="http://schemas.openxmlformats.org/officeDocument/2006/relationships/hyperlink" Target="https://static2.vietstock.vn/data/UPCOM/2021/BCTC/VN/NAM/PVR_Baocaotaichinh_2021_Kiemtoan.pdf" TargetMode="External"/><Relationship Id="rId1065" Type="http://schemas.openxmlformats.org/officeDocument/2006/relationships/hyperlink" Target="https://static2.vietstock.vn/data/HOSE/2021/BCTC/VN/NAM/C47_Baocaotaichinh_2021_Kiemtoan_Hopnhat.pdf" TargetMode="External"/><Relationship Id="rId1272" Type="http://schemas.openxmlformats.org/officeDocument/2006/relationships/hyperlink" Target="https://static2.vietstock.vn/data/HOSE/2023/BCTC/VN/NAM/GMD_Baocaotaichinh_2023_Kiemtoan_Hopnhat.pdf" TargetMode="External"/><Relationship Id="rId502" Type="http://schemas.openxmlformats.org/officeDocument/2006/relationships/hyperlink" Target="https://static2.vietstock.vn/data/HNX/2022/BCTC/VN/NAM/NST_Baocaotaichinh_2022_Kiemtoan/1_nst_2023_1_30_a9531b6_bctc_2022.PDF" TargetMode="External"/><Relationship Id="rId947" Type="http://schemas.openxmlformats.org/officeDocument/2006/relationships/hyperlink" Target="https://static2.vietstock.vn/data/HNX/2023/BCTC/VN/NAM/VE4_Baocaotaichinh_2023_Kiemtoan/2_ve4_2024_3_26_dda973c_bao_cao_tai_chinh_nam_2023_ky.pdf" TargetMode="External"/><Relationship Id="rId1132" Type="http://schemas.openxmlformats.org/officeDocument/2006/relationships/hyperlink" Target="https://static2.vietstock.vn/data/HOSE/2021/BCTC/VN/NAM/CTG_Baocaotaichinh_2021_Kiemtoan_Hopnhat.pdf" TargetMode="External"/><Relationship Id="rId1577" Type="http://schemas.openxmlformats.org/officeDocument/2006/relationships/hyperlink" Target="https://static2.vietstock.vn/data/HOSE/2023/BCTC/VN/NAM/SJD_Baocaotaichinh_2023_Kiemtoan_Hopnhat.pdf" TargetMode="External"/><Relationship Id="rId1784" Type="http://schemas.openxmlformats.org/officeDocument/2006/relationships/hyperlink" Target="https://static2.vietstock.vn/data/HOSE/2022/BCTC/VN/NAM/EVF_Baocaotaichinh_2022_Kiemtoan.pdf" TargetMode="External"/><Relationship Id="rId76" Type="http://schemas.openxmlformats.org/officeDocument/2006/relationships/hyperlink" Target="https://static2.vietstock.vn/data/HNX/2021/BCTC/VN/NAM/BVS_Baocaotaichinh_2021_Kiemtoan/1_bvs_2022_3_30_059110a_bvsc_bao_cao_tai_chinh_31_12_2021.pdf" TargetMode="External"/><Relationship Id="rId807" Type="http://schemas.openxmlformats.org/officeDocument/2006/relationships/hyperlink" Target="https://static2.vietstock.vn/data/HNX/2021/BCTC/VN/NAM/TC6_Baocaotaichinh_2021_Kiemtoan.pdf" TargetMode="External"/><Relationship Id="rId1437" Type="http://schemas.openxmlformats.org/officeDocument/2006/relationships/hyperlink" Target="http://masan-2021atic2.vietstock.vn/data/HOSE/2021/BCTC/VN/NAM/MSN_Baocaotaichinh_2021_Kiemtoan_Hopnhat.pdf" TargetMode="External"/><Relationship Id="rId1644" Type="http://schemas.openxmlformats.org/officeDocument/2006/relationships/hyperlink" Target="https://static2.vietstock.vn/data/HOSE/2021/BCTC/VN/NAM/TCO_Baocaotaichinh_2021_Kiemtoan_Hopnhat.pdf" TargetMode="External"/><Relationship Id="rId1851" Type="http://schemas.openxmlformats.org/officeDocument/2006/relationships/hyperlink" Target="https://static2.vietstock.vn/data/HOSE/2023/BCTC/VN/NAM/SGR_Baocaotaichinh_2023_Kiemtoan_Hopnhat.pdf" TargetMode="External"/><Relationship Id="rId1504" Type="http://schemas.openxmlformats.org/officeDocument/2006/relationships/hyperlink" Target="https://static2.vietstock.vn/data/HOSE/2022/BCTC/VN/NAM/PTC_Baocaotaichinh_2022_Kiemtoan_Hopnhat.pdf" TargetMode="External"/><Relationship Id="rId1711" Type="http://schemas.openxmlformats.org/officeDocument/2006/relationships/hyperlink" Target="https://static2.vietstock.vn/data/HOSE/2022/BCTC/VN/NAM/TYA_Baocaotaichinh_2022_Kiemtoan.pdf" TargetMode="External"/><Relationship Id="rId292" Type="http://schemas.openxmlformats.org/officeDocument/2006/relationships/hyperlink" Target="https://static2.vietstock.vn/data/UPCOM/2022/BCTC/VN/NAM/HLY_Baocaotaichinh_2022_Kiemtoan/2_hly_2023_3_8_f39bc90_bctc_kiem_toan_2022.pdf" TargetMode="External"/><Relationship Id="rId1809" Type="http://schemas.openxmlformats.org/officeDocument/2006/relationships/hyperlink" Target="https://static2.vietstock.vn/data/HOSE/2023/BCTC/VN/NAM/STB_Baocaotaichinh_2023_Kiemtoan_Hopnhat/20240329%20-%20STB%20-%20BCTC%20hop%20nhat%20nam%202023%20da%20kiem%20toan.pdf" TargetMode="External"/><Relationship Id="rId597" Type="http://schemas.openxmlformats.org/officeDocument/2006/relationships/hyperlink" Target="https://static2.vietstock.vn/data/HNX/2021/BCTC/VN/NAM/PSC_Baocaotaichinh_2021_Kiemtoan/2_psc_2022_3_30_cbc92f7_bckt_2021_signed_ver_2_2.pdf" TargetMode="External"/><Relationship Id="rId152" Type="http://schemas.openxmlformats.org/officeDocument/2006/relationships/hyperlink" Target="https://static2.vietstock.vn/data/HNX/2023/BCTC/VN/NAM/CX8_Baocaotaichinh_2023_Kiemtoan.pdf" TargetMode="External"/><Relationship Id="rId457" Type="http://schemas.openxmlformats.org/officeDocument/2006/relationships/hyperlink" Target="https://static2.vietstock.vn/data/HNX/2021/BCTC/VN/NAM/MIM_Baocaotaichinh_2021_Kiemtoan.pdf" TargetMode="External"/><Relationship Id="rId1087" Type="http://schemas.openxmlformats.org/officeDocument/2006/relationships/hyperlink" Target="https://static2.vietstock.vn/data/HOSE/2022/BCTC/VN/NAM/CII_Baocaotaichinh_2022_Kiemtoan_Hopnhat.pdf" TargetMode="External"/><Relationship Id="rId1294" Type="http://schemas.openxmlformats.org/officeDocument/2006/relationships/hyperlink" Target="https://static2.vietstock.vn/data/HOSE/2021/BCTC/VN/NAM/HAX_Baocaotaichinh_2021_Kiemtoan_Hopnhat.pdf" TargetMode="External"/><Relationship Id="rId664" Type="http://schemas.openxmlformats.org/officeDocument/2006/relationships/hyperlink" Target="https://static2.vietstock.vn/data/HNX/2022/BCTC/VN/NAM/QST_Baocaotaichinh_2022_Kiemtoan/1_qst_2023_3_17_7eb09ee_bao_cao_tai_chinh_nam_2022.pdf" TargetMode="External"/><Relationship Id="rId871" Type="http://schemas.openxmlformats.org/officeDocument/2006/relationships/hyperlink" Target="https://static2.vietstock.vn/data/HNX/2022/BCTC/VN/NAM/TV3_Baocaotaichinh_2022_Kiemtoan/000000012289982_Bao_Cao_Tai_chinh__da_duoc_Kiem_toan__TONG_HOP.pdf" TargetMode="External"/><Relationship Id="rId969" Type="http://schemas.openxmlformats.org/officeDocument/2006/relationships/hyperlink" Target="https://static2.vietstock.vn/data/HNX/2021/BCTC/VN/NAM/VIE_Baocaotaichinh_2021_Kiemtoan.pdf" TargetMode="External"/><Relationship Id="rId1599" Type="http://schemas.openxmlformats.org/officeDocument/2006/relationships/hyperlink" Target="https://static2.vietstock.vn/data/HOSE/2021/BCTC/VN/NAM/SSC_Baocaotaichinh_2021_Kiemtoan.pdf" TargetMode="External"/><Relationship Id="rId317" Type="http://schemas.openxmlformats.org/officeDocument/2006/relationships/hyperlink" Target="https://static2.vietstock.vn/data/HNX/2023/BCTC/VN/QUY%204/HTP_Baocaotaichinh_Q4_2023_Hopnhat/1_htp_2024_1_31_a0ba556_htp__bctc_q4_23__hn.pdf" TargetMode="External"/><Relationship Id="rId524" Type="http://schemas.openxmlformats.org/officeDocument/2006/relationships/hyperlink" Target="https://static2.vietstock.vn/data/HNX/2023/BCTC/VN/NAM/PCG_Baocaotaichinh_2023_Kiemtoan_Hopnhat.pdf" TargetMode="External"/><Relationship Id="rId731" Type="http://schemas.openxmlformats.org/officeDocument/2006/relationships/hyperlink" Target="https://static2.vietstock.vn/data/UPCOM/2023/BCTC/VN/NAM/SDP_Baocaotaichinh_2023_Kiemtoan_Hopnhat/1_sdp_2024_3_22_10a4946_bckt_2023_hop_nhat.pdf" TargetMode="External"/><Relationship Id="rId1154" Type="http://schemas.openxmlformats.org/officeDocument/2006/relationships/hyperlink" Target="https://static2.vietstock.vn/data/HOSE/2022/BCTC/VN/NAM/DCL_Baocaotaichinh_2022_Kiemtoan_Hopnhat.pdf" TargetMode="External"/><Relationship Id="rId1361" Type="http://schemas.openxmlformats.org/officeDocument/2006/relationships/hyperlink" Target="https://static2.vietstock.vn/data/UPCOM/2022/BCTC/VN/NAM/ICF_Baocaotaichinh_2022_Kiemtoan.pdf" TargetMode="External"/><Relationship Id="rId1459" Type="http://schemas.openxmlformats.org/officeDocument/2006/relationships/hyperlink" Target="https://static2.vietstock.vn/data/HOSE/2021/BCTC/VN/NAM/OGC_Baocaotaichinh_2021_Kiemtoan_Hopnhat.pdf" TargetMode="External"/><Relationship Id="rId98" Type="http://schemas.openxmlformats.org/officeDocument/2006/relationships/hyperlink" Target="https://static2.vietstock.vn/data/HNX/2022/BCTC/VN/NAM/CEO_Baocaotaichinh_2022_Kiemtoan_Hopnhat.pdf" TargetMode="External"/><Relationship Id="rId829" Type="http://schemas.openxmlformats.org/officeDocument/2006/relationships/hyperlink" Target="https://static2.vietstock.vn/data/HNX/2022/BCTC/VN/NAM/THT_Baocaotaichinh_2022_Kiemtoan/2_tht_2023_3_28_accfb10_8562023_bao_cao_tai_chinh_2022_sau_kiem_toan.pdf" TargetMode="External"/><Relationship Id="rId1014" Type="http://schemas.openxmlformats.org/officeDocument/2006/relationships/hyperlink" Target="https://static2.vietstock.vn/data/HOSE/2021/BCTC/VN/NAM/ASP_Baocaotaichinh_2021_Kiemtoan_Hopnhat.pdf" TargetMode="External"/><Relationship Id="rId1221" Type="http://schemas.openxmlformats.org/officeDocument/2006/relationships/hyperlink" Target="https://static2.vietstock.vn/data/HOSE/2023/BCTC/VN/NAM/DXG_Baocaotaichinh_2023_Kiemtoan_Hopnhat.pdf" TargetMode="External"/><Relationship Id="rId1666" Type="http://schemas.openxmlformats.org/officeDocument/2006/relationships/hyperlink" Target="https://static2.vietstock.vn/data/HOSE/2022/BCTC/VN/NAM/TIP_Baocaotaichinh_2022_Kiemtoan_Hopnhat.pdf" TargetMode="External"/><Relationship Id="rId1319" Type="http://schemas.openxmlformats.org/officeDocument/2006/relationships/hyperlink" Target="https://static2.vietstock.vn/data/HOSE/2022/BCTC/VN/NAM/HMC_Baocaotaichinh_2022_Kiemtoan.pdf" TargetMode="External"/><Relationship Id="rId1526" Type="http://schemas.openxmlformats.org/officeDocument/2006/relationships/hyperlink" Target="https://static2.vietstock.vn/data/HOSE/2023/BCTC/VN/NAM/REE_Baocaotaichinh_2023_Kiemtoan_Hopnhat.pdf" TargetMode="External"/><Relationship Id="rId1733" Type="http://schemas.openxmlformats.org/officeDocument/2006/relationships/hyperlink" Target="https://static2.vietstock.vn/data/HOSE/2023/BCTC/VN/NAM/VIC_Baocaotaichinh_2023_Kiemtoan_Hopnhat.pdf" TargetMode="External"/><Relationship Id="rId25" Type="http://schemas.openxmlformats.org/officeDocument/2006/relationships/hyperlink" Target="https://static2.vietstock.vn/data/HNX/2021/BCTC/VN/NAM/APP_Baocaotaichinh_2021_Kiemtoan.pdf" TargetMode="External"/><Relationship Id="rId1800" Type="http://schemas.openxmlformats.org/officeDocument/2006/relationships/hyperlink" Target="https://static2.vietstock.vn/data/HOSE/2023/BCTC/VN/NAM/OCB_Baocaotaichinh_2023_Kiemtoan_Hopnhat.pdf" TargetMode="External"/><Relationship Id="rId174" Type="http://schemas.openxmlformats.org/officeDocument/2006/relationships/hyperlink" Target="https://static2.vietstock.vn/data/HOSE/2021/BCTC/VN/NAM/DGC_Baocaotaichinh_2021_Kiemtoan_Hopnhat.pdf" TargetMode="External"/><Relationship Id="rId381" Type="http://schemas.openxmlformats.org/officeDocument/2006/relationships/hyperlink" Target="https://static2.vietstock.vn/data/HNX/2021/BCTC/VN/NAM/L18_Baocaotaichinh_2021_Kiemtoan_Hopnhat/3_l18_2022_3_26_b0dd401_bao_cao_kiem_toan_nam_2021__hop_nhat_cks.pdf" TargetMode="External"/><Relationship Id="rId241" Type="http://schemas.openxmlformats.org/officeDocument/2006/relationships/hyperlink" Target="https://static2.vietstock.vn/data/HNX/2022/BCTC/VN/NAM/GLT_Baocaotaichinh_2022_Kiemtoan_Hopnhat.pdf" TargetMode="External"/><Relationship Id="rId479" Type="http://schemas.openxmlformats.org/officeDocument/2006/relationships/hyperlink" Target="https://static2.vietstock.vn/data/HNX/2021/BCTC/VN/NAM/NBP_Baocaotaichinh_2021_Kiemtoan.pdf" TargetMode="External"/><Relationship Id="rId686" Type="http://schemas.openxmlformats.org/officeDocument/2006/relationships/hyperlink" Target="https://static2.vietstock.vn/data/UPCOM/2023/BCTC/VN/NAM/SAP_Baocaotaichinh_2023_Kiemtoan.pdf" TargetMode="External"/><Relationship Id="rId893" Type="http://schemas.openxmlformats.org/officeDocument/2006/relationships/hyperlink" Target="https://static2.vietstock.vn/data/HNX/2023/BCTC/VN/NAM/V21_Baocaotaichinh_2023_Kiemtoan_1.pdf" TargetMode="External"/><Relationship Id="rId339" Type="http://schemas.openxmlformats.org/officeDocument/2006/relationships/hyperlink" Target="https://static2.vietstock.vn/data/HNX/2021/BCTC/VN/NAM/INN_Baocaotaichinh_2021_Kiemtoan_Hopnhat.pdf" TargetMode="External"/><Relationship Id="rId546" Type="http://schemas.openxmlformats.org/officeDocument/2006/relationships/hyperlink" Target="https://static2.vietstock.vn/data/HOSE/2021/BCTC/VN/NAM/PHC_Baocaotaichinh_2021_Kiemtoan_Hopnhat.pdf" TargetMode="External"/><Relationship Id="rId753" Type="http://schemas.openxmlformats.org/officeDocument/2006/relationships/hyperlink" Target="https://static2.vietstock.vn/data/HNX/2021/BCTC/VN/NAM/SGD_Baocaotaichinh_2021_Kiemtoan_Hopnhat.pdf" TargetMode="External"/><Relationship Id="rId1176" Type="http://schemas.openxmlformats.org/officeDocument/2006/relationships/hyperlink" Target="https://static2.vietstock.vn/data/UPCOM/2023/BCTC/VN/NAM/DIC_Baocaotaichinh_2023_Kiemtoan_Hopnhat/2_dic_2024_6_21_e38fe06_hnx_cbtt_bctc_hop_nhat_nam_2023_duoc_kiem_toan.pdf" TargetMode="External"/><Relationship Id="rId1383" Type="http://schemas.openxmlformats.org/officeDocument/2006/relationships/hyperlink" Target="https://static2.vietstock.vn/data/HOSE/2023/BCTC/VN/NAM/KBC_Baocaotaichinh_2023_Kiemtoan_Hopnhat.pdf" TargetMode="External"/><Relationship Id="rId101" Type="http://schemas.openxmlformats.org/officeDocument/2006/relationships/hyperlink" Target="https://static2.vietstock.vn/data/HNX/2022/BCTC/VN/NAM/CJC_Baocaotaichinh_2022_Kiemtoan/2_cjc_2023_3_24_99ac872_cjc_bctc_kiem_toan_nam_2022.pdf" TargetMode="External"/><Relationship Id="rId406" Type="http://schemas.openxmlformats.org/officeDocument/2006/relationships/hyperlink" Target="https://static2.vietstock.vn/data/HNX/2021/BCTC/VN/NAM/LCS_Baocaotaichinh_2021_Hopnhat.pdf" TargetMode="External"/><Relationship Id="rId960" Type="http://schemas.openxmlformats.org/officeDocument/2006/relationships/hyperlink" Target="https://static2.vietstock.vn/data/HNX/2021/BCTC/VN/NAM/VGP_Baocaotaichinh_2021_Kiemtoan.pdf" TargetMode="External"/><Relationship Id="rId1036" Type="http://schemas.openxmlformats.org/officeDocument/2006/relationships/hyperlink" Target="https://static2.vietstock.vn/data/HOSE/2022/BCTC/VN/NAM/BID_Baocaotaichinh_2022_Kiemtoan_Hopnhat_DieuChinh.pdf" TargetMode="External"/><Relationship Id="rId1243" Type="http://schemas.openxmlformats.org/officeDocument/2006/relationships/hyperlink" Target="https://static2.vietstock.vn/data/HOSE/2021/BCTC/VN/NAM/FIT_Baocaotaichinh_2021_Kiemtoan_Hopnhat.pdf" TargetMode="External"/><Relationship Id="rId1590" Type="http://schemas.openxmlformats.org/officeDocument/2006/relationships/hyperlink" Target="https://static2.vietstock.vn/data/HOSE/2021/BCTC/VN/NAM/SPM_Baocaotaichinh_2021_Kiemtoan.pdf" TargetMode="External"/><Relationship Id="rId1688" Type="http://schemas.openxmlformats.org/officeDocument/2006/relationships/hyperlink" Target="https://static2.vietstock.vn/data/HOSE/2023/BCTC/VN/QUY%204/TNA_Baocaotaichinh_Q4_2023_Hopnhat.pdf" TargetMode="External"/><Relationship Id="rId613" Type="http://schemas.openxmlformats.org/officeDocument/2006/relationships/hyperlink" Target="https://static2.vietstock.vn/data/HNX/2022/BCTC/VN/NAM/PTD_Baocaotaichinh_2022_Kiemtoan_Hopnhat/2_ptd_2023_3_22_f6a0490_ptd2022cbtt_bao_cao_kiem_toan_namhop_nhat_signed.pdf" TargetMode="External"/><Relationship Id="rId820" Type="http://schemas.openxmlformats.org/officeDocument/2006/relationships/hyperlink" Target="https://static2.vietstock.vn/data/HNX/2022/BCTC/VN/NAM/TFC_Baocaotaichinh_2022_Kiemtoan_Hopnhat/2_tfc_2023_4_3_91c49b0_tfc_bc_kiem_toan_hn_2022_signed.pdf" TargetMode="External"/><Relationship Id="rId918" Type="http://schemas.openxmlformats.org/officeDocument/2006/relationships/hyperlink" Target="https://static2.vietstock.vn/data/HNX/2021/BCTC/VN/NAM/VCC_Baocaotaichinh_2021_Kiemtoan.pdf" TargetMode="External"/><Relationship Id="rId1450" Type="http://schemas.openxmlformats.org/officeDocument/2006/relationships/hyperlink" Target="https://cafef.vn/du-lieu/bao-cao-tai-chinh/nnc/bsheet/2023/1/0/0/can-doi-ke-toan-cong-ty-co-phan-da-nui-nho.chn" TargetMode="External"/><Relationship Id="rId1548" Type="http://schemas.openxmlformats.org/officeDocument/2006/relationships/hyperlink" Target="https://static2.vietstock.vn/data/HOSE/2021/BCTC/VN/NAM/SC5_Baocaotaichinh_2021_Kiemtoan.pdf" TargetMode="External"/><Relationship Id="rId1755" Type="http://schemas.openxmlformats.org/officeDocument/2006/relationships/hyperlink" Target="https://static2.vietstock.vn/data/HOSE/2023/BCTC/VN/NAM/VNS_Baocaotaichinh_2023_Kiemtoan_Hopnhat.pdf" TargetMode="External"/><Relationship Id="rId1103" Type="http://schemas.openxmlformats.org/officeDocument/2006/relationships/hyperlink" Target="https://static2.vietstock.vn/data/UPCOM/2022/BCTC/VN/NAM/CMT_Baocaotaichinh_2022_Kiemtoan_Hopnhat.pdf" TargetMode="External"/><Relationship Id="rId1310" Type="http://schemas.openxmlformats.org/officeDocument/2006/relationships/hyperlink" Target="https://static2.vietstock.vn/data/HOSE/2022/BCTC/VN/NAM/HHS_Baocaotaichinh_2022_Kiemtoan_Hopnhat.pdf" TargetMode="External"/><Relationship Id="rId1408" Type="http://schemas.openxmlformats.org/officeDocument/2006/relationships/hyperlink" Target="https://static2.vietstock.vn/data/HOSE/2021/BCTC/VN/NAM/LAF_Baocaotaichinh_2021_Kiemtoan.pdf" TargetMode="External"/><Relationship Id="rId47" Type="http://schemas.openxmlformats.org/officeDocument/2006/relationships/hyperlink" Target="https://static2.vietstock.vn/data/HNX/2021/BCTC/VN/NAM/BED_Baocaotaichinh_2021_Kiemtoan.pdf" TargetMode="External"/><Relationship Id="rId1615" Type="http://schemas.openxmlformats.org/officeDocument/2006/relationships/hyperlink" Target="https://static2.vietstock.vn/data/HOSE/2022/BCTC/VN/NAM/STK_Baocaotaichinh_2022_Kiemtoan_Hopnhat.pdf" TargetMode="External"/><Relationship Id="rId1822" Type="http://schemas.openxmlformats.org/officeDocument/2006/relationships/hyperlink" Target="https://static2.vietstock.vn/data/HOSE/2021/BCTC/VN/NAM/VPB_Baocaotaichinh_2021_Kiemtoan_Hopnhat.pdf" TargetMode="External"/><Relationship Id="rId196" Type="http://schemas.openxmlformats.org/officeDocument/2006/relationships/hyperlink" Target="https://static2.vietstock.vn/data/UPCOM/2022/BCTC/VN/NAM/DLR_Baocaotaichinh_2022_Kiemtoan_Hopnhat/2_dlr_2023_3_31_b8fe972_bctc_hop_nhat_2022_da_kiem_toan.pdf" TargetMode="External"/><Relationship Id="rId263" Type="http://schemas.openxmlformats.org/officeDocument/2006/relationships/hyperlink" Target="https://static2.vietstock.vn/data/HNX/2023/BCTC/VN/NAM/HDA_Baocaotaichinh_2023_Kiemtoan_Hopnhat.pdf" TargetMode="External"/><Relationship Id="rId470" Type="http://schemas.openxmlformats.org/officeDocument/2006/relationships/hyperlink" Target="https://static2.vietstock.vn/data/HNX/2021/BCTC/VN/NAM/NAG_Baocaotaichinh_2021_Kiemtoan_Hopnhat.pdf" TargetMode="External"/><Relationship Id="rId123" Type="http://schemas.openxmlformats.org/officeDocument/2006/relationships/hyperlink" Target="https://static2.vietstock.vn/data/HNX/2023/BCTC/VN/NAM/CPC_Baocaotaichinh_2023_Kiemtoan.pdf" TargetMode="External"/><Relationship Id="rId330" Type="http://schemas.openxmlformats.org/officeDocument/2006/relationships/hyperlink" Target="https://static2.vietstock.vn/data/HNX/2021/BCTC/VN/NAM/IDV_Baocaotaichinh_2021_Kiemtoan_Hopnhat.pdf" TargetMode="External"/><Relationship Id="rId568" Type="http://schemas.openxmlformats.org/officeDocument/2006/relationships/hyperlink" Target="https://static2.vietstock.vn/data/HNX/2021/BCTC/VN/NAM/PMB_Baocaotaichinh_2021_Kiemtoan.pdf" TargetMode="External"/><Relationship Id="rId775" Type="http://schemas.openxmlformats.org/officeDocument/2006/relationships/hyperlink" Target="https://static2.vietstock.vn/data/HNX/2022/BCTC/VN/NAM/SLS_Baocaotaichinh_2022_Kiemtoan.pdf" TargetMode="External"/><Relationship Id="rId982" Type="http://schemas.openxmlformats.org/officeDocument/2006/relationships/hyperlink" Target="https://static2.vietstock.vn/data/HOSE/2022/BCTC/VN/NAM/AAM_Baocaotaichinh_2022_Kiemtoan.pdf" TargetMode="External"/><Relationship Id="rId1198" Type="http://schemas.openxmlformats.org/officeDocument/2006/relationships/hyperlink" Target="https://static2.vietstock.vn/data/HOSE/2021/BCTC/VN/NAM/DRH_Baocaotaichinh_2021_Kiemtoan_Hopnhat.pdf" TargetMode="External"/><Relationship Id="rId428" Type="http://schemas.openxmlformats.org/officeDocument/2006/relationships/hyperlink" Target="https://static2.vietstock.vn/data/HNX/2023/BCTC/VN/NAM/MAC_Baocaotaichinh_2023_Kiemtoan_Hopnhat/1_mac_2024_3_15_4c7a315_bctc__hop_nhat.pdf" TargetMode="External"/><Relationship Id="rId635" Type="http://schemas.openxmlformats.org/officeDocument/2006/relationships/hyperlink" Target="https://static2.vietstock.vn/data/HNX/2023/BCTC/VN/NAM/PVG_Baocaotaichinh_2023_Kiemtoan.pdf" TargetMode="External"/><Relationship Id="rId842" Type="http://schemas.openxmlformats.org/officeDocument/2006/relationships/hyperlink" Target="https://static2.vietstock.vn/data/HNX/2023/BCTC/VN/NAM/TMB_Baocaotaichinh_2023_Kiemtoan/1_tmb_2024_3_26_2e4b667_2023__bctc_tong_hop_sau_kiem_toan_cks.pdf" TargetMode="External"/><Relationship Id="rId1058" Type="http://schemas.openxmlformats.org/officeDocument/2006/relationships/hyperlink" Target="https://static2.vietstock.vn/data/HOSE/2023/BCTC/VN/NAM/BTT_Baocaotaichinh_2023_Kiemtoan_Hopnhat.pdf" TargetMode="External"/><Relationship Id="rId1265" Type="http://schemas.openxmlformats.org/officeDocument/2006/relationships/hyperlink" Target="https://static2.vietstock.vn/data/HOSE/2022/BCTC/VN/NAM/GDT_Baocaotaichinh_2022_Kiemtoan.pdf" TargetMode="External"/><Relationship Id="rId1472" Type="http://schemas.openxmlformats.org/officeDocument/2006/relationships/hyperlink" Target="https://static2.vietstock.vn/data/HOSE/2022/BCTC/VN/NAM/PC1_Baocaotaichinh_2022_Kiemtoan_Hopnhat.pdf" TargetMode="External"/><Relationship Id="rId702" Type="http://schemas.openxmlformats.org/officeDocument/2006/relationships/hyperlink" Target="https://static2.vietstock.vn/data/HNX/2021/BCTC/VN/NAM/SD5_Baocaotaichinh_2021_Kiemtoan.pdf" TargetMode="External"/><Relationship Id="rId1125" Type="http://schemas.openxmlformats.org/officeDocument/2006/relationships/hyperlink" Target="https://static2.vietstock.vn/data/HOSE/2023/BCTC/VN/NAM/CSV_Baocaotaichinh_2023_Kiemtoan_Hopnhat.pdf" TargetMode="External"/><Relationship Id="rId1332" Type="http://schemas.openxmlformats.org/officeDocument/2006/relationships/hyperlink" Target="https://static2.vietstock.vn/data/HOSE/2023/BCTC/VN/NAM/HQC_Baocaotaichinh_2023_Kiemtoan_1.pdf" TargetMode="External"/><Relationship Id="rId1777" Type="http://schemas.openxmlformats.org/officeDocument/2006/relationships/hyperlink" Target="https://static2.vietstock.vn/data/HOSE/2021/BCTC/VN/NAM/VTB_Baocaotaichinh_2021_Kiemtoan_Hopnhat.pdf" TargetMode="External"/><Relationship Id="rId69" Type="http://schemas.openxmlformats.org/officeDocument/2006/relationships/hyperlink" Target="https://static2.vietstock.vn/data/HNX/2023/BCTC/VN/NAM/BST_Baocaotaichinh_2023_Kiemtoan_1.pdf" TargetMode="External"/><Relationship Id="rId1637" Type="http://schemas.openxmlformats.org/officeDocument/2006/relationships/hyperlink" Target="https://static2.vietstock.vn/data/HOSE/2023/BCTC/VN/NAM/TCH_Baocaotaichinh_2023_Kiemtoan_Hopnhat.pdf" TargetMode="External"/><Relationship Id="rId1844" Type="http://schemas.openxmlformats.org/officeDocument/2006/relationships/hyperlink" Target="https://static2.vietstock.vn/data/HOSE/2022/BCTC/VN/NAM/PVP_Baocaotaichinh_2022_Kiemtoan.pdf" TargetMode="External"/><Relationship Id="rId1704" Type="http://schemas.openxmlformats.org/officeDocument/2006/relationships/hyperlink" Target="https://static2.vietstock.vn/data/HOSE/2021/BCTC/VN/NAM/TTF_Baocaotaichinh_2021_Kiemtoan_Hopnhat.pdf" TargetMode="External"/><Relationship Id="rId285" Type="http://schemas.openxmlformats.org/officeDocument/2006/relationships/hyperlink" Target="https://static2.vietstock.vn/data/HNX/2021/BCTC/VN/NAM/HLC_Baocaotaichinh_2021_Kiemtoan.pdf" TargetMode="External"/><Relationship Id="rId492" Type="http://schemas.openxmlformats.org/officeDocument/2006/relationships/hyperlink" Target="https://static2.vietstock.vn/data/HNX/2022/BCTC/VN/NAM/NFC_Baocaotaichinh_2022_Kiemtoan/1_nfc_2023_3_2_173aff0_bao_cao_tai_chinh_nam_2022_da_duoc_kiem_toan.pdf" TargetMode="External"/><Relationship Id="rId797" Type="http://schemas.openxmlformats.org/officeDocument/2006/relationships/hyperlink" Target="https://static2.vietstock.vn/data/HNX/2023/BCTC/VN/NAM/STP_Baocaotaichinh_2023_Kiemtoan/1_stp_2024_3_26_1645b0e_bao_cao_tai_chinh_nam_2023.pdf" TargetMode="External"/><Relationship Id="rId145" Type="http://schemas.openxmlformats.org/officeDocument/2006/relationships/hyperlink" Target="https://static2.vietstock.vn/data/HNX/2021/BCTC/VN/NAM/CTX_Baocaotaichinh_2021_Kiemtoan_Hopnhat.pdf" TargetMode="External"/><Relationship Id="rId352" Type="http://schemas.openxmlformats.org/officeDocument/2006/relationships/hyperlink" Target="https://static2.vietstock.vn/data/HNX/2022/BCTC/VN/NAM/KKC_Baocaotaichinh_2022_Kiemtoan/2_kkc_2023_3_23_484f719_bao_cao_kiem_toan_2022scan_ky.pdf" TargetMode="External"/><Relationship Id="rId1287" Type="http://schemas.openxmlformats.org/officeDocument/2006/relationships/hyperlink" Target="https://static2.vietstock.vn/data/HOSE/2023/BCTC/VN/NAM/HAP_Baocaotaichinh_2023_Kiemtoan_Hopnhat.pdf" TargetMode="External"/><Relationship Id="rId212" Type="http://schemas.openxmlformats.org/officeDocument/2006/relationships/hyperlink" Target="https://static2.vietstock.vn/data/HNX/2023/BCTC/VN/NAM/DPC_Baocaotaichinh_2023_Kiemtoan.pdf" TargetMode="External"/><Relationship Id="rId657" Type="http://schemas.openxmlformats.org/officeDocument/2006/relationships/hyperlink" Target="https://static2.vietstock.vn/data/HNX/2021/BCTC/VN/NAM/QHD_Baocaotaichinh_2021_Kiemtoan.pdf" TargetMode="External"/><Relationship Id="rId864" Type="http://schemas.openxmlformats.org/officeDocument/2006/relationships/hyperlink" Target="https://static2.vietstock.vn/data/HNX/2021/BCTC/VN/NAM/TTZ_Baocaotaichinh_2021_Kiemtoan_Hopnhat.pdf" TargetMode="External"/><Relationship Id="rId1494" Type="http://schemas.openxmlformats.org/officeDocument/2006/relationships/hyperlink" Target="https://static2.vietstock.vn/data/HOSE/2022/BCTC/VN/NAM/PJT_Baocaotaichinh_2022_Kiemtoan_Hopnhat.pdf" TargetMode="External"/><Relationship Id="rId1799" Type="http://schemas.openxmlformats.org/officeDocument/2006/relationships/hyperlink" Target="https://static2.vietstock.vn/data/HOSE/2022/BCTC/VN/NAM/OCB_Baocaotaichinh_2022_Kiemtoan_Hopnhat.pdf" TargetMode="External"/><Relationship Id="rId517" Type="http://schemas.openxmlformats.org/officeDocument/2006/relationships/hyperlink" Target="https://static2.vietstock.vn/data/HNX/2022/BCTC/VN/NAM/PBP_Baocaotaichinh_2022_Kiemtoan.pdf" TargetMode="External"/><Relationship Id="rId724" Type="http://schemas.openxmlformats.org/officeDocument/2006/relationships/hyperlink" Target="https://static2.vietstock.vn/data/HNX/2022/BCTC/VN/NAM/SDG_Baocaotaichinh_2022_Kiemtoan_Hopnhat.pdf" TargetMode="External"/><Relationship Id="rId931" Type="http://schemas.openxmlformats.org/officeDocument/2006/relationships/hyperlink" Target="https://static2.vietstock.vn/data/HNX/2022/BCTC/VN/NAM/VCS_Baocaotaichinh_2022_Kiemtoan_Hopnhat/1_vcs_2023_3_28_97a705a_vcs_bctc_hop_nhat_da_kiem_toan_2022_signed.pdf" TargetMode="External"/><Relationship Id="rId1147" Type="http://schemas.openxmlformats.org/officeDocument/2006/relationships/hyperlink" Target="https://static2.vietstock.vn/data/HOSE/2021/BCTC/VN/NAM/DAH_Baocaotaichinh_2021_Kiemtoan_Hopnhat.pdf" TargetMode="External"/><Relationship Id="rId1354" Type="http://schemas.openxmlformats.org/officeDocument/2006/relationships/hyperlink" Target="https://static2.vietstock.vn/data/HOSE/2021/BCTC/VN/NAM/HU3_Baocaotaichinh_2021_Kiemtoan.pdf" TargetMode="External"/><Relationship Id="rId1561" Type="http://schemas.openxmlformats.org/officeDocument/2006/relationships/hyperlink" Target="https://static2.vietstock.vn/data/HOSE/2022/BCTC/VN/NAM/SFI_Baocaotaichinh_2022_Kiemtoan_Hopnhat.pdf" TargetMode="External"/><Relationship Id="rId60" Type="http://schemas.openxmlformats.org/officeDocument/2006/relationships/hyperlink" Target="https://static2.vietstock.vn/data/UPCOM/2023/BCTC/VN/NAM/BLF_Baocaotaichinh_2023_Kiemtoan.pdf" TargetMode="External"/><Relationship Id="rId1007" Type="http://schemas.openxmlformats.org/officeDocument/2006/relationships/hyperlink" Target="https://static2.vietstock.vn/data/HOSE/2023/BCTC/VN/NAM/APC_Baocaotaichinh_2023_Kiemtoan.pdf" TargetMode="External"/><Relationship Id="rId1214" Type="http://schemas.openxmlformats.org/officeDocument/2006/relationships/hyperlink" Target="https://static2.vietstock.vn/data/HOSE/2022/BCTC/VN/NAM/DTT_Baocaotaichinh_2022_Kiemtoan.pdf" TargetMode="External"/><Relationship Id="rId1421" Type="http://schemas.openxmlformats.org/officeDocument/2006/relationships/hyperlink" Target="https://cafef.vn/du-lieu/bao-cao-tai-chinh/lix/incsta/2022/0/0/0/bao-cao-tai-chinh-.chn" TargetMode="External"/><Relationship Id="rId1659" Type="http://schemas.openxmlformats.org/officeDocument/2006/relationships/hyperlink" Target="https://static2.vietstock.vn/data/HOSE/2021/BCTC/VN/NAM/TDW_Baocaotaichinh_2021_Kiemtoan.pdf" TargetMode="External"/><Relationship Id="rId1519" Type="http://schemas.openxmlformats.org/officeDocument/2006/relationships/hyperlink" Target="https://static2.vietstock.vn/data/HOSE/2022/BCTC/VN/NAM/RAL_Baocaotaichinh_2022_Kiemtoan.pdf" TargetMode="External"/><Relationship Id="rId1726" Type="http://schemas.openxmlformats.org/officeDocument/2006/relationships/hyperlink" Target="https://l.facebook.com/l.php?u=https%3A%2F%2Fstatic2.vietstock.vn%2Fdata%2FHOSE%2F2022%2FBCTC%2FVN%2FNAM%2FVFG_Baocaotaichinh_2022_Kiemtoan.pdf%3Ffbclid%3DIwZXh0bgNhZW0CMTAAAR15OonNt346XR3K0q94SJv06VdS6bJTb0RxFKGUgc_KRZXPxbIuKdzq2SY_aem_2c9I4CNZzrXD8GjcaJf0Xw&amp;h=AT16xIU0Xt68Vp4CyMja_tDCL2RPjhzXvV7DwRbF9DDfXtIvL-UBSjcAoZwy2nGuQ7LUVH7tu5NzSsFlhPb4b2WsoCscDaunC0Vsugbx8x0tjwbGCpWuz25JPGjWeG01A_1UkxVNxNM" TargetMode="External"/><Relationship Id="rId18" Type="http://schemas.openxmlformats.org/officeDocument/2006/relationships/hyperlink" Target="https://static2.vietstock.vn/data/HNX/2023/BCTC/VN/NAM/AME_Baocaotaichinh_2023_Kiemtoan.pdf" TargetMode="External"/><Relationship Id="rId167" Type="http://schemas.openxmlformats.org/officeDocument/2006/relationships/hyperlink" Target="https://static2.vietstock.vn/data/HOSE/2023/BCTC/VN/NAM/DBT_Baocaotaichinh_2023_Kiemtoan_Hopnhat.pdf" TargetMode="External"/><Relationship Id="rId374" Type="http://schemas.openxmlformats.org/officeDocument/2006/relationships/hyperlink" Target="https://static2.vietstock.vn/data/HNX/2023/BCTC/VN/QUY%204/KTT_Baocaotaichinh_Q4_2023/1_ktt_2024_1_23_cbd37ba_ktt_bctc_quy_4.pdf" TargetMode="External"/><Relationship Id="rId581" Type="http://schemas.openxmlformats.org/officeDocument/2006/relationships/hyperlink" Target="https://static2.vietstock.vn/data/HNX/2023/BCTC/VN/NAM/POT_Baocaotaichinh_2023_Kiemtoan_Hopnhat/1_pot_2024_2_15_312ab8c_1_1_bctckt_hop_nhat_nam_2023_pot.pdf" TargetMode="External"/><Relationship Id="rId234" Type="http://schemas.openxmlformats.org/officeDocument/2006/relationships/hyperlink" Target="https://static2.vietstock.vn/data/HNX/2021/BCTC/VN/NAM/FID_Baocaotaichinh_2021_Kiemtoan.pdf" TargetMode="External"/><Relationship Id="rId679" Type="http://schemas.openxmlformats.org/officeDocument/2006/relationships/hyperlink" Target="https://static2.vietstock.vn/data/HNX/2022/BCTC/VN/NAM/S99_Baocaotaichinh_2022_Kiemtoan_Hopnhat/1_s99_2023_3_10_bc7a34f_bctk_hn_kt_2022_s99.pdf" TargetMode="External"/><Relationship Id="rId886" Type="http://schemas.openxmlformats.org/officeDocument/2006/relationships/hyperlink" Target="https://static2.vietstock.vn/data/HNX/2022/BCTC/VN/NAM/UNI_Baocaotaichinh_2022_Kiemtoan.pdf" TargetMode="External"/><Relationship Id="rId2" Type="http://schemas.openxmlformats.org/officeDocument/2006/relationships/hyperlink" Target="https://static2.vietstock.vn/data/HOSE/2022/BCTC/VN/NAM/ACB_Baocaotaichinh_2022_Kiemtoan_Hopnhat.pdf" TargetMode="External"/><Relationship Id="rId441" Type="http://schemas.openxmlformats.org/officeDocument/2006/relationships/hyperlink" Target="https://static2.vietstock.vn/data/HNX/2023/BCTC/VN/NAM/MCC_Baocaotaichinh_2023_Kiemtoan.PDF" TargetMode="External"/><Relationship Id="rId539" Type="http://schemas.openxmlformats.org/officeDocument/2006/relationships/hyperlink" Target="https://static2.vietstock.vn/data/HNX/2023/BCTC/VN/NAM/PEN_Baocaotaichinh_2023_Kiemtoan/2_pen_2024_4_2_64eb439_bao_cao_kiem_toan_nam_2023_signed.pdf" TargetMode="External"/><Relationship Id="rId746" Type="http://schemas.openxmlformats.org/officeDocument/2006/relationships/hyperlink" Target="https://static2.vietstock.vn/data/HNX/2023/BCTC/VN/NAM/SED_Baocaotaichinh_2023_Kiemtoan.pdf" TargetMode="External"/><Relationship Id="rId1071" Type="http://schemas.openxmlformats.org/officeDocument/2006/relationships/hyperlink" Target="https://static2.vietstock.vn/data/HOSE/2021/BCTC/VN/NAM/CCI_Baocaotaichinh_2021_Kiemtoan.pdf" TargetMode="External"/><Relationship Id="rId1169" Type="http://schemas.openxmlformats.org/officeDocument/2006/relationships/hyperlink" Target="https://static2.vietstock.vn/data/HOSE/2022/BCTC/VN/NAM/DHG_Baocaotaichinh_2022_Kiemtoan.pdf" TargetMode="External"/><Relationship Id="rId1376" Type="http://schemas.openxmlformats.org/officeDocument/2006/relationships/hyperlink" Target="https://static2.vietstock.vn/data/HOSE/2022/BCTC/VN/NAM/ITD_Baocaotaichinh_2022_Kiemtoan_Hopnhat.pdf" TargetMode="External"/><Relationship Id="rId1583" Type="http://schemas.openxmlformats.org/officeDocument/2006/relationships/hyperlink" Target="https://static2.vietstock.vn/data/HOSE/2023/BCTC/VN/NAM/SKG_Baocaotaichinh_2023_Kiemtoan_1.pdf" TargetMode="External"/><Relationship Id="rId301" Type="http://schemas.openxmlformats.org/officeDocument/2006/relationships/hyperlink" Target="https://static2.vietstock.vn/data/HNX/2022/BCTC/VN/NAM/HOM_Baocaotaichinh_2022_Kiemtoan.pdf" TargetMode="External"/><Relationship Id="rId953" Type="http://schemas.openxmlformats.org/officeDocument/2006/relationships/hyperlink" Target="https://static2.vietstock.vn/data/UPCOM/2023/BCTC/VN/NAM/VE9_Baocaotaichinh_2023_Kiemtoan/2_ve9_2024_4_2_4d9c92c_bctc2023_final_signed.pdf" TargetMode="External"/><Relationship Id="rId1029" Type="http://schemas.openxmlformats.org/officeDocument/2006/relationships/hyperlink" Target="https://static2.vietstock.vn/data/HOSE/2021/BCTC/VN/NAM/BHN_Baocaotaichinh_2021_Kiemtoan_Hopnhat.pdf" TargetMode="External"/><Relationship Id="rId1236" Type="http://schemas.openxmlformats.org/officeDocument/2006/relationships/hyperlink" Target="https://static2.vietstock.vn/data/HOSE/2023/BCTC/VN/NAM/FCM_Baocaotaichinh_2023_Kiemtoan_Hopnhat.pdf" TargetMode="External"/><Relationship Id="rId1790" Type="http://schemas.openxmlformats.org/officeDocument/2006/relationships/hyperlink" Target="https://static2.vietstock.vn/data/HOSE/2022/BCTC/VN/NAM/LPB_Baocaotaichinh_2022_Kiemtoan.pdf" TargetMode="External"/><Relationship Id="rId82" Type="http://schemas.openxmlformats.org/officeDocument/2006/relationships/hyperlink" Target="https://static2.vietstock.vn/data/HNX/2021/BCTC/VN/NAM/C92_Baocaotaichinh_2021_Kiemtoan.pdf" TargetMode="External"/><Relationship Id="rId606" Type="http://schemas.openxmlformats.org/officeDocument/2006/relationships/hyperlink" Target="https://static2.vietstock.vn/data/HNX/2021/BCTC/VN/NAM/PSI_Baocaotaichinh_2021_Kiemtoan/2_psi_2022_3_30_3257329_bc_tai_chinh_nam_2021.PDF" TargetMode="External"/><Relationship Id="rId813" Type="http://schemas.openxmlformats.org/officeDocument/2006/relationships/hyperlink" Target="https://static2.vietstock.vn/data/HOSE/2021/BCTC/VN/NAM/TEG_Baocaotaichinh_2021_Kiemtoan_Hopnhat.pdf" TargetMode="External"/><Relationship Id="rId1443" Type="http://schemas.openxmlformats.org/officeDocument/2006/relationships/hyperlink" Target="https://static2.vietstock.vn/data/HOSE/2023/BCTC/VN/NAM/NAF_Baocaotaichinh_2023_Kiemtoan_Hopnhat.pdf" TargetMode="External"/><Relationship Id="rId1650" Type="http://schemas.openxmlformats.org/officeDocument/2006/relationships/hyperlink" Target="https://static2.vietstock.vn/data/HOSE/2021/BCTC/VN/NAM/TCT_Baocaotaichinh_2021_Kiemtoan.pdf" TargetMode="External"/><Relationship Id="rId1748" Type="http://schemas.openxmlformats.org/officeDocument/2006/relationships/hyperlink" Target="https://static2.vietstock.vn/data/HOSE/2022/BCTC/VN/NAM/VNL_Baocaotaichinh_2022_Kiemtoan.pdf" TargetMode="External"/><Relationship Id="rId1303" Type="http://schemas.openxmlformats.org/officeDocument/2006/relationships/hyperlink" Target="https://static2.vietstock.vn/data/HOSE/2021/BCTC/VN/NAM/HDC_Baocaotaichinh_2021_Kiemtoan_Hopnhat.pdf" TargetMode="External"/><Relationship Id="rId1510" Type="http://schemas.openxmlformats.org/officeDocument/2006/relationships/hyperlink" Target="https://static2.vietstock.vn/data/HOSE/2022/BCTC/VN/NAM/PVD_Baocaotaichinh_2022_Kiemtoan_Hopnhat.pdf" TargetMode="External"/><Relationship Id="rId1608" Type="http://schemas.openxmlformats.org/officeDocument/2006/relationships/hyperlink" Target="https://static2.vietstock.vn/data/HOSE/2021/BCTC/VN/NAM/STB_Baocaotaichinh_2021_Kiemtoan_Hopnhat.pdf" TargetMode="External"/><Relationship Id="rId1815" Type="http://schemas.openxmlformats.org/officeDocument/2006/relationships/hyperlink" Target="https://static2.vietstock.vn/data/HOSE/2023/BCTC/VN/NAM/TPB_Baocaotaichinh_2023_Kiemtoan_1.pdf" TargetMode="External"/><Relationship Id="rId189" Type="http://schemas.openxmlformats.org/officeDocument/2006/relationships/hyperlink" Target="https://static2.vietstock.vn/data/HNX/2021/BCTC/VN/NAM/DIH_Baocaotaichinh_2021_Kiemtoan_DieuChinh/3_dih_2022_4_7_31c1073_dihbctc_da_kiem_toan_ket_thuc_nam_2021phat_hanh_lai.pdf" TargetMode="External"/><Relationship Id="rId396" Type="http://schemas.openxmlformats.org/officeDocument/2006/relationships/hyperlink" Target="https://static2.vietstock.vn/data/HNX/2023/BCTC/VN/NAM/L62_Baocaotaichinh_2023_Kiemtoan.pdf" TargetMode="External"/><Relationship Id="rId256" Type="http://schemas.openxmlformats.org/officeDocument/2006/relationships/hyperlink" Target="https://static2.vietstock.vn/data/HNX/2022/BCTC/VN/NAM/HCC_Baocaotaichinh_2022_Kiemtoan/2_hcc_2023_3_1_d15a36b_bctc_nam_2022_signed.pdf" TargetMode="External"/><Relationship Id="rId463" Type="http://schemas.openxmlformats.org/officeDocument/2006/relationships/hyperlink" Target="https://static2.vietstock.vn/data/UPCOM/2023/BCTC/VN/NAM/MLS_Baocaotaichinh_2023_Kiemtoan.pdf" TargetMode="External"/><Relationship Id="rId670" Type="http://schemas.openxmlformats.org/officeDocument/2006/relationships/hyperlink" Target="https://static2.vietstock.vn/data/HNX/2022/BCTC/VN/NAM/RCL_Baocaotaichinh_2022_Kiemtoan/1_rcl_2023_3_28_ae73f91_bctc_da_duoc_kiem_toan_nam_2022_kem_giai_trinh.pdf" TargetMode="External"/><Relationship Id="rId1093" Type="http://schemas.openxmlformats.org/officeDocument/2006/relationships/hyperlink" Target="https://static2.vietstock.vn/data/HOSE/2021/BCTC/VN/NAM/CLL_Baocaotaichinh_2021_Kiemtoan_Hopnhat.pdf" TargetMode="External"/><Relationship Id="rId116" Type="http://schemas.openxmlformats.org/officeDocument/2006/relationships/hyperlink" Target="https://static2.vietstock.vn/data/UPCOM/2022/BCTC/VN/NAM/CMI_Baocaotaichinh_2022_Kiemtoan_Hopnhat/1_cmi_2023_4_4_05945ff_bao_cao_tai_chinh_hop_nhat_nam_2022_da_ky.pdf" TargetMode="External"/><Relationship Id="rId323" Type="http://schemas.openxmlformats.org/officeDocument/2006/relationships/hyperlink" Target="https://vitrichem.vn/wp-content/uploads/2024/03/BCTC-nam-2023-sau-kiem-toan.pdf" TargetMode="External"/><Relationship Id="rId530" Type="http://schemas.openxmlformats.org/officeDocument/2006/relationships/hyperlink" Target="https://static2.vietstock.vn/data/HNX/2023/BCTC/VN/NAM/PCT_Baocaotaichinh_2023_Kiemtoan.pdf" TargetMode="External"/><Relationship Id="rId768" Type="http://schemas.openxmlformats.org/officeDocument/2006/relationships/hyperlink" Target="https://static2.vietstock.vn/data/HNX/2021/BCTC/VN/NAM/SHS_Baocaotaichinh_2021_Kiemtoan.pdf" TargetMode="External"/><Relationship Id="rId975" Type="http://schemas.openxmlformats.org/officeDocument/2006/relationships/hyperlink" Target="https://static2.vietstock.vn/data/HNX/2021/BCTC/VN/NAM/VNT_Baocaotaichinh_2021_Kiemtoan_Hopnhat/1_vnt_2022_3_30_8670f0c_2022_bctc_nam_cty_hn_2021.pdf" TargetMode="External"/><Relationship Id="rId1160" Type="http://schemas.openxmlformats.org/officeDocument/2006/relationships/hyperlink" Target="https://static2.vietstock.vn/data/HOSE/2022/BCTC/VN/NAM/DGW_Baocaotaichinh_2022_Kiemtoan_Hopnhat.pdf" TargetMode="External"/><Relationship Id="rId1398" Type="http://schemas.openxmlformats.org/officeDocument/2006/relationships/hyperlink" Target="https://static2.vietstock.vn/data/HOSE/2023/BCTC/VN/NAM/KPF_Baocaotaichinh_2023_Kiemtoan_1.pdf" TargetMode="External"/><Relationship Id="rId628" Type="http://schemas.openxmlformats.org/officeDocument/2006/relationships/hyperlink" Target="https://static2.vietstock.vn/data/HNX/2022/BCTC/VN/NAM/PVC_Baocaotaichinh_2022_Kiemtoan_Hopnhat/2_pvc_2023_3_16_cf0113b_bctc_hn_2022_so.pdf" TargetMode="External"/><Relationship Id="rId835" Type="http://schemas.openxmlformats.org/officeDocument/2006/relationships/hyperlink" Target="https://static2.vietstock.vn/data/HNX/2022/BCTC/VN/NAM/TJC_Baocaotaichinh_2022_Kiemtoan.pdf" TargetMode="External"/><Relationship Id="rId1258" Type="http://schemas.openxmlformats.org/officeDocument/2006/relationships/hyperlink" Target="https://static2.vietstock.vn/data/HOSE/2021/BCTC/VN/NAM/FTS_Baocaotaichinh_2021_Kiemtoan.pdf" TargetMode="External"/><Relationship Id="rId1465" Type="http://schemas.openxmlformats.org/officeDocument/2006/relationships/hyperlink" Target="https://static2.vietstock.vn/data/HOSE/2021/BCTC/VN/NAM/PAC_Baocaotaichinh_2021_Kiemtoan.pdf" TargetMode="External"/><Relationship Id="rId1672" Type="http://schemas.openxmlformats.org/officeDocument/2006/relationships/hyperlink" Target="https://static2.vietstock.vn/data/HOSE/2022/BCTC/VN/NAM/TLG_Baocaotaichinh_2022_Kiemtoan_Hopnhat.pdf" TargetMode="External"/><Relationship Id="rId1020" Type="http://schemas.openxmlformats.org/officeDocument/2006/relationships/hyperlink" Target="https://static2.vietstock.vn/data/HOSE/2021/BCTC/VN/NAM/BCE_Baocaotaichinh_2021_Kiemtoan.pdf" TargetMode="External"/><Relationship Id="rId1118" Type="http://schemas.openxmlformats.org/officeDocument/2006/relationships/hyperlink" Target="https://static2.vietstock.vn/data/UPCOM/2022/BCTC/VN/NAM/SGP_Baocaotaichinh_2022_Kiemtoan_Hopnhat/2_sgp_2023_3_13_ffb8b03_bctc_hop_nhat_2022_da_kiem_toan.pdf" TargetMode="External"/><Relationship Id="rId1325" Type="http://schemas.openxmlformats.org/officeDocument/2006/relationships/hyperlink" Target="https://static2.vietstock.vn/data/HOSE/2022/BCTC/VN/NAM/HOT_Baocaotaichinh_2022_Kiemtoan_Hopnhat.pdf" TargetMode="External"/><Relationship Id="rId1532" Type="http://schemas.openxmlformats.org/officeDocument/2006/relationships/hyperlink" Target="https://static2.vietstock.vn/data/HOSE/2023/BCTC/VN/NAM/SAB_Baocaotaichinh_2023_Kiemtoan_Hopnhat.pdf" TargetMode="External"/><Relationship Id="rId902" Type="http://schemas.openxmlformats.org/officeDocument/2006/relationships/hyperlink" Target="https://static2.vietstock.vn/data/HNX/2023/BCTC/VN/NAM/VC1_Baocaotaichinh_2023_Kiemtoan.pdf" TargetMode="External"/><Relationship Id="rId1837" Type="http://schemas.openxmlformats.org/officeDocument/2006/relationships/hyperlink" Target="https://static2.vietstock.vn/data/HOSE/2021/BCTC/VN/NAM/HHV_Baocaotaichinh_2021_Kiemtoan_Hopnhat.pdf" TargetMode="External"/><Relationship Id="rId31" Type="http://schemas.openxmlformats.org/officeDocument/2006/relationships/hyperlink" Target="https://cafef1.mediacdn.vn/Images/Uploaded/DuLieuDownload/2021/ARM_21CN_BCTC_KT.pdf" TargetMode="External"/><Relationship Id="rId180" Type="http://schemas.openxmlformats.org/officeDocument/2006/relationships/hyperlink" Target="https://static2.vietstock.vn/data/HNX/2021/BCTC/VN/NAM/DHT_Baocaotaichinh_2021_Kiemtoan_Hopnhat.pdf" TargetMode="External"/><Relationship Id="rId278" Type="http://schemas.openxmlformats.org/officeDocument/2006/relationships/hyperlink" Target="https://static2.vietstock.vn/data/HNX/2023/BCTC/VN/NAM/HJS_Baocaotaichinh_2023_Kiemtoan_Hopnhat.pdf" TargetMode="External"/><Relationship Id="rId485" Type="http://schemas.openxmlformats.org/officeDocument/2006/relationships/hyperlink" Target="https://static2.vietstock.vn/data/HNX/2021/BCTC/VN/NAM/NDX_Baocaotaichinh_2021_Kiemtoan_Hopnhat/1_ndx_2022_4_1_8c24cbd_bctc_hop_nhat_2021_kt_signed.pdf" TargetMode="External"/><Relationship Id="rId692" Type="http://schemas.openxmlformats.org/officeDocument/2006/relationships/hyperlink" Target="https://static2.vietstock.vn/data/UPCOM/2023/BCTC/VN/NAM/SCJ_Baocaotaichinh_2023_Kiemtoan/2_scj_2024_3_28_ddd8f61_cv_so_25_cb_tt_dinh_ky_bctc_cv_so_24_bctc_nam_2023_hnx__ks.pdf" TargetMode="External"/><Relationship Id="rId138" Type="http://schemas.openxmlformats.org/officeDocument/2006/relationships/hyperlink" Target="https://static2.vietstock.vn/data/HOSE/2021/BCTC/VN/NAM/CTS_Baocaotaichinh_2021_Kiemtoan.pdf" TargetMode="External"/><Relationship Id="rId345" Type="http://schemas.openxmlformats.org/officeDocument/2006/relationships/hyperlink" Target="https://static2.vietstock.vn/data/HNX/2021/BCTC/VN/NAM/VIG_Baocaotaichinh_2021_Kiemtoan/3_vig_2022_3_29_d30ca8b_bao_cao_tai_chinh.pdf" TargetMode="External"/><Relationship Id="rId552" Type="http://schemas.openxmlformats.org/officeDocument/2006/relationships/hyperlink" Target="https://static2.vietstock.vn/data/UPCOM/2021/BCTC/VN/NAM/PHS_Baocaotaichinh_2021_Kiemtoan.pdf" TargetMode="External"/><Relationship Id="rId997" Type="http://schemas.openxmlformats.org/officeDocument/2006/relationships/hyperlink" Target="https://static2.vietstock.vn/data/HOSE/2022/BCTC/VN/NAM/AGM_Baocaotaichinh_2022_Kiemtoan_Hopnhat.pdf" TargetMode="External"/><Relationship Id="rId1182" Type="http://schemas.openxmlformats.org/officeDocument/2006/relationships/hyperlink" Target="https://static2.vietstock.vn/data/HOSE/2023/BCTC/VN/NAM/DLG_Baocaotaichinh_2023_Kiemtoan_Hopnhat.pdf" TargetMode="External"/><Relationship Id="rId205" Type="http://schemas.openxmlformats.org/officeDocument/2006/relationships/hyperlink" Target="https://static2.vietstock.vn/data/HNX/2022/BCTC/VN/NAM/DNP_Baocaotaichinh_2022_Kiemtoan_Hopnhat/1_dnp_2023_4_3_3e2c5ff_20230331__dnp__bctckt_hop_nhat_nam_2022_vn_signed.pdf" TargetMode="External"/><Relationship Id="rId412" Type="http://schemas.openxmlformats.org/officeDocument/2006/relationships/hyperlink" Target="https://static2.vietstock.vn/data/HNX/2023/BCTC/VN/NAM/LHC_Baocaotaichinh_2023_Kiemtoan_Hopnhat.pdf" TargetMode="External"/><Relationship Id="rId857" Type="http://schemas.openxmlformats.org/officeDocument/2006/relationships/hyperlink" Target="https://static2.vietstock.vn/data/HNX/2023/BCTC/VN/NAM/TPP_Baocaotaichinh_2023_Kiemtoan/1_tpp_2024_4_4_51033ec_tpp_bctc_nam_2023_da_kiem_toan__29_03.pdf" TargetMode="External"/><Relationship Id="rId1042" Type="http://schemas.openxmlformats.org/officeDocument/2006/relationships/hyperlink" Target="https://static2.vietstock.vn/data/HOSE/2022/BCTC/VN/NAM/BMI_Baocaotaichinh_2022_Kiemtoan.pdf" TargetMode="External"/><Relationship Id="rId1487" Type="http://schemas.openxmlformats.org/officeDocument/2006/relationships/hyperlink" Target="https://static2.vietstock.vn/data/HOSE/2022/BCTC/VN/NAM/PHR_Baocaotaichinh_2022_Kiemtoan_Hopnhat.pdf" TargetMode="External"/><Relationship Id="rId1694" Type="http://schemas.openxmlformats.org/officeDocument/2006/relationships/hyperlink" Target="https://static2.vietstock.vn/data/HOSE/2023/BCTC/VN/NAM/TPC_Baocaotaichinh_2023_Kiemtoan_Hopnhat.pdf" TargetMode="External"/><Relationship Id="rId717" Type="http://schemas.openxmlformats.org/officeDocument/2006/relationships/hyperlink" Target="https://static2.vietstock.vn/data/HNX/2021/BCTC/VN/NAM/SDC_Baocaotaichinh_2021_Kiemtoan_Hopnhat/2_sdc_2022_3_21_7ea8626_bctc_hop_nhat_2021_ky_so.pdf" TargetMode="External"/><Relationship Id="rId924" Type="http://schemas.openxmlformats.org/officeDocument/2006/relationships/hyperlink" Target="https://static2.vietstock.vn/data/HNX/2021/BCTC/VN/NAM/VCM_Baocaotaichinh_2021_Kiemtoan/2_vcm_2022_2_24_ec71f55_vcm_bctc2021_signed.pdf" TargetMode="External"/><Relationship Id="rId1347" Type="http://schemas.openxmlformats.org/officeDocument/2006/relationships/hyperlink" Target="https://static2.vietstock.vn/data/HOSE/2023/BCTC/VN/NAM/HTL_Baocaotaichinh_2023_Kiemtoan_Hopnhat.pdf" TargetMode="External"/><Relationship Id="rId1554" Type="http://schemas.openxmlformats.org/officeDocument/2006/relationships/hyperlink" Target="https://static2.vietstock.vn/data/HOSE/2021/BCTC/VN/NAM/SFC_Baocaotaichinh_2021_Kiemtoan.pdf" TargetMode="External"/><Relationship Id="rId1761" Type="http://schemas.openxmlformats.org/officeDocument/2006/relationships/hyperlink" Target="https://static2.vietstock.vn/data/HOSE/2023/BCTC/VN/NAM/VPH_Baocaotaichinh_2023_Kiemtoan_Hopnhat.pdf" TargetMode="External"/><Relationship Id="rId53" Type="http://schemas.openxmlformats.org/officeDocument/2006/relationships/hyperlink" Target="https://static2.vietstock.vn/data/HNX/2022/BCTC/VN/NAM/BII_Baocaotaichinh_2022_Kiemtoan_Hopnhat.pdf" TargetMode="External"/><Relationship Id="rId1207" Type="http://schemas.openxmlformats.org/officeDocument/2006/relationships/hyperlink" Target="https://static2.vietstock.vn/data/HOSE/2021/BCTC/VN/NAM/DTA_Baocaotaichinh_2021_Kiemtoan.pdf" TargetMode="External"/><Relationship Id="rId1414" Type="http://schemas.openxmlformats.org/officeDocument/2006/relationships/hyperlink" Target="https://cafef.vn/du-lieu/bao-cao-tai-chinh/lcg/incsta/2023/0/0/0/bao-cao-tai-chinh-.chn" TargetMode="External"/><Relationship Id="rId1621" Type="http://schemas.openxmlformats.org/officeDocument/2006/relationships/hyperlink" Target="https://static2.vietstock.vn/data/HOSE/2022/BCTC/VN/NAM/SVI_Baocaotaichinh_2022_Kiemtoan.pdf" TargetMode="External"/><Relationship Id="rId1859" Type="http://schemas.openxmlformats.org/officeDocument/2006/relationships/hyperlink" Target="https://static2.vietstock.vn/data/HOSE/2022/BCTC/VN/NAM/TVB_Baocaotaichinh_2022_Kiemtoan.pdf" TargetMode="External"/><Relationship Id="rId1719" Type="http://schemas.openxmlformats.org/officeDocument/2006/relationships/hyperlink" Target="https://static2.vietstock.vn/data/HOSE/2021/BCTC/VN/NAM/VCB_Baocaotaichinh_2021_Kiemtoan_Hopnhat_DieuChinh/20221028_CBTT%20BCTC%20Q3.2022%20va%20Dc%20hoi%20to%20KTNN%202021.pdf" TargetMode="External"/><Relationship Id="rId367" Type="http://schemas.openxmlformats.org/officeDocument/2006/relationships/hyperlink" Target="https://static2.vietstock.vn/data/HNX/2022/BCTC/VN/NAM/KST_Baocaotaichinh_2022_Kiemtoan.pdf" TargetMode="External"/><Relationship Id="rId574" Type="http://schemas.openxmlformats.org/officeDocument/2006/relationships/hyperlink" Target="https://static2.vietstock.vn/data/HNX/2022/BCTC/VN/NAM/PMP_Baocaotaichinh_2022_Kiemtoan.pdf" TargetMode="External"/><Relationship Id="rId227" Type="http://schemas.openxmlformats.org/officeDocument/2006/relationships/hyperlink" Target="https://static2.vietstock.vn/data/HNX/2023/BCTC/VN/NAM/ECI_Baocaotaichinh_2023_Kiemtoan_Hopnhat.pdf" TargetMode="External"/><Relationship Id="rId781" Type="http://schemas.openxmlformats.org/officeDocument/2006/relationships/hyperlink" Target="https://static2.vietstock.vn/data/HNX/2022/BCTC/VN/NAM/SMT_Baocaotaichinh_2022_Kiemtoan.pdf" TargetMode="External"/><Relationship Id="rId879" Type="http://schemas.openxmlformats.org/officeDocument/2006/relationships/hyperlink" Target="https://static2.vietstock.vn/data/HNX/2021/BCTC/VN/NAM/TVD_Baocaotaichinh_2021_Kiemtoan.pdf" TargetMode="External"/><Relationship Id="rId434" Type="http://schemas.openxmlformats.org/officeDocument/2006/relationships/hyperlink" Target="https://static2.vietstock.vn/data/HNX/2022/BCTC/VN/NAM/CTX_Baocaotaichinh_2022_Kiemtoan_Hopnhat.pdf" TargetMode="External"/><Relationship Id="rId641" Type="http://schemas.openxmlformats.org/officeDocument/2006/relationships/hyperlink" Target="https://static2.vietstock.vn/data/UPCOM/2023/BCTC/VN/NAM/PVL_Baocaotaichinh_2023_Kiemtoan/1_pvl_2024_4_2_35e57ca_bctc_nam_2023_da_ky.pdf" TargetMode="External"/><Relationship Id="rId739" Type="http://schemas.openxmlformats.org/officeDocument/2006/relationships/hyperlink" Target="https://static2.vietstock.vn/data/UPCOM/2022/BCTC/VN/NAM/SDY_Baocaotaichinh_2022_Kiemtoan_Hopnhat/2_sdy_2023_3_30_4e6036d_bctc_hop_nhat_2022.pdf" TargetMode="External"/><Relationship Id="rId1064" Type="http://schemas.openxmlformats.org/officeDocument/2006/relationships/hyperlink" Target="https://static2.vietstock.vn/data/HOSE/2023/BCTC/VN/NAM/C32_Baocaotaichinh_2023_Kiemtoan_Hopnhat.pdf" TargetMode="External"/><Relationship Id="rId1271" Type="http://schemas.openxmlformats.org/officeDocument/2006/relationships/hyperlink" Target="https://static2.vietstock.vn/data/HOSE/2022/BCTC/VN/NAM/GMD_Baocaotaichinh_2022_Kiemtoan_Hopnhat.pdf" TargetMode="External"/><Relationship Id="rId1369" Type="http://schemas.openxmlformats.org/officeDocument/2006/relationships/hyperlink" Target="https://static2.vietstock.vn/data/HOSE/2021/BCTC/VN/NAM/IMP_Baocaotaichinh_2021_Kiemtoan.pdf" TargetMode="External"/><Relationship Id="rId1576" Type="http://schemas.openxmlformats.org/officeDocument/2006/relationships/hyperlink" Target="https://static2.vietstock.vn/data/HOSE/2022/BCTC/VN/NAM/SJD_Baocaotaichinh_2022_Kiemtoan_Hopnhat.pdf" TargetMode="External"/><Relationship Id="rId501" Type="http://schemas.openxmlformats.org/officeDocument/2006/relationships/hyperlink" Target="https://static2.vietstock.vn/data/HNX/2021/BCTC/VN/NAM/NST_Baocaotaichinh_2021_Kiemtoan/2.NST_2022.2.10_87dde7a_BCTC_2021_R.pdf" TargetMode="External"/><Relationship Id="rId946" Type="http://schemas.openxmlformats.org/officeDocument/2006/relationships/hyperlink" Target="https://static2.vietstock.vn/data/HNX/2022/BCTC/VN/NAM/VE4_Baocaotaichinh_2022_Kiemtoan/1_ve4_2023_3_15_b470d96_bao_cao_tai_chinh_nam_2022_ky_so.pdf" TargetMode="External"/><Relationship Id="rId1131" Type="http://schemas.openxmlformats.org/officeDocument/2006/relationships/hyperlink" Target="https://static2.vietstock.vn/data/HOSE/2023/BCTC/VN/NAM/CTF_Baocaotaichinh_2023_Kiemtoan_Hopnhat.pdf" TargetMode="External"/><Relationship Id="rId1229" Type="http://schemas.openxmlformats.org/officeDocument/2006/relationships/hyperlink" Target="https://static2.vietstock.vn/data/HOSE/2022/BCTC/VN/NAM/ELC_Baocaotaichinh_2022_Kiemtoan_Hopnhat.pdf" TargetMode="External"/><Relationship Id="rId1783" Type="http://schemas.openxmlformats.org/officeDocument/2006/relationships/hyperlink" Target="https://static2.vietstock.vn/data/HOSE/2021/BCTC/VN/NAM/EVF_Baocaotaichinh_2021_Kiemtoan.pdf" TargetMode="External"/><Relationship Id="rId75" Type="http://schemas.openxmlformats.org/officeDocument/2006/relationships/hyperlink" Target="https://static2.vietstock.vn/data/HNX/2023/BCTC/VN/NAM/BTS_Baocaotaichinh_2023_Kiemtoan.pdf" TargetMode="External"/><Relationship Id="rId806" Type="http://schemas.openxmlformats.org/officeDocument/2006/relationships/hyperlink" Target="https://static2.vietstock.vn/data/HNX/2023/BCTC/VN/NAM/TBX_Baocaotaichinh_2023_Kiemtoan/3_tbx_2024_3_12_55e9b66_bctc_kiem_toan_2023.pdf" TargetMode="External"/><Relationship Id="rId1436" Type="http://schemas.openxmlformats.org/officeDocument/2006/relationships/hyperlink" Target="https://static2.vietstock.vn/data/HOSE/2023/BCTC/VN/NAM/MHC_Baocaotaichinh_2023_Kiemtoan_Hopnhat.pdf" TargetMode="External"/><Relationship Id="rId1643" Type="http://schemas.openxmlformats.org/officeDocument/2006/relationships/hyperlink" Target="https://static2.vietstock.vn/data/HOSE/2023/BCTC/VN/NAM/TCM_Baocaotaichinh_2023_Kiemtoan_Hopnhat.pdf" TargetMode="External"/><Relationship Id="rId1850" Type="http://schemas.openxmlformats.org/officeDocument/2006/relationships/hyperlink" Target="https://static2.vietstock.vn/data/HOSE/2022/BCTC/VN/NAM/SGR_Baocaotaichinh_2022_Kiemtoan_Hopnhat.pdf" TargetMode="External"/><Relationship Id="rId1503" Type="http://schemas.openxmlformats.org/officeDocument/2006/relationships/hyperlink" Target="https://static2.vietstock.vn/data/HOSE/2021/BCTC/VN/NAM/PTC_Baocaotaichinh_2021_Kiemtoan.pdf" TargetMode="External"/><Relationship Id="rId1710" Type="http://schemas.openxmlformats.org/officeDocument/2006/relationships/hyperlink" Target="https://static2.vietstock.vn/data/HOSE/2021/BCTC/VN/NAM/TYA_Baocaotaichinh_2021_Kiemtoan.pdf" TargetMode="External"/><Relationship Id="rId291" Type="http://schemas.openxmlformats.org/officeDocument/2006/relationships/hyperlink" Target="https://static2.vietstock.vn/data/UPCOM/2021/BCTC/VN/NAM/HLY_Baocaotaichinh_2021_Kiemtoan.pdf" TargetMode="External"/><Relationship Id="rId1808" Type="http://schemas.openxmlformats.org/officeDocument/2006/relationships/hyperlink" Target="https://static2.vietstock.vn/data/HOSE/2022/BCTC/VN/NAM/STB_Baocaotaichinh_2022_Kiemtoan_Hopnhat.pdf" TargetMode="External"/><Relationship Id="rId151" Type="http://schemas.openxmlformats.org/officeDocument/2006/relationships/hyperlink" Target="https://static2.vietstock.vn/data/HNX/2022/BCTC/VN/NAM/CX8_Baocaotaichinh_2022_Kiemtoan.pdf" TargetMode="External"/><Relationship Id="rId389" Type="http://schemas.openxmlformats.org/officeDocument/2006/relationships/hyperlink" Target="https://static2.vietstock.vn/data/HNX/2023/BCTC/VN/NAM/L43_Baocaotaichinh_2023_Kiemtoan.pdf" TargetMode="External"/><Relationship Id="rId596" Type="http://schemas.openxmlformats.org/officeDocument/2006/relationships/hyperlink" Target="https://static2.vietstock.vn/data/HNX/2023/BCTC/VN/NAM/PRC_Baocaotaichinh_2023_Kiemtoan.pdf" TargetMode="External"/><Relationship Id="rId249" Type="http://schemas.openxmlformats.org/officeDocument/2006/relationships/hyperlink" Target="https://static2.vietstock.vn/data/HNX/2021/BCTC/VN/NAM/HAT_Baocaotaichinh_2021_Kiemtoan.pdf" TargetMode="External"/><Relationship Id="rId456" Type="http://schemas.openxmlformats.org/officeDocument/2006/relationships/hyperlink" Target="https://static2.vietstock.vn/data/HNX/2023/BCTC/VN/NAM/MHL_Baocaotaichinh_2023_Kiemtoan/2_mhl_2024_4_9_64c5d7b__mhl_cv_14__cv_15__bctc2023__da_ky_so_da_nen.pdf" TargetMode="External"/><Relationship Id="rId663" Type="http://schemas.openxmlformats.org/officeDocument/2006/relationships/hyperlink" Target="https://static2.vietstock.vn/data/HNX/2021/BCTC/VN/NAM/QST_Baocaotaichinh_2021_Kiemtoan.pdf" TargetMode="External"/><Relationship Id="rId870" Type="http://schemas.openxmlformats.org/officeDocument/2006/relationships/hyperlink" Target="https://static2.vietstock.vn/data/HNX/2021/BCTC/VN/NAM/TV3_Baocaotaichinh_2021_Kiemtoan.pdf" TargetMode="External"/><Relationship Id="rId1086" Type="http://schemas.openxmlformats.org/officeDocument/2006/relationships/hyperlink" Target="https://static2.vietstock.vn/data/HOSE/2021/BCTC/VN/NAM/CII_Baocaotaichinh_2021_Kiemtoan_Hopnhat.pdf" TargetMode="External"/><Relationship Id="rId1293" Type="http://schemas.openxmlformats.org/officeDocument/2006/relationships/hyperlink" Target="https://static2.vietstock.vn/data/HOSE/2023/BCTC/VN/NAM/HAS_Baocaotaichinh_2023_Kiemtoan_Hopnhat.pdf" TargetMode="External"/><Relationship Id="rId109" Type="http://schemas.openxmlformats.org/officeDocument/2006/relationships/hyperlink" Target="https://static2.vietstock.vn/data/HNX/2021/BCTC/VN/NAM/CLM_Baocaotaichinh_2021_Kiemtoan.pdf" TargetMode="External"/><Relationship Id="rId316" Type="http://schemas.openxmlformats.org/officeDocument/2006/relationships/hyperlink" Target="https://static2.vietstock.vn/data/HNX/2022/BCTC/VN/NAM/HTP_Baocaotaichinh_2022_Kiemtoan_Hopnhat.pdf" TargetMode="External"/><Relationship Id="rId523" Type="http://schemas.openxmlformats.org/officeDocument/2006/relationships/hyperlink" Target="https://static2.vietstock.vn/data/HNX/2022/BCTC/VN/NAM/PCG_Baocaotaichinh_2022_Kiemtoan_Hopnhat.pdf" TargetMode="External"/><Relationship Id="rId968" Type="http://schemas.openxmlformats.org/officeDocument/2006/relationships/hyperlink" Target="https://static2.vietstock.vn/data/HNX/2023/BCTC/VN/NAM/VHL_Baocaotaichinh_2023_Kiemtoan_Hopnhat.pdf" TargetMode="External"/><Relationship Id="rId1153" Type="http://schemas.openxmlformats.org/officeDocument/2006/relationships/hyperlink" Target="https://static2.vietstock.vn/data/HOSE/2021/BCTC/VN/NAM/DCL_Baocaotaichinh_2021_Kiemtoan_Hopnhat.pdf" TargetMode="External"/><Relationship Id="rId1598" Type="http://schemas.openxmlformats.org/officeDocument/2006/relationships/hyperlink" Target="https://static2.vietstock.vn/data/HOSE/2023/BCTC/VN/NAM/SRF_Baocaotaichinh_2023_Kiemtoan_Hopnhat.pdf" TargetMode="External"/><Relationship Id="rId97" Type="http://schemas.openxmlformats.org/officeDocument/2006/relationships/hyperlink" Target="https://static2.vietstock.vn/data/HNX/2021/BCTC/VN/NAM/CEO_Baocaotaichinh_2021_Kiemtoan_Hopnhat.pdf" TargetMode="External"/><Relationship Id="rId730" Type="http://schemas.openxmlformats.org/officeDocument/2006/relationships/hyperlink" Target="https://static2.vietstock.vn/data/UPCOM/2022/BCTC/VN/NAM/SDP_Baocaotaichinh_2022_Kiemtoan_Hopnhat/2_sdp_2023_3_29_34f94a8_bctc_hn_2022.pdf" TargetMode="External"/><Relationship Id="rId828" Type="http://schemas.openxmlformats.org/officeDocument/2006/relationships/hyperlink" Target="https://static2.vietstock.vn/data/HNX/2021/BCTC/VN/NAM/THT_Baocaotaichinh_2021_Kiemtoan.pdf" TargetMode="External"/><Relationship Id="rId1013" Type="http://schemas.openxmlformats.org/officeDocument/2006/relationships/hyperlink" Target="https://static2.vietstock.vn/data/HOSE/2023/BCTC/VN/NAM/ASM_Baocaotaichinh_2023_Kiemtoan_Hopnhat.pdf" TargetMode="External"/><Relationship Id="rId1360" Type="http://schemas.openxmlformats.org/officeDocument/2006/relationships/hyperlink" Target="https://static2.vietstock.vn/data/UPCOM/2021/BCTC/VN/NAM/ICF_Baocaotaichinh_2021_Kiemtoan.pdf" TargetMode="External"/><Relationship Id="rId1458" Type="http://schemas.openxmlformats.org/officeDocument/2006/relationships/hyperlink" Target="https://static2.vietstock.vn/data/HOSE/2022/BCTC/VN/NAM/NVT_Baocaotaichinh_2022_Kiemtoan_Hopnhat.pdf" TargetMode="External"/><Relationship Id="rId1665" Type="http://schemas.openxmlformats.org/officeDocument/2006/relationships/hyperlink" Target="https://static2.vietstock.vn/data/HOSE/2021/BCTC/VN/NAM/TIP_Baocaotaichinh_2021_Kiemtoan_Hopnhat.pdf" TargetMode="External"/><Relationship Id="rId1220" Type="http://schemas.openxmlformats.org/officeDocument/2006/relationships/hyperlink" Target="https://static2.vietstock.vn/data/HOSE/2022/BCTC/VN/NAM/DXG_Baocaotaichinh_2022_Kiemtoan_Hopnhat.pdf" TargetMode="External"/><Relationship Id="rId1318" Type="http://schemas.openxmlformats.org/officeDocument/2006/relationships/hyperlink" Target="https://static2.vietstock.vn/data/HOSE/2021/BCTC/VN/NAM/HMC_Baocaotaichinh_2021_Kiemtoan.pdf" TargetMode="External"/><Relationship Id="rId1525" Type="http://schemas.openxmlformats.org/officeDocument/2006/relationships/hyperlink" Target="https://static2.vietstock.vn/data/HOSE/2022/BCTC/VN/NAM/REE_Baocaotaichinh_2022_Kiemtoan_Hopnhat.pdf" TargetMode="External"/><Relationship Id="rId1732" Type="http://schemas.openxmlformats.org/officeDocument/2006/relationships/hyperlink" Target="https://static2.vietstock.vn/data/HOSE/2022/BCTC/VN/NAM/VIC_Baocaotaichinh_2022_Kiemtoan_Hopnhat.pdf" TargetMode="External"/><Relationship Id="rId24" Type="http://schemas.openxmlformats.org/officeDocument/2006/relationships/hyperlink" Target="https://static2.vietstock.vn/data/HNX/2023/BCTC/VN/NAM/API_Baocaotaichinh_2023_Kiemtoan_Hopnhat.pdf" TargetMode="External"/><Relationship Id="rId173" Type="http://schemas.openxmlformats.org/officeDocument/2006/relationships/hyperlink" Target="https://static2.vietstock.vn/data/HOSE/2023/BCTC/VN/NAM/DC4_Baocaotaichinh_2023_Kiemtoan_Hopnhat.pdf" TargetMode="External"/><Relationship Id="rId380" Type="http://schemas.openxmlformats.org/officeDocument/2006/relationships/hyperlink" Target="https://static2.vietstock.vn/data/HNX/2023/BCTC/VN/NAM/L14_Baocaotaichinh_2023_Kiemtoan.pdf" TargetMode="External"/><Relationship Id="rId240" Type="http://schemas.openxmlformats.org/officeDocument/2006/relationships/hyperlink" Target="https://static2.vietstock.vn/data/HNX/2021/BCTC/VN/NAM/GLT_Baocaotaichinh_2021_Kiemtoan_Hopnhat.pdf" TargetMode="External"/><Relationship Id="rId478" Type="http://schemas.openxmlformats.org/officeDocument/2006/relationships/hyperlink" Target="https://static2.vietstock.vn/data/HNX/2023/BCTC/VN/NAM/NBC_Baocaotaichinh_2023_Kiemtoan/2_nbc_2024_3_27_64141c4_bctc_2023.pdf" TargetMode="External"/><Relationship Id="rId685" Type="http://schemas.openxmlformats.org/officeDocument/2006/relationships/hyperlink" Target="https://static2.vietstock.vn/data/UPCOM/2022/BCTC/VN/NAM/SAP_Baocaotaichinh_2022_Kiemtoan.pdf" TargetMode="External"/><Relationship Id="rId892" Type="http://schemas.openxmlformats.org/officeDocument/2006/relationships/hyperlink" Target="https://static2.vietstock.vn/data/HNX/2022/BCTC/VN/NAM/V21_Baocaotaichinh_2022_Kiemtoan.pdf" TargetMode="External"/><Relationship Id="rId100" Type="http://schemas.openxmlformats.org/officeDocument/2006/relationships/hyperlink" Target="https://static2.vietstock.vn/data/HNX/2021/BCTC/VN/NAM/CJC_Baocaotaichinh_2021_Kiemtoan.pdf" TargetMode="External"/><Relationship Id="rId338" Type="http://schemas.openxmlformats.org/officeDocument/2006/relationships/hyperlink" Target="https://static2.vietstock.vn/data/HNX/2023/BCTC/VN/NAM/INC_Baocaotaichinh_2023_Kiemtoan/2_inc_2024_3_12_3d40afe_vb_78_ctinc_ngay_12_3_2024_cong_bo_thong_tin_bctc_kiem_toan_nam_2023.pdf" TargetMode="External"/><Relationship Id="rId545" Type="http://schemas.openxmlformats.org/officeDocument/2006/relationships/hyperlink" Target="https://static2.vietstock.vn/data/HNX/2023/BCTC/VN/NAM/PGT_Baocaotaichinh_2023_Kiemtoan_Hopnhat/2_pgt_2024_4_1_ecd0a4d_pgt_bctc_hop_nhat_2023.pdf" TargetMode="External"/><Relationship Id="rId752" Type="http://schemas.openxmlformats.org/officeDocument/2006/relationships/hyperlink" Target="https://static2.vietstock.vn/data/HNX/2023/BCTC/VN/NAM/SGC_Baocaotaichinh_2023_Kiemtoan/2_sgc_2024_4_2_311972c_sgc_toanvan_bctc_2023.pdf" TargetMode="External"/><Relationship Id="rId1175" Type="http://schemas.openxmlformats.org/officeDocument/2006/relationships/hyperlink" Target="https://static2.vietstock.vn/data/UPCOM/2022/BCTC/VN/NAM/DIC_Baocaotaichinh_2022_Kiemtoan_Hopnhat/1_dic_2023_9_11_9e46742_bctc_hop_nhat_duoc_kiem_toan_2022.PDF" TargetMode="External"/><Relationship Id="rId1382" Type="http://schemas.openxmlformats.org/officeDocument/2006/relationships/hyperlink" Target="https://static2.vietstock.vn/data/HOSE/2022/BCTC/VN/NAM/KBC_Baocaotaichinh_2022_Kiemtoan_Hopnhat.pdf" TargetMode="External"/><Relationship Id="rId405" Type="http://schemas.openxmlformats.org/officeDocument/2006/relationships/hyperlink" Target="https://static2.vietstock.vn/data/HNX/2023/BCTC/VN/NAM/LCD_Baocaotaichinh_2023_Kiemtoan_1.pdf" TargetMode="External"/><Relationship Id="rId612" Type="http://schemas.openxmlformats.org/officeDocument/2006/relationships/hyperlink" Target="https://static2.vietstock.vn/data/HNX/2021/BCTC/VN/NAM/PTD_Baocaotaichinh_2021_Kiemtoan_Hopnhat.pdf" TargetMode="External"/><Relationship Id="rId1035" Type="http://schemas.openxmlformats.org/officeDocument/2006/relationships/hyperlink" Target="https://static2.vietstock.vn/data/HOSE/2021/BCTC/VN/NAM/BID_Baocaotaichinh_2021_Kiemtoan_Hopnhat.pdf" TargetMode="External"/><Relationship Id="rId1242" Type="http://schemas.openxmlformats.org/officeDocument/2006/relationships/hyperlink" Target="https://static2.vietstock.vn/data/HOSE/2022/BCTC/VN/NAM/FDC_Baocaotaichinh_2022_Kiemtoan.pdf" TargetMode="External"/><Relationship Id="rId1687" Type="http://schemas.openxmlformats.org/officeDocument/2006/relationships/hyperlink" Target="https://static2.vietstock.vn/data/HOSE/2022/BCTC/VN/NAM/TNA_Baocaotaichinh_2022_Kiemtoan_Hopnhat.pdf" TargetMode="External"/><Relationship Id="rId917" Type="http://schemas.openxmlformats.org/officeDocument/2006/relationships/hyperlink" Target="https://static2.vietstock.vn/data/HNX/2023/BCTC/VN/NAM/VC9_Baocaotaichinh_2023_Kiemtoan/2_vc9_2024_3_26_c83c984_vc9_bctc_2023_sau_kiem_toan.pdf" TargetMode="External"/><Relationship Id="rId1102" Type="http://schemas.openxmlformats.org/officeDocument/2006/relationships/hyperlink" Target="https://static2.vietstock.vn/data/UPCOM/2021/BCTC/VN/NAM/CMT_Baocaotaichinh_2021_Kiemtoan_Hopnhat.pdf" TargetMode="External"/><Relationship Id="rId1547" Type="http://schemas.openxmlformats.org/officeDocument/2006/relationships/hyperlink" Target="https://static2.vietstock.vn/data/HOSE/2023/BCTC/VN/NAM/SBV_Baocaotaichinh_2023_Kiemtoan_Hopnhat.pdf" TargetMode="External"/><Relationship Id="rId1754" Type="http://schemas.openxmlformats.org/officeDocument/2006/relationships/hyperlink" Target="https://static2.vietstock.vn/data/HOSE/2022/BCTC/VN/NAM/VNS_Baocaotaichinh_2022_Kiemtoan_Hopnhat.pdf" TargetMode="External"/><Relationship Id="rId46" Type="http://schemas.openxmlformats.org/officeDocument/2006/relationships/hyperlink" Target="https://static2.vietstock.vn/data/HNX/2021/BCTC/VN/NAM/BDB_Baocaotaichinh_2021_Kiemtoan.pdf" TargetMode="External"/><Relationship Id="rId1407" Type="http://schemas.openxmlformats.org/officeDocument/2006/relationships/hyperlink" Target="https://static2.vietstock.vn/data/HOSE/2023/BCTC/VN/NAM/L10_Baocaotaichinh_2023_Kiemtoan.pdf" TargetMode="External"/><Relationship Id="rId1614" Type="http://schemas.openxmlformats.org/officeDocument/2006/relationships/hyperlink" Target="https://static2.vietstock.vn/data/HOSE/2021/BCTC/VN/NAM/STK_Baocaotaichinh_2021_Kiemtoan_Hopnhat.pdf" TargetMode="External"/><Relationship Id="rId1821" Type="http://schemas.openxmlformats.org/officeDocument/2006/relationships/hyperlink" Target="https://static2.vietstock.vn/data/HOSE/2023/BCTC/VN/NAM/VIB_Baocaotaichinh_2023_Kiemtoan_Congtyme.pdf" TargetMode="External"/><Relationship Id="rId195" Type="http://schemas.openxmlformats.org/officeDocument/2006/relationships/hyperlink" Target="https://static2.vietstock.vn/data/UPCOM/2021/BCTC/VN/NAM/DLR_Baocaotaichinh_2021_Kiemtoan_Hopnhat/2_dlr_2022_4_4_be2f76a_bao_cao_tai_chinh_hop_nhat_nam_2021_da_duoc_kiem_toan_1.pdf" TargetMode="External"/><Relationship Id="rId262" Type="http://schemas.openxmlformats.org/officeDocument/2006/relationships/hyperlink" Target="https://static2.vietstock.vn/data/HNX/2022/BCTC/VN/NAM/HDA_Baocaotaichinh_2022_Kiemtoan_Hopnhat.pdf" TargetMode="External"/><Relationship Id="rId567" Type="http://schemas.openxmlformats.org/officeDocument/2006/relationships/hyperlink" Target="https://static2.vietstock.vn/data/HNX/2021/BCTC/VN/NAM/PMB_Baocaotaichinh_2021_Kiemtoan.pdf" TargetMode="External"/><Relationship Id="rId1197" Type="http://schemas.openxmlformats.org/officeDocument/2006/relationships/hyperlink" Target="https://static2.vietstock.vn/data/HOSE/2023/BCTC/VN/NAM/DRC_Baocaotaichinh_2023_Kiemtoan.pdf" TargetMode="External"/><Relationship Id="rId122" Type="http://schemas.openxmlformats.org/officeDocument/2006/relationships/hyperlink" Target="https://static2.vietstock.vn/data/HNX/2022/BCTC/VN/NAM/CPC_Baocaotaichinh_2022_Kiemtoan.pdf" TargetMode="External"/><Relationship Id="rId774" Type="http://schemas.openxmlformats.org/officeDocument/2006/relationships/hyperlink" Target="https://static2.vietstock.vn/data/HNX/2021/BCTC/VN/NAM/SLS_Baocaotaichinh_2021_Kiemtoan.pdf" TargetMode="External"/><Relationship Id="rId981" Type="http://schemas.openxmlformats.org/officeDocument/2006/relationships/hyperlink" Target="https://static2.vietstock.vn/data/HOSE/2021/BCTC/VN/NAM/AAM_Baocaotaichinh_2021_Kiemtoan.pdf" TargetMode="External"/><Relationship Id="rId1057" Type="http://schemas.openxmlformats.org/officeDocument/2006/relationships/hyperlink" Target="https://static2.vietstock.vn/data/HOSE/2022/BCTC/VN/NAM/BTT_Baocaotaichinh_2022_Kiemtoan_Hopnhat.pdf" TargetMode="External"/><Relationship Id="rId427" Type="http://schemas.openxmlformats.org/officeDocument/2006/relationships/hyperlink" Target="https://static2.vietstock.vn/data/HNX/2022/BCTC/VN/NAM/MAC_Baocaotaichinh_2022_Kiemtoan/3_mac_2023_3_29_b4f2c87_toan_van_bao_cao_2022.pdf" TargetMode="External"/><Relationship Id="rId634" Type="http://schemas.openxmlformats.org/officeDocument/2006/relationships/hyperlink" Target="https://static2.vietstock.vn/data/HNX/2022/BCTC/VN/NAM/PVG_Baocaotaichinh_2022_Kiemtoan/2_pvg_2023_3_13_c21274d_bao_cao_tai_chinh__2022.pdf" TargetMode="External"/><Relationship Id="rId841" Type="http://schemas.openxmlformats.org/officeDocument/2006/relationships/hyperlink" Target="https://static2.vietstock.vn/data/HNX/2022/BCTC/VN/NAM/TMB_Baocaotaichinh_2022_Kiemtoan/2_tmb_2023_3_24_4a4bb84_2022__bao_cao_kiem_toan_bao_cao_tong_hop_nam_2022_da_ky.pdf" TargetMode="External"/><Relationship Id="rId1264" Type="http://schemas.openxmlformats.org/officeDocument/2006/relationships/hyperlink" Target="https://static2.vietstock.vn/data/HOSE/2021/BCTC/VN/NAM/GDT_Baocaotaichinh_2021_Kiemtoan.pdf" TargetMode="External"/><Relationship Id="rId1471" Type="http://schemas.openxmlformats.org/officeDocument/2006/relationships/hyperlink" Target="https://static2.vietstock.vn/data/HOSE/2021/BCTC/VN/NAM/PC1_Baocaotaichinh_2021_Kiemtoan_Hopnhat.pdf" TargetMode="External"/><Relationship Id="rId1569" Type="http://schemas.openxmlformats.org/officeDocument/2006/relationships/hyperlink" Target="https://static2.vietstock.vn/data/HOSE/2021/BCTC/VN/NAM/SHI_Baocaotaichinh_2021_Kiemtoan_Hopnhat.pdf" TargetMode="External"/><Relationship Id="rId701" Type="http://schemas.openxmlformats.org/officeDocument/2006/relationships/hyperlink" Target="https://static2.vietstock.vn/data/UPCOM/2023/BCTC/VN/NAM/SD4_Baocaotaichinh_2023_Kiemtoan.pdf" TargetMode="External"/><Relationship Id="rId939" Type="http://schemas.openxmlformats.org/officeDocument/2006/relationships/hyperlink" Target="https://static2.vietstock.vn/data/HNX/2021/BCTC/VN/NAM/VE1_Baocaotaichinh_2021_Kiemtoan.pdf" TargetMode="External"/><Relationship Id="rId1124" Type="http://schemas.openxmlformats.org/officeDocument/2006/relationships/hyperlink" Target="https://static2.vietstock.vn/data/HOSE/2022/BCTC/VN/NAM/CSV_Baocaotaichinh_2022_Kiemtoan_Hopnhat.pdf" TargetMode="External"/><Relationship Id="rId1331" Type="http://schemas.openxmlformats.org/officeDocument/2006/relationships/hyperlink" Target="https://static2.vietstock.vn/data/HOSE/2022/BCTC/VN/NAM/HQC_Baocaotaichinh_2022_Kiemtoan/20230330_Y_HQC_Y_BCTC_tong_hop_nam_2022_da_kiem_toan_va_cong_van_giai_trinh.signed.pdf" TargetMode="External"/><Relationship Id="rId1776" Type="http://schemas.openxmlformats.org/officeDocument/2006/relationships/hyperlink" Target="https://static2.vietstock.vn/data/HOSE/2023/BCTC/VN/NAM/VSI_Baocaotaichinh_2023_Kiemtoan_Hopnhat.pdf" TargetMode="External"/><Relationship Id="rId68" Type="http://schemas.openxmlformats.org/officeDocument/2006/relationships/hyperlink" Target="https://static2.vietstock.vn/data/HNX/2022/BCTC/VN/NAM/BST_Baocaotaichinh_2022_Kiemtoan.pdf" TargetMode="External"/><Relationship Id="rId1429" Type="http://schemas.openxmlformats.org/officeDocument/2006/relationships/hyperlink" Target="https://cafef.vn/du-lieu/bao-cao-tai-chinh/mcp/incsta/2022/0/0/0/bao-cao-tai-chinh-.chn" TargetMode="External"/><Relationship Id="rId1636" Type="http://schemas.openxmlformats.org/officeDocument/2006/relationships/hyperlink" Target="https://static2.vietstock.vn/data/HOSE/2022/BCTC/VN/NAM/TCH_Baocaotaichinh_2022_Kiemtoan_Hopnhat.pdf" TargetMode="External"/><Relationship Id="rId1843" Type="http://schemas.openxmlformats.org/officeDocument/2006/relationships/hyperlink" Target="https://static2.vietstock.vn/data/UPCOM/2021/BCTC/VN/NAM/PVP_Baocaotaichinh_2021_Kiemtoan/1_pvp_2022_3_31_ccafa73_bao_cao_tai_chinh_nam_2021__sau_kiem_toan_scan_mau.pdf" TargetMode="External"/><Relationship Id="rId1703" Type="http://schemas.openxmlformats.org/officeDocument/2006/relationships/hyperlink" Target="https://static2.vietstock.vn/data/HOSE/2023/BCTC/VN/NAM/TSC_Baocaotaichinh_2023_Kiemtoan_Hopnhat.pdf" TargetMode="External"/><Relationship Id="rId284" Type="http://schemas.openxmlformats.org/officeDocument/2006/relationships/hyperlink" Target="https://static2.vietstock.vn/data/HNX/2023/BCTC/VN/NAM/HKT_Baocaotaichinh_2023_Kiemtoan.pdf" TargetMode="External"/><Relationship Id="rId491" Type="http://schemas.openxmlformats.org/officeDocument/2006/relationships/hyperlink" Target="https://static2.vietstock.vn/data/HNX/2021/BCTC/VN/NAM/NFC_Baocaotaichinh_2021_Kiemtoan/1_nfc_2022_3_2_b1167e1_bctc_nam_2021_da_duoc_kiem_toan.pdf" TargetMode="External"/><Relationship Id="rId144" Type="http://schemas.openxmlformats.org/officeDocument/2006/relationships/hyperlink" Target="https://static2.vietstock.vn/data/HNX/2021/BCTC/VN/NAM/CTX_Baocaotaichinh_2021_Kiemtoan_Hopnhat.pdf" TargetMode="External"/><Relationship Id="rId589" Type="http://schemas.openxmlformats.org/officeDocument/2006/relationships/hyperlink" Target="https://static2.vietstock.vn/data/HNX/2022/BCTC/VN/NAM/PPS_Baocaotaichinh_2022_Kiemtoan.pdf" TargetMode="External"/><Relationship Id="rId796" Type="http://schemas.openxmlformats.org/officeDocument/2006/relationships/hyperlink" Target="https://static2.vietstock.vn/data/HNX/2022/BCTC/VN/NAM/STP_Baocaotaichinh_2022_Kiemtoan/2_stp_2023_3_16_a870ed1_bao_cao_tai_chinh_nam_2022.pdf" TargetMode="External"/><Relationship Id="rId351" Type="http://schemas.openxmlformats.org/officeDocument/2006/relationships/hyperlink" Target="https://static2.vietstock.vn/data/HNX/2021/BCTC/VN/NAM/KKC_Baocaotaichinh_2021_Kiemtoan/2_kkc_2022_3_30_7916911_bc_kiem_toan_2021_scanky.pdf" TargetMode="External"/><Relationship Id="rId449" Type="http://schemas.openxmlformats.org/officeDocument/2006/relationships/hyperlink" Target="https://static2.vietstock.vn/data/HNX/2022/BCTC/VN/NAM/MDC_Baocaotaichinh_2022_Kiemtoan.pdf" TargetMode="External"/><Relationship Id="rId656" Type="http://schemas.openxmlformats.org/officeDocument/2006/relationships/hyperlink" Target="https://static2.vietstock.vn/data/UPCOM/2023/BCTC/VN/NAM/PXA_Baocaotaichinh_2023_Kiemtoan/2_pxa_2024_4_4_f2dce23_bao_cao_tai_chinh_signed.pdf" TargetMode="External"/><Relationship Id="rId863" Type="http://schemas.openxmlformats.org/officeDocument/2006/relationships/hyperlink" Target="https://static2.vietstock.vn/data/HNX/2023/BCTC/VN/NAM/TTH_Baocaotaichinh_2023_Kiemtoan/3_tth_2024_2_28_a4e177e_tth__bctc_kiem_toan_2023_kyso_.pdf" TargetMode="External"/><Relationship Id="rId1079" Type="http://schemas.openxmlformats.org/officeDocument/2006/relationships/hyperlink" Target="https://static2.vietstock.vn/data/HOSE/2023/BCTC/VN/NAM/CDC_Baocaotaichinh_2023_Kiemtoan_Hopnhat.pdf" TargetMode="External"/><Relationship Id="rId1286" Type="http://schemas.openxmlformats.org/officeDocument/2006/relationships/hyperlink" Target="https://static2.vietstock.vn/data/HOSE/2022/BCTC/VN/NAM/HAP_Baocaotaichinh_2022_Kiemtoan_Hopnhat.pdf" TargetMode="External"/><Relationship Id="rId1493" Type="http://schemas.openxmlformats.org/officeDocument/2006/relationships/hyperlink" Target="https://static2.vietstock.vn/data/HOSE/2021/BCTC/VN/NAM/PJT_Baocaotaichinh_2021_Kiemtoan_Hopnhat.pdf" TargetMode="External"/><Relationship Id="rId211" Type="http://schemas.openxmlformats.org/officeDocument/2006/relationships/hyperlink" Target="https://static2.vietstock.vn/data/HNX/2022/BCTC/VN/NAM/DPC_Baocaotaichinh_2022_Kiemtoan.pdf" TargetMode="External"/><Relationship Id="rId309" Type="http://schemas.openxmlformats.org/officeDocument/2006/relationships/hyperlink" Target="https://static2.vietstock.vn/data/OTC/2021/BCTC/VN/NAM/HST_Baocaotaichinh_Nam_2021_KT_Donle.pdf" TargetMode="External"/><Relationship Id="rId516" Type="http://schemas.openxmlformats.org/officeDocument/2006/relationships/hyperlink" Target="https://static2.vietstock.vn/data/HNX/2021/BCTC/VN/NAM/PBP_Baocaotaichinh_2021_Kiemtoan.pdf" TargetMode="External"/><Relationship Id="rId1146" Type="http://schemas.openxmlformats.org/officeDocument/2006/relationships/hyperlink" Target="https://static2.vietstock.vn/data/HOSE/2023/BCTC/VN/NAM/DAG_Baocaotaichinh_2023_Kiemtoan_Hopnhat.pdf" TargetMode="External"/><Relationship Id="rId1798" Type="http://schemas.openxmlformats.org/officeDocument/2006/relationships/hyperlink" Target="https://static2.vietstock.vn/data/HOSE/2021/BCTC/VN/NAM/OCB_Baocaotaichinh_2021_Kiemtoan_Hopnhat.pdf" TargetMode="External"/><Relationship Id="rId723" Type="http://schemas.openxmlformats.org/officeDocument/2006/relationships/hyperlink" Target="https://static2.vietstock.vn/data/HNX/2021/BCTC/VN/NAM/SDG_Baocaotaichinh_2021_Kiemtoan_Hopnhat.pdf" TargetMode="External"/><Relationship Id="rId930" Type="http://schemas.openxmlformats.org/officeDocument/2006/relationships/hyperlink" Target="https://static2.vietstock.vn/data/HNX/2021/BCTC/VN/NAM/VCS_Baocaotaichinh_2021_Kiemtoan_Hopnhat.pdf" TargetMode="External"/><Relationship Id="rId1006" Type="http://schemas.openxmlformats.org/officeDocument/2006/relationships/hyperlink" Target="https://static2.vietstock.vn/data/HOSE/2022/BCTC/VN/NAM/APC_Baocaotaichinh_2022_Kiemtoan.pdf" TargetMode="External"/><Relationship Id="rId1353" Type="http://schemas.openxmlformats.org/officeDocument/2006/relationships/hyperlink" Target="https://static2.vietstock.vn/data/HOSE/2023/BCTC/VN/NAM/HU1_Baocaotaichinh_2023_Kiemtoan_Hopnhat.pdf" TargetMode="External"/><Relationship Id="rId1560" Type="http://schemas.openxmlformats.org/officeDocument/2006/relationships/hyperlink" Target="https://static2.vietstock.vn/data/HOSE/2021/BCTC/VN/NAM/SFI_Baocaotaichinh_2021_Kiemtoan_Hopnhat.pdf" TargetMode="External"/><Relationship Id="rId1658" Type="http://schemas.openxmlformats.org/officeDocument/2006/relationships/hyperlink" Target="https://static2.vietstock.vn/data/HOSE/2023/BCTC/VN/NAM/TDH_Baocaotaichinh_2023_Kiemtoan_Hopnhat.pdf" TargetMode="External"/><Relationship Id="rId1865" Type="http://schemas.openxmlformats.org/officeDocument/2006/relationships/comments" Target="../comments1.xml"/><Relationship Id="rId1213" Type="http://schemas.openxmlformats.org/officeDocument/2006/relationships/hyperlink" Target="https://static2.vietstock.vn/data/HOSE/2021/BCTC/VN/NAM/DTT_Baocaotaichinh_2021_Kiemtoan.pdf" TargetMode="External"/><Relationship Id="rId1420" Type="http://schemas.openxmlformats.org/officeDocument/2006/relationships/hyperlink" Target="https://static2.vietstock.vn/data/HOSE/2023/BCTC/VN/NAM/LHG_Baocaotaichinh_2023_Kiemtoan.pdf" TargetMode="External"/><Relationship Id="rId1518" Type="http://schemas.openxmlformats.org/officeDocument/2006/relationships/hyperlink" Target="https://static2.vietstock.vn/data/HOSE/2021/BCTC/VN/NAM/RAL_Baocaotaichinh_2021_Kiemtoan.pdf" TargetMode="External"/><Relationship Id="rId1725" Type="http://schemas.openxmlformats.org/officeDocument/2006/relationships/hyperlink" Target="https://l.facebook.com/l.php?u=https%3A%2F%2Fstatic2.vietstock.vn%2Fdata%2FHOSE%2F2021%2FBCTC%2FVN%2FNAM%2FVFG_Baocaotaichinh_2021_Kiemtoan_Congtyme.pdf%3Ffbclid%3DIwZXh0bgNhZW0CMTAAAR3Yof4ufgPUzqQ_xh4xrVgcJCFTblMFjSKbSDg40q5a8e8Zqkb4aO0iVF0_aem_S1D9faJ-xKyeG7JYeYf31Q&amp;h=AT16xIU0Xt68Vp4CyMja_tDCL2RPjhzXvV7DwRbF9DDfXtIvL-UBSjcAoZwy2nGuQ7LUVH7tu5NzSsFlhPb4b2WsoCscDaunC0Vsugbx8x0tjwbGCpWuz25JPGjWeG01A_1UkxVNxNM" TargetMode="External"/><Relationship Id="rId17" Type="http://schemas.openxmlformats.org/officeDocument/2006/relationships/hyperlink" Target="https://static2.vietstock.vn/data/HNX/2022/BCTC/VN/NAM/AME_Baocaotaichinh_2022_Kiemtoan.pdf" TargetMode="External"/><Relationship Id="rId166" Type="http://schemas.openxmlformats.org/officeDocument/2006/relationships/hyperlink" Target="https://static2.vietstock.vn/data/HOSE/2022/BCTC/VN/NAM/DBT_TMBCTC_2022_Kiemtoan_Hopnhat_DieuChinh.pdf" TargetMode="External"/><Relationship Id="rId373" Type="http://schemas.openxmlformats.org/officeDocument/2006/relationships/hyperlink" Target="https://static2.vietstock.vn/data/HNX/2022/BCTC/VN/NAM/KTT_Baocaotaichinh_2022_Kiemtoan.pdf" TargetMode="External"/><Relationship Id="rId580" Type="http://schemas.openxmlformats.org/officeDocument/2006/relationships/hyperlink" Target="https://static2.vietstock.vn/data/HNX/2022/BCTC/VN/NAM/POT_Baocaotaichinh_2022_Kiemtoan_Hopnhat.pdf" TargetMode="External"/><Relationship Id="rId1" Type="http://schemas.openxmlformats.org/officeDocument/2006/relationships/hyperlink" Target="https://static2.vietstock.vn/data/HOSE/2021/BCTC/VN/NAM/ACB_Baocaotaichinh_2021_Kiemtoan_Hopnhat.pdf" TargetMode="External"/><Relationship Id="rId233" Type="http://schemas.openxmlformats.org/officeDocument/2006/relationships/hyperlink" Target="https://static2.vietstock.vn/data/HNX/2023/BCTC/VN/NAM/EID_Baocaotaichinh_2023_Kiemtoan_Hopnhat.pdf" TargetMode="External"/><Relationship Id="rId440" Type="http://schemas.openxmlformats.org/officeDocument/2006/relationships/hyperlink" Target="https://static2.vietstock.vn/data/HNX/2022/BCTC/VN/NAM/MCC_Baocaotaichinh_2022_Kiemtoan/2_mcc_2023_3_30_a0b6148_bao_cao_tai_chinh_kiem_toan_nam_2022_signed.pdf" TargetMode="External"/><Relationship Id="rId678" Type="http://schemas.openxmlformats.org/officeDocument/2006/relationships/hyperlink" Target="https://static2.vietstock.vn/data/HNX/2021/BCTC/VN/NAM/S99_Baocaotaichinh_2021_Kiemtoan_Hopnhat.pdf" TargetMode="External"/><Relationship Id="rId885" Type="http://schemas.openxmlformats.org/officeDocument/2006/relationships/hyperlink" Target="https://static2.vietstock.vn/data/HNX/2021/BCTC/VN/NAM/UNI_Baocaotaichinh_2021_Kiemtoan.pdf" TargetMode="External"/><Relationship Id="rId1070" Type="http://schemas.openxmlformats.org/officeDocument/2006/relationships/hyperlink" Target="https://static2.vietstock.vn/data/HOSE/2023/BCTC/VN/NAM/CAV_Baocaotaichinh_2023_Kiemtoan_Hopnhat.pdf" TargetMode="External"/><Relationship Id="rId300" Type="http://schemas.openxmlformats.org/officeDocument/2006/relationships/hyperlink" Target="https://static2.vietstock.vn/data/HNX/2021/BCTC/VN/NAM/HOM_Baocaotaichinh_2021_Kiemtoan.pdf" TargetMode="External"/><Relationship Id="rId538" Type="http://schemas.openxmlformats.org/officeDocument/2006/relationships/hyperlink" Target="https://static2.vietstock.vn/data/HNX/2022/BCTC/VN/NAM/PEN_Baocaotaichinh_2022_Kiemtoan/2_pen_2023_3_24_8c637b6_bctc_kiem_toan_nam_2022_toan_ctysigned.pdf" TargetMode="External"/><Relationship Id="rId745" Type="http://schemas.openxmlformats.org/officeDocument/2006/relationships/hyperlink" Target="https://static2.vietstock.vn/data/HNX/2022/BCTC/VN/NAM/SED_Baocaotaichinh_2022_Kiemtoan/2_sed_2023_3_22_b623873_bctc_1_signed.pdf" TargetMode="External"/><Relationship Id="rId952" Type="http://schemas.openxmlformats.org/officeDocument/2006/relationships/hyperlink" Target="https://static2.vietstock.vn/data/UPCOM/2022/BCTC/VN/NAM/VE9_Baocaotaichinh_2022_Kiemtoan.pdf" TargetMode="External"/><Relationship Id="rId1168" Type="http://schemas.openxmlformats.org/officeDocument/2006/relationships/hyperlink" Target="https://static2.vietstock.vn/data/HOSE/2021/BCTC/VN/NAM/DHG_Baocaotaichinh_2021_Kiemtoan_Hopnhat.pdf" TargetMode="External"/><Relationship Id="rId1375" Type="http://schemas.openxmlformats.org/officeDocument/2006/relationships/hyperlink" Target="https://static2.vietstock.vn/data/HOSE/2021/BCTC/VN/NAM/ITD_Baocaotaichinh_2021_Kiemtoan_Hopnhat.pdf" TargetMode="External"/><Relationship Id="rId1582" Type="http://schemas.openxmlformats.org/officeDocument/2006/relationships/hyperlink" Target="https://static2.vietstock.vn/data/HOSE/2022/BCTC/VN/NAM/SKG_Baocaotaichinh_2022_Kiemtoan.pdf" TargetMode="External"/><Relationship Id="rId81" Type="http://schemas.openxmlformats.org/officeDocument/2006/relationships/hyperlink" Target="https://static2.vietstock.vn/data/HNX/2023/BCTC/VN/NAM/BXH_Baocaotaichinh_2023_Kiemtoan/2_bxh_2024_3_12_e63f615_baocaotaichinh2023.pdf" TargetMode="External"/><Relationship Id="rId605" Type="http://schemas.openxmlformats.org/officeDocument/2006/relationships/hyperlink" Target="https://static2.vietstock.vn/data/HNX/2023/BCTC/VN/NAM/PSE_Baocaotaichinh_2023_Kiemtoan/1_pse_2024_3_15_7d3d396_kysocv18dnbhdqtcbtt_bctc_da_kiem_toan_nam_2023.pdf" TargetMode="External"/><Relationship Id="rId812" Type="http://schemas.openxmlformats.org/officeDocument/2006/relationships/hyperlink" Target="https://static2.vietstock.vn/data/HNX/2023/BCTC/VN/NAM/TDN_Baocaotaichinh_2023_Kiemtoan_1.pdf" TargetMode="External"/><Relationship Id="rId1028" Type="http://schemas.openxmlformats.org/officeDocument/2006/relationships/hyperlink" Target="https://static2.vietstock.vn/data/HOSE/2023/BCTC/VN/NAM/BFC_Baocaotaichinh_2023_Kiemtoan_Hopnhat.pdf" TargetMode="External"/><Relationship Id="rId1235" Type="http://schemas.openxmlformats.org/officeDocument/2006/relationships/hyperlink" Target="https://static2.vietstock.vn/data/HOSE/2022/BCTC/VN/NAM/FCM_Baocaotaichinh_2022_Kiemtoan_Hopnhat.pdf" TargetMode="External"/><Relationship Id="rId1442" Type="http://schemas.openxmlformats.org/officeDocument/2006/relationships/hyperlink" Target="https://static2.vietstock.vn/data/HOSE/2022/BCTC/VN/NAM/NAF_Baocaotaichinh_2022_Kiemtoan_Hopnhat.pdf" TargetMode="External"/><Relationship Id="rId1302" Type="http://schemas.openxmlformats.org/officeDocument/2006/relationships/hyperlink" Target="https://static2.vietstock.vn/data/HOSE/2023/BCTC/VN/NAM/HCM_Baocaotaichinh_2023_Kiemtoan_1.pdf" TargetMode="External"/><Relationship Id="rId1747" Type="http://schemas.openxmlformats.org/officeDocument/2006/relationships/hyperlink" Target="https://static2.vietstock.vn/data/HOSE/2021/BCTC/VN/NAM/VNL_Baocaotaichinh_2021_Kiemtoan.pdf" TargetMode="External"/><Relationship Id="rId39" Type="http://schemas.openxmlformats.org/officeDocument/2006/relationships/hyperlink" Target="https://file.hstatic.net/1000343376/file/bctckt_nam_2022_fb4687f9fafe4bdca7a1d7489cb8e97e.pdf" TargetMode="External"/><Relationship Id="rId1607" Type="http://schemas.openxmlformats.org/officeDocument/2006/relationships/hyperlink" Target="https://static2.vietstock.vn/data/HOSE/2023/BCTC/VN/NAM/ST8_Baocaotaichinh_2023_Kiemtoan_Hopnhat.pdf" TargetMode="External"/><Relationship Id="rId1814" Type="http://schemas.openxmlformats.org/officeDocument/2006/relationships/hyperlink" Target="https://static2.vietstock.vn/data/HOSE/2022/BCTC/VN/NAM/TPB_Baocaotaichinh_2022_Kiemtoan.pdf" TargetMode="External"/><Relationship Id="rId188" Type="http://schemas.openxmlformats.org/officeDocument/2006/relationships/hyperlink" Target="https://static2.vietstock.vn/data/UPCOM/2023/BCTC/VN/NAM/DID_Baocaotaichinh_2023_Kiemtoan.pdf" TargetMode="External"/><Relationship Id="rId395" Type="http://schemas.openxmlformats.org/officeDocument/2006/relationships/hyperlink" Target="https://static2.vietstock.vn/data/HNX/2022/BCTC/VN/NAM/L62_Baocaotaichinh_2022_Kiemtoan.pdf" TargetMode="External"/><Relationship Id="rId255" Type="http://schemas.openxmlformats.org/officeDocument/2006/relationships/hyperlink" Target="https://static2.vietstock.vn/data/HNX/2021/BCTC/VN/NAM/HCC_Baocaotaichinh_2021_Kiemtoan/1_hcc_2022_3_28_3c1630e_bctc_nam_2021_signed.pdf" TargetMode="External"/><Relationship Id="rId462" Type="http://schemas.openxmlformats.org/officeDocument/2006/relationships/hyperlink" Target="https://static2.vietstock.vn/data/UPCOM/2022/BCTC/VN/NAM/MLS_Baocaotaichinh_2022_Kiemtoan.pdf" TargetMode="External"/><Relationship Id="rId1092" Type="http://schemas.openxmlformats.org/officeDocument/2006/relationships/hyperlink" Target="https://www.tinnhanhchungkhoan.vn/dau-tu-va-phat-trien-nha-dat-cotec-clg-huy-niem-yet-them-bai-hoc-dat-gia-post267090.html" TargetMode="External"/><Relationship Id="rId1397" Type="http://schemas.openxmlformats.org/officeDocument/2006/relationships/hyperlink" Target="https://static2.vietstock.vn/data/HOSE/2022/BCTC/VN/NAM/KPF_Baocaotaichinh_2022_Kiemtoan.pdf" TargetMode="External"/><Relationship Id="rId115" Type="http://schemas.openxmlformats.org/officeDocument/2006/relationships/hyperlink" Target="https://static2.vietstock.vn/data/UPCOM/2021/BCTC/VN/NAM/CMI_Baocaotaichinh_2021_Kiemtoan_Hopnhat.pdf" TargetMode="External"/><Relationship Id="rId322" Type="http://schemas.openxmlformats.org/officeDocument/2006/relationships/hyperlink" Target="https://vitrichem.vn/wp-content/uploads/2023/03/Bao-cao-tai-chinh-nam-2022-da-kiem-toan-final_web.pdf" TargetMode="External"/><Relationship Id="rId767" Type="http://schemas.openxmlformats.org/officeDocument/2006/relationships/hyperlink" Target="https://static2.vietstock.vn/data/HNX/2023/BCTC/VN/NAM/SHN_Baocaotaichinh_2023_Kiemtoan_Hopnhat.pdf" TargetMode="External"/><Relationship Id="rId974" Type="http://schemas.openxmlformats.org/officeDocument/2006/relationships/hyperlink" Target="https://static2.vietstock.vn/data/HNX/2023/BCTC/VN/NAM/VNR_Baocaotaichinh_2023_Kiemtoan_Hopnhat/2_vnr_2024_4_2_55a9650_vnr___toan_van_bao_cao_tai_chinh_hop_nhat_kiem_toan_2023_signed.pdf" TargetMode="External"/><Relationship Id="rId627" Type="http://schemas.openxmlformats.org/officeDocument/2006/relationships/hyperlink" Target="https://static2.vietstock.vn/data/HNX/2021/BCTC/VN/NAM/PVC_Baocaotaichinh_2021_Kiemtoan_Hopnhat.pdf" TargetMode="External"/><Relationship Id="rId834" Type="http://schemas.openxmlformats.org/officeDocument/2006/relationships/hyperlink" Target="https://static2.vietstock.vn/data/HNX/2021/BCTC/VN/NAM/TJC_Baocaotaichinh_2021_Kiemtoan.pdf" TargetMode="External"/><Relationship Id="rId1257" Type="http://schemas.openxmlformats.org/officeDocument/2006/relationships/hyperlink" Target="https://static2.vietstock.vn/data/UPCOM/2023/BCTC/VN/NAM/FTM_Baocaotaichinh_2023_Kiemtoan/1_ftm_2024_4_4_53bf13a_bctc_nam_2023.pdf" TargetMode="External"/><Relationship Id="rId1464" Type="http://schemas.openxmlformats.org/officeDocument/2006/relationships/hyperlink" Target="https://static2.vietstock.vn/data/HOSE/2023/BCTC/VN/NAM/OPC_Baocaotaichinh_2023_Kiemtoan_Hopnhat.pdf" TargetMode="External"/><Relationship Id="rId1671" Type="http://schemas.openxmlformats.org/officeDocument/2006/relationships/hyperlink" Target="https://static2.vietstock.vn/data/HOSE/2021/BCTC/VN/NAM/TLG_Baocaotaichinh_2021_Kiemtoan_Hopnhat.pdf" TargetMode="External"/><Relationship Id="rId901" Type="http://schemas.openxmlformats.org/officeDocument/2006/relationships/hyperlink" Target="https://static2.vietstock.vn/data/HNX/2022/BCTC/VN/NAM/VC1_Baocaotaichinh_2022_Kiemtoan/1_vc1_2023_3_15_53bc390_thuyet_minh_bctc_2022_da_kiem_toan.pdf" TargetMode="External"/><Relationship Id="rId1117" Type="http://schemas.openxmlformats.org/officeDocument/2006/relationships/hyperlink" Target="https://static2.vietstock.vn/data/UPCOM/2021/BCTC/VN/NAM/SGP_Baocaotaichinh_2021_Kiemtoan_Hopnhat.pdf" TargetMode="External"/><Relationship Id="rId1324" Type="http://schemas.openxmlformats.org/officeDocument/2006/relationships/hyperlink" Target="https://static2.vietstock.vn/data/HOSE/2021/BCTC/VN/NAM/HOT_Baocaotaichinh_2021_Kiemtoan_Hopnhat.pdf" TargetMode="External"/><Relationship Id="rId1531" Type="http://schemas.openxmlformats.org/officeDocument/2006/relationships/hyperlink" Target="https://static2.vietstock.vn/data/HOSE/2022/BCTC/VN/NAM/SAB_Baocaotaichinh_2022_Kiemtoan_Hopnhat.pdf" TargetMode="External"/><Relationship Id="rId1769" Type="http://schemas.openxmlformats.org/officeDocument/2006/relationships/hyperlink" Target="https://static2.vietstock.vn/data/HOSE/2022/BCTC/VN/NAM/VSC_Baocaotaichinh_2022_Kiemtoan_Hopnhat.pdf" TargetMode="External"/><Relationship Id="rId30" Type="http://schemas.openxmlformats.org/officeDocument/2006/relationships/hyperlink" Target="https://static2.vietstock.vn/data/HNX/2023/BCTC/VN/NAM/APS_Baocaotaichinh_2023_Kiemtoan/2_aps_2024_3_29_2326bd2_bctc_kiem_toan_aps_2023.pdf" TargetMode="External"/><Relationship Id="rId1629" Type="http://schemas.openxmlformats.org/officeDocument/2006/relationships/hyperlink" Target="https://static2.vietstock.vn/data/HOSE/2021/BCTC/VN/NAM/SZL_Baocaotaichinh_2021_Kiemtoan.pdf" TargetMode="External"/><Relationship Id="rId1836" Type="http://schemas.openxmlformats.org/officeDocument/2006/relationships/hyperlink" Target="https://static2.vietstock.vn/data/HOSE/2023/BCTC/VN/NAM/GEX_Baocaotaichinh_2023_Kiemtoan_Hopnhat.pdf" TargetMode="External"/><Relationship Id="rId277" Type="http://schemas.openxmlformats.org/officeDocument/2006/relationships/hyperlink" Target="https://static2.vietstock.vn/data/HNX/2022/BCTC/VN/NAM/HJS_Baocaotaichinh_2022_Kiemtoan_Hopnhat.pdf" TargetMode="External"/><Relationship Id="rId484" Type="http://schemas.openxmlformats.org/officeDocument/2006/relationships/hyperlink" Target="https://static2.vietstock.vn/data/HNX/2023/BCTC/VN/NAM/NDN_Baocaotaichinh_2023_Kiemtoan/2_ndn_2024_3_28_3a0e8dc_bctc_kit_2023.pdf" TargetMode="External"/><Relationship Id="rId137" Type="http://schemas.openxmlformats.org/officeDocument/2006/relationships/hyperlink" Target="https://static2.vietstock.vn/data/HNX/2023/BCTC/VN/NAM/CTP_Baocaotaichinh_2023_Kiemtoan_1.pdf" TargetMode="External"/><Relationship Id="rId344" Type="http://schemas.openxmlformats.org/officeDocument/2006/relationships/hyperlink" Target="https://static2.vietstock.vn/data/HNX/2023/BCTC/VN/NAM/ITQ_Baocaotaichinh_2023_Kiemtoan.pdf" TargetMode="External"/><Relationship Id="rId691" Type="http://schemas.openxmlformats.org/officeDocument/2006/relationships/hyperlink" Target="https://static2.vietstock.vn/data/UPCOM/2022/BCTC/VN/NAM/SCJ_Baocaotaichinh_2022_Kiemtoan.pdf" TargetMode="External"/><Relationship Id="rId789" Type="http://schemas.openxmlformats.org/officeDocument/2006/relationships/hyperlink" Target="https://static2.vietstock.vn/data/HNX/2021/BCTC/VN/NAM/SSM_Baocaotaichinh_2021_Kiemtoan.pdf" TargetMode="External"/><Relationship Id="rId996" Type="http://schemas.openxmlformats.org/officeDocument/2006/relationships/hyperlink" Target="https://static2.vietstock.vn/data/HOSE/2021/BCTC/VN/NAM/AGM_Baocaotaichinh_2021_Kiemtoan_Hopnhat.pdf" TargetMode="External"/><Relationship Id="rId551" Type="http://schemas.openxmlformats.org/officeDocument/2006/relationships/hyperlink" Target="https://static2.vietstock.vn/data/UPCOM/2023/BCTC/VN/NAM/PHP_Baocaotaichinh_2023_Kiemtoan_Hopnhat/2_php_2024_3_4_89fc934_bctc_hop_nhat_nam_2023_da_kiem_toan_signed.pdf" TargetMode="External"/><Relationship Id="rId649" Type="http://schemas.openxmlformats.org/officeDocument/2006/relationships/hyperlink" Target="https://static2.vietstock.vn/data/UPCOM/2022/BCTC/VN/NAM/PVV_Baocaotaichinh_2022_Kiemtoan_Hopnhat/2_pvv_2023_2_21_e182a59_bctc_hop_nhat_kiem_toan_2022_compressed.pdf" TargetMode="External"/><Relationship Id="rId856" Type="http://schemas.openxmlformats.org/officeDocument/2006/relationships/hyperlink" Target="https://static2.vietstock.vn/data/HNX/2022/BCTC/VN/NAM/TPP_Baocaotaichinh_2022_Kiemtoan/2_tpp_2023_3_17_5e6fbc5_bctc_kiem_toan_nam_2022_cb.pdf" TargetMode="External"/><Relationship Id="rId1181" Type="http://schemas.openxmlformats.org/officeDocument/2006/relationships/hyperlink" Target="https://static2.vietstock.vn/data/HOSE/2022/BCTC/VN/NAM/DLG_Baocaotaichinh_2022_Kiemtoan_Hopnhat.pdf" TargetMode="External"/><Relationship Id="rId1279" Type="http://schemas.openxmlformats.org/officeDocument/2006/relationships/hyperlink" Target="https://static2.vietstock.vn/data/HOSE/2021/BCTC/VN/NAM/HAG_Baocaotaichinh_2021_Kiemtoan_Hopnhat.pdf" TargetMode="External"/><Relationship Id="rId1486" Type="http://schemas.openxmlformats.org/officeDocument/2006/relationships/hyperlink" Target="https://static2.vietstock.vn/data/HOSE/2023/BCTC/VN/NAM/PGI_Baocaotaichinh_2023_Kiemtoan_1.pdf" TargetMode="External"/><Relationship Id="rId204" Type="http://schemas.openxmlformats.org/officeDocument/2006/relationships/hyperlink" Target="https://static2.vietstock.vn/data/HNX/2021/BCTC/VN/NAM/DNP_Baocaotaichinh_2021_Kiemtoan_Hopnhat/1_dnp_2022_4_1_1679230_dnp_bao_cao_tai_chinh_hop_nhat_kiem_toan_nam_2021_signed.pdf" TargetMode="External"/><Relationship Id="rId411" Type="http://schemas.openxmlformats.org/officeDocument/2006/relationships/hyperlink" Target="https://static2.vietstock.vn/data/HNX/2022/BCTC/VN/NAM/LHC_Baocaotaichinh_2022_Kiemtoan_Hopnhat.pdf" TargetMode="External"/><Relationship Id="rId509" Type="http://schemas.openxmlformats.org/officeDocument/2006/relationships/hyperlink" Target="https://static2.vietstock.vn/data/HNX/2023/BCTC/VN/NAM/NVB_Baocaotaichinh_2023_Kiemtoan_Hopnhat/3_nvb_2024_4_4_85274f4_bao_cao_tai_chinh_hop_nhat_da_kiem_toan_2023_signed.pdf" TargetMode="External"/><Relationship Id="rId1041" Type="http://schemas.openxmlformats.org/officeDocument/2006/relationships/hyperlink" Target="https://static2.vietstock.vn/data/HOSE/2021/BCTC/VN/NAM/BMI_Baocaotaichinh_2021_Kiemtoan.pdf" TargetMode="External"/><Relationship Id="rId1139" Type="http://schemas.openxmlformats.org/officeDocument/2006/relationships/hyperlink" Target="https://static2.vietstock.vn/data/UPCOM/2022/BCTC/VN/NAM/CYC_Baocaotaichinh_2022_Kiemtoan.pdf" TargetMode="External"/><Relationship Id="rId1346" Type="http://schemas.openxmlformats.org/officeDocument/2006/relationships/hyperlink" Target="https://static2.vietstock.vn/data/HOSE/2022/BCTC/VN/NAM/HTL_Baocaotaichinh_2022_Kiemtoan_Hopnhat.pdf" TargetMode="External"/><Relationship Id="rId1693" Type="http://schemas.openxmlformats.org/officeDocument/2006/relationships/hyperlink" Target="https://static2.vietstock.vn/data/HOSE/2022/BCTC/VN/NAM/TPC_Baocaotaichinh_2022_Kiemtoan_Hopnhat.pdf" TargetMode="External"/><Relationship Id="rId716" Type="http://schemas.openxmlformats.org/officeDocument/2006/relationships/hyperlink" Target="https://static2.vietstock.vn/data/HNX/2023/BCTC/VN/NAM/SDA_Baocaotaichinh_2023_Kiemtoan/1_sda_2024_4_3_0f47ccb_bctc_tong_hop_da_kiem_toan_signed.pdf" TargetMode="External"/><Relationship Id="rId923" Type="http://schemas.openxmlformats.org/officeDocument/2006/relationships/hyperlink" Target="https://static2.vietstock.vn/data/HOSE/2023/BCTC/VN/NAM/VCG_Baocaotaichinh_2023_Kiemtoan_Hopnhat.pdf" TargetMode="External"/><Relationship Id="rId1553" Type="http://schemas.openxmlformats.org/officeDocument/2006/relationships/hyperlink" Target="https://static2.vietstock.vn/data/HOSE/2023/BCTC/VN/NAM/SCR_Baocaotaichinh_2023_Kiemtoan_Hopnhat.pdf" TargetMode="External"/><Relationship Id="rId1760" Type="http://schemas.openxmlformats.org/officeDocument/2006/relationships/hyperlink" Target="https://static2.vietstock.vn/data/HOSE/2022/BCTC/VN/NAM/VPH_Baocaotaichinh_2022_Kiemtoan_Hopnhat.pdf" TargetMode="External"/><Relationship Id="rId1858" Type="http://schemas.openxmlformats.org/officeDocument/2006/relationships/hyperlink" Target="https://static2.vietstock.vn/data/HOSE/2021/BCTC/VN/NAM/TVB_Baocaotaichinh_2021_Kiemtoan.pdf" TargetMode="External"/><Relationship Id="rId52" Type="http://schemas.openxmlformats.org/officeDocument/2006/relationships/hyperlink" Target="https://static2.vietstock.vn/data/HNX/2021/BCTC/VN/NAM/BII_Baocaotaichinh_2021_Kiemtoan_Hopnhat.pdf" TargetMode="External"/><Relationship Id="rId1206" Type="http://schemas.openxmlformats.org/officeDocument/2006/relationships/hyperlink" Target="https://static2.vietstock.vn/data/HOSE/2023/BCTC/VN/NAM/DSN_Baocaotaichinh_2023_Kiemtoan_Hopnhat.pdf" TargetMode="External"/><Relationship Id="rId1413" Type="http://schemas.openxmlformats.org/officeDocument/2006/relationships/hyperlink" Target="https://static2.vietstock.vn/data/HOSE/2023/BCTC/VN/NAM/LBM_Baocaotaichinh_2023_Kiemtoan_Hopnhat.pdf" TargetMode="External"/><Relationship Id="rId1620" Type="http://schemas.openxmlformats.org/officeDocument/2006/relationships/hyperlink" Target="https://static2.vietstock.vn/data/HOSE/2021/BCTC/VN/NAM/SVI_Baocaotaichinh_2021_Kiemtoan.pdf" TargetMode="External"/><Relationship Id="rId1718" Type="http://schemas.openxmlformats.org/officeDocument/2006/relationships/hyperlink" Target="https://l.facebook.com/l.php?u=https%3A%2F%2Fstatic2.vietstock.vn%2Fdata%2FHOSE%2F2023%2FBCTC%2FVN%2FNAM%2FVAF_Baocaotaichinh_2023_Kiemtoan.pdf%3Ffbclid%3DIwZXh0bgNhZW0CMTAAAR357kOAUHntexW8eR8ti8n5S7m0pnTavjWLI7_w8q_QJ3Gd8QCPFIbJemI_aem_ExDjYPX1ruqtz0Rya11s9Q&amp;h=AT16xIU0Xt68Vp4CyMja_tDCL2RPjhzXvV7DwRbF9DDfXtIvL-UBSjcAoZwy2nGuQ7LUVH7tu5NzSsFlhPb4b2WsoCscDaunC0Vsugbx8x0tjwbGCpWuz25JPGjWeG01A_1UkxVNxNM" TargetMode="External"/><Relationship Id="rId299" Type="http://schemas.openxmlformats.org/officeDocument/2006/relationships/hyperlink" Target="https://static2.vietstock.vn/data/UPCOM/2023/BCTC/VN/NAM/HNM_Baocaotaichinh_2023_Kiemtoan/1_hnm_2024_4_1_77922b0_bckt_hnm_2023.pdf" TargetMode="External"/><Relationship Id="rId159" Type="http://schemas.openxmlformats.org/officeDocument/2006/relationships/hyperlink" Target="https://static2.vietstock.vn/data/HNX/2021/BCTC/VN/NAM/DAE_Baocaotaichinh_2021_Kiemtoan.pdf" TargetMode="External"/><Relationship Id="rId366" Type="http://schemas.openxmlformats.org/officeDocument/2006/relationships/hyperlink" Target="https://static2.vietstock.vn/data/HNX/2021/BCTC/VN/QUY%204/KST_Baocaotaichinh_Q4_2021.pdf" TargetMode="External"/><Relationship Id="rId573" Type="http://schemas.openxmlformats.org/officeDocument/2006/relationships/hyperlink" Target="https://static2.vietstock.vn/data/HNX/2021/BCTC/VN/NAM/PMP_Baocaotaichinh_2021_Kiemtoan.pdf" TargetMode="External"/><Relationship Id="rId780" Type="http://schemas.openxmlformats.org/officeDocument/2006/relationships/hyperlink" Target="https://static2.vietstock.vn/data/HNX/2021/BCTC/VN/NAM/SMT_Baocaotaichinh_2021_Kiemtoan/2_smt_2022_3_2_c20cc47_smt_bctc_2021.pdf" TargetMode="External"/><Relationship Id="rId226" Type="http://schemas.openxmlformats.org/officeDocument/2006/relationships/hyperlink" Target="https://static2.vietstock.vn/data/HNX/2022/BCTC/VN/NAM/ECI_Baocaotaichinh_2022_Kiemtoan_Hopnhat/2_eci_2023_2_22_f907ade_bctc_hop_nhat_2022.pdf" TargetMode="External"/><Relationship Id="rId433" Type="http://schemas.openxmlformats.org/officeDocument/2006/relationships/hyperlink" Target="https://static2.vietstock.vn/data/HNX/2021/BCTC/VN/NAM/CTX_Baocaotaichinh_2021_Kiemtoan_Hopnhat.pdf" TargetMode="External"/><Relationship Id="rId878" Type="http://schemas.openxmlformats.org/officeDocument/2006/relationships/hyperlink" Target="https://static2.vietstock.vn/data/HNX/2023/BCTC/VN/NAM/TVC_Baocaotaichinh_2023_Kiemtoan_Hopnhat.pdf" TargetMode="External"/><Relationship Id="rId1063" Type="http://schemas.openxmlformats.org/officeDocument/2006/relationships/hyperlink" Target="https://static2.vietstock.vn/data/HOSE/2022/BCTC/VN/NAM/C32_Baocaotaichinh_2022_Kiemtoan_Hopnhat.pdf" TargetMode="External"/><Relationship Id="rId1270" Type="http://schemas.openxmlformats.org/officeDocument/2006/relationships/hyperlink" Target="https://static2.vietstock.vn/data/HOSE/2021/BCTC/VN/NAM/GMD_Baocaotaichinh_2021_Kiemtoan_Hopnhat.PDF" TargetMode="External"/><Relationship Id="rId640" Type="http://schemas.openxmlformats.org/officeDocument/2006/relationships/hyperlink" Target="https://static2.vietstock.vn/data/HNX/2022/BCTC/VN/NAM/PVL_Baocaotaichinh_2022_Kiemtoan_Hopnhat.pdf" TargetMode="External"/><Relationship Id="rId738" Type="http://schemas.openxmlformats.org/officeDocument/2006/relationships/hyperlink" Target="https://static2.vietstock.vn/data/UPCOM/2021/BCTC/VN/NAM/SDY_Baocaotaichinh_2021_Kiemtoan_Hopnhat/1_sdy_2022_4_3_270be06_bctc_hop_nhat__sdy__2021.pdf" TargetMode="External"/><Relationship Id="rId945" Type="http://schemas.openxmlformats.org/officeDocument/2006/relationships/hyperlink" Target="https://static2.vietstock.vn/data/HNX/2021/BCTC/VN/NAM/VE4_Baocaotaichinh_2021_Kiemtoan.pdf" TargetMode="External"/><Relationship Id="rId1368" Type="http://schemas.openxmlformats.org/officeDocument/2006/relationships/hyperlink" Target="https://static2.vietstock.vn/data/HOSE/2023/BCTC/VN/NAM/IJC_Baocaotaichinh_2023_Kiemtoan_Hopnhat_1.pdf" TargetMode="External"/><Relationship Id="rId1575" Type="http://schemas.openxmlformats.org/officeDocument/2006/relationships/hyperlink" Target="https://static2.vietstock.vn/data/HOSE/2021/BCTC/VN/NAM/SJD_Baocaotaichinh_2021_Kiemtoan_Hopnhat.pdf" TargetMode="External"/><Relationship Id="rId1782" Type="http://schemas.openxmlformats.org/officeDocument/2006/relationships/hyperlink" Target="https://static2.vietstock.vn/data/HOSE/2023/BCTC/VN/NAM/VTO_Baocaotaichinh_2023_Kiemtoan_Hopnhat.pdf" TargetMode="External"/><Relationship Id="rId74" Type="http://schemas.openxmlformats.org/officeDocument/2006/relationships/hyperlink" Target="https://static2.vietstock.vn/data/HNX/2022/BCTC/VN/NAM/BTS_Baocaotaichinh_2022_Kiemtoan.pdf" TargetMode="External"/><Relationship Id="rId500" Type="http://schemas.openxmlformats.org/officeDocument/2006/relationships/hyperlink" Target="https://static2.vietstock.vn/data/HNX/2023/BCTC/VN/NAM/NHC_Baocaotaichinh_2023_Kiemtoan_Hopnhat.pdf" TargetMode="External"/><Relationship Id="rId805" Type="http://schemas.openxmlformats.org/officeDocument/2006/relationships/hyperlink" Target="https://static2.vietstock.vn/data/HNX/2022/BCTC/VN/NAM/TBX_Baocaotaichinh_2022_Kiemtoan/1_tbx_2023_3_28_6d1506c_bctc_kiem_toan_2022.pdf" TargetMode="External"/><Relationship Id="rId1130" Type="http://schemas.openxmlformats.org/officeDocument/2006/relationships/hyperlink" Target="https://static2.vietstock.vn/data/HOSE/2022/BCTC/VN/NAM/CTF_Baocaotaichinh_2022_Kiemtoan_Hopnhat.pdf" TargetMode="External"/><Relationship Id="rId1228" Type="http://schemas.openxmlformats.org/officeDocument/2006/relationships/hyperlink" Target="https://static2.vietstock.vn/data/HOSE/2021/BCTC/VN/NAM/ELC_Baocaotaichinh_2021_Kiemtoan_Hopnhat.pdf" TargetMode="External"/><Relationship Id="rId1435" Type="http://schemas.openxmlformats.org/officeDocument/2006/relationships/hyperlink" Target="https://cafef.vn/du-lieu/bao-cao-tai-chinh/mhc/bsheet/2023/0/-1/0/bao-cao-tai-chinh-.chn" TargetMode="External"/><Relationship Id="rId1642" Type="http://schemas.openxmlformats.org/officeDocument/2006/relationships/hyperlink" Target="https://static2.vietstock.vn/data/HOSE/2022/BCTC/VN/NAM/TCM_Baocaotaichinh_2022_Kiemtoan_Hopnhat.pdf" TargetMode="External"/><Relationship Id="rId1502" Type="http://schemas.openxmlformats.org/officeDocument/2006/relationships/hyperlink" Target="https://static2.vietstock.vn/data/HOSE/2023/BCTC/VN/NAM/PTB_Baocaotaichinh_2023_Kiemtoan_Hopnhat_DieuChinh/20240405_20240405___ptb___bctc_hop_nhat_2023_kiem_toan___dieu_chinh_compressed.pdf" TargetMode="External"/><Relationship Id="rId1807" Type="http://schemas.openxmlformats.org/officeDocument/2006/relationships/hyperlink" Target="https://static2.vietstock.vn/data/HOSE/2021/BCTC/VN/NAM/STB_Baocaotaichinh_2021_Kiemtoan_Hopnhat.pdf" TargetMode="External"/><Relationship Id="rId290" Type="http://schemas.openxmlformats.org/officeDocument/2006/relationships/hyperlink" Target="https://static2.vietstock.vn/data/HNX/2023/BCTC/VN/NAM/HLD_BCSXKT_2023_Kiemtoan_DieuChinh/2_hld_2024_11_15_4fa2b6b_bctc_2023_signed_hnx.pdf" TargetMode="External"/><Relationship Id="rId388" Type="http://schemas.openxmlformats.org/officeDocument/2006/relationships/hyperlink" Target="https://static2.vietstock.vn/data/HNX/2022/BCTC/VN/NAM/L43_Baocaotaichinh_2022_Kiemtoan.pdf" TargetMode="External"/><Relationship Id="rId150" Type="http://schemas.openxmlformats.org/officeDocument/2006/relationships/hyperlink" Target="http://www.constrexim8.com.vn/download/BCTC_2021.pdf" TargetMode="External"/><Relationship Id="rId595" Type="http://schemas.openxmlformats.org/officeDocument/2006/relationships/hyperlink" Target="https://static2.vietstock.vn/data/HNX/2022/BCTC/VN/NAM/PRC_Baocaotaichinh_2022_Kiemtoan.pdf" TargetMode="External"/><Relationship Id="rId248" Type="http://schemas.openxmlformats.org/officeDocument/2006/relationships/hyperlink" Target="https://static2.vietstock.vn/data/HNX/2023/BCTC/VN/NAM/HAD_Baocaotaichinh_2023_Kiemtoan/2_had_2024_3_15_8dc98f2_had_bao_cao_tai_chinh_nam_2023_da_kiem_toan.pdf" TargetMode="External"/><Relationship Id="rId455" Type="http://schemas.openxmlformats.org/officeDocument/2006/relationships/hyperlink" Target="https://static2.vietstock.vn/data/HNX/2022/BCTC/VN/NAM/MHL_Baocaotaichinh_2022_Kiemtoan.pdf" TargetMode="External"/><Relationship Id="rId662" Type="http://schemas.openxmlformats.org/officeDocument/2006/relationships/hyperlink" Target="https://static2.vietstock.vn/data/UPCOM/2023/BCTC/VN/NAM/QNC_Baocaotaichinh_2023_Kiemtoan_Hopnhat.pdf" TargetMode="External"/><Relationship Id="rId1085" Type="http://schemas.openxmlformats.org/officeDocument/2006/relationships/hyperlink" Target="https://static2.vietstock.vn/data/HOSE/2023/BCTC/VN/NAM/CIG_Baocaotaichinh_2023_Kiemtoan_Hopnhat.pdf" TargetMode="External"/><Relationship Id="rId1292" Type="http://schemas.openxmlformats.org/officeDocument/2006/relationships/hyperlink" Target="https://static2.vietstock.vn/data/HOSE/2022/BCTC/VN/NAM/HAS_Baocaotaichinh_2022_Kiemtoan_Hopnhat.pdf" TargetMode="External"/><Relationship Id="rId108" Type="http://schemas.openxmlformats.org/officeDocument/2006/relationships/hyperlink" Target="https://static2.vietstock.vn/data/HNX/2023/BCTC/VN/NAM/CLH_Baocaotaichinh_2023_Kiemtoan/2_clh_2024_3_4_68755d6_baocaotaichinhnam_2023_cim_ids.pdf" TargetMode="External"/><Relationship Id="rId315" Type="http://schemas.openxmlformats.org/officeDocument/2006/relationships/hyperlink" Target="https://static2.vietstock.vn/data/HNX/2021/BCTC/VN/NAM/HTP_Baocaotaichinh_2021_Kiemtoan_Hopnhat.pdf" TargetMode="External"/><Relationship Id="rId522" Type="http://schemas.openxmlformats.org/officeDocument/2006/relationships/hyperlink" Target="https://static2.vietstock.vn/data/HNX/2021/BCTC/VN/NAM/PCG_Baocaotaichinh_2021_Kiemtoan_Hopnhat.pdf" TargetMode="External"/><Relationship Id="rId967" Type="http://schemas.openxmlformats.org/officeDocument/2006/relationships/hyperlink" Target="https://static2.vietstock.vn/data/HNX/2022/BCTC/VN/NAM/VHL_Baocaotaichinh_2022_Kiemtoan_Hopnhat.pdf" TargetMode="External"/><Relationship Id="rId1152" Type="http://schemas.openxmlformats.org/officeDocument/2006/relationships/hyperlink" Target="https://static2.vietstock.vn/data/HOSE/2023/BCTC/VN/NAM/DAT_Baocaotaichinh_2023_Kiemtoan.pdf" TargetMode="External"/><Relationship Id="rId1597" Type="http://schemas.openxmlformats.org/officeDocument/2006/relationships/hyperlink" Target="https://static2.vietstock.vn/data/HOSE/2022/BCTC/VN/NAM/SRF_Baocaotaichinh_2022_Kiemtoan_Hopnhat.pdf" TargetMode="External"/><Relationship Id="rId96" Type="http://schemas.openxmlformats.org/officeDocument/2006/relationships/hyperlink" Target="https://static2.vietstock.vn/data/HNX/2023/BCTC/VN/NAM/CDN_Baocaotaichinh_2023_Kiemtoan/2_cdn_2024_4_9_ec2c657_dnp__fs_2023__audited__vi.pdf" TargetMode="External"/><Relationship Id="rId827" Type="http://schemas.openxmlformats.org/officeDocument/2006/relationships/hyperlink" Target="https://static2.vietstock.vn/data/HNX/2023/BCTC/VN/NAM/THS_Baocaotaichinh_2023_Kiemtoan.pdf" TargetMode="External"/><Relationship Id="rId1012" Type="http://schemas.openxmlformats.org/officeDocument/2006/relationships/hyperlink" Target="https://static2.vietstock.vn/data/HOSE/2022/BCTC/VN/NAM/ASM_Baocaotaichinh_2022_Kiemtoan_Hopnhat.pdf" TargetMode="External"/><Relationship Id="rId1457" Type="http://schemas.openxmlformats.org/officeDocument/2006/relationships/hyperlink" Target="https://static2.vietstock.vn/data/HOSE/2021/BCTC/VN/NAM/NVT_Baocaotaichinh_2021_Kiemtoan_Hopnhat.pdf" TargetMode="External"/><Relationship Id="rId1664" Type="http://schemas.openxmlformats.org/officeDocument/2006/relationships/hyperlink" Target="https://static2.vietstock.vn/data/HOSE/2023/BCTC/VN/NAM/THG_Baocaotaichinh_2023_Kiemtoan_Hopnhat.pdf" TargetMode="External"/><Relationship Id="rId1317" Type="http://schemas.openxmlformats.org/officeDocument/2006/relationships/hyperlink" Target="https://static2.vietstock.vn/data/OTC/2023/BCTC/VN/NAM/HLG_Baocaotaichinh_2023_Kiemtoan_Hopnhat.pdf" TargetMode="External"/><Relationship Id="rId1524" Type="http://schemas.openxmlformats.org/officeDocument/2006/relationships/hyperlink" Target="https://static2.vietstock.vn/data/HOSE/2021/BCTC/VN/NAM/REE_Baocaotaichinh_2021_Kiemtoan_Hopnhat.pdf" TargetMode="External"/><Relationship Id="rId1731" Type="http://schemas.openxmlformats.org/officeDocument/2006/relationships/hyperlink" Target="https://static2.vietstock.vn/data/HOSE/2021/BCTC/VN/NAM/VIC_Baocaotaichinh_2021_Kiemtoan_Hopnhat.pdf" TargetMode="External"/><Relationship Id="rId23" Type="http://schemas.openxmlformats.org/officeDocument/2006/relationships/hyperlink" Target="https://static2.vietstock.vn/data/HNX/2022/BCTC/VN/NAM/API_Baocaotaichinh_2022_Kiemtoan_Hopnhat.pdf" TargetMode="External"/><Relationship Id="rId1829" Type="http://schemas.openxmlformats.org/officeDocument/2006/relationships/hyperlink" Target="https://static2.vietstock.vn/data/HOSE/2022/BCTC/VN/NAM/DBD_Baocaotaichinh_2022_Kiemtoan_Hopnhat.pdf" TargetMode="External"/><Relationship Id="rId172" Type="http://schemas.openxmlformats.org/officeDocument/2006/relationships/hyperlink" Target="https://static2.vietstock.vn/data/HOSE/2022/BCTC/VN/NAM/DC4_Baocaotaichinh_2022_Kiemtoan_Hopnhat.pdf" TargetMode="External"/><Relationship Id="rId477" Type="http://schemas.openxmlformats.org/officeDocument/2006/relationships/hyperlink" Target="https://static2.vietstock.vn/data/HNX/2022/BCTC/VN/NAM/NBC_Baocaotaichinh_2022_Kiemtoan.pdff" TargetMode="External"/><Relationship Id="rId684" Type="http://schemas.openxmlformats.org/officeDocument/2006/relationships/hyperlink" Target="https://static2.vietstock.vn/data/UPCOM/2021/BCTC/VN/NAM/SAP_Baocaotaichinh_2021_Kiemtoan.pdf" TargetMode="External"/><Relationship Id="rId337" Type="http://schemas.openxmlformats.org/officeDocument/2006/relationships/hyperlink" Target="https://static2.vietstock.vn/data/HNX/2022/BCTC/VN/NAM/INC_Baocaotaichinh_2022_Kiemtoan.pdf" TargetMode="External"/><Relationship Id="rId891" Type="http://schemas.openxmlformats.org/officeDocument/2006/relationships/hyperlink" Target="https://static2.vietstock.vn/data/HNX/2021/BCTC/VN/NAM/V21_Baocaotaichinh_2021_Kiemtoan/1_v21_2022_3_30_a99793a_0001_bctc_kiem_toan_2021.pdf" TargetMode="External"/><Relationship Id="rId989" Type="http://schemas.openxmlformats.org/officeDocument/2006/relationships/hyperlink" Target="https://static2.vietstock.vn/data/HOSE/2023/BCTC/VN/NAM/ACC_Baocaotaichinh_2023_Kiemtoan_Hopnhat.pdf" TargetMode="External"/><Relationship Id="rId544" Type="http://schemas.openxmlformats.org/officeDocument/2006/relationships/hyperlink" Target="https://static2.vietstock.vn/data/HNX/2022/BCTC/VN/NAM/PGT_Baocaotaichinh_2022_Kiemtoan_Hopnhat/2_pgt_2023_4_4_8f0bb89_pgt_bchn_2022.pdf" TargetMode="External"/><Relationship Id="rId751" Type="http://schemas.openxmlformats.org/officeDocument/2006/relationships/hyperlink" Target="https://static2.vietstock.vn/data/HNX/2022/BCTC/VN/NAM/SGC_Baocaotaichinh_2022_Kiemtoan.pdf" TargetMode="External"/><Relationship Id="rId849" Type="http://schemas.openxmlformats.org/officeDocument/2006/relationships/hyperlink" Target="https://static2.vietstock.vn/data/HNX/2021/BCTC/VN/NAM/TNG_Baocaotaichinh_2021_Kiemtoan_Hopnhat/000000011334846_Bao_cao_tai_chinh_hop_nhat_2021_da_duoc_kiem_toan.pdf" TargetMode="External"/><Relationship Id="rId1174" Type="http://schemas.openxmlformats.org/officeDocument/2006/relationships/hyperlink" Target="https://static2.vietstock.vn/data/UPCOM/2021/BCTC/VN/NAM/DIC_Baocaotaichinh_2021_Kiemtoan_Hopnhat/1_dic_2023_4_4_3b489fb_bctc_kiem_toan_hop_nhat_2021.PDF" TargetMode="External"/><Relationship Id="rId1381" Type="http://schemas.openxmlformats.org/officeDocument/2006/relationships/hyperlink" Target="https://static2.vietstock.vn/data/HOSE/2021/BCTC/VN/NAM/KBC_Baocaotaichinh_2021_Kiemtoan_Hopnhat.pdf" TargetMode="External"/><Relationship Id="rId1479" Type="http://schemas.openxmlformats.org/officeDocument/2006/relationships/hyperlink" Target="https://static2.vietstock.vn/data/HOSE/2023/BCTC/VN/NAM/PDR_Baocaotaichinh_2023_Kiemtoan_Hopnhat.pdf" TargetMode="External"/><Relationship Id="rId1686" Type="http://schemas.openxmlformats.org/officeDocument/2006/relationships/hyperlink" Target="https://static2.vietstock.vn/data/HOSE/2021/BCTC/VN/NAM/TNA_Baocaotaichinh_2021_Kiemtoan_Hopnhat.pdf" TargetMode="External"/><Relationship Id="rId404" Type="http://schemas.openxmlformats.org/officeDocument/2006/relationships/hyperlink" Target="https://static2.vietstock.vn/data/HNX/2022/BCTC/VN/NAM/LCD_Baocaotaichinh_2022_Kiemtoan.pdf" TargetMode="External"/><Relationship Id="rId611" Type="http://schemas.openxmlformats.org/officeDocument/2006/relationships/hyperlink" Target="https://static2.vietstock.vn/data/HNX/2023/BCTC/VN/NAM/PSW_Baocaotaichinh_2023_Kiemtoan.pdf" TargetMode="External"/><Relationship Id="rId1034" Type="http://schemas.openxmlformats.org/officeDocument/2006/relationships/hyperlink" Target="https://static2.vietstock.vn/data/HOSE/2023/BCTC/VN/NAM/BIC_Baocaotaichinh_2023_Kiemtoan_Hopnhat.pdf" TargetMode="External"/><Relationship Id="rId1241" Type="http://schemas.openxmlformats.org/officeDocument/2006/relationships/hyperlink" Target="https://static2.vietstock.vn/data/HOSE/2023/BCTC/VN/NAM/FDC_Baocaotaichinh_2023_Kiemtoan.pdf" TargetMode="External"/><Relationship Id="rId1339" Type="http://schemas.openxmlformats.org/officeDocument/2006/relationships/hyperlink" Target="https://static2.vietstock.vn/data/HOSE/2021/BCTC/VN/NAM/HT1_Baocaotaichinh_2021_Kiemtoan_Hopnhat.pdf" TargetMode="External"/><Relationship Id="rId709" Type="http://schemas.openxmlformats.org/officeDocument/2006/relationships/hyperlink" Target="https://static2.vietstock.vn/data/UPCOM/2022/BCTC/VN/NAM/SD7_Baocaotaichinh_2022_Kiemtoan.pdf" TargetMode="External"/><Relationship Id="rId916" Type="http://schemas.openxmlformats.org/officeDocument/2006/relationships/hyperlink" Target="https://static2.vietstock.vn/data/HNX/2022/BCTC/VN/NAM/VC9_Baocaotaichinh_2022_Kiemtoan/2_vc9_2023_4_5_cf0d9d3_bctc_2022_sau_kiem_toan.pdf" TargetMode="External"/><Relationship Id="rId1101" Type="http://schemas.openxmlformats.org/officeDocument/2006/relationships/hyperlink" Target="https://static2.vietstock.vn/data/HOSE/2023/BCTC/VN/NAM/CMG_Baocaotaichinh_2023_Kiemtoan_Hopnhat.pdf" TargetMode="External"/><Relationship Id="rId1546" Type="http://schemas.openxmlformats.org/officeDocument/2006/relationships/hyperlink" Target="https://static2.vietstock.vn/data/HOSE/2022/BCTC/VN/NAM/SBV_Baocaotaichinh_2022_Kiemtoan_Hopnhat.pdf" TargetMode="External"/><Relationship Id="rId1753" Type="http://schemas.openxmlformats.org/officeDocument/2006/relationships/hyperlink" Target="https://static2.vietstock.vn/data/HOSE/2021/BCTC/VN/NAM/VNS_Baocaotaichinh_2021_Kiemtoan_Hopnhat.pdf" TargetMode="External"/><Relationship Id="rId45" Type="http://schemas.openxmlformats.org/officeDocument/2006/relationships/hyperlink" Target="https://static2.vietstock.vn/data/HNX/2022/BCTC/VN/NAM/BDB_Baocaotaichinh_2022_Kiemtoan.pdf" TargetMode="External"/><Relationship Id="rId1406" Type="http://schemas.openxmlformats.org/officeDocument/2006/relationships/hyperlink" Target="https://static2.vietstock.vn/data/HOSE/2022/BCTC/VN/NAM/L10_Baocaotaichinh_2022_Kiemtoan.pdf" TargetMode="External"/><Relationship Id="rId1613" Type="http://schemas.openxmlformats.org/officeDocument/2006/relationships/hyperlink" Target="https://static2.vietstock.vn/data/HOSE/2023/BCTC/VN/NAM/STG_Baocaotaichinh_2023_Kiemtoan_Hopnhat.pdf" TargetMode="External"/><Relationship Id="rId1820" Type="http://schemas.openxmlformats.org/officeDocument/2006/relationships/hyperlink" Target="https://static2.vietstock.vn/data/HOSE/2022/BCTC/VN/NAM/VIB_Baocaotaichinh_2022_Kiemtoan_Hopnhat.pdf" TargetMode="External"/><Relationship Id="rId194" Type="http://schemas.openxmlformats.org/officeDocument/2006/relationships/hyperlink" Target="https://static2.vietstock.vn/data/HNX/2023/BCTC/VN/NAM/DL1_Baocaotaichinh_2023_Kiemtoan_Hopnhat.pdf" TargetMode="External"/><Relationship Id="rId261" Type="http://schemas.openxmlformats.org/officeDocument/2006/relationships/hyperlink" Target="https://static2.vietstock.vn/data/HNX/2021/BCTC/VN/NAM/HDA_Baocaotaichinh_2021_Kiemtoan_Hopnhat.pdf" TargetMode="External"/><Relationship Id="rId499" Type="http://schemas.openxmlformats.org/officeDocument/2006/relationships/hyperlink" Target="https://static2.vietstock.vn/data/HNX/2022/BCTC/VN/NAM/NHC_Baocaotaichinh_2022_Kiemtoan_Hopnhat/2_nhc_2023_4_6_5822685_bctc_kiem_toan_hop_nhat_2022.pdf" TargetMode="External"/><Relationship Id="rId359" Type="http://schemas.openxmlformats.org/officeDocument/2006/relationships/hyperlink" Target="https://static2.vietstock.vn/data/HNX/2023/BCTC/VN/NAM/KMT_Baocaotaichinh_2023_Kiemtoan.pdf" TargetMode="External"/><Relationship Id="rId566" Type="http://schemas.openxmlformats.org/officeDocument/2006/relationships/hyperlink" Target="https://static2.vietstock.vn/data/HNX/2023/BCTC/VN/NAM/PLC_Baocaotaichinh_2023_Kiemtoan_Hopnhat/3_plc_2024_4_2_e1c3030_2023_bctc_kiem_toan_hop_nhat.pdf" TargetMode="External"/><Relationship Id="rId773" Type="http://schemas.openxmlformats.org/officeDocument/2006/relationships/hyperlink" Target="https://static2.vietstock.vn/data/HNX/2023/BCTC/VN/NAM/SJE_Baocaotaichinh_2023_Kiemtoan_Hopnhat.pdf" TargetMode="External"/><Relationship Id="rId1196" Type="http://schemas.openxmlformats.org/officeDocument/2006/relationships/hyperlink" Target="https://static2.vietstock.vn/data/HOSE/2022/BCTC/VN/NAM/DRC_Baocaotaichinh_2022_Kiemtoan.pdf" TargetMode="External"/><Relationship Id="rId121" Type="http://schemas.openxmlformats.org/officeDocument/2006/relationships/hyperlink" Target="https://static2.vietstock.vn/data/HNX/2021/BCTC/VN/NAM/CPC_Baocaotaichinh_2021_Kiemtoan.pdf" TargetMode="External"/><Relationship Id="rId219" Type="http://schemas.openxmlformats.org/officeDocument/2006/relationships/hyperlink" Target="https://static2.vietstock.vn/data/HNX/2021/BCTC/VN/NAM/DZM_Baocaotaichinh_2021_Kiemtoan_Hopnhat.pdf" TargetMode="External"/><Relationship Id="rId426" Type="http://schemas.openxmlformats.org/officeDocument/2006/relationships/hyperlink" Target="https://static2.vietstock.vn/data/HNX/2021/BCTC/VN/NAM/MAC_Baocaotaichinh_2021_Kiemtoan/2_mac_2022_4_12_f087099_toan_van_bao_cao_tc_2021.pdf" TargetMode="External"/><Relationship Id="rId633" Type="http://schemas.openxmlformats.org/officeDocument/2006/relationships/hyperlink" Target="https://static2.vietstock.vn/data/HNX/2021/BCTC/VN/NAM/PVG_Baocaotaichinh_2021_Kiemtoan.pdf" TargetMode="External"/><Relationship Id="rId980" Type="http://schemas.openxmlformats.org/officeDocument/2006/relationships/hyperlink" Target="https://static2.vietstock.vn/data/HOSE/2023/BCTC/VN/NAM/AAA_Baocaotaichinh_2023_Kiemtoan_Hopnhat.pdf" TargetMode="External"/><Relationship Id="rId1056" Type="http://schemas.openxmlformats.org/officeDocument/2006/relationships/hyperlink" Target="https://static2.vietstock.vn/data/HOSE/2021/BCTC/VN/NAM/BTT_Baocaotaichinh_2021_Kiemtoan_Hopnhat.pdf" TargetMode="External"/><Relationship Id="rId1263" Type="http://schemas.openxmlformats.org/officeDocument/2006/relationships/hyperlink" Target="https://static2.vietstock.vn/data/HOSE/2023/BCTC/VN/NAM/GAS_Baocaotaichinh_2023_Kiemtoan_Hopnhat.pdf" TargetMode="External"/><Relationship Id="rId840" Type="http://schemas.openxmlformats.org/officeDocument/2006/relationships/hyperlink" Target="https://static2.vietstock.vn/data/HNX/2021/BCTC/VN/NAM/TMB_Baocaotaichinh_2021_Kiemtoan.pdf" TargetMode="External"/><Relationship Id="rId938" Type="http://schemas.openxmlformats.org/officeDocument/2006/relationships/hyperlink" Target="https://static2.vietstock.vn/data/HOSE/2023/BCTC/VN/NAM/VDS_Baocaotaichinh_2023_Kiemtoan_Hopnhat.pdf" TargetMode="External"/><Relationship Id="rId1470" Type="http://schemas.openxmlformats.org/officeDocument/2006/relationships/hyperlink" Target="https://static2.vietstock.vn/data/HOSE/2023/BCTC/VN/NAM/PAN_Baocaotaichinh_2023_Kiemtoan_Hopnhat.pdf" TargetMode="External"/><Relationship Id="rId1568" Type="http://schemas.openxmlformats.org/officeDocument/2006/relationships/hyperlink" Target="https://static2.vietstock.vn/data/HOSE/2023/BCTC/VN/NAM/SHA_Baocaotaichinh_2023_Kiemtoan_Hopnhat.pdf" TargetMode="External"/><Relationship Id="rId1775" Type="http://schemas.openxmlformats.org/officeDocument/2006/relationships/hyperlink" Target="https://static2.vietstock.vn/data/HOSE/2022/BCTC/VN/NAM/VSI_Baocaotaichinh_2022_Kiemtoan_Hopnhat.pdf" TargetMode="External"/><Relationship Id="rId67" Type="http://schemas.openxmlformats.org/officeDocument/2006/relationships/hyperlink" Target="https://static2.vietstock.vn/data/HNX/2021/BCTC/VN/NAM/BST_Baocaotaichinh_2021_Kiemtoan.pdf" TargetMode="External"/><Relationship Id="rId700" Type="http://schemas.openxmlformats.org/officeDocument/2006/relationships/hyperlink" Target="https://static2.vietstock.vn/data/HNX/2022/BCTC/VN/NAM/SD4_Baocaotaichinh_2022_Kiemtoan/2_sd4_2023_4_19_f1fe828_bctc_kiem_toan_2022_ky_so.pdf" TargetMode="External"/><Relationship Id="rId1123" Type="http://schemas.openxmlformats.org/officeDocument/2006/relationships/hyperlink" Target="https://static2.vietstock.vn/data/HOSE/2021/BCTC/VN/NAM/CSV_Baocaotaichinh_2021_Kiemtoan_Hopnhat.pdf" TargetMode="External"/><Relationship Id="rId1330" Type="http://schemas.openxmlformats.org/officeDocument/2006/relationships/hyperlink" Target="https://static2.vietstock.vn/data/HOSE/2021/BCTC/VN/NAM/HQC_Baocaotaichinh_2021_Kiemtoan/20220314_-_HQC_-_BCTC_TYNG_HYP_2021_YA_KIYM_TOAN_VA_GIYI_TRINH_SIGNED.pdf" TargetMode="External"/><Relationship Id="rId1428" Type="http://schemas.openxmlformats.org/officeDocument/2006/relationships/hyperlink" Target="https://static2.vietstock.vn/data/HOSE/2023/BCTC/VN/NAM/MBB_Baocaotaichinh_2023_Kiemtoan_Hopnhat.pdf" TargetMode="External"/><Relationship Id="rId1635" Type="http://schemas.openxmlformats.org/officeDocument/2006/relationships/hyperlink" Target="https://static2.vietstock.vn/data/HOSE/2021/BCTC/VN/NAM/TCH_Baocaotaichinh_2021_Kiemtoan_Hopnhat.pdf" TargetMode="External"/><Relationship Id="rId1842" Type="http://schemas.openxmlformats.org/officeDocument/2006/relationships/hyperlink" Target="https://static2.vietstock.vn/data/HOSE/2023/BCTC/VN/NAM/HVN_Baocaotaichinh_2023_Kiemtoan_Hopnhat.pdf" TargetMode="External"/><Relationship Id="rId1702" Type="http://schemas.openxmlformats.org/officeDocument/2006/relationships/hyperlink" Target="https://static2.vietstock.vn/data/HOSE/2022/BCTC/VN/NAM/TSC_Baocaotaichinh_2022_Kiemtoan_Hopnhat.pdf" TargetMode="External"/><Relationship Id="rId283" Type="http://schemas.openxmlformats.org/officeDocument/2006/relationships/hyperlink" Target="https://drive.google.com/file/d/1eg3298Kvb6Ygzle5ufxXTtB6iAG6p4lZ/view?usp=sharing" TargetMode="External"/><Relationship Id="rId490" Type="http://schemas.openxmlformats.org/officeDocument/2006/relationships/hyperlink" Target="https://static2.vietstock.vn/data/HNX/2023/BCTC/VN/NAM/NET_Baocaotaichinh_2023_Kiemtoan/3_net_2024_3_12_b624c7a_2024_03_01__net__bctc_kiem_toan_2023__vn__cks.pdf" TargetMode="External"/><Relationship Id="rId143" Type="http://schemas.openxmlformats.org/officeDocument/2006/relationships/hyperlink" Target="https://static2.vietstock.vn/data/HNX/2023/BCTC/VN/NAM/CTT_Baocaotaichinh_2023_Kiemtoan/1_ctt_2024_3_22_27555fe_bao_cao_tai_chinh_nam_2023_da_kiem_toan.pdf" TargetMode="External"/><Relationship Id="rId350" Type="http://schemas.openxmlformats.org/officeDocument/2006/relationships/hyperlink" Target="https://static2.vietstock.vn/data/HNX/2023/BCTC/VN/NAM/KDM_Baocaotaichinh_2023_Kiemtoan.pdf" TargetMode="External"/><Relationship Id="rId588" Type="http://schemas.openxmlformats.org/officeDocument/2006/relationships/hyperlink" Target="https://static2.vietstock.vn/data/HNX/2021/BCTC/VN/NAM/PPS_Baocaotaichinh_2021_Kiemtoan.pdf" TargetMode="External"/><Relationship Id="rId795" Type="http://schemas.openxmlformats.org/officeDocument/2006/relationships/hyperlink" Target="https://static2.vietstock.vn/data/HNX/2021/BCTC/VN/NAM/STP_Baocaotaichinh_2021_Kiemtoan.pdf" TargetMode="External"/><Relationship Id="rId9" Type="http://schemas.openxmlformats.org/officeDocument/2006/relationships/hyperlink" Target="https://static2.vietstock.vn/data/HNX/2023/BCTC/VN/NAM/ADC_Baocaotaichinh_2023_Kiemtoan.pdf" TargetMode="External"/><Relationship Id="rId210" Type="http://schemas.openxmlformats.org/officeDocument/2006/relationships/hyperlink" Target="https://static2.vietstock.vn/data/HNX/2021/BCTC/VN/NAM/DPC_Baocaotaichinh_2021_Kiemtoan.pdf" TargetMode="External"/><Relationship Id="rId448" Type="http://schemas.openxmlformats.org/officeDocument/2006/relationships/hyperlink" Target="https://static2.vietstock.vn/data/HNX/2021/BCTC/VN/NAM/MDC_Baocaotaichinh_2021_Kiemtoan.pdf" TargetMode="External"/><Relationship Id="rId655" Type="http://schemas.openxmlformats.org/officeDocument/2006/relationships/hyperlink" Target="https://static2.vietstock.vn/data/UPCOM/2022/BCTC/VN/NAM/PXA_Baocaotaichinh_2022_Kiemtoan/1_pxa_2023_4_3_754d4fd_bctc2022_signed.pdf" TargetMode="External"/><Relationship Id="rId862" Type="http://schemas.openxmlformats.org/officeDocument/2006/relationships/hyperlink" Target="https://static2.vietstock.vn/data/HNX/2022/BCTC/VN/NAM/TTH_Baocaotaichinh_2022_Kiemtoan/1_tth_2023_3_30_02f78c5_bctc_kiem_toan_nam_2022__giai_trinhkyso.pdf" TargetMode="External"/><Relationship Id="rId1078" Type="http://schemas.openxmlformats.org/officeDocument/2006/relationships/hyperlink" Target="https://static2.vietstock.vn/data/HOSE/2022/BCTC/VN/NAM/CDC_Baocaotaichinh_2022_Kiemtoan_Hopnhat.pdf" TargetMode="External"/><Relationship Id="rId1285" Type="http://schemas.openxmlformats.org/officeDocument/2006/relationships/hyperlink" Target="https://static2.vietstock.vn/data/HOSE/2021/BCTC/VN/NAM/HAP_Baocaotaichinh_2021_Kiemtoan_Hopnhat.pdf" TargetMode="External"/><Relationship Id="rId1492" Type="http://schemas.openxmlformats.org/officeDocument/2006/relationships/hyperlink" Target="https://static2.vietstock.vn/data/HOSE/2023/BCTC/VN/NAM/PIT_Baocaotaichinh_2023_Kiemtoan_Hopnhat.pdf" TargetMode="External"/><Relationship Id="rId308" Type="http://schemas.openxmlformats.org/officeDocument/2006/relationships/hyperlink" Target="https://static2.vietstock.vn/data/UPCOM/2023/BCTC/VN/NAM/HPM_Baocaotaichinh_2023_Kiemtoan/3_hpm_2024_4_2_d787b1a_bctc2023kthpmky.pdf" TargetMode="External"/><Relationship Id="rId515" Type="http://schemas.openxmlformats.org/officeDocument/2006/relationships/hyperlink" Target="https://static2.vietstock.vn/data/HOSE/2023/BCTC/VN/NAM/ORS_Baocaotaichinh_2023_Kiemtoan_1.pdf" TargetMode="External"/><Relationship Id="rId722" Type="http://schemas.openxmlformats.org/officeDocument/2006/relationships/hyperlink" Target="https://static2.vietstock.vn/data/UPCOM/2023/BCTC/VN/NAM/SDD_Baocaotaichinh_2023_Kiemtoan.PDF" TargetMode="External"/><Relationship Id="rId1145" Type="http://schemas.openxmlformats.org/officeDocument/2006/relationships/hyperlink" Target="https://static2.vietstock.vn/data/HOSE/2022/BCTC/VN/NAM/DAG_Baocaotaichinh_2022_Kiemtoan_Hopnhat_DieuChinh.pdf" TargetMode="External"/><Relationship Id="rId1352" Type="http://schemas.openxmlformats.org/officeDocument/2006/relationships/hyperlink" Target="https://static2.vietstock.vn/data/HOSE/2022/BCTC/VN/NAM/HU1_Baocaotaichinh_2022_Kiemtoan_Hopnhat.pdf" TargetMode="External"/><Relationship Id="rId1797" Type="http://schemas.openxmlformats.org/officeDocument/2006/relationships/hyperlink" Target="https://static2.vietstock.vn/data/HOSE/2023/BCTC/VN/NAM/NAB_Baocaotaichinh_2023_Kiemtoan_Hopnhat.pdf" TargetMode="External"/><Relationship Id="rId89" Type="http://schemas.openxmlformats.org/officeDocument/2006/relationships/hyperlink" Target="https://static2.vietstock.vn/data/HNX/2022/BCTC/VN/NAM/CAP_Baocaotaichinh_2022_Kiemtoan.pdf" TargetMode="External"/><Relationship Id="rId1005" Type="http://schemas.openxmlformats.org/officeDocument/2006/relationships/hyperlink" Target="https://static2.vietstock.vn/data/HOSE/2021/BCTC/VN/NAM/APC_Baocaotaichinh_2021_Kiemtoan.pdf" TargetMode="External"/><Relationship Id="rId1212" Type="http://schemas.openxmlformats.org/officeDocument/2006/relationships/hyperlink" Target="https://static2.vietstock.vn/data/HOSE/2023/BCTC/VN/NAM/DTL_Baocaotaichinh_2023_Kiemtoan_Hopnhat.pdf" TargetMode="External"/><Relationship Id="rId1657" Type="http://schemas.openxmlformats.org/officeDocument/2006/relationships/hyperlink" Target="https://static2.vietstock.vn/data/HOSE/2022/BCTC/VN/NAM/TDH_Baocaotaichinh_2022_Kiemtoan_Hopnhat.pdf" TargetMode="External"/><Relationship Id="rId1864" Type="http://schemas.openxmlformats.org/officeDocument/2006/relationships/vmlDrawing" Target="../drawings/vmlDrawing1.vml"/><Relationship Id="rId1517" Type="http://schemas.openxmlformats.org/officeDocument/2006/relationships/hyperlink" Target="https://static2.vietstock.vn/data/HOSE/2023/BCTC/VN/NAM/QCG_Baocaotaichinh_2023_Kiemtoan_Hopnhat.pdf" TargetMode="External"/><Relationship Id="rId1724" Type="http://schemas.openxmlformats.org/officeDocument/2006/relationships/hyperlink" Target="https://l.facebook.com/l.php?u=https%3A%2F%2Fstatic2.vietstock.vn%2Fdata%2FHOSE%2F2023%2FBCTC%2FVN%2FNAM%2FVCF_Baocaotaichinh_2023_Kiemtoan_1.pdf%3Ffbclid%3DIwZXh0bgNhZW0CMTAAAR1thvK_eLB0H6suyKMGXUcGlw49Jk9TJ0K4kx0Xz0X4QLlbn-POZybZHkA_aem_h7LTFFYfWijYDy266d7Qog&amp;h=AT16xIU0Xt68Vp4CyMja_tDCL2RPjhzXvV7DwRbF9DDfXtIvL-UBSjcAoZwy2nGuQ7LUVH7tu5NzSsFlhPb4b2WsoCscDaunC0Vsugbx8x0tjwbGCpWuz25JPGjWeG01A_1UkxVNxNM" TargetMode="External"/><Relationship Id="rId16" Type="http://schemas.openxmlformats.org/officeDocument/2006/relationships/hyperlink" Target="https://static2.vietstock.vn/data/HNX/2021/BCTC/VN/NAM/AME_Baocaotaichinh_2021_Kiemtoan.pdf" TargetMode="External"/><Relationship Id="rId165" Type="http://schemas.openxmlformats.org/officeDocument/2006/relationships/hyperlink" Target="https://static2.vietstock.vn/data/HOSE/2021/BCTC/VN/NAM/DBT_Baocaotaichinh_2021_Kiemtoan_Hopnhat.pdf" TargetMode="External"/><Relationship Id="rId372" Type="http://schemas.openxmlformats.org/officeDocument/2006/relationships/hyperlink" Target="https://static2.vietstock.vn/data/HNX/2021/BCTC/VN/NAM/KTT_Baocaotaichinh_2021_Kiemtoan.pdf" TargetMode="External"/><Relationship Id="rId677" Type="http://schemas.openxmlformats.org/officeDocument/2006/relationships/hyperlink" Target="https://static2.vietstock.vn/data/UPCOM/2023/BCTC/VN/NAM/S74_Baocaotaichinh_2023_Kiemtoan/2_s74_2024_4_3_e8a7b76_da_kybc_tai_chinh_nam_2023_da_duoc_kiem_toan_cua_s74.pdf" TargetMode="External"/><Relationship Id="rId232" Type="http://schemas.openxmlformats.org/officeDocument/2006/relationships/hyperlink" Target="https://static2.vietstock.vn/data/HNX/2022/BCTC/VN/NAM/EID_Baocaotaichinh_2022_Kiemtoan_Hopnhat.pdf" TargetMode="External"/><Relationship Id="rId884" Type="http://schemas.openxmlformats.org/officeDocument/2006/relationships/hyperlink" Target="https://static2.vietstock.vn/data/HNX/2023/BCTC/VN/NAM/TXM_Baocaotaichinh_2023_Kiemtoan.pdf" TargetMode="External"/><Relationship Id="rId537" Type="http://schemas.openxmlformats.org/officeDocument/2006/relationships/hyperlink" Target="https://static2.vietstock.vn/data/HNX/2021/BCTC/VN/NAM/PEN_Baocaotaichinh_2021_Kiemtoan/1_pen_2022_3_21_1b4d957_bao_cao_kiem_toan_2021_cong_ty_signed.pdf" TargetMode="External"/><Relationship Id="rId744" Type="http://schemas.openxmlformats.org/officeDocument/2006/relationships/hyperlink" Target="https://static2.vietstock.vn/data/HNX/2021/BCTC/VN/NAM/SED_Baocaotaichinh_2021_Kiemtoan.pdf" TargetMode="External"/><Relationship Id="rId951" Type="http://schemas.openxmlformats.org/officeDocument/2006/relationships/hyperlink" Target="https://static2.vietstock.vn/data/UPCOM/2021/BCTC/VN/NAM/VE9_Baocaotaichinh_2021_Kiemtoan.pdf" TargetMode="External"/><Relationship Id="rId1167" Type="http://schemas.openxmlformats.org/officeDocument/2006/relationships/hyperlink" Target="https://static2.vietstock.vn/data/HOSE/2023/BCTC/VN/NAM/DHC_Baocaotaichinh_2023_Kiemtoan_Hopnhat.pdf" TargetMode="External"/><Relationship Id="rId1374" Type="http://schemas.openxmlformats.org/officeDocument/2006/relationships/hyperlink" Target="https://static2.vietstock.vn/data/HOSE/2023/BCTC/VN/NAM/ITC_Baocaotaichinh_2023_Kiemtoan_Hopnhat.pdf" TargetMode="External"/><Relationship Id="rId1581" Type="http://schemas.openxmlformats.org/officeDocument/2006/relationships/hyperlink" Target="https://static2.vietstock.vn/data/HOSE/2021/BCTC/VN/NAM/SKG_Baocaotaichinh_2021_Kiemtoan.pdf" TargetMode="External"/><Relationship Id="rId1679" Type="http://schemas.openxmlformats.org/officeDocument/2006/relationships/hyperlink" Target="https://static2.vietstock.vn/data/HOSE/2023/BCTC/VN/NAM/TMP_Baocaotaichinh_2023_Kiemtoan_Hopnhat.pdf" TargetMode="External"/><Relationship Id="rId80" Type="http://schemas.openxmlformats.org/officeDocument/2006/relationships/hyperlink" Target="https://static2.vietstock.vn/data/HNX/2022/BCTC/VN/NAM/BXH_Baocaotaichinh_2022_Kiemtoan/1_bxh_2023_3_14_037dc6e_baocaokiemtoan2022.pdf" TargetMode="External"/><Relationship Id="rId604" Type="http://schemas.openxmlformats.org/officeDocument/2006/relationships/hyperlink" Target="https://static2.vietstock.vn/data/HNX/2022/BCTC/VN/NAM/PSE_Baocaotaichinh_2022_Kiemtoan/2_pse_2023_3_8_f88d445_ky_so_11dnbhdqtcbtt_bctc_da_kiem_toan_nam_2022.pdf" TargetMode="External"/><Relationship Id="rId811" Type="http://schemas.openxmlformats.org/officeDocument/2006/relationships/hyperlink" Target="https://static2.vietstock.vn/data/HNX/2022/BCTC/VN/NAM/TDN_Baocaotaichinh_2022_Kiemtoan.pdf" TargetMode="External"/><Relationship Id="rId1027" Type="http://schemas.openxmlformats.org/officeDocument/2006/relationships/hyperlink" Target="https://static2.vietstock.vn/data/HOSE/2022/BCTC/VN/NAM/BFC_Baocaotaichinh_2022_Kiemtoan_Hopnhat_DieuChinh.pdf" TargetMode="External"/><Relationship Id="rId1234" Type="http://schemas.openxmlformats.org/officeDocument/2006/relationships/hyperlink" Target="https://static2.vietstock.vn/data/HOSE/2021/BCTC/VN/NAM/FCM_Baocaotaichinh_2021_Kiemtoan_Hopnhat.pdf" TargetMode="External"/><Relationship Id="rId1441" Type="http://schemas.openxmlformats.org/officeDocument/2006/relationships/hyperlink" Target="https://static2.vietstock.vn/data/HOSE/2021/BCTC/VN/NAM/NAF_Baocaotaichinh_2021_Kiemtoan_Hopnhat.pdf" TargetMode="External"/><Relationship Id="rId909" Type="http://schemas.openxmlformats.org/officeDocument/2006/relationships/hyperlink" Target="https://static2.vietstock.vn/data/HNX/2021/BCTC/VN/NAM/VC6_Baocaotaichinh_2021_Kiemtoan.pdf" TargetMode="External"/><Relationship Id="rId1301" Type="http://schemas.openxmlformats.org/officeDocument/2006/relationships/hyperlink" Target="https://static2.vietstock.vn/data/HOSE/2022/BCTC/VN/NAM/HCM_Baocaotaichinh_2022_Kiemtoan.pdf" TargetMode="External"/><Relationship Id="rId1539" Type="http://schemas.openxmlformats.org/officeDocument/2006/relationships/hyperlink" Target="https://static2.vietstock.vn/data/HOSE/2021/BCTC/VN/NAM/SBA_Baocaotaichinh_2021_Kiemtoan.pdf" TargetMode="External"/><Relationship Id="rId1746" Type="http://schemas.openxmlformats.org/officeDocument/2006/relationships/hyperlink" Target="https://cafef.vn/du-lieu/bao-cao-tai-chinh/vng/bsheet/2023/0/0/0/ket-qua-hoat-dong-kinh-doanh-.chn" TargetMode="External"/><Relationship Id="rId38" Type="http://schemas.openxmlformats.org/officeDocument/2006/relationships/hyperlink" Target="https://static2.vietstock.vn/data/HNX/2021/BCTC/VN/NAM/BBS_Baocaotaichinh_2021_Kiemtoan.pdf" TargetMode="External"/><Relationship Id="rId1606" Type="http://schemas.openxmlformats.org/officeDocument/2006/relationships/hyperlink" Target="https://static2.vietstock.vn/data/HOSE/2022/BCTC/VN/NAM/ST8_Baocaotaichinh_2022_Kiemtoan.pdf" TargetMode="External"/><Relationship Id="rId1813" Type="http://schemas.openxmlformats.org/officeDocument/2006/relationships/hyperlink" Target="https://static2.vietstock.vn/data/HOSE/2021/BCTC/VN/NAM/TPB_Baocaotaichinh_2021_Kiemtoan.pdf" TargetMode="External"/><Relationship Id="rId187" Type="http://schemas.openxmlformats.org/officeDocument/2006/relationships/hyperlink" Target="https://static2.vietstock.vn/data/UPCOM/2022/BCTC/VN/NAM/DID_Baocaotaichinh_2022_Kiemtoan.pdf" TargetMode="External"/><Relationship Id="rId394" Type="http://schemas.openxmlformats.org/officeDocument/2006/relationships/hyperlink" Target="https://static2.vietstock.vn/data/HNX/2021/BCTC/VN/NAM/L62_Baocaotaichinh_2021_Kiemtoan.pdf" TargetMode="External"/><Relationship Id="rId254" Type="http://schemas.openxmlformats.org/officeDocument/2006/relationships/hyperlink" Target="https://static2.vietstock.vn/data/HNX/2023/BCTC/VN/NAM/HBS_Baocaotaichinh_2023_Kiemtoan_1.pdf" TargetMode="External"/><Relationship Id="rId699" Type="http://schemas.openxmlformats.org/officeDocument/2006/relationships/hyperlink" Target="https://static2.vietstock.vn/data/HNX/2021/BCTC/VN/NAM/SD4_Baocaotaichinh_2021_Kiemtoan/Ky%20so_BCTCKT%202021ky%20so.pdf" TargetMode="External"/><Relationship Id="rId1091" Type="http://schemas.openxmlformats.org/officeDocument/2006/relationships/hyperlink" Target="https://static2.vietstock.vn/data/HOSE/2023/BCTC/VN/NAM/CLC_Baocaotaichinh_2023_Kiemtoan.pdf" TargetMode="External"/><Relationship Id="rId114" Type="http://schemas.openxmlformats.org/officeDocument/2006/relationships/hyperlink" Target="https://static2.vietstock.vn/data/HNX/2023/BCTC/VN/NAM/CMC_Baocaotaichinh_2023_Kiemtoan/1_cmc_2024_4_1_389ef7a_bctc_nam_2023_cmc.pdf" TargetMode="External"/><Relationship Id="rId461" Type="http://schemas.openxmlformats.org/officeDocument/2006/relationships/hyperlink" Target="https://static2.vietstock.vn/data/UPCOM/2021/BCTC/VN/NAM/MLS_Baocaotaichinh_2021_Kiemtoan.pdf" TargetMode="External"/><Relationship Id="rId559" Type="http://schemas.openxmlformats.org/officeDocument/2006/relationships/hyperlink" Target="https://static2.vietstock.vn/data/UPCOM/2022/BCTC/VN/NAM/PIV_Baocaotaichinh_2022_Kiemtoan/2_piv_2023_3_6_94097e5_bctc_kiem_toan_2022_signed.pdf" TargetMode="External"/><Relationship Id="rId766" Type="http://schemas.openxmlformats.org/officeDocument/2006/relationships/hyperlink" Target="https://static2.vietstock.vn/data/HNX/2022/BCTC/VN/NAM/SHN_Baocaotaichinh_2022_Kiemtoan_Hopnhat.pdf" TargetMode="External"/><Relationship Id="rId1189" Type="http://schemas.openxmlformats.org/officeDocument/2006/relationships/hyperlink" Target="https://static2.vietstock.vn/data/HOSE/2021/BCTC/VN/NAM/DPR_Baocaotaichinh_2021_Kiemtoan_Hopnhat.pdf" TargetMode="External"/><Relationship Id="rId1396" Type="http://schemas.openxmlformats.org/officeDocument/2006/relationships/hyperlink" Target="https://static2.vietstock.vn/data/HOSE/2021/BCTC/VN/NAM/KPF_Baocaotaichinh_2021_Kiemtoan_Hopnhat.pdf" TargetMode="External"/><Relationship Id="rId321" Type="http://schemas.openxmlformats.org/officeDocument/2006/relationships/hyperlink" Target="https://vitrichem.vn/wp-content/uploads/2022/03/B%C3%A1o-c%C3%A1o-t%C3%A0i-ch%C3%ADnh-2021-%C4%91%C3%A3-ki%E1%BB%83m-to%C3%A1n.pdf" TargetMode="External"/><Relationship Id="rId419" Type="http://schemas.openxmlformats.org/officeDocument/2006/relationships/hyperlink" Target="https://static2.vietstock.vn/data/UPCOM/2021/BCTC/VN/NAM/LO5_Baocaotaichinh_2021_Kiemtoan.pdf" TargetMode="External"/><Relationship Id="rId626" Type="http://schemas.openxmlformats.org/officeDocument/2006/relationships/hyperlink" Target="https://static2.vietstock.vn/data/HNX/2023/BCTC/VN/NAM/PVB_Baocaotaichinh_2023_Kiemtoan_1.pdf" TargetMode="External"/><Relationship Id="rId973" Type="http://schemas.openxmlformats.org/officeDocument/2006/relationships/hyperlink" Target="https://static2.vietstock.vn/data/HNX/2022/BCTC/VN/NAM/VNR_Baocaotaichinh_2022_Kiemtoan_Hopnhat.pdf" TargetMode="External"/><Relationship Id="rId1049" Type="http://schemas.openxmlformats.org/officeDocument/2006/relationships/hyperlink" Target="https://static2.vietstock.vn/data/HOSE/2023/BCTC/VN/NAM/BRC_Baocaotaichinh_2023_Kiemtoan.pdf" TargetMode="External"/><Relationship Id="rId1256" Type="http://schemas.openxmlformats.org/officeDocument/2006/relationships/hyperlink" Target="https://static2.vietstock.vn/data/UPCOM/2022/BCTC/VN/NAM/FTM_Baocaotaichinh_2022_Kiemtoan.pdf" TargetMode="External"/><Relationship Id="rId833" Type="http://schemas.openxmlformats.org/officeDocument/2006/relationships/hyperlink" Target="https://static2.vietstock.vn/data/HNX/2023/BCTC/VN/NAM/TIG_Baocaotaichinh_2023_Kiemtoan_Hopnhat/3_tig_2024_4_9_87275bc_tig_hn_final.pdf" TargetMode="External"/><Relationship Id="rId1116" Type="http://schemas.openxmlformats.org/officeDocument/2006/relationships/hyperlink" Target="https://static2.vietstock.vn/data/HOSE/2023/BCTC/VN/NAM/COM_Baocaotaichinh_2023_Kiemtoan.pdf" TargetMode="External"/><Relationship Id="rId1463" Type="http://schemas.openxmlformats.org/officeDocument/2006/relationships/hyperlink" Target="https://static2.vietstock.vn/data/HOSE/2022/BCTC/VN/NAM/OPC_Baocaotaichinh_2022_Kiemtoan_Hopnhat.pdf" TargetMode="External"/><Relationship Id="rId1670" Type="http://schemas.openxmlformats.org/officeDocument/2006/relationships/hyperlink" Target="https://static2.vietstock.vn/data/HOSE/2023/BCTC/VN/NAM/TIX_Baocaotaichinh_2023_Kiemtoan_1.pdf" TargetMode="External"/><Relationship Id="rId1768" Type="http://schemas.openxmlformats.org/officeDocument/2006/relationships/hyperlink" Target="https://static2.vietstock.vn/data/HOSE/2021/BCTC/VN/NAM/VSC_Baocaotaichinh_2021_Kiemtoan_Hopnhat.pdf" TargetMode="External"/><Relationship Id="rId900" Type="http://schemas.openxmlformats.org/officeDocument/2006/relationships/hyperlink" Target="https://static2.vietstock.vn/data/HNX/2021/BCTC/VN/NAM/VC1_Baocaotaichinh_2021_Kiemtoan/1_vc1_2022_3_2_1b2379f_16__bctc_2021.pdf" TargetMode="External"/><Relationship Id="rId1323" Type="http://schemas.openxmlformats.org/officeDocument/2006/relationships/hyperlink" Target="https://static2.vietstock.vn/data/HOSE/2023/BCTC/VN/NAM/HNG_Baocaotaichinh_2023_Kiemtoan_Hopnhat_1.pdf" TargetMode="External"/><Relationship Id="rId1530" Type="http://schemas.openxmlformats.org/officeDocument/2006/relationships/hyperlink" Target="https://static2.vietstock.vn/data/HOSE/2021/BCTC/VN/NAM/SAB_Baocaotaichinh_2021_Kiemtoan_Hopnhat.pdf" TargetMode="External"/><Relationship Id="rId1628" Type="http://schemas.openxmlformats.org/officeDocument/2006/relationships/hyperlink" Target="https://static2.vietstock.vn/data/HOSE/2023/BCTC/VN/NAM/SZC_Baocaotaichinh_2023_Kiemtoan.pdf" TargetMode="External"/><Relationship Id="rId1835" Type="http://schemas.openxmlformats.org/officeDocument/2006/relationships/hyperlink" Target="https://static2.vietstock.vn/data/HOSE/2022/BCTC/VN/NAM/GEX_Baocaotaichinh_2022_Kiemtoan_Hopnhat.pdf" TargetMode="External"/><Relationship Id="rId276" Type="http://schemas.openxmlformats.org/officeDocument/2006/relationships/hyperlink" Target="https://static2.vietstock.vn/data/HNX/2021/BCTC/VN/NAM/HJS_Baocaotaichinh_2021_Kiemtoan_Hopnhat.pdf" TargetMode="External"/><Relationship Id="rId483" Type="http://schemas.openxmlformats.org/officeDocument/2006/relationships/hyperlink" Target="https://static2.vietstock.vn/data/HNX/2022/BCTC/VN/NAM/NDN_Baocaotaichinh_2022_Kiemtoan/2_ndn_2023_3_30_519eadd_ndn_cbtt_bctc_soat_xet_2022__giai_trinh.pdf" TargetMode="External"/><Relationship Id="rId690" Type="http://schemas.openxmlformats.org/officeDocument/2006/relationships/hyperlink" Target="https://static2.vietstock.vn/data/UPCOM/2021/BCTC/VN/NAM/SCJ_Baocaotaichinh_2021_Kiemtoan.pdf" TargetMode="External"/><Relationship Id="rId136" Type="http://schemas.openxmlformats.org/officeDocument/2006/relationships/hyperlink" Target="http://static2.vietstock.vn/data/HNX/2022/BCTC/VN/NAM/CTP_Baocaotaichinh_2022_Kiemtoan.pdf" TargetMode="External"/><Relationship Id="rId343" Type="http://schemas.openxmlformats.org/officeDocument/2006/relationships/hyperlink" Target="https://static2.vietstock.vn/data/HNX/2022/BCTC/VN/NAM/ITQ_Baocaotaichinh_2022_Kiemtoan.pdf" TargetMode="External"/><Relationship Id="rId550" Type="http://schemas.openxmlformats.org/officeDocument/2006/relationships/hyperlink" Target="https://static2.vietstock.vn/data/UPCOM/2022/BCTC/VN/NAM/PHP_Baocaotaichinh_2022_Kiemtoan_Hopnhat/1_php_2023_3_3_647ee14_cbtt_bctc_hop_nhat_nam_2022_da_kiem_toansigned.pdf" TargetMode="External"/><Relationship Id="rId788" Type="http://schemas.openxmlformats.org/officeDocument/2006/relationships/hyperlink" Target="https://static2.vietstock.vn/data/HNX/2023/BCTC/VN/NAM/SRA_Baocaotaichinh_2023_Kiemtoan_Hopnhat/1_sra_2024_4_3_187d367_bao_cao_tai_chinh_hop_nhat_nam_2023.pdf" TargetMode="External"/><Relationship Id="rId995" Type="http://schemas.openxmlformats.org/officeDocument/2006/relationships/hyperlink" Target="https://static2.vietstock.vn/data/HOSE/2023/BCTC/VN/NAM/ADS_Baocaotaichinh_2023_Kiemtoan_Hopnhat.pdf" TargetMode="External"/><Relationship Id="rId1180" Type="http://schemas.openxmlformats.org/officeDocument/2006/relationships/hyperlink" Target="https://static2.vietstock.vn/data/HOSE/2021/BCTC/VN/NAM/DLG_Baocaotaichinh_2021_Kiemtoan_Hopnhat.pdf" TargetMode="External"/><Relationship Id="rId203" Type="http://schemas.openxmlformats.org/officeDocument/2006/relationships/hyperlink" Target="https://static2.vietstock.vn/data/UPCOM/2023/BCTC/VN/NAM/DNM_Baocaotaichinh_2023_Kiemtoan.pdf" TargetMode="External"/><Relationship Id="rId648" Type="http://schemas.openxmlformats.org/officeDocument/2006/relationships/hyperlink" Target="https://static2.vietstock.vn/data/UPCOM/2021/BCTC/VN/NAM/PVV_Baocaotaichinh_2021_Kiemtoan_Hopnhat.pdf" TargetMode="External"/><Relationship Id="rId855" Type="http://schemas.openxmlformats.org/officeDocument/2006/relationships/hyperlink" Target="https://static2.vietstock.vn/data/HNX/2021/BCTC/VN/NAM/TPP_Baocaotaichinh_2021_Kiemtoan.pdf" TargetMode="External"/><Relationship Id="rId1040" Type="http://schemas.openxmlformats.org/officeDocument/2006/relationships/hyperlink" Target="https://static2.vietstock.vn/data/HOSE/2023/BCTC/VN/NAM/BMC_Baocaotaichinh_2023_Kiemtoan.PDF" TargetMode="External"/><Relationship Id="rId1278" Type="http://schemas.openxmlformats.org/officeDocument/2006/relationships/hyperlink" Target="https://static2.vietstock.vn/data/HOSE/2023/BCTC/VN/NAM/GTA_Baocaotaichinh_2023_Kiemtoan.pdf" TargetMode="External"/><Relationship Id="rId1485" Type="http://schemas.openxmlformats.org/officeDocument/2006/relationships/hyperlink" Target="https://static2.vietstock.vn/data/HOSE/2022/BCTC/VN/NAM/PGI_Baocaotaichinh_2022_Kiemtoan.pdf" TargetMode="External"/><Relationship Id="rId1692" Type="http://schemas.openxmlformats.org/officeDocument/2006/relationships/hyperlink" Target="https://static2.vietstock.vn/data/HOSE/2021/BCTC/VN/NAM/TPC_Baocaotaichinh_2021_Kiemtoan_Hopnhat.pdf" TargetMode="External"/><Relationship Id="rId410" Type="http://schemas.openxmlformats.org/officeDocument/2006/relationships/hyperlink" Target="https://static2.vietstock.vn/data/HNX/2021/BCTC/VN/NAM/LHC_Baocaotaichinh_2021_Kiemtoan_Hopnhat/1_lhc_2022_3_31_52f5dfe_bc_tai_chinh_hop_nhat1_signed.pdf" TargetMode="External"/><Relationship Id="rId508" Type="http://schemas.openxmlformats.org/officeDocument/2006/relationships/hyperlink" Target="https://static2.vietstock.vn/data/HNX/2022/BCTC/VN/NAM/NVB_Baocaotaichinh_2022_Kiemtoan_Hopnhat.pdf" TargetMode="External"/><Relationship Id="rId715" Type="http://schemas.openxmlformats.org/officeDocument/2006/relationships/hyperlink" Target="https://static2.vietstock.vn/data/HNX/2022/BCTC/VN/NAM/SDA_Baocaotaichinh_2022_Kiemtoan/1_sda_2023_4_5_395fd16_20230331__sda__bctc_kiem_toan_2022.pdf" TargetMode="External"/><Relationship Id="rId922" Type="http://schemas.openxmlformats.org/officeDocument/2006/relationships/hyperlink" Target="https://static2.vietstock.vn/data/HOSE/2022/BCTC/VN/NAM/VCG_Baocaotaichinh_2022_Kiemtoan_Hopnhat.pdf" TargetMode="External"/><Relationship Id="rId1138" Type="http://schemas.openxmlformats.org/officeDocument/2006/relationships/hyperlink" Target="https://static2.vietstock.vn/data/UPCOM/2021/BCTC/VN/NAM/CYC_Baocaotaichinh_2021_Kiemtoan.pdf" TargetMode="External"/><Relationship Id="rId1345" Type="http://schemas.openxmlformats.org/officeDocument/2006/relationships/hyperlink" Target="https://static2.vietstock.vn/data/HOSE/2021/BCTC/VN/NAM/HTL_Baocaotaichinh_2021_Kiemtoan_Hopnhat.pdf" TargetMode="External"/><Relationship Id="rId1552" Type="http://schemas.openxmlformats.org/officeDocument/2006/relationships/hyperlink" Target="https://static2.vietstock.vn/data/HOSE/2022/BCTC/VN/NAM/SCR_Baocaotaichinh_2022_Kiemtoan_Hopnhat.pdf" TargetMode="External"/><Relationship Id="rId1205" Type="http://schemas.openxmlformats.org/officeDocument/2006/relationships/hyperlink" Target="https://static2.vietstock.vn/data/HOSE/2022/BCTC/VN/NAM/DSN_Baocaotaichinh_2022_Kiemtoan_Hopnhat.pdf" TargetMode="External"/><Relationship Id="rId1857" Type="http://schemas.openxmlformats.org/officeDocument/2006/relationships/hyperlink" Target="https://static2.vietstock.vn/data/HNX/2023/BCTC/VN/NAM/SPC_Baocaotaichinh_2023_Kiemtoan_Hopnhat.pdf" TargetMode="External"/><Relationship Id="rId51" Type="http://schemas.openxmlformats.org/officeDocument/2006/relationships/hyperlink" Target="https://static2.vietstock.vn/data/UPCOM/2022/BCTC/VN/NAM/BHT_Baocaotaichinh_2022_Kiemtoan.pdf" TargetMode="External"/><Relationship Id="rId1412" Type="http://schemas.openxmlformats.org/officeDocument/2006/relationships/hyperlink" Target="https://static2.vietstock.vn/data/HOSE/2022/BCTC/VN/NAM/LBM_Baocaotaichinh_2022_Kiemtoan_Hopnhat.pdf" TargetMode="External"/><Relationship Id="rId1717" Type="http://schemas.openxmlformats.org/officeDocument/2006/relationships/hyperlink" Target="https://l.facebook.com/l.php?u=https%3A%2F%2Fstatic2.vietstock.vn%2Fdata%2FHOSE%2F2022%2FBCTC%2FVN%2FNAM%2FVAF_Baocaotaichinh_2022_Kiemtoan.pdf%3Ffbclid%3DIwZXh0bgNhZW0CMTAAAR357kOAUHntexW8eR8ti8n5S7m0pnTavjWLI7_w8q_QJ3Gd8QCPFIbJemI_aem_ExDjYPX1ruqtz0Rya11s9Q&amp;h=AT16xIU0Xt68Vp4CyMja_tDCL2RPjhzXvV7DwRbF9DDfXtIvL-UBSjcAoZwy2nGuQ7LUVH7tu5NzSsFlhPb4b2WsoCscDaunC0Vsugbx8x0tjwbGCpWuz25JPGjWeG01A_1UkxVNxNM" TargetMode="External"/><Relationship Id="rId298" Type="http://schemas.openxmlformats.org/officeDocument/2006/relationships/hyperlink" Target="https://static2.vietstock.vn/data/UPCOM/2022/BCTC/VN/NAM/HNM_Baocaotaichinh_2022_Kiemtoan/3_hnm_2023_4_1_f062b7b_bctc_2022_da_ky.pdf" TargetMode="External"/><Relationship Id="rId158" Type="http://schemas.openxmlformats.org/officeDocument/2006/relationships/hyperlink" Target="https://static2.vietstock.vn/data/HNX/2023/BCTC/VN/NAM/DAD_Baocaotaichinh_2023_Kiemtoan/1_dad_2024_3_26_13fd69a_dad_bctc_2023_signed.pdf" TargetMode="External"/><Relationship Id="rId365" Type="http://schemas.openxmlformats.org/officeDocument/2006/relationships/hyperlink" Target="https://static2.vietstock.vn/data/HNX/2023/BCTC/VN/NAM/KSQ_Baocaotaichinh_2023_Kiemtoan/1_ksq_2024_4_2_5d6c370_bao_cao_tai_chinh_kiem_toan_2023k.pdf" TargetMode="External"/><Relationship Id="rId572" Type="http://schemas.openxmlformats.org/officeDocument/2006/relationships/hyperlink" Target="https://static2.vietstock.vn/data/HNX/2023/BCTC/VN/NAM/PMC_Baocaotaichinh_2023_Kiemtoan/1_pmc_2024_3_28_76ff224_2103_bao_cao_kiem_toan_doc_lap_2023.pdf" TargetMode="External"/><Relationship Id="rId225" Type="http://schemas.openxmlformats.org/officeDocument/2006/relationships/hyperlink" Target="https://static2.vietstock.vn/data/HNX/2021/BCTC/VN/NAM/ECI_Baocaotaichinh_2021_Kiemtoan.pdf" TargetMode="External"/><Relationship Id="rId432" Type="http://schemas.openxmlformats.org/officeDocument/2006/relationships/hyperlink" Target="https://owa.hnx.vn/ftp/cims/2015_6_W4/000000005547804_MAX.jpg" TargetMode="External"/><Relationship Id="rId877" Type="http://schemas.openxmlformats.org/officeDocument/2006/relationships/hyperlink" Target="https://static2.vietstock.vn/data/HNX/2022/BCTC/VN/NAM/TVC_Baocaotaichinh_2022_Kiemtoan_Hopnhat.pdf" TargetMode="External"/><Relationship Id="rId1062" Type="http://schemas.openxmlformats.org/officeDocument/2006/relationships/hyperlink" Target="https://static2.vietstock.vn/data/HOSE/2021/BCTC/VN/NAM/C32_Baocaotaichinh_2021_Kiemtoan_Hopnhat.pdf" TargetMode="External"/><Relationship Id="rId737" Type="http://schemas.openxmlformats.org/officeDocument/2006/relationships/hyperlink" Target="https://static2.vietstock.vn/data/HNX/2023/BCTC/VN/NAM/SDU_Baocaotaichinh_2023_Kiemtoan_Hopnhat.pdf" TargetMode="External"/><Relationship Id="rId944" Type="http://schemas.openxmlformats.org/officeDocument/2006/relationships/hyperlink" Target="https://static2.vietstock.vn/data/HNX/2023/BCTC/VN/NAM/VE3_Baocaotaichinh_2023_Kiemtoan.pdf" TargetMode="External"/><Relationship Id="rId1367" Type="http://schemas.openxmlformats.org/officeDocument/2006/relationships/hyperlink" Target="https://static2.vietstock.vn/data/HOSE/2022/BCTC/VN/NAM/IJC_Baocaotaichinh_2022_Kiemtoan_Hopnhat/IJC-CBTT%20B%C3%A1o%20c%C3%A1o%20t%C3%A0i%20ch%C3%ADnh%20h%E1%BB%A3p%20nh%E1%BA%A5t%20n%C4%83m%202022%20%C4%91%C3%A3%20%C4%91%C6%B0%E1%BB%A3c%20ki%E1%BB%83m%20to%C3%A1n.pdf" TargetMode="External"/><Relationship Id="rId1574" Type="http://schemas.openxmlformats.org/officeDocument/2006/relationships/hyperlink" Target="https://static2.vietstock.vn/data/HOSE/2021/BCTC/VN/NAM/SHP_Baocaotaichinh_2021_Kiemtoan.pdf" TargetMode="External"/><Relationship Id="rId1781" Type="http://schemas.openxmlformats.org/officeDocument/2006/relationships/hyperlink" Target="https://static2.vietstock.vn/data/HOSE/2022/BCTC/VN/NAM/VTO_Baocaotaichinh_2022_Kiemtoan_Hopnhat.pdf" TargetMode="External"/><Relationship Id="rId73" Type="http://schemas.openxmlformats.org/officeDocument/2006/relationships/hyperlink" Target="https://static2.vietstock.vn/data/HNX/2021/BCTC/VN/NAM/BTS_Baocaotaichinh_2021_Kiemtoan_DieuChinh.pdf" TargetMode="External"/><Relationship Id="rId804" Type="http://schemas.openxmlformats.org/officeDocument/2006/relationships/hyperlink" Target="https://static2.vietstock.vn/data/HNX/2021/BCTC/VN/NAM/TBX_Baocaotaichinh_2021_Kiemtoan/BCTC%20KT%202021_BCTC%202021.PDF" TargetMode="External"/><Relationship Id="rId1227" Type="http://schemas.openxmlformats.org/officeDocument/2006/relationships/hyperlink" Target="https://static2.vietstock.vn/data/HOSE/2023/BCTC/VN/NAM/EIB_Baocaotaichinh_2023_Kiemtoan_Hopnhat.pdf" TargetMode="External"/><Relationship Id="rId1434" Type="http://schemas.openxmlformats.org/officeDocument/2006/relationships/hyperlink" Target="https://static2.vietstock.vn/data/HOSE/2023/BCTC/VN/NAM/MDG_Baocaotaichinh_2023_Kiemtoan_1.pdf" TargetMode="External"/><Relationship Id="rId1641" Type="http://schemas.openxmlformats.org/officeDocument/2006/relationships/hyperlink" Target="https://static2.vietstock.vn/data/HOSE/2021/BCTC/VN/NAM/TCM_Baocaotaichinh_2021_Kiemtoan_Hopnhat.pdf" TargetMode="External"/><Relationship Id="rId1501" Type="http://schemas.openxmlformats.org/officeDocument/2006/relationships/hyperlink" Target="https://static2.vietstock.vn/data/HOSE/2022/BCTC/VN/NAM/PTB_Baocaotaichinh_2022_Kiemtoan_Hopnhat.pdf" TargetMode="External"/><Relationship Id="rId1739" Type="http://schemas.openxmlformats.org/officeDocument/2006/relationships/hyperlink" Target="https://static2.vietstock.vn/data/HOSE/2023/BCTC/VN/NAM/VIP_Baocaotaichinh_2023_Kiemtoan_Hopnhat.pdf" TargetMode="External"/><Relationship Id="rId1806" Type="http://schemas.openxmlformats.org/officeDocument/2006/relationships/hyperlink" Target="https://static2.vietstock.vn/data/HOSE/2023/BCTC/VN/NAM/SSB_Baocaotaichinh_2023_Kiemtoan_Hopnhat/SeABank_BCTC_Kiem%20toan_Nam%202023_Hop%20nhatt.pdf" TargetMode="External"/><Relationship Id="rId387" Type="http://schemas.openxmlformats.org/officeDocument/2006/relationships/hyperlink" Target="https://static2.vietstock.vn/data/HNX/2021/BCTC/VN/NAM/L43_Baocaotaichinh_2021_Kiemtoan/2_l43_2022_3_30_73e1e5f_bctc_2021_1_signed.pdf" TargetMode="External"/><Relationship Id="rId594" Type="http://schemas.openxmlformats.org/officeDocument/2006/relationships/hyperlink" Target="https://static2.vietstock.vn/data/HNX/2021/BCTC/VN/NAM/PRC_Baocaotaichinh_2021_Kiemtoan.pdf" TargetMode="External"/><Relationship Id="rId247" Type="http://schemas.openxmlformats.org/officeDocument/2006/relationships/hyperlink" Target="https://static2.vietstock.vn/data/HNX/2022/BCTC/VN/NAM/HAD_Baocaotaichinh_2022_Kiemtoan/3_had_2023_3_1_ee24f90_had_bctc_nam_2022_da_kiem_toan.pdf" TargetMode="External"/><Relationship Id="rId899" Type="http://schemas.openxmlformats.org/officeDocument/2006/relationships/hyperlink" Target="https://static2.vietstock.vn/data/UPCOM/2023/BCTC/VN/NAM/VBH_Baocaotaichinh_2023_Kiemtoan.pdf" TargetMode="External"/><Relationship Id="rId1084" Type="http://schemas.openxmlformats.org/officeDocument/2006/relationships/hyperlink" Target="https://static2.vietstock.vn/data/HOSE/2022/BCTC/VN/NAM/CIG_Baocaotaichinh_2022_Kiemtoan_Hopnhat.pdf" TargetMode="External"/><Relationship Id="rId107" Type="http://schemas.openxmlformats.org/officeDocument/2006/relationships/hyperlink" Target="https://static2.vietstock.vn/data/HNX/2022/BCTC/VN/NAM/CLH_Baocaotaichinh_2022_Kiemtoan.pdf" TargetMode="External"/><Relationship Id="rId454" Type="http://schemas.openxmlformats.org/officeDocument/2006/relationships/hyperlink" Target="https://static2.vietstock.vn/data/HNX/2021/BCTC/VN/NAM/MHL_Baocaotaichinh_2021_Kiemtoan.pdf" TargetMode="External"/><Relationship Id="rId661" Type="http://schemas.openxmlformats.org/officeDocument/2006/relationships/hyperlink" Target="https://static2.vietstock.vn/data/UPCOM/2022/BCTC/VN/NAM/QNC_Baocaotaichinh_2022_Kiemtoan_Hopnhat/3_qnc_2023_4_3_e09601a_bctc_kiem_toan_hop_nhat_nam_2022_signed.pdf" TargetMode="External"/><Relationship Id="rId759" Type="http://schemas.openxmlformats.org/officeDocument/2006/relationships/hyperlink" Target="https://static2.vietstock.vn/data/HOSE/2021/BCTC/VN/NAM/SHB_Baocaotaichinh_2021_Kiemtoan_Hopnhat.pdf" TargetMode="External"/><Relationship Id="rId966" Type="http://schemas.openxmlformats.org/officeDocument/2006/relationships/hyperlink" Target="https://static2.vietstock.vn/data/HNX/2021/BCTC/VN/NAM/VHL_Baocaotaichinh_2021_Kiemtoan_Hopnhat.pdf" TargetMode="External"/><Relationship Id="rId1291" Type="http://schemas.openxmlformats.org/officeDocument/2006/relationships/hyperlink" Target="https://static2.vietstock.vn/data/HOSE/2021/BCTC/VN/NAM/HAS_Baocaotaichinh_2021_Kiemtoan_Hopnhat.pdf" TargetMode="External"/><Relationship Id="rId1389" Type="http://schemas.openxmlformats.org/officeDocument/2006/relationships/hyperlink" Target="https://static2.vietstock.vn/data/HOSE/2023/BCTC/VN/NAM/KDH_Baocaotaichinh_2023_Kiemtoan_Hopnhat.PDF" TargetMode="External"/><Relationship Id="rId1596" Type="http://schemas.openxmlformats.org/officeDocument/2006/relationships/hyperlink" Target="https://static2.vietstock.vn/data/HOSE/2021/BCTC/VN/NAM/SRF_Baocaotaichinh_2021_Kiemtoan_Hopnhat.pdf" TargetMode="External"/><Relationship Id="rId314" Type="http://schemas.openxmlformats.org/officeDocument/2006/relationships/hyperlink" Target="https://static2.vietstock.vn/data/HNX/2023/BCTC/VN/NAM/HTC_Baocaotaichinh_2023_Kiemtoan_Hopnhat/2_htc_2024_3_21_6e6b757_bctc_nam_2023__hop_nhat_signed.pdf" TargetMode="External"/><Relationship Id="rId521" Type="http://schemas.openxmlformats.org/officeDocument/2006/relationships/hyperlink" Target="https://static2.vietstock.vn/data/HNX/2023/BCTC/VN/NAM/PCE_Baocaotaichinh_2023_Kiemtoan.PDF" TargetMode="External"/><Relationship Id="rId619" Type="http://schemas.openxmlformats.org/officeDocument/2006/relationships/hyperlink" Target="https://static2.vietstock.vn/data/HNX/2022/BCTC/VN/NAM/PTS_Baocaotaichinh_2022_Kiemtoan_Hopnhat.pdf" TargetMode="External"/><Relationship Id="rId1151" Type="http://schemas.openxmlformats.org/officeDocument/2006/relationships/hyperlink" Target="https://static2.vietstock.vn/data/HOSE/2022/BCTC/VN/NAM/DAT_Baocaotaichinh_2022_Kiemtoan.pdf" TargetMode="External"/><Relationship Id="rId1249" Type="http://schemas.openxmlformats.org/officeDocument/2006/relationships/hyperlink" Target="https://static2.vietstock.vn/data/HOSE/2021/BCTC/VN/NAM/FPT_Baocaotaichinh_2021_Kiemtoan_Hopnhat.pdf" TargetMode="External"/><Relationship Id="rId95" Type="http://schemas.openxmlformats.org/officeDocument/2006/relationships/hyperlink" Target="https://static2.vietstock.vn/data/HNX/2022/BCTC/VN/NAM/CDN_Baocaotaichinh_2022_Kiemtoan.pdf" TargetMode="External"/><Relationship Id="rId826" Type="http://schemas.openxmlformats.org/officeDocument/2006/relationships/hyperlink" Target="https://static2.vietstock.vn/data/HNX/2022/BCTC/VN/NAM/THS_Baocaotaichinh_2022_Kiemtoan.pdf" TargetMode="External"/><Relationship Id="rId1011" Type="http://schemas.openxmlformats.org/officeDocument/2006/relationships/hyperlink" Target="https://static2.vietstock.vn/data/HOSE/2021/BCTC/VN/NAM/ASM_Baocaotaichinh_2021_Kiemtoan_Hopnhat.pdf" TargetMode="External"/><Relationship Id="rId1109" Type="http://schemas.openxmlformats.org/officeDocument/2006/relationships/hyperlink" Target="https://static2.vietstock.vn/data/UPCOM/2022/BCTC/VN/NAM/CAT_Baocaotaichinh_2022_Kiemtoan.pdf" TargetMode="External"/><Relationship Id="rId1456" Type="http://schemas.openxmlformats.org/officeDocument/2006/relationships/hyperlink" Target="https://static2.vietstock.vn/data/HOSE/2023/BCTC/VN/NAM/NVL_Baocaotaichinh_2023_Kiemtoan_Hopnhat.pdf" TargetMode="External"/><Relationship Id="rId1663" Type="http://schemas.openxmlformats.org/officeDocument/2006/relationships/hyperlink" Target="https://static2.vietstock.vn/data/HOSE/2022/BCTC/VN/NAM/THG_Baocaotaichinh_2022_Kiemtoan_Hopnhat.pdf" TargetMode="External"/><Relationship Id="rId1316" Type="http://schemas.openxmlformats.org/officeDocument/2006/relationships/hyperlink" Target="https://static2.vietstock.vn/data/UPCOM/2022/BCTC/VN/NAM/HLG_Baocaotaichinh_2022_Kiemtoan_Hopnhat.pdf" TargetMode="External"/><Relationship Id="rId1523" Type="http://schemas.openxmlformats.org/officeDocument/2006/relationships/hyperlink" Target="https://static2.vietstock.vn/data/HOSE/2023/BCTC/VN/QUY%204/RDP_Baocaotaichinh_Q4_2023_Hopnhat.pdf" TargetMode="External"/><Relationship Id="rId1730" Type="http://schemas.openxmlformats.org/officeDocument/2006/relationships/hyperlink" Target="https://static2.vietstock.vn/data/HOSE/2023/BCTC/VN/NAM/VHC_Baocaotaichinh_2023_Kiemtoan_Hopnhat.pdf" TargetMode="External"/><Relationship Id="rId22" Type="http://schemas.openxmlformats.org/officeDocument/2006/relationships/hyperlink" Target="https://static2.vietstock.vn/data/HNX/2021/BCTC/VN/NAM/API_Baocaotaichinh_2021_Kiemtoan_Hopnhat.pdf" TargetMode="External"/><Relationship Id="rId1828" Type="http://schemas.openxmlformats.org/officeDocument/2006/relationships/hyperlink" Target="https://static2.vietstock.vn/data/HOSE/2021/BCTC/VN/NAM/DBD_Baocaotaichinh_2021_Kiemtoan_Hopnhat.pdf" TargetMode="External"/><Relationship Id="rId171" Type="http://schemas.openxmlformats.org/officeDocument/2006/relationships/hyperlink" Target="https://static2.vietstock.vn/data/HOSE/2021/BCTC/VN/NAM/DC4_Baocaotaichinh_2021_Kiemtoan_Hopnhat.pdf" TargetMode="External"/><Relationship Id="rId269" Type="http://schemas.openxmlformats.org/officeDocument/2006/relationships/hyperlink" Target="https://static2.vietstock.vn/data/HNX/2023/BCTC/VN/NAM/HGM_Baocaotaichinh_2023_Kiemtoan.pdf" TargetMode="External"/><Relationship Id="rId476" Type="http://schemas.openxmlformats.org/officeDocument/2006/relationships/hyperlink" Target="https://static2.vietstock.vn/data/HNX/2021/BCTC/VN/NAM/NBC_Baocaotaichinh_2021_Kiemtoan.pdf" TargetMode="External"/><Relationship Id="rId683" Type="http://schemas.openxmlformats.org/officeDocument/2006/relationships/hyperlink" Target="https://static2.vietstock.vn/data/HNX/2023/BCTC/VN/NAM/SAF_Baocaotaichinh_2023_Kiemtoan.pdf" TargetMode="External"/><Relationship Id="rId890" Type="http://schemas.openxmlformats.org/officeDocument/2006/relationships/hyperlink" Target="https://static2.vietstock.vn/data/HNX/2023/BCTC/VN/NAM/V12_Baocaotaichinh_2023_Kiemtoan/2_v12_2024_3_13_a466263_v12cbtt_bctc_nam_2023.pdf" TargetMode="External"/><Relationship Id="rId129" Type="http://schemas.openxmlformats.org/officeDocument/2006/relationships/hyperlink" Target="https://static2.vietstock.vn/data/HNX/2021/BCTC/VN/NAM/CTB_Baocaotaichinh_2021_Kiemtoan.pdf" TargetMode="External"/><Relationship Id="rId336" Type="http://schemas.openxmlformats.org/officeDocument/2006/relationships/hyperlink" Target="https://static2.vietstock.vn/data/HNX/2021/BCTC/VN/NAM/INC_Baocaotaichinh_2021_Kiemtoan/2_inc_2022_3_20_e32653e_vb_84_ctinc_ngay_16_3_2022_cong_bo_tt_bctc_kiem_toan_nam_2021.pdf" TargetMode="External"/><Relationship Id="rId543" Type="http://schemas.openxmlformats.org/officeDocument/2006/relationships/hyperlink" Target="https://static2.vietstock.vn/data/HNX/2021/BCTC/VN/NAM/PGT_Baocaotaichinh_2021_Kiemtoan_Hopnhat.pdf" TargetMode="External"/><Relationship Id="rId988" Type="http://schemas.openxmlformats.org/officeDocument/2006/relationships/hyperlink" Target="https://static2.vietstock.vn/data/HOSE/2022/BCTC/VN/NAM/ACC_Baocaotaichinh_2022_Kiemtoan_Hopnhat.pdf" TargetMode="External"/><Relationship Id="rId1173" Type="http://schemas.openxmlformats.org/officeDocument/2006/relationships/hyperlink" Target="https://static2.vietstock.vn/data/HOSE/2023/BCTC/VN/NAM/DHM_Baocaotaichinh_2023_Kiemtoan_1.pdf" TargetMode="External"/><Relationship Id="rId1380" Type="http://schemas.openxmlformats.org/officeDocument/2006/relationships/hyperlink" Target="https://static2.vietstock.vn/data/HOSE/2023/BCTC/VN/NAM/JVC_Baocaotaichinh_2023_Kiemtoan_Hopnhat.pdf" TargetMode="External"/><Relationship Id="rId403" Type="http://schemas.openxmlformats.org/officeDocument/2006/relationships/hyperlink" Target="https://static2.vietstock.vn/data/HNX/2021/BCTC/VN/NAM/LCD_Baocaotaichinh_2021_Kiemtoan.pdf" TargetMode="External"/><Relationship Id="rId750" Type="http://schemas.openxmlformats.org/officeDocument/2006/relationships/hyperlink" Target="https://static2.vietstock.vn/data/HNX/2021/BCTC/VN/NAM/SGC_Baocaotaichinh_2021_Kiemtoan.pdf" TargetMode="External"/><Relationship Id="rId848" Type="http://schemas.openxmlformats.org/officeDocument/2006/relationships/hyperlink" Target="https://static2.vietstock.vn/data/HNX/2023/BCTC/VN/NAM/TMX_Baocaotaichinh_2023_Kiemtoan.pdf" TargetMode="External"/><Relationship Id="rId1033" Type="http://schemas.openxmlformats.org/officeDocument/2006/relationships/hyperlink" Target="https://static2.vietstock.vn/data/HOSE/2022/BCTC/VN/NAM/BIC_Baocaotaichinh_2022_Kiemtoan_Hopnhat.pdf" TargetMode="External"/><Relationship Id="rId1478" Type="http://schemas.openxmlformats.org/officeDocument/2006/relationships/hyperlink" Target="https://static2.vietstock.vn/data/HOSE/2022/BCTC/VN/NAM/PDR_Baocaotaichinh_2022_Kiemtoan_Congtyme.pdf" TargetMode="External"/><Relationship Id="rId1685" Type="http://schemas.openxmlformats.org/officeDocument/2006/relationships/hyperlink" Target="https://static2.vietstock.vn/data/HOSE/2023/BCTC/VN/NAM/TMT_Baocaotaichinh_2023_Kiemtoan_Hopnhat.pdf" TargetMode="External"/><Relationship Id="rId610" Type="http://schemas.openxmlformats.org/officeDocument/2006/relationships/hyperlink" Target="https://static2.vietstock.vn/data/HNX/2022/BCTC/VN/NAM/PSW_Baocaotaichinh_2022_Kiemtoan/c_ng_b_b_o_c_o_t_i_ch_nh_n_m_2022.pdf" TargetMode="External"/><Relationship Id="rId708" Type="http://schemas.openxmlformats.org/officeDocument/2006/relationships/hyperlink" Target="https://static2.vietstock.vn/data/UPCOM/2021/BCTC/VN/NAM/SD7_Baocaotaichinh_2021_Kiemtoan/1_sd7_2022_4_12_1185e4a_bao_cao_kiem_toan_2021_chuan.pdf" TargetMode="External"/><Relationship Id="rId915" Type="http://schemas.openxmlformats.org/officeDocument/2006/relationships/hyperlink" Target="https://static2.vietstock.vn/data/HNX/2021/BCTC/VN/NAM/VC9_Baocaotaichinh_2021_Kiemtoan.pdf" TargetMode="External"/><Relationship Id="rId1240" Type="http://schemas.openxmlformats.org/officeDocument/2006/relationships/hyperlink" Target="https://static2.vietstock.vn/data/HOSE/2021/BCTC/VN/NAM/FDC_Baocaotaichinh_2021_Kiemtoan_Hopnhat.pdf" TargetMode="External"/><Relationship Id="rId1338" Type="http://schemas.openxmlformats.org/officeDocument/2006/relationships/hyperlink" Target="https://static2.vietstock.vn/data/HOSE/2023/BCTC/VN/NAM/HSG_Baocaotaichinh_2023_Kiemtoan_Hopnhat.pdf" TargetMode="External"/><Relationship Id="rId1545" Type="http://schemas.openxmlformats.org/officeDocument/2006/relationships/hyperlink" Target="https://static2.vietstock.vn/data/HOSE/2021/BCTC/VN/NAM/SBV_Baocaotaichinh_2021_Kiemtoan_Hopnhat.pdf" TargetMode="External"/><Relationship Id="rId1100" Type="http://schemas.openxmlformats.org/officeDocument/2006/relationships/hyperlink" Target="https://static2.vietstock.vn/data/HOSE/2022/BCTC/VN/NAM/CMG_Baocaotaichinh_2022_Kiemtoan_Hopnhat.pdf" TargetMode="External"/><Relationship Id="rId1405" Type="http://schemas.openxmlformats.org/officeDocument/2006/relationships/hyperlink" Target="https://static2.vietstock.vn/data/HOSE/2021/BCTC/VN/NAM/L10_Baocaotaichinh_2021_Kiemtoan.pdf" TargetMode="External"/><Relationship Id="rId1752" Type="http://schemas.openxmlformats.org/officeDocument/2006/relationships/hyperlink" Target="https://static2.vietstock.vn/data/HOSE/2023/BCTC/VN/NAM/VNM_Baocaotaichinh_2023_Kiemtoan_Hopnhat.pdf" TargetMode="External"/><Relationship Id="rId44" Type="http://schemas.openxmlformats.org/officeDocument/2006/relationships/hyperlink" Target="https://static2.vietstock.vn/data/HNX/2021/BCTC/VN/NAM/BDB_Baocaotaichinh_2021_Kiemtoan.pdf" TargetMode="External"/><Relationship Id="rId1612" Type="http://schemas.openxmlformats.org/officeDocument/2006/relationships/hyperlink" Target="https://static2.vietstock.vn/data/HOSE/2022/BCTC/VN/NAM/STG_Baocaotaichinh_2022_Kiemtoan_Hopnhat.pdf" TargetMode="External"/><Relationship Id="rId193" Type="http://schemas.openxmlformats.org/officeDocument/2006/relationships/hyperlink" Target="https://static2.vietstock.vn/data/HNX/2022/BCTC/VN/NAM/DL1_Baocaotaichinh_2022_Kiemtoan_Hopnhat.pdf" TargetMode="External"/><Relationship Id="rId498" Type="http://schemas.openxmlformats.org/officeDocument/2006/relationships/hyperlink" Target="https://static2.vietstock.vn/data/HNX/2021/BCTC/VN/NAM/NHC_Baocaotaichinh_2021_Kiemtoan_Hopnhat/2_nhc_2022_4_5_952d244_bctc_hop_nhat_2021.pdf" TargetMode="External"/><Relationship Id="rId260" Type="http://schemas.openxmlformats.org/officeDocument/2006/relationships/hyperlink" Target="https://static2.vietstock.vn/data/HNX/2023/BCTC/VN/NAM/HCT_Baocaotaichinh_2023_Kiemtoan.pdf" TargetMode="External"/><Relationship Id="rId120" Type="http://schemas.openxmlformats.org/officeDocument/2006/relationships/hyperlink" Target="https://static2.vietstock.vn/data/HNX/2023/BCTC/VN/NAM/CMS_Baocaotaichinh_2023_Kiemtoan_Hopnhat/2_cms_2024_3_29_0a705b4_bctc_hop_nhat_2023.pdf" TargetMode="External"/><Relationship Id="rId358" Type="http://schemas.openxmlformats.org/officeDocument/2006/relationships/hyperlink" Target="https://static2.vietstock.vn/data/HNX/2022/BCTC/VN/NAM/KMT_Baocaotaichinh_2022_Kiemtoan.pdf" TargetMode="External"/><Relationship Id="rId565" Type="http://schemas.openxmlformats.org/officeDocument/2006/relationships/hyperlink" Target="https://static2.vietstock.vn/data/HNX/2022/BCTC/VN/NAM/PLC_Baocaotaichinh_2022_Kiemtoan_Hopnhat/1_plc_2023_4_3_e252180_2022_bctc_kiem_toan_hop_nhat_signed_hnx.pdf" TargetMode="External"/><Relationship Id="rId772" Type="http://schemas.openxmlformats.org/officeDocument/2006/relationships/hyperlink" Target="https://static2.vietstock.vn/data/HNX/2022/BCTC/VN/NAM/SJE_Baocaotaichinh_2022_Kiemtoan_Hopnhat/1_sje_2023_2_23_a5cc642_bao_cao_tai_chinh_hop_nhat_2022.pdf" TargetMode="External"/><Relationship Id="rId1195" Type="http://schemas.openxmlformats.org/officeDocument/2006/relationships/hyperlink" Target="https://static2.vietstock.vn/data/HOSE/2021/BCTC/VN/NAM/DRC_Baocaotaichinh_2021_Kiemtoan.pdf" TargetMode="External"/><Relationship Id="rId218" Type="http://schemas.openxmlformats.org/officeDocument/2006/relationships/hyperlink" Target="https://static2.vietstock.vn/data/HNX/2023/BCTC/VN/NAM/DXP_Baocaotaichinh_2023_Kiemtoan_1.pdf" TargetMode="External"/><Relationship Id="rId425" Type="http://schemas.openxmlformats.org/officeDocument/2006/relationships/hyperlink" Target="https://static2.vietstock.vn/data/HNX/2021/BCTC/VN/NAM/LUT_Baocaotaichinh_2021_Kiemtoan.pdf" TargetMode="External"/><Relationship Id="rId632" Type="http://schemas.openxmlformats.org/officeDocument/2006/relationships/hyperlink" Target="https://static2.vietstock.vn/data/UPCOM/2023/BCTC/VN/QUY%202/PVE_Baocaotaichinh_Q2_2023_Hopnhat/1_pve_2023_9_14_4f49d29_bctc_hop_nhat__quy_2_2023_signed.pdf" TargetMode="External"/><Relationship Id="rId1055" Type="http://schemas.openxmlformats.org/officeDocument/2006/relationships/hyperlink" Target="https://static2.vietstock.vn/data/HOSE/2023/BCTC/VN/NAM/BTP_Baocaotaichinh_2023_Kiemtoan_1.pdf" TargetMode="External"/><Relationship Id="rId1262" Type="http://schemas.openxmlformats.org/officeDocument/2006/relationships/hyperlink" Target="https://static2.vietstock.vn/data/HOSE/2022/BCTC/VN/NAM/GAS_Baocaotaichinh_2022_Kiemtoan_Hopnhat.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tatic2.vietstock.vn/data/HOSE/2023/BCTC/VN/NAM/PIT_Baocaotaichinh_2023_Kiemtoan_Hopnhat.pdf" TargetMode="External"/><Relationship Id="rId21" Type="http://schemas.openxmlformats.org/officeDocument/2006/relationships/hyperlink" Target="https://static2.vietstock.vn/data/HOSE/2023/BCTC/VN/NAM/ASG_Baocaotaichinh_2023_Kiemtoan_Hopnhat.pdf" TargetMode="External"/><Relationship Id="rId42" Type="http://schemas.openxmlformats.org/officeDocument/2006/relationships/hyperlink" Target="https://static2.vietstock.vn/data/HOSE/2023/BCTC/VN/NAM/DAH_Baocaotaichinh_2023_Kiemtoan_Hopnhat_1.pdf" TargetMode="External"/><Relationship Id="rId63" Type="http://schemas.openxmlformats.org/officeDocument/2006/relationships/hyperlink" Target="https://static2.vietstock.vn/data/HOSE/2023/BCTC/VN/NAM/EVG_Baocaotaichinh_2023_Kiemtoan_Hopnhat.pdf" TargetMode="External"/><Relationship Id="rId84" Type="http://schemas.openxmlformats.org/officeDocument/2006/relationships/hyperlink" Target="https://static2.vietstock.vn/data/HOSE/2023/BCTC/VN/NAM/HBC_Baocaotaichinh_2023_Kiemtoan_Hopnhat.pdf" TargetMode="External"/><Relationship Id="rId138" Type="http://schemas.openxmlformats.org/officeDocument/2006/relationships/hyperlink" Target="https://static2.vietstock.vn/data/HOSE/2021/BCTC/VN/NAM/QCG_Baocaotaichinh_2021_Kiemtoan_Hopnhat.pdf" TargetMode="External"/><Relationship Id="rId159" Type="http://schemas.openxmlformats.org/officeDocument/2006/relationships/hyperlink" Target="https://static2.vietstock.vn/data/HOSE/2021/BCTC/VN/NAM/SMC_Baocaotaichinh_2021_Kiemtoan_Hopnhat.pdf" TargetMode="External"/><Relationship Id="rId170" Type="http://schemas.openxmlformats.org/officeDocument/2006/relationships/hyperlink" Target="https://static2.vietstock.vn/data/HOSE/2023/BCTC/VN/NAM/SVD_Baocaotaichinh_2023_Kiemtoan_1.pdf" TargetMode="External"/><Relationship Id="rId191" Type="http://schemas.openxmlformats.org/officeDocument/2006/relationships/hyperlink" Target="https://cafef.vn/du-lieu/bao-cao-tai-chinh/tte/incsta/2024/0/0/0/bao-cao-tai-chinh-.chn" TargetMode="External"/><Relationship Id="rId205" Type="http://schemas.openxmlformats.org/officeDocument/2006/relationships/hyperlink" Target="https://static2.vietstock.vn/data/HOSE/2022/BCTC/VN/NAM/CAV_Baocaotaichinh_2022_Kiemtoan_Hopnhat.pdf" TargetMode="External"/><Relationship Id="rId107" Type="http://schemas.openxmlformats.org/officeDocument/2006/relationships/hyperlink" Target="https://static2.vietstock.vn/data/HOSE/2022/BCTC/VN/NAM/JVC_Baocaotaichinh_2022_Kiemtoan_Hopnhat.pdf" TargetMode="External"/><Relationship Id="rId11" Type="http://schemas.openxmlformats.org/officeDocument/2006/relationships/hyperlink" Target="https://static2.vietstock.vn/data/HOSE/2022/BCTC/VN/NAM/AGM_Baocaotaichinh_2022_Kiemtoan_Hopnhat.pdf" TargetMode="External"/><Relationship Id="rId32" Type="http://schemas.openxmlformats.org/officeDocument/2006/relationships/hyperlink" Target="https://static2.vietstock.vn/data/HOSE/2022/BCTC/VN/NAM/CIG_Baocaotaichinh_2022_Kiemtoan_Hopnhat.pdf" TargetMode="External"/><Relationship Id="rId53" Type="http://schemas.openxmlformats.org/officeDocument/2006/relationships/hyperlink" Target="https://static2.vietstock.vn/data/HOSE/2022/BCTC/VN/NAM/DTL_LCTT_2022_Kiemtoan_Hopnhat_DieuChinh.pdf" TargetMode="External"/><Relationship Id="rId74" Type="http://schemas.openxmlformats.org/officeDocument/2006/relationships/hyperlink" Target="https://static2.vietstock.vn/data/HOSE/2022/BCTC/VN/NAM/GMC_Baocaotaichinh_2022_Kiemtoan_Hopnhat.pdf" TargetMode="External"/><Relationship Id="rId128" Type="http://schemas.openxmlformats.org/officeDocument/2006/relationships/hyperlink" Target="https://static2.vietstock.vn/data/HOSE/2022/BCTC/VN/NAM/PPC_Baocaotaichinh_2022_Kiemtoan.pdf" TargetMode="External"/><Relationship Id="rId149" Type="http://schemas.openxmlformats.org/officeDocument/2006/relationships/hyperlink" Target="https://static2.vietstock.vn/data/HOSE/2023/BCTC/VN/NAM/SCD_Baocaotaichinh_2023_Kiemtoan_1.pdf" TargetMode="External"/><Relationship Id="rId5" Type="http://schemas.openxmlformats.org/officeDocument/2006/relationships/hyperlink" Target="https://static2.vietstock.vn/data/HOSE/2022/BCTC/VN/NAM/ADG_Baocaotaichinh_2022_Kiemtoan_Hopnhat_DieuChinh.pdf" TargetMode="External"/><Relationship Id="rId95" Type="http://schemas.openxmlformats.org/officeDocument/2006/relationships/hyperlink" Target="https://static2.vietstock.vn/data/HOSE/2022/BCTC/VN/NAM/HSG_Baocaotaichinh_2022_Kiemtoan_Hopnhat.pdf" TargetMode="External"/><Relationship Id="rId160" Type="http://schemas.openxmlformats.org/officeDocument/2006/relationships/hyperlink" Target="https://static2.vietstock.vn/data/HOSE/2022/BCTC/VN/NAM/SMC_Baocaotaichinh_2022_Kiemtoan_Hopnhat.pdf" TargetMode="External"/><Relationship Id="rId181" Type="http://schemas.openxmlformats.org/officeDocument/2006/relationships/hyperlink" Target="https://static2.vietstock.vn/data/UPCOM/2022/BCTC/VN/NAM/TGG_Baocaotaichinh_2022_Kiemtoan_Hopnhat.pdf" TargetMode="External"/><Relationship Id="rId216" Type="http://schemas.openxmlformats.org/officeDocument/2006/relationships/hyperlink" Target="https://cafef.vn/du-lieu/bao-cao-tai-chinh/gee/bsheet/2024/0/0/0/ket-qua-hoat-dong-kinh-doanh-.chn" TargetMode="External"/><Relationship Id="rId22" Type="http://schemas.openxmlformats.org/officeDocument/2006/relationships/hyperlink" Target="https://static2.vietstock.vn/data/HOSE/2021/BCTC/VN/NAM/ASP_Baocaotaichinh_2021_Kiemtoan_Hopnhat.pdf" TargetMode="External"/><Relationship Id="rId43" Type="http://schemas.openxmlformats.org/officeDocument/2006/relationships/hyperlink" Target="https://static2.vietstock.vn/data/HOSE/2021/BCTC/VN/NAM/DC4_Baocaotaichinh_2021_Kiemtoan_Hopnhat.pdf" TargetMode="External"/><Relationship Id="rId64" Type="http://schemas.openxmlformats.org/officeDocument/2006/relationships/hyperlink" Target="https://static2.vietstock.vn/data/HOSE/2021/BCTC/VN/NAM/FDC_Baocaotaichinh_2021_Kiemtoan_Hopnhat.pdf" TargetMode="External"/><Relationship Id="rId118" Type="http://schemas.openxmlformats.org/officeDocument/2006/relationships/hyperlink" Target="https://static2.vietstock.vn/data/HOSE/2021/BCTC/VN/NAM/PLP_Baocaotaichinh_2021_Kiemtoan_Hopnhat.pdf" TargetMode="External"/><Relationship Id="rId139" Type="http://schemas.openxmlformats.org/officeDocument/2006/relationships/hyperlink" Target="https://static2.vietstock.vn/data/HOSE/2022/BCTC/VN/NAM/QCG_Baocaotaichinh_2022_Kiemtoan_Hopnhat.pdf" TargetMode="External"/><Relationship Id="rId85" Type="http://schemas.openxmlformats.org/officeDocument/2006/relationships/hyperlink" Target="https://static2.vietstock.vn/data/HOSE/2021/BCTC/VN/NAM/HID_Baocaotaichinh_2021_Kiemtoan_Hopnhat.pdf" TargetMode="External"/><Relationship Id="rId150" Type="http://schemas.openxmlformats.org/officeDocument/2006/relationships/hyperlink" Target="https://static2.vietstock.vn/data/UPCOM/2021/BCTC/VN/NAM/SIP_Baocaotaichinh_2021_Kiemtoan_Hopnhat.pdf" TargetMode="External"/><Relationship Id="rId171" Type="http://schemas.openxmlformats.org/officeDocument/2006/relationships/hyperlink" Target="https://static2.vietstock.vn/data/HOSE/2021/BCTC/VN/NAM/TCR_Baocaotaichinh_2021_Kiemtoan_Hopnhat.pdf" TargetMode="External"/><Relationship Id="rId192" Type="http://schemas.openxmlformats.org/officeDocument/2006/relationships/hyperlink" Target="https://static2.vietstock.vn/data/HOSE/2021/BCTC/VN/NAM/TTF_Baocaotaichinh_2021_Kiemtoan_Hopnhat.pdf" TargetMode="External"/><Relationship Id="rId206" Type="http://schemas.openxmlformats.org/officeDocument/2006/relationships/hyperlink" Target="https://static2.vietstock.vn/data/HOSE/2023/BCTC/VN/NAM/CAV_Baocaotaichinh_2023_Kiemtoan_Hopnhat.pdf" TargetMode="External"/><Relationship Id="rId12" Type="http://schemas.openxmlformats.org/officeDocument/2006/relationships/hyperlink" Target="https://static2.vietstock.vn/data/HOSE/2023/BCTC/VN/NAM/AGM_Baocaotaichinh_2023_Kiemtoan_Hopnhat.pdf" TargetMode="External"/><Relationship Id="rId33" Type="http://schemas.openxmlformats.org/officeDocument/2006/relationships/hyperlink" Target="https://static2.vietstock.vn/data/HOSE/2023/BCTC/VN/NAM/CIG_Baocaotaichinh_2023_Kiemtoan_Hopnhat.pdf" TargetMode="External"/><Relationship Id="rId108" Type="http://schemas.openxmlformats.org/officeDocument/2006/relationships/hyperlink" Target="https://static2.vietstock.vn/data/HOSE/2023/BCTC/VN/NAM/JVC_Baocaotaichinh_2023_Kiemtoan_Hopnhat.pdf" TargetMode="External"/><Relationship Id="rId129" Type="http://schemas.openxmlformats.org/officeDocument/2006/relationships/hyperlink" Target="https://static2.vietstock.vn/data/HOSE/2023/BCTC/VN/NAM/PPC_Baocaotaichinh_2023_Kiemtoan_1.pdf" TargetMode="External"/><Relationship Id="rId54" Type="http://schemas.openxmlformats.org/officeDocument/2006/relationships/hyperlink" Target="https://static2.vietstock.vn/data/HOSE/2023/BCTC/VN/NAM/DTL_Baocaotaichinh_2023_Kiemtoan_Hopnhat.pdf" TargetMode="External"/><Relationship Id="rId75" Type="http://schemas.openxmlformats.org/officeDocument/2006/relationships/hyperlink" Target="https://static2.vietstock.vn/data/HOSE/2023/BCTC/VN/NAM/GMC_Baocaotaichinh_2023_Kiemtoan_Hopnhat.pdf" TargetMode="External"/><Relationship Id="rId96" Type="http://schemas.openxmlformats.org/officeDocument/2006/relationships/hyperlink" Target="https://static2.vietstock.vn/data/HOSE/2023/BCTC/VN/NAM/HSG_Baocaotaichinh_2023_Kiemtoan_Hopnhat.pdf" TargetMode="External"/><Relationship Id="rId140" Type="http://schemas.openxmlformats.org/officeDocument/2006/relationships/hyperlink" Target="https://static2.vietstock.vn/data/HOSE/2023/BCTC/VN/NAM/QCG_Baocaotaichinh_2023_Kiemtoan_Hopnhat.pdf" TargetMode="External"/><Relationship Id="rId161" Type="http://schemas.openxmlformats.org/officeDocument/2006/relationships/hyperlink" Target="https://static2.vietstock.vn/data/HOSE/2023/BCTC/VN/NAM/SMC_Baocaotaichinh_2023_Kiemtoan_Hopnhat.pdf" TargetMode="External"/><Relationship Id="rId182" Type="http://schemas.openxmlformats.org/officeDocument/2006/relationships/hyperlink" Target="https://thegoldengroup.vn/uploads/tailieu/bao-cao-tai-chinh-quy-iv-2023-va-giai-trinh-1706609893-qc5is.pdf" TargetMode="External"/><Relationship Id="rId217" Type="http://schemas.openxmlformats.org/officeDocument/2006/relationships/hyperlink" Target="https://cafef.vn/du-lieu/bao-cao-tai-chinh/hna/incsta/2022/0/0/0/bao-cao-tai-chinh-.chn" TargetMode="External"/><Relationship Id="rId6" Type="http://schemas.openxmlformats.org/officeDocument/2006/relationships/hyperlink" Target="https://static2.vietstock.vn/data/HOSE/2023/BCTC/VN/NAM/ADG_Baocaotaichinh_2023_Kiemtoan_Hopnhat.pdf" TargetMode="External"/><Relationship Id="rId23" Type="http://schemas.openxmlformats.org/officeDocument/2006/relationships/hyperlink" Target="https://static2.vietstock.vn/data/HOSE/2022/BCTC/VN/NAM/ASP_Baocaotaichinh_2022_Kiemtoan_Hopnhat.pdf" TargetMode="External"/><Relationship Id="rId119" Type="http://schemas.openxmlformats.org/officeDocument/2006/relationships/hyperlink" Target="https://static2.vietstock.vn/data/HOSE/2022/BCTC/VN/NAM/PLP_Baocaotaichinh_2022_Kiemtoan_Hopnhat/20230410_20230408___plp___bctc_hop_nhat_nam_2022_da_kiem_toan.pdf" TargetMode="External"/><Relationship Id="rId44" Type="http://schemas.openxmlformats.org/officeDocument/2006/relationships/hyperlink" Target="https://static2.vietstock.vn/data/HOSE/2022/BCTC/VN/NAM/DC4_Baocaotaichinh_2022_Kiemtoan_Hopnhat.pdf" TargetMode="External"/><Relationship Id="rId65" Type="http://schemas.openxmlformats.org/officeDocument/2006/relationships/hyperlink" Target="https://static2.vietstock.vn/data/HOSE/2022/BCTC/VN/NAM/FDC_Baocaotaichinh_2022_Kiemtoan.pdf" TargetMode="External"/><Relationship Id="rId86" Type="http://schemas.openxmlformats.org/officeDocument/2006/relationships/hyperlink" Target="https://static2.vietstock.vn/data/HOSE/2022/BCTC/VN/NAM/HID_Baocaotaichinh_2022_Kiemtoan_Hopnhat.pdf" TargetMode="External"/><Relationship Id="rId130" Type="http://schemas.openxmlformats.org/officeDocument/2006/relationships/hyperlink" Target="https://static2.vietstock.vn/data/HOSE/2021/BCTC/VN/NAM/PTC_Baocaotaichinh_2021_Kiemtoan.pdf" TargetMode="External"/><Relationship Id="rId151" Type="http://schemas.openxmlformats.org/officeDocument/2006/relationships/hyperlink" Target="https://static2.vietstock.vn/data/UPCOM/2022/BCTC/VN/NAM/SIP_Baocaotaichinh_2022_Kiemtoan_Hopnhat.pdf" TargetMode="External"/><Relationship Id="rId172" Type="http://schemas.openxmlformats.org/officeDocument/2006/relationships/hyperlink" Target="https://static2.vietstock.vn/data/HOSE/2022/BCTC/VN/NAM/TCR_Baocaotaichinh_2022_Kiemtoan_Hopnhat.pdf" TargetMode="External"/><Relationship Id="rId193" Type="http://schemas.openxmlformats.org/officeDocument/2006/relationships/hyperlink" Target="https://static2.vietstock.vn/data/HOSE/2022/BCTC/VN/NAM/TTF_Baocaotaichinh_2022_Kiemtoan_Hopnhat.pdf" TargetMode="External"/><Relationship Id="rId207" Type="http://schemas.openxmlformats.org/officeDocument/2006/relationships/hyperlink" Target="https://static2.vietstock.vn/data/HOSE/2021/BCTC/VN/NAM/CRE_Baocaotaichinh_2021_Kiemtoan_Hopnhat.pdf" TargetMode="External"/><Relationship Id="rId13" Type="http://schemas.openxmlformats.org/officeDocument/2006/relationships/hyperlink" Target="https://static2.vietstock.vn/data/HOSE/2021/BCTC/VN/NAM/APC_Baocaotaichinh_2021_Kiemtoan.pdf" TargetMode="External"/><Relationship Id="rId109" Type="http://schemas.openxmlformats.org/officeDocument/2006/relationships/hyperlink" Target="https://static2.vietstock.vn/data/HOSE/2021/BCTC/VN/NAM/NVL_Baocaotaichinh_2021_Kiemtoan_Hopnhat.pdf" TargetMode="External"/><Relationship Id="rId34" Type="http://schemas.openxmlformats.org/officeDocument/2006/relationships/hyperlink" Target="https://static2.vietstock.vn/data/HOSE/2021/BCTC/VN/NAM/CKG_Baocaotaichinh_2021_Kiemtoan_Hopnhat.pdf" TargetMode="External"/><Relationship Id="rId55" Type="http://schemas.openxmlformats.org/officeDocument/2006/relationships/hyperlink" Target="https://static2.vietstock.vn/data/HOSE/2021/BCTC/VN/NAM/DXS_Baocaotaichinh_2021_Kiemtoan_Hopnhat.pdf" TargetMode="External"/><Relationship Id="rId76" Type="http://schemas.openxmlformats.org/officeDocument/2006/relationships/hyperlink" Target="https://static2.vietstock.vn/data/HOSE/2021/BCTC/VN/NAM/HAG_Baocaotaichinh_2021_Kiemtoan_Hopnhat.pdf" TargetMode="External"/><Relationship Id="rId97" Type="http://schemas.openxmlformats.org/officeDocument/2006/relationships/hyperlink" Target="https://static2.vietstock.vn/data/HOSE/2021/BCTC/VN/NAM/HT1_Baocaotaichinh_2021_Kiemtoan_Hopnhat.pdf" TargetMode="External"/><Relationship Id="rId120" Type="http://schemas.openxmlformats.org/officeDocument/2006/relationships/hyperlink" Target="https://static2.vietstock.vn/data/HOSE/2023/BCTC/VN/NAM/PLP_Baocaotaichinh_2023_Kiemtoan_1.pdf" TargetMode="External"/><Relationship Id="rId141" Type="http://schemas.openxmlformats.org/officeDocument/2006/relationships/hyperlink" Target="https://static2.vietstock.vn/data/HOSE/2021/BCTC/VN/NAM/RDP_Baocaotaichinh_2021_Kiemtoan_Hopnhat.pdf" TargetMode="External"/><Relationship Id="rId7" Type="http://schemas.openxmlformats.org/officeDocument/2006/relationships/hyperlink" Target="https://static2.vietstock.vn/data/UPCOM/2021/BCTC/VN/NAM/ADP_Baocaotaichinh_2021_Kiemtoan.pdf" TargetMode="External"/><Relationship Id="rId162" Type="http://schemas.openxmlformats.org/officeDocument/2006/relationships/hyperlink" Target="https://static2.vietstock.vn/data/HOSE/2021/BCTC/VN/NAM/SPM_Baocaotaichinh_2021_Kiemtoan.pdf" TargetMode="External"/><Relationship Id="rId183" Type="http://schemas.openxmlformats.org/officeDocument/2006/relationships/hyperlink" Target="https://static2.vietstock.vn/data/HOSE/2021/BCTC/VN/NAM/TNA_Baocaotaichinh_2021_Kiemtoan_Hopnhat.pdf" TargetMode="External"/><Relationship Id="rId218" Type="http://schemas.openxmlformats.org/officeDocument/2006/relationships/hyperlink" Target="https://static2.vietstock.vn/data/HOSE/2023/BCTC/VN/NAM/HNA_Baocaotaichinh_2023_Kiemtoan.pdf" TargetMode="External"/><Relationship Id="rId24" Type="http://schemas.openxmlformats.org/officeDocument/2006/relationships/hyperlink" Target="https://static2.vietstock.vn/data/HOSE/2023/BCTC/VN/NAM/ASP_Baocaotaichinh_2023_Kiemtoan_Hopnhat.pdf" TargetMode="External"/><Relationship Id="rId45" Type="http://schemas.openxmlformats.org/officeDocument/2006/relationships/hyperlink" Target="https://static2.vietstock.vn/data/HOSE/2023/BCTC/VN/NAM/DC4_Baocaotaichinh_2023_Kiemtoan_Hopnhat.pdf" TargetMode="External"/><Relationship Id="rId66" Type="http://schemas.openxmlformats.org/officeDocument/2006/relationships/hyperlink" Target="https://static2.vietstock.vn/data/HOSE/2023/BCTC/VN/NAM/FDC_Baocaotaichinh_2023_Kiemtoan.pdf" TargetMode="External"/><Relationship Id="rId87" Type="http://schemas.openxmlformats.org/officeDocument/2006/relationships/hyperlink" Target="https://static2.vietstock.vn/data/HOSE/2023/BCTC/VN/NAM/HID_Baocaotaichinh_2023_Kiemtoan_Hopnhat.pdf" TargetMode="External"/><Relationship Id="rId110" Type="http://schemas.openxmlformats.org/officeDocument/2006/relationships/hyperlink" Target="https://static2.vietstock.vn/data/HOSE/2022/BCTC/VN/NAM/NVL_Baocaotaichinh_2022_Kiemtoan_Hopnhat.pdf" TargetMode="External"/><Relationship Id="rId131" Type="http://schemas.openxmlformats.org/officeDocument/2006/relationships/hyperlink" Target="https://static2.vietstock.vn/data/HOSE/2022/BCTC/VN/NAM/PTC_Baocaotaichinh_2022_Kiemtoan_Hopnhat.pdf" TargetMode="External"/><Relationship Id="rId152" Type="http://schemas.openxmlformats.org/officeDocument/2006/relationships/hyperlink" Target="https://static2.vietstock.vn/data/HOSE/2023/BCTC/VN/NAM/SIP_Baocaotaichinh_2023_Kiemtoan_Hopnhat.pdf" TargetMode="External"/><Relationship Id="rId173" Type="http://schemas.openxmlformats.org/officeDocument/2006/relationships/hyperlink" Target="https://static2.vietstock.vn/data/HOSE/2023/BCTC/VN/NAM/TCR_Baocaotaichinh_2023_Kiemtoan_Hopnhat.pdf" TargetMode="External"/><Relationship Id="rId194" Type="http://schemas.openxmlformats.org/officeDocument/2006/relationships/hyperlink" Target="https://static2.vietstock.vn/data/HOSE/2023/BCTC/VN/NAM/TTF_Baocaotaichinh_2023_Kiemtoan_Hopnhat.pdf" TargetMode="External"/><Relationship Id="rId208" Type="http://schemas.openxmlformats.org/officeDocument/2006/relationships/hyperlink" Target="https://static2.vietstock.vn/data/HOSE/2022/BCTC/VN/NAM/CRE_Baocaotaichinh_2022_Kiemtoan_Hopnhat.pdf" TargetMode="External"/><Relationship Id="rId14" Type="http://schemas.openxmlformats.org/officeDocument/2006/relationships/hyperlink" Target="https://static2.vietstock.vn/data/HOSE/2022/BCTC/VN/NAM/APC_Baocaotaichinh_2022_Kiemtoan.pdf" TargetMode="External"/><Relationship Id="rId35" Type="http://schemas.openxmlformats.org/officeDocument/2006/relationships/hyperlink" Target="https://static2.vietstock.vn/data/HOSE/2022/BCTC/VN/NAM/CKG_Baocaotaichinh_2022_Kiemtoan_Hopnhat.pdf" TargetMode="External"/><Relationship Id="rId56" Type="http://schemas.openxmlformats.org/officeDocument/2006/relationships/hyperlink" Target="https://static2.vietstock.vn/data/HOSE/2022/BCTC/VN/NAM/DXS_Baocaotaichinh_2022_Kiemtoan_Hopnhat.pdf" TargetMode="External"/><Relationship Id="rId77" Type="http://schemas.openxmlformats.org/officeDocument/2006/relationships/hyperlink" Target="https://static2.vietstock.vn/data/HOSE/2022/BCTC/VN/NAM/HAG_Baocaotaichinh_2022_Kiemtoan_Hopnhat.pdf" TargetMode="External"/><Relationship Id="rId100" Type="http://schemas.openxmlformats.org/officeDocument/2006/relationships/hyperlink" Target="https://static2.vietstock.vn/data/HOSE/2021/BCTC/VN/NAM/HVN_Baocaotaichinh_2021_Kiemtoan_Hopnhat.pdf" TargetMode="External"/><Relationship Id="rId8" Type="http://schemas.openxmlformats.org/officeDocument/2006/relationships/hyperlink" Target="https://static2.vietstock.vn/data/UPCOM/2022/BCTC/VN/NAM/ADP_Baocaotaichinh_2022_Kiemtoan.pdf" TargetMode="External"/><Relationship Id="rId51" Type="http://schemas.openxmlformats.org/officeDocument/2006/relationships/hyperlink" Target="https://static2.vietstock.vn/data/HOSE/2023/BCTC/VN/NAM/DRH_Baocaotaichinh_2023_Kiemtoan_Hopnhat.pdf" TargetMode="External"/><Relationship Id="rId72" Type="http://schemas.openxmlformats.org/officeDocument/2006/relationships/hyperlink" Target="https://static2.vietstock.vn/data/HOSE/2021/BCTC/VN/NAM/GIL_Baocaotaichinh_2021_Kiemtoan_Hopnhat.pdf" TargetMode="External"/><Relationship Id="rId93" Type="http://schemas.openxmlformats.org/officeDocument/2006/relationships/hyperlink" Target="https://static2.vietstock.vn/data/HOSE/2023/BCTC/VN/NAM/HPX_Baocaotaichinh_2023_Kiemtoan_Hopnhat.pdf" TargetMode="External"/><Relationship Id="rId98" Type="http://schemas.openxmlformats.org/officeDocument/2006/relationships/hyperlink" Target="http://static2.vietstock.vn/data/HOSE/2022/BCTC/VN/NAM/HT1_Baocaotaichinh_2022_Kiemtoan_Hopnhat.pdf" TargetMode="External"/><Relationship Id="rId121" Type="http://schemas.openxmlformats.org/officeDocument/2006/relationships/hyperlink" Target="https://static2.vietstock.vn/data/HOSE/2021/BCTC/VN/NAM/PMG_Baocaotaichinh_2021_Kiemtoan_Hopnhat.pdf" TargetMode="External"/><Relationship Id="rId142" Type="http://schemas.openxmlformats.org/officeDocument/2006/relationships/hyperlink" Target="https://static2.vietstock.vn/data/HOSE/2022/BCTC/VN/NAM/RDP_Baocaotaichinh_2022_Kiemtoan_Hopnhat.pdf" TargetMode="External"/><Relationship Id="rId163" Type="http://schemas.openxmlformats.org/officeDocument/2006/relationships/hyperlink" Target="https://static2.vietstock.vn/data/HOSE/2022/BCTC/VN/NAM/SPM_Baocaotaichinh_2022_Kiemtoan.pdf" TargetMode="External"/><Relationship Id="rId184" Type="http://schemas.openxmlformats.org/officeDocument/2006/relationships/hyperlink" Target="https://static2.vietstock.vn/data/HOSE/2022/BCTC/VN/NAM/TNA_Baocaotaichinh_2022_Kiemtoan_Hopnhat.pdf" TargetMode="External"/><Relationship Id="rId189" Type="http://schemas.openxmlformats.org/officeDocument/2006/relationships/hyperlink" Target="https://cafef.vn/du-lieu/bao-cao-tai-chinh/tpc/bsheet/2024/0/0/0/ket-qua-hoat-dong-kinh-doanh-.chn" TargetMode="External"/><Relationship Id="rId219" Type="http://schemas.openxmlformats.org/officeDocument/2006/relationships/hyperlink" Target="https://cafef.vn/du-lieu/bao-cao-tai-chinh/pgv/incsta/2024/0/0/0/0/ket-qua-hoat-dong-kinh-doanh-.chn" TargetMode="External"/><Relationship Id="rId3" Type="http://schemas.openxmlformats.org/officeDocument/2006/relationships/hyperlink" Target="https://static2.vietstock.vn/data/HOSE/2023/BCTC/VN/NAM/ABS_Baocaotaichinh_2023_Kiemtoan_1.pdf" TargetMode="External"/><Relationship Id="rId214" Type="http://schemas.openxmlformats.org/officeDocument/2006/relationships/hyperlink" Target="https://static2.vietstock.vn/data/OTC/2022/BCTC/VN/NAM/DNSE_Baocaotaichinh_Nam_2022_KT_Donle.pdf" TargetMode="External"/><Relationship Id="rId25" Type="http://schemas.openxmlformats.org/officeDocument/2006/relationships/hyperlink" Target="https://static2.vietstock.vn/data/HOSE/2021/BCTC/VN/NAM/AST_Baocaotaichinh_2021_Kiemtoan_Hopnhat.pdf" TargetMode="External"/><Relationship Id="rId46" Type="http://schemas.openxmlformats.org/officeDocument/2006/relationships/hyperlink" Target="https://static2.vietstock.vn/data/HOSE/2021/BCTC/VN/NAM/DLG_Baocaotaichinh_2021_Kiemtoan_Hopnhat.pdf" TargetMode="External"/><Relationship Id="rId67" Type="http://schemas.openxmlformats.org/officeDocument/2006/relationships/hyperlink" Target="https://static2.vietstock.vn/data/HOSE/2021/BCTC/VN/NAM/FRT_Baocaotaichinh_2021_Kiemtoan_Hopnhat.pdf" TargetMode="External"/><Relationship Id="rId116" Type="http://schemas.openxmlformats.org/officeDocument/2006/relationships/hyperlink" Target="https://static2.vietstock.vn/data/HOSE/2022/BCTC/VN/NAM/PIT_Baocaotaichinh_2022_Kiemtoan_Hopnhat.pdf" TargetMode="External"/><Relationship Id="rId137" Type="http://schemas.openxmlformats.org/officeDocument/2006/relationships/hyperlink" Target="https://static2.vietstock.vn/data/HOSE/2023/BCTC/VN/NAM/QBS_Baocaotaichinh_2023_Kiemtoan.pdf" TargetMode="External"/><Relationship Id="rId158" Type="http://schemas.openxmlformats.org/officeDocument/2006/relationships/hyperlink" Target="https://static2.vietstock.vn/data/HOSE/2023/BCTC/VN/NAM/SMA_Baocaotaichinh_2023_Kiemtoan.pdf" TargetMode="External"/><Relationship Id="rId20" Type="http://schemas.openxmlformats.org/officeDocument/2006/relationships/hyperlink" Target="https://static2.vietstock.vn/data/HOSE/2022/BCTC/VN/NAM/ASG_Baocaotaichinh_2022_Kiemtoan_Hopnhat.pdf" TargetMode="External"/><Relationship Id="rId41" Type="http://schemas.openxmlformats.org/officeDocument/2006/relationships/hyperlink" Target="https://static2.vietstock.vn/data/HOSE/2022/BCTC/VN/NAM/DAH_LCTT_2022_Kiemtoan_Hopnhat_DieuChinh.pdf" TargetMode="External"/><Relationship Id="rId62" Type="http://schemas.openxmlformats.org/officeDocument/2006/relationships/hyperlink" Target="https://static2.vietstock.vn/data/HOSE/2022/BCTC/VN/NAM/EVG_Baocaotaichinh_2022_Kiemtoan_Hopnhat.pdf" TargetMode="External"/><Relationship Id="rId83" Type="http://schemas.openxmlformats.org/officeDocument/2006/relationships/hyperlink" Target="https://static2.vietstock.vn/data/HOSE/2022/BCTC/VN/NAM/HBC_Baocaotaichinh_2022_Kiemtoan_Hopnhat.pdf" TargetMode="External"/><Relationship Id="rId88" Type="http://schemas.openxmlformats.org/officeDocument/2006/relationships/hyperlink" Target="https://static2.vietstock.vn/data/HOSE/2021/BCTC/VN/NAM/HNG_Baocaotaichinh_2021_Kiemtoan_Hopnhat.pdf" TargetMode="External"/><Relationship Id="rId111" Type="http://schemas.openxmlformats.org/officeDocument/2006/relationships/hyperlink" Target="https://static2.vietstock.vn/data/HOSE/2023/BCTC/VN/NAM/NVL_Baocaotaichinh_2023_Kiemtoan_Hopnhat.pdf" TargetMode="External"/><Relationship Id="rId132" Type="http://schemas.openxmlformats.org/officeDocument/2006/relationships/hyperlink" Target="https://static2.vietstock.vn/data/HOSE/2023/BCTC/VN/NAM/PTC_Baocaotaichinh_2023_Kiemtoan_Hopnhat.pdf" TargetMode="External"/><Relationship Id="rId153" Type="http://schemas.openxmlformats.org/officeDocument/2006/relationships/hyperlink" Target="https://data.kreston.vn/vn-report/20220326-1106/" TargetMode="External"/><Relationship Id="rId174" Type="http://schemas.openxmlformats.org/officeDocument/2006/relationships/hyperlink" Target="https://static2.vietstock.vn/data/HOSE/2021/BCTC/VN/NAM/TDC_Baocaotaichinh_2021_Kiemtoan_Hopnhat.pdf" TargetMode="External"/><Relationship Id="rId179" Type="http://schemas.openxmlformats.org/officeDocument/2006/relationships/hyperlink" Target="https://static2.vietstock.vn/data/HOSE/2023/BCTC/VN/NAM/TDH_Baocaotaichinh_2023_Kiemtoan_Hopnhat.pdf" TargetMode="External"/><Relationship Id="rId195" Type="http://schemas.openxmlformats.org/officeDocument/2006/relationships/hyperlink" Target="https://cafef.vn/du-lieu/bao-cao-tai-chinh-chung-khoan/tvb/incsta/2024/0/0/0/cong-ty-co-phan-chung-khoan-tri-viet.chn" TargetMode="External"/><Relationship Id="rId209" Type="http://schemas.openxmlformats.org/officeDocument/2006/relationships/hyperlink" Target="https://static2.vietstock.vn/data/HOSE/2023/BCTC/VN/NAM/CRE_Baocaotaichinh_2023_Kiemtoan_Hopnhat.pdf" TargetMode="External"/><Relationship Id="rId190" Type="http://schemas.openxmlformats.org/officeDocument/2006/relationships/hyperlink" Target="https://cafef.vn/du-lieu/bao-cao-tai-chinh/tsc/incsta/2024/0/0/0/bao-cao-tai-chinh-.chn" TargetMode="External"/><Relationship Id="rId204" Type="http://schemas.openxmlformats.org/officeDocument/2006/relationships/hyperlink" Target="https://static2.vietstock.vn/data/HOSE/2021/BCTC/VN/NAM/CAV_Baocaotaichinh_2021_Kiemtoan_Hopnhat.pdf" TargetMode="External"/><Relationship Id="rId220" Type="http://schemas.openxmlformats.org/officeDocument/2006/relationships/hyperlink" Target="https://cafef.vn/du-lieu/bao-cao-tai-chinh/tld/bsheet/2024/0/0/0/ket-qua-hoat-dong-kinh-doanh-.chn" TargetMode="External"/><Relationship Id="rId15" Type="http://schemas.openxmlformats.org/officeDocument/2006/relationships/hyperlink" Target="https://static2.vietstock.vn/data/HOSE/2023/BCTC/VN/NAM/APC_Baocaotaichinh_2023_Kiemtoan.pdf" TargetMode="External"/><Relationship Id="rId36" Type="http://schemas.openxmlformats.org/officeDocument/2006/relationships/hyperlink" Target="https://static2.vietstock.vn/data/HOSE/2023/BCTC/VN/NAM/CKG_Baocaotaichinh_2023_Kiemtoan_Hopnhat.pdf" TargetMode="External"/><Relationship Id="rId57" Type="http://schemas.openxmlformats.org/officeDocument/2006/relationships/hyperlink" Target="https://static2.vietstock.vn/data/HOSE/2023/BCTC/VN/NAM/DXS_Baocaotaichinh_2023_Kiemtoan_Hopnhat.pdf" TargetMode="External"/><Relationship Id="rId106" Type="http://schemas.openxmlformats.org/officeDocument/2006/relationships/hyperlink" Target="https://static2.vietstock.vn/data/HOSE/2021/BCTC/VN/NAM/JVC_Baocaotaichinh_2021_Kiemtoan_Hopnhat.pdf" TargetMode="External"/><Relationship Id="rId127" Type="http://schemas.openxmlformats.org/officeDocument/2006/relationships/hyperlink" Target="https://static2.vietstock.vn/data/HOSE/2021/BCTC/VN/NAM/PPC_Baocaotaichinh_2021_Kiemtoan.pdf" TargetMode="External"/><Relationship Id="rId10" Type="http://schemas.openxmlformats.org/officeDocument/2006/relationships/hyperlink" Target="https://static2.vietstock.vn/data/HOSE/2021/BCTC/VN/NAM/AGM_Baocaotaichinh_2021_Kiemtoan_Hopnhat.pdf" TargetMode="External"/><Relationship Id="rId31" Type="http://schemas.openxmlformats.org/officeDocument/2006/relationships/hyperlink" Target="https://static2.vietstock.vn/data/HOSE/2021/BCTC/VN/NAM/CIG_Baocaotaichinh_2021_Kiemtoan_Hopnhat.pdf" TargetMode="External"/><Relationship Id="rId52" Type="http://schemas.openxmlformats.org/officeDocument/2006/relationships/hyperlink" Target="https://static2.vietstock.vn/data/HOSE/2021/BCTC/VN/NAM/DTL_Baocaotaichinh_2021_Kiemtoan_Hopnhat.pdf" TargetMode="External"/><Relationship Id="rId73" Type="http://schemas.openxmlformats.org/officeDocument/2006/relationships/hyperlink" Target="https://static2.vietstock.vn/data/HOSE/2022/BCTC/VN/NAM/GMC_Baocaotaichinh_2022_Kiemtoan_Hopnhat.pdf" TargetMode="External"/><Relationship Id="rId78" Type="http://schemas.openxmlformats.org/officeDocument/2006/relationships/hyperlink" Target="https://static2.vietstock.vn/data/HOSE/2023/BCTC/VN/NAM/HAG_Baocaotaichinh_2023_Kiemtoan_Hopnhat.pdf" TargetMode="External"/><Relationship Id="rId94" Type="http://schemas.openxmlformats.org/officeDocument/2006/relationships/hyperlink" Target="https://static2.vietstock.vn/data/HOSE/2021/BCTC/VN/NAM/HSG_Baocaotaichinh_2021_Kiemtoan_Hopnhat.pdf" TargetMode="External"/><Relationship Id="rId99" Type="http://schemas.openxmlformats.org/officeDocument/2006/relationships/hyperlink" Target="https://static2.vietstock.vn/data/HOSE/2023/BCTC/VN/NAM/HT1_Baocaotaichinh_2023_Kiemtoan_Hopnhat.pdf" TargetMode="External"/><Relationship Id="rId101" Type="http://schemas.openxmlformats.org/officeDocument/2006/relationships/hyperlink" Target="https://static2.vietstock.vn/data/HOSE/2022/BCTC/VN/NAM/HVN_Baocaotaichinh_2022_Kiemtoan_Hopnhat.PDF" TargetMode="External"/><Relationship Id="rId122" Type="http://schemas.openxmlformats.org/officeDocument/2006/relationships/hyperlink" Target="https://static2.vietstock.vn/data/HOSE/2022/BCTC/VN/NAM/PMG_Baocaotaichinh_2022_Kiemtoan_Hopnhat.pdf" TargetMode="External"/><Relationship Id="rId143" Type="http://schemas.openxmlformats.org/officeDocument/2006/relationships/hyperlink" Target="https://static2.vietstock.vn/data/HOSE/2023/BCTC/VN/NAM/RDP_Baocaotaichinh_2023_Kiemtoan_Hopnhat.pdf" TargetMode="External"/><Relationship Id="rId148" Type="http://schemas.openxmlformats.org/officeDocument/2006/relationships/hyperlink" Target="https://static2.vietstock.vn/data/HOSE/2022/BCTC/VN/NAM/SCD_Baocaotaichinh_2022_Kiemtoan/20230403_20230403%20-%20SCD%20-%20BCTC%20KT%20nam%202022.pdf" TargetMode="External"/><Relationship Id="rId164" Type="http://schemas.openxmlformats.org/officeDocument/2006/relationships/hyperlink" Target="https://static2.vietstock.vn/data/HOSE/2023/BCTC/VN/NAM/SPM_Baocaotaichinh_2023_Kiemtoan.pdf" TargetMode="External"/><Relationship Id="rId169" Type="http://schemas.openxmlformats.org/officeDocument/2006/relationships/hyperlink" Target="https://static2.vietstock.vn/data/HOSE/2022/BCTC/VN/NAM/SVD_Baocaotaichinh_2022_Kiemtoan.pdf" TargetMode="External"/><Relationship Id="rId185" Type="http://schemas.openxmlformats.org/officeDocument/2006/relationships/hyperlink" Target="https://static2.vietstock.vn/data/HOSE/2023/BCTC/VN/QUY%204/TNA_Baocaotaichinh_Q4_2023_Hopnhat.pdf" TargetMode="External"/><Relationship Id="rId4" Type="http://schemas.openxmlformats.org/officeDocument/2006/relationships/hyperlink" Target="https://static2.vietstock.vn/data/HOSE/2021/BCTC/VN/NAM/ADG_Baocaotaichinh_2021_Kiemtoan_Hopnhat.pdf" TargetMode="External"/><Relationship Id="rId9" Type="http://schemas.openxmlformats.org/officeDocument/2006/relationships/hyperlink" Target="https://static2.vietstock.vn/data/HOSE/2023/BCTC/VN/NAM/ADP_Baocaotaichinh_2023_Kiemtoan.pdf" TargetMode="External"/><Relationship Id="rId180" Type="http://schemas.openxmlformats.org/officeDocument/2006/relationships/hyperlink" Target="https://static2.vietstock.vn/data/UPCOM/2021/BCTC/VN/NAM/TGG_Baocaotaichinh_2021_Kiemtoan_Hopnhat_DieuChinh.pdf" TargetMode="External"/><Relationship Id="rId210" Type="http://schemas.openxmlformats.org/officeDocument/2006/relationships/hyperlink" Target="https://cafef.vn/du-lieu/bao-cao-tai-chinh/ict/incsta/2024/0/0/0/bao-cao-tai-chinh-.chn" TargetMode="External"/><Relationship Id="rId215" Type="http://schemas.openxmlformats.org/officeDocument/2006/relationships/hyperlink" Target="https://static2.vietstock.vn/data/OTC/2023/BCTC/VN/NAM/DNSE_Baocaotaichinh_2023_Kiemtoan.pdf" TargetMode="External"/><Relationship Id="rId26" Type="http://schemas.openxmlformats.org/officeDocument/2006/relationships/hyperlink" Target="https://static2.vietstock.vn/data/HOSE/2022/BCTC/VN/NAM/AST_Baocaotaichinh_2022_Kiemtoan_Hopnhat.pdf" TargetMode="External"/><Relationship Id="rId47" Type="http://schemas.openxmlformats.org/officeDocument/2006/relationships/hyperlink" Target="https://static2.vietstock.vn/data/HOSE/2022/BCTC/VN/NAM/DLG_Baocaotaichinh_2022_Kiemtoan_Hopnhat.pdf" TargetMode="External"/><Relationship Id="rId68" Type="http://schemas.openxmlformats.org/officeDocument/2006/relationships/hyperlink" Target="https://static2.vietstock.vn/data/HOSE/2022/BCTC/VN/NAM/FRT_Baocaotaichinh_2022_Kiemtoan_Hopnhat.pdf" TargetMode="External"/><Relationship Id="rId89" Type="http://schemas.openxmlformats.org/officeDocument/2006/relationships/hyperlink" Target="https://static2.vietstock.vn/data/HOSE/2022/BCTC/VN/NAM/HNG_Baocaotaichinh_2022_Kiemtoan_Hopnhat.pdf" TargetMode="External"/><Relationship Id="rId112" Type="http://schemas.openxmlformats.org/officeDocument/2006/relationships/hyperlink" Target="https://static2.vietstock.vn/data/HOSE/2021/BCTC/VN/NAM/OGC_Baocaotaichinh_2021_Kiemtoan_Hopnhat.pdf" TargetMode="External"/><Relationship Id="rId133" Type="http://schemas.openxmlformats.org/officeDocument/2006/relationships/hyperlink" Target="https://static2.vietstock.vn/data/HOSE/2021/BCTC/VN/NAM/PTL_Baocaotaichinh_2021_Kiemtoan_Hopnhat_DieuChinh/PTL_Baocaotaichinh_Q1_2022_Hopnhat.pdf" TargetMode="External"/><Relationship Id="rId154" Type="http://schemas.openxmlformats.org/officeDocument/2006/relationships/hyperlink" Target="https://static2.vietstock.vn/data/HOSE/2022/BCTC/VN/NAM/SJF_Baocaotaichinh_2022_Kiemtoan_Hopnhat.pdf" TargetMode="External"/><Relationship Id="rId175" Type="http://schemas.openxmlformats.org/officeDocument/2006/relationships/hyperlink" Target="https://static2.vietstock.vn/data/HOSE/2022/BCTC/VN/NAM/TDC_Baocaotaichinh_2022_Kiemtoan_Hopnhat.pdf" TargetMode="External"/><Relationship Id="rId196" Type="http://schemas.openxmlformats.org/officeDocument/2006/relationships/hyperlink" Target="https://static2.vietstock.vn/data/HOSE/2021/BCTC/VN/NAM/TYA_Baocaotaichinh_2021_Kiemtoan.pdf" TargetMode="External"/><Relationship Id="rId200" Type="http://schemas.openxmlformats.org/officeDocument/2006/relationships/hyperlink" Target="https://static2.vietstock.vn/data/HOSE/2022/BCTC/VN/NAM/VJC_Baocaotaichinh_2022_Kiemtoan_Hopnhat.pdf" TargetMode="External"/><Relationship Id="rId16" Type="http://schemas.openxmlformats.org/officeDocument/2006/relationships/hyperlink" Target="https://static2.vietstock.vn/data/HOSE/2021/BCTC/VN/NAM/APH_Baocaotaichinh_2021_Kiemtoan_Hopnhat.pdf" TargetMode="External"/><Relationship Id="rId221" Type="http://schemas.openxmlformats.org/officeDocument/2006/relationships/vmlDrawing" Target="../drawings/vmlDrawing2.vml"/><Relationship Id="rId37" Type="http://schemas.openxmlformats.org/officeDocument/2006/relationships/hyperlink" Target="https://static2.vietstock.vn/data/HOSE/2021/BCTC/VN/NAM/DAG_Baocaotaichinh_2021_Kiemtoan_Hopnhat.pdf" TargetMode="External"/><Relationship Id="rId58" Type="http://schemas.openxmlformats.org/officeDocument/2006/relationships/hyperlink" Target="https://static2.vietstock.vn/data/HOSE/2021/BCTC/VN/NAM/DXV_Baocaotaichinh_2021_Kiemtoan/20220309_20220309%20-%20DXV%20-%20BCTC%20KT%20Nam%202021.pdf" TargetMode="External"/><Relationship Id="rId79" Type="http://schemas.openxmlformats.org/officeDocument/2006/relationships/hyperlink" Target="https://static2.vietstock.vn/data/HOSE/2021/BCTC/VN/NAM/HAS_Baocaotaichinh_2021_Kiemtoan_Hopnhat.pdf" TargetMode="External"/><Relationship Id="rId102" Type="http://schemas.openxmlformats.org/officeDocument/2006/relationships/hyperlink" Target="https://static2.vietstock.vn/data/HOSE/2023/BCTC/VN/NAM/HVN_Baocaotaichinh_2023_Kiemtoan_Hopnhat.pdf" TargetMode="External"/><Relationship Id="rId123" Type="http://schemas.openxmlformats.org/officeDocument/2006/relationships/hyperlink" Target="https://static2.vietstock.vn/data/HOSE/2023/BCTC/VN/NAM/PMG_Baocaotaichinh_2023_Kiemtoan_Hopnhat.pdf" TargetMode="External"/><Relationship Id="rId144" Type="http://schemas.openxmlformats.org/officeDocument/2006/relationships/hyperlink" Target="https://static2.vietstock.vn/data/HOSE/2021/BCTC/VN/NAM/SBV_Baocaotaichinh_2021_Kiemtoan_Hopnhat.pdf" TargetMode="External"/><Relationship Id="rId90" Type="http://schemas.openxmlformats.org/officeDocument/2006/relationships/hyperlink" Target="https://static2.vietstock.vn/data/HOSE/2023/BCTC/VN/NAM/HNG_Baocaotaichinh_2023_Kiemtoan_Hopnhat_1.pdf" TargetMode="External"/><Relationship Id="rId165" Type="http://schemas.openxmlformats.org/officeDocument/2006/relationships/hyperlink" Target="https://static2.vietstock.vn/data/HOSE/2021/BCTC/VN/NAM/SRF_Baocaotaichinh_2021_Kiemtoan_Hopnhat.pdf" TargetMode="External"/><Relationship Id="rId186" Type="http://schemas.openxmlformats.org/officeDocument/2006/relationships/hyperlink" Target="https://static2.vietstock.vn/data/HOSE/2021/BCTC/VN/NAM/TNI_Baocaotaichinh_2021_Kiemtoan_Hopnhat_DieuChinh.pdf" TargetMode="External"/><Relationship Id="rId211" Type="http://schemas.openxmlformats.org/officeDocument/2006/relationships/hyperlink" Target="https://cafef.vn/du-lieu/bao-cao-tai-chinh/psh/incsta/2023/0/0/0/bao-cao-tai-chinh-.chn" TargetMode="External"/><Relationship Id="rId27" Type="http://schemas.openxmlformats.org/officeDocument/2006/relationships/hyperlink" Target="https://static2.vietstock.vn/data/HOSE/2023/BCTC/VN/NAM/AST_Baocaotaichinh_2023_Kiemtoan_Hopnhat.pdf" TargetMode="External"/><Relationship Id="rId48" Type="http://schemas.openxmlformats.org/officeDocument/2006/relationships/hyperlink" Target="https://static2.vietstock.vn/data/HOSE/2023/BCTC/VN/NAM/DLG_Baocaotaichinh_2023_Kiemtoan_Hopnhat.pdf" TargetMode="External"/><Relationship Id="rId69" Type="http://schemas.openxmlformats.org/officeDocument/2006/relationships/hyperlink" Target="https://static2.vietstock.vn/data/HOSE/2023/BCTC/VN/NAM/FRT_Baocaotaichinh_2023_Kiemtoan_Hopnhat.pdf" TargetMode="External"/><Relationship Id="rId113" Type="http://schemas.openxmlformats.org/officeDocument/2006/relationships/hyperlink" Target="https://static2.vietstock.vn/data/HOSE/2022/BCTC/VN/NAM/OGC_Baocaotaichinh_2022_Kiemtoan_Hopnhat.pdf" TargetMode="External"/><Relationship Id="rId134" Type="http://schemas.openxmlformats.org/officeDocument/2006/relationships/hyperlink" Target="https://static2.vietstock.vn/data/HOSE/2022/BCTC/VN/NAM/PTL_Baocaotaichinh_2022_Kiemtoan_Hopnhat.pdf" TargetMode="External"/><Relationship Id="rId80" Type="http://schemas.openxmlformats.org/officeDocument/2006/relationships/hyperlink" Target="https://static2.vietstock.vn/data/HOSE/2022/BCTC/VN/NAM/HAS_Baocaotaichinh_2022_Kiemtoan_Hopnhat.pdf" TargetMode="External"/><Relationship Id="rId155" Type="http://schemas.openxmlformats.org/officeDocument/2006/relationships/hyperlink" Target="https://static2.vietstock.vn/data/HOSE/2023/BCTC/VN/NAM/SJF_Baocaotaichinh_2023_Kiemtoan_Hopnhat.pdf" TargetMode="External"/><Relationship Id="rId176" Type="http://schemas.openxmlformats.org/officeDocument/2006/relationships/hyperlink" Target="https://static2.vietstock.vn/data/HOSE/2023/BCTC/VN/NAM/TDC_Baocaotaichinh_2023_Kiemtoan_Hopnhat.pdf" TargetMode="External"/><Relationship Id="rId197" Type="http://schemas.openxmlformats.org/officeDocument/2006/relationships/hyperlink" Target="https://static2.vietstock.vn/data/HOSE/2022/BCTC/VN/NAM/TYA_Baocaotaichinh_2022_Kiemtoan.pdf" TargetMode="External"/><Relationship Id="rId201" Type="http://schemas.openxmlformats.org/officeDocument/2006/relationships/hyperlink" Target="https://static2.vietstock.vn/data/HOSE/2023/BCTC/VN/NAM/VJC_Baocaotaichinh_2023_Kiemtoan_Hopnhat.pdf" TargetMode="External"/><Relationship Id="rId222" Type="http://schemas.openxmlformats.org/officeDocument/2006/relationships/comments" Target="../comments2.xml"/><Relationship Id="rId17" Type="http://schemas.openxmlformats.org/officeDocument/2006/relationships/hyperlink" Target="https://static2.vietstock.vn/data/HOSE/2022/BCTC/VN/NAM/APH_Baocaotaichinh_2022_Kiemtoan_Hopnhat.pdf" TargetMode="External"/><Relationship Id="rId38" Type="http://schemas.openxmlformats.org/officeDocument/2006/relationships/hyperlink" Target="https://static2.vietstock.vn/data/HOSE/2022/BCTC/VN/NAM/DAG_Baocaotaichinh_2022_Kiemtoan_Hopnhat_DieuChinh.pdf" TargetMode="External"/><Relationship Id="rId59" Type="http://schemas.openxmlformats.org/officeDocument/2006/relationships/hyperlink" Target="https://static2.vietstock.vn/data/HOSE/2022/BCTC/VN/NAM/DXV_Baocaotaichinh_2022_Kiemtoan.pdf" TargetMode="External"/><Relationship Id="rId103" Type="http://schemas.openxmlformats.org/officeDocument/2006/relationships/hyperlink" Target="https://static2.vietstock.vn/data/HOSE/2021/BCTC/VN/NAM/HVX_Baocaotaichinh_2021_Kiemtoan.pdf" TargetMode="External"/><Relationship Id="rId124" Type="http://schemas.openxmlformats.org/officeDocument/2006/relationships/hyperlink" Target="https://static2.vietstock.vn/data/HOSE/2021/BCTC/VN/NAM/POM_Baocaotaichinh_2021_Kiemtoan_Hopnhat.pdf" TargetMode="External"/><Relationship Id="rId70" Type="http://schemas.openxmlformats.org/officeDocument/2006/relationships/hyperlink" Target="https://static2.vietstock.vn/data/HOSE/2023/BCTC/VN/NAM/GIL_Baocaotaichinh_2023_Kiemtoan_Hopnhat.pdf" TargetMode="External"/><Relationship Id="rId91" Type="http://schemas.openxmlformats.org/officeDocument/2006/relationships/hyperlink" Target="https://static2.vietstock.vn/data/HOSE/2021/BCTC/VN/NAM/HPX_Baocaotaichinh_2021_Kiemtoan_Hopnhat.pdf" TargetMode="External"/><Relationship Id="rId145" Type="http://schemas.openxmlformats.org/officeDocument/2006/relationships/hyperlink" Target="https://static2.vietstock.vn/data/HOSE/2022/BCTC/VN/NAM/SBV_Baocaotaichinh_2022_Kiemtoan_Hopnhat.pdf" TargetMode="External"/><Relationship Id="rId166" Type="http://schemas.openxmlformats.org/officeDocument/2006/relationships/hyperlink" Target="https://static2.vietstock.vn/data/HOSE/2022/BCTC/VN/NAM/SRF_Baocaotaichinh_2022_Kiemtoan_Hopnhat.pdf" TargetMode="External"/><Relationship Id="rId187" Type="http://schemas.openxmlformats.org/officeDocument/2006/relationships/hyperlink" Target="https://static2.vietstock.vn/data/HOSE/2022/BCTC/VN/NAM/TNI_Baocaotaichinh_2022_Kiemtoan_Hopnhat.pdf" TargetMode="External"/><Relationship Id="rId1" Type="http://schemas.openxmlformats.org/officeDocument/2006/relationships/hyperlink" Target="https://www.bitagco.com/uploads/document/20220330014214093130032022.pdf" TargetMode="External"/><Relationship Id="rId212" Type="http://schemas.openxmlformats.org/officeDocument/2006/relationships/hyperlink" Target="https://cafef.vn/du-lieu/bao-cao-tai-chinh/aat/incsta/2024/0/0/0/bao-cao-tai-chinh-.chn" TargetMode="External"/><Relationship Id="rId28" Type="http://schemas.openxmlformats.org/officeDocument/2006/relationships/hyperlink" Target="https://static2.vietstock.vn/data/HOSE/2021/BCTC/VN/NAM/BCE_Baocaotaichinh_2021_Kiemtoan.pdf" TargetMode="External"/><Relationship Id="rId49" Type="http://schemas.openxmlformats.org/officeDocument/2006/relationships/hyperlink" Target="https://static2.vietstock.vn/data/HOSE/2021/BCTC/VN/NAM/DRH_Baocaotaichinh_2021_Kiemtoan_Hopnhat.pdf" TargetMode="External"/><Relationship Id="rId114" Type="http://schemas.openxmlformats.org/officeDocument/2006/relationships/hyperlink" Target="https://static2.vietstock.vn/data/HOSE/2023/BCTC/VN/NAM/OGC_Baocaotaichinh_2023_Kiemtoan_Hopnhat.pdf" TargetMode="External"/><Relationship Id="rId60" Type="http://schemas.openxmlformats.org/officeDocument/2006/relationships/hyperlink" Target="https://static2.vietstock.vn/data/HOSE/2023/BCTC/VN/NAM/DXV_Baocaotaichinh_2023_Kiemtoan.pdf" TargetMode="External"/><Relationship Id="rId81" Type="http://schemas.openxmlformats.org/officeDocument/2006/relationships/hyperlink" Target="https://static2.vietstock.vn/data/HOSE/2023/BCTC/VN/NAM/HAS_Baocaotaichinh_2023_Kiemtoan_Hopnhat.pdf" TargetMode="External"/><Relationship Id="rId135" Type="http://schemas.openxmlformats.org/officeDocument/2006/relationships/hyperlink" Target="https://static2.vietstock.vn/data/HOSE/2023/BCTC/VN/NAM/PTL_Baocaotaichinh_2023_Kiemtoan_Hopnhat.pdf" TargetMode="External"/><Relationship Id="rId156" Type="http://schemas.openxmlformats.org/officeDocument/2006/relationships/hyperlink" Target="https://static2.vietstock.vn/data/HOSE/2021/BCTC/VN/NAM/SMA_Baocaotaichinh_2021_Kiemtoan.pdf" TargetMode="External"/><Relationship Id="rId177" Type="http://schemas.openxmlformats.org/officeDocument/2006/relationships/hyperlink" Target="https://static2.vietstock.vn/data/HOSE/2021/BCTC/VN/NAM/TDH_Baocaotaichinh_2021_Kiemtoan_Hopnhat.pdf" TargetMode="External"/><Relationship Id="rId198" Type="http://schemas.openxmlformats.org/officeDocument/2006/relationships/hyperlink" Target="https://static2.vietstock.vn/data/HOSE/2022/BCTC/VN/NAM/TYA_Baocaotaichinh_2022_Kiemtoan.pdf" TargetMode="External"/><Relationship Id="rId202" Type="http://schemas.openxmlformats.org/officeDocument/2006/relationships/hyperlink" Target="https://cafef.vn/du-lieu/bao-cao-tai-chinh/vmd/bsheet/2022/0/0/0/0/bao-cao-tai-chinh-.chn" TargetMode="External"/><Relationship Id="rId18" Type="http://schemas.openxmlformats.org/officeDocument/2006/relationships/hyperlink" Target="https://static2.vietstock.vn/data/HOSE/2023/BCTC/VN/NAM/APH_Baocaotaichinh_2023_Kiemtoan_Hopnhat.pdf" TargetMode="External"/><Relationship Id="rId39" Type="http://schemas.openxmlformats.org/officeDocument/2006/relationships/hyperlink" Target="https://static2.vietstock.vn/data/HOSE/2023/BCTC/VN/NAM/DAG_Baocaotaichinh_2023_Kiemtoan_Hopnhat.pdf" TargetMode="External"/><Relationship Id="rId50" Type="http://schemas.openxmlformats.org/officeDocument/2006/relationships/hyperlink" Target="https://static2.vietstock.vn/data/HOSE/2022/BCTC/VN/NAM/DRH_TMBCTC_2022_Kiemtoan_Hopnhat_DieuChinh.pdf" TargetMode="External"/><Relationship Id="rId104" Type="http://schemas.openxmlformats.org/officeDocument/2006/relationships/hyperlink" Target="https://static2.vietstock.vn/data/HOSE/2022/BCTC/VN/NAM/HVX_Baocaotaichinh_2022_Kiemtoan/20230331_-_HVX_-_BCTC_kiem_toan_nam_2022.pdf" TargetMode="External"/><Relationship Id="rId125" Type="http://schemas.openxmlformats.org/officeDocument/2006/relationships/hyperlink" Target="https://static2.vietstock.vn/data/HOSE/2022/BCTC/VN/NAM/POM_Baocaotaichinh_2022_Kiemtoan_Hopnhat.pdf" TargetMode="External"/><Relationship Id="rId146" Type="http://schemas.openxmlformats.org/officeDocument/2006/relationships/hyperlink" Target="https://static2.vietstock.vn/data/HOSE/2023/BCTC/VN/NAM/SBV_Baocaotaichinh_2023_Kiemtoan_Hopnhat.pdf" TargetMode="External"/><Relationship Id="rId167" Type="http://schemas.openxmlformats.org/officeDocument/2006/relationships/hyperlink" Target="https://static2.vietstock.vn/data/HOSE/2023/BCTC/VN/NAM/SRF_Baocaotaichinh_2023_Kiemtoan_Hopnhat.pdf" TargetMode="External"/><Relationship Id="rId188" Type="http://schemas.openxmlformats.org/officeDocument/2006/relationships/hyperlink" Target="https://static2.vietstock.vn/data/HOSE/2023/BCTC/VN/NAM/TNI_Baocaotaichinh_2023_Kiemtoan_Hopnhat.pdf" TargetMode="External"/><Relationship Id="rId71" Type="http://schemas.openxmlformats.org/officeDocument/2006/relationships/hyperlink" Target="https://static2.vietstock.vn/data/HOSE/2022/BCTC/VN/NAM/GIL_Baocaotaichinh_2022_Kiemtoan_Hopnhat.pdf" TargetMode="External"/><Relationship Id="rId92" Type="http://schemas.openxmlformats.org/officeDocument/2006/relationships/hyperlink" Target="https://static2.vietstock.vn/data/HOSE/2022/BCTC/VN/NAM/HPX_Baocaotaichinh_2022_Kiemtoan_Hopnhat.pdf" TargetMode="External"/><Relationship Id="rId213" Type="http://schemas.openxmlformats.org/officeDocument/2006/relationships/hyperlink" Target="https://static2.vietstock.vn/data/OTC/2021/BCTC/VN/NAM/DNSE_Baocaotaichinh_2021_Kiemtoan.pdf" TargetMode="External"/><Relationship Id="rId2" Type="http://schemas.openxmlformats.org/officeDocument/2006/relationships/hyperlink" Target="https://static2.vietstock.vn/data/HOSE/2022/BCTC/VN/NAM/ABS_Baocaotaichinh_2022_Kiemtoan.pdf" TargetMode="External"/><Relationship Id="rId29" Type="http://schemas.openxmlformats.org/officeDocument/2006/relationships/hyperlink" Target="https://static2.vietstock.vn/data/HOSE/2022/BCTC/VN/NAM/BCE_Baocaotaichinh_2022_Kiemtoan_Hopnhat.pdf" TargetMode="External"/><Relationship Id="rId40" Type="http://schemas.openxmlformats.org/officeDocument/2006/relationships/hyperlink" Target="https://static2.vietstock.vn/data/HOSE/2021/BCTC/VN/NAM/DAH_Baocaotaichinh_2021_Kiemtoan_Hopnhat.pdf" TargetMode="External"/><Relationship Id="rId115" Type="http://schemas.openxmlformats.org/officeDocument/2006/relationships/hyperlink" Target="https://static2.vietstock.vn/data/HOSE/2021/BCTC/VN/NAM/PIT_Baocaotaichinh_2021_Kiemtoan_Hopnhat.pdf" TargetMode="External"/><Relationship Id="rId136" Type="http://schemas.openxmlformats.org/officeDocument/2006/relationships/hyperlink" Target="https://static2.vietstock.vn/data/HOSE/2021/BCTC/VN/NAM/QBS_Baocaotaichinh_2021_Kiemtoan_Hopnhat.pdf" TargetMode="External"/><Relationship Id="rId157" Type="http://schemas.openxmlformats.org/officeDocument/2006/relationships/hyperlink" Target="https://static2.vietstock.vn/data/HOSE/2022/BCTC/VN/NAM/SMA_Baocaotaichinh_2022_Kiemtoan.pdf" TargetMode="External"/><Relationship Id="rId178" Type="http://schemas.openxmlformats.org/officeDocument/2006/relationships/hyperlink" Target="https://static2.vietstock.vn/data/HOSE/2022/BCTC/VN/NAM/TDH_Baocaotaichinh_2022_Kiemtoan_Hopnhat.pdf" TargetMode="External"/><Relationship Id="rId61" Type="http://schemas.openxmlformats.org/officeDocument/2006/relationships/hyperlink" Target="https://static2.vietstock.vn/data/HOSE/2021/BCTC/VN/NAM/EVG_Baocaotaichinh_2021_Kiemtoan_Hopnhat.pdf" TargetMode="External"/><Relationship Id="rId82" Type="http://schemas.openxmlformats.org/officeDocument/2006/relationships/hyperlink" Target="https://static2.vietstock.vn/data/HOSE/2021/BCTC/VN/NAM/HBC_Baocaotaichinh_2021_Kiemtoan_Hopnhat.pdf" TargetMode="External"/><Relationship Id="rId199" Type="http://schemas.openxmlformats.org/officeDocument/2006/relationships/hyperlink" Target="https://static2.vietstock.vn/data/HOSE/2021/BCTC/VN/NAM/VJC_Baocaotaichinh_2021_Kiemtoan_Hopnhat.pdf" TargetMode="External"/><Relationship Id="rId203" Type="http://schemas.openxmlformats.org/officeDocument/2006/relationships/hyperlink" Target="https://static2.vietstock.vn/data/HOSE/2023/BCTC/VN/NAM/VMD_Baocaotaichinh_2023_Kiemtoan_Hopnhat.pdf" TargetMode="External"/><Relationship Id="rId19" Type="http://schemas.openxmlformats.org/officeDocument/2006/relationships/hyperlink" Target="https://static2.vietstock.vn/data/HOSE/2021/BCTC/VN/NAM/ASG_Baocaotaichinh_2021_Kiemtoan_Hopnhat.pdf" TargetMode="External"/><Relationship Id="rId30" Type="http://schemas.openxmlformats.org/officeDocument/2006/relationships/hyperlink" Target="https://static2.vietstock.vn/data/HOSE/2023/BCTC/VN/NAM/BCE_Baocaotaichinh_2023_Kiemtoan_Hopnhat.pdf" TargetMode="External"/><Relationship Id="rId105" Type="http://schemas.openxmlformats.org/officeDocument/2006/relationships/hyperlink" Target="https://static2.vietstock.vn/data/HOSE/2023/BCTC/VN/NAM/HVX_Baocaotaichinh_2023_Kiemtoan.pdf" TargetMode="External"/><Relationship Id="rId126" Type="http://schemas.openxmlformats.org/officeDocument/2006/relationships/hyperlink" Target="https://static2.vietstock.vn/data/HOSE/2023/BCTC/VN/QUY%204/POM_Baocaotaichinh_Q4_2023_Hopnhat.pdf" TargetMode="External"/><Relationship Id="rId147" Type="http://schemas.openxmlformats.org/officeDocument/2006/relationships/hyperlink" Target="https://static2.vietstock.vn/data/HOSE/2021/BCTC/VN/NAM/SCD_Baocaotaichinh_2021_Kiemtoan.pdf" TargetMode="External"/><Relationship Id="rId168" Type="http://schemas.openxmlformats.org/officeDocument/2006/relationships/hyperlink" Target="https://static2.vietstock.vn/data/HOSE/2021/BCTC/VN/NAM/SVD_Baocaotaichinh_2021_Kiemtoan.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tinnhanhchungkhoan.vn/co-phieu-smc-bi-dua-vao-dien-kiem-soat-tu-104-post342637.html" TargetMode="External"/><Relationship Id="rId21" Type="http://schemas.openxmlformats.org/officeDocument/2006/relationships/hyperlink" Target="https://vneconomy.vn/to-chuc-thanh-cong-dai-hoi-co-dong-2023-co-phieu-hvn-ra-khoi-dien-canh-bao.htm" TargetMode="External"/><Relationship Id="rId42" Type="http://schemas.openxmlformats.org/officeDocument/2006/relationships/hyperlink" Target="https://cafef.vn/du-lieu/ict-1970735/ict-quyet-dinh-ve-viec-dua-co-phieu-vao-dien-canh-bao.chn" TargetMode="External"/><Relationship Id="rId47" Type="http://schemas.openxmlformats.org/officeDocument/2006/relationships/hyperlink" Target="https://static2.vietstock.vn/vietstock/2024/4/3/20240403_20240402___nvt___qd_chuyen_tu_dien_kiem_soat_sang_canh_bao.pdf" TargetMode="External"/><Relationship Id="rId63" Type="http://schemas.openxmlformats.org/officeDocument/2006/relationships/hyperlink" Target="https://vneconomy.vn/dqc-va-mdg-bi-hose-dua-vao-danh-sach-khong-du-dieu-kien-giao-dich-ky-quy.htm" TargetMode="External"/><Relationship Id="rId68" Type="http://schemas.openxmlformats.org/officeDocument/2006/relationships/hyperlink" Target="https://baodautu.vn/hose-quyet-dinh-huy-giao-dich-ban-chui-hon-26-trieu-co-phieu-ldg-cua-chu-tich-d196544.html" TargetMode="External"/><Relationship Id="rId16" Type="http://schemas.openxmlformats.org/officeDocument/2006/relationships/hyperlink" Target="https://cafef.vn/du-lieu/cig-1975452/cig-quyet-dinh-ve-viec-chuyen-co-phieu-tu-dien-canh-bao-sang-dien-kiem-soat-do-lo-2-nam.chn" TargetMode="External"/><Relationship Id="rId11" Type="http://schemas.openxmlformats.org/officeDocument/2006/relationships/hyperlink" Target="https://www.tinnhanhchungkhoan.vn/thien-nam-tna-bi-huy-niem-yet-bat-buoc-tu-ngay-1911-post357939.html" TargetMode="External"/><Relationship Id="rId32" Type="http://schemas.openxmlformats.org/officeDocument/2006/relationships/hyperlink" Target="https://vietstock.vn/2024/04/asp-quyet-dinh-so-179-ve-viec-dua-co-phieu-vao-dien-canh-bao-830-1175334.htm" TargetMode="External"/><Relationship Id="rId37" Type="http://schemas.openxmlformats.org/officeDocument/2006/relationships/hyperlink" Target="https://vietstock.vn/2024/03/vung-vay-suot-4-nam-co-phieu-dxv-van-chua-thoat-khoi-dien-canh-bao-830-1166178.htm" TargetMode="External"/><Relationship Id="rId53" Type="http://schemas.openxmlformats.org/officeDocument/2006/relationships/hyperlink" Target="https://vietstock.vn/2020/03/co-phieu-tcr-bi-dua-vao-dien-canh-bao-830-740780.htm" TargetMode="External"/><Relationship Id="rId58" Type="http://schemas.openxmlformats.org/officeDocument/2006/relationships/hyperlink" Target="https://vneconomy.vn/hu1-va-ttf-bi-hose-nhac-nho-vi-cham-cong-bo-thong-tin.htm" TargetMode="External"/><Relationship Id="rId74" Type="http://schemas.openxmlformats.org/officeDocument/2006/relationships/hyperlink" Target="https://vneconomy.vn/hose-them-cll-vao-danh-muc-bi-cat-margin.htm" TargetMode="External"/><Relationship Id="rId79" Type="http://schemas.openxmlformats.org/officeDocument/2006/relationships/hyperlink" Target="https://vneconomy.vn/hose-them-3-ma-vao-danh-sach-cat-margin.htm" TargetMode="External"/><Relationship Id="rId5" Type="http://schemas.openxmlformats.org/officeDocument/2006/relationships/hyperlink" Target="https://vneconomy.vn/lo-sau-kiem-toan-3-nam-lien-tiep-co-phieu-apc-chinh-thuc-bi-huy-niem-yet.htm" TargetMode="External"/><Relationship Id="rId61" Type="http://schemas.openxmlformats.org/officeDocument/2006/relationships/hyperlink" Target="https://bnews.vn/bo-sung-ma-aam-vao-danh-sach-chung-khoan-khong-duoc-vay-margin/343035.html" TargetMode="External"/><Relationship Id="rId82" Type="http://schemas.openxmlformats.org/officeDocument/2006/relationships/vmlDrawing" Target="../drawings/vmlDrawing3.vml"/><Relationship Id="rId19" Type="http://schemas.openxmlformats.org/officeDocument/2006/relationships/hyperlink" Target="https://baodauthau.vn/buoc-truot-dai-cua-ong-lon-nganh-ton-dai-thien-loc-post89003.html" TargetMode="External"/><Relationship Id="rId14" Type="http://schemas.openxmlformats.org/officeDocument/2006/relationships/hyperlink" Target="https://doanhnghiepvn.vn/kinh-te/chung-khoan/co-phieu-agm-cua-ctcp-xuat-nhap-khau-an-giang-bi-kiem-soat-tu-ngay-10-9/20240903032954743" TargetMode="External"/><Relationship Id="rId22" Type="http://schemas.openxmlformats.org/officeDocument/2006/relationships/hyperlink" Target="https://vietstock.vn/2024/05/co-phieu-lec-bi-chuyen-sang-dien-han-che-giao-dich-tu-2705-830-1191715.htm" TargetMode="External"/><Relationship Id="rId27" Type="http://schemas.openxmlformats.org/officeDocument/2006/relationships/hyperlink" Target="https://cafef.vn/du-lieu/svd-1974905/svd-quyet-dinh-ve-viec-dua-co-phieu-vao-dien-canh-bao-va-kiem-soat.chn" TargetMode="External"/><Relationship Id="rId30" Type="http://schemas.openxmlformats.org/officeDocument/2006/relationships/hyperlink" Target="https://vneconomy.vn/lo-hai-nam-lien-tiep-hose-canh-bao-nguy-co-huy-niem-yet-doi-voi-co-phieu-vne.htm" TargetMode="External"/><Relationship Id="rId35" Type="http://schemas.openxmlformats.org/officeDocument/2006/relationships/hyperlink" Target="https://www.tinnhanhchungkhoan.vn/co-phieu-cre-cua-cenland-bi-dua-vao-dien-bi-canh-bao-post342639.html" TargetMode="External"/><Relationship Id="rId43" Type="http://schemas.openxmlformats.org/officeDocument/2006/relationships/hyperlink" Target="https://vneconomy.vn/co-phieu-ita-se-bi-dinh-chi-giao-dich-tu-ngay-26-9.htm" TargetMode="External"/><Relationship Id="rId48" Type="http://schemas.openxmlformats.org/officeDocument/2006/relationships/hyperlink" Target="https://cafef.vn/hai-co-phieu-ogc-va-och-ra-khoi-dien-han-che-giao-dich-20221213184712304.chn" TargetMode="External"/><Relationship Id="rId56" Type="http://schemas.openxmlformats.org/officeDocument/2006/relationships/hyperlink" Target="https://cafef.vn/vua-bi-hose-nhac-nho-tap-doan-thanh-nam-tni-nhan-them-quyet-dinh-xu-phat-va-truy-thu-thue-hon-6-ty-dong-20221210095519028.chn" TargetMode="External"/><Relationship Id="rId64" Type="http://schemas.openxmlformats.org/officeDocument/2006/relationships/hyperlink" Target="https://vneconomy.vn/hose-them-3-ma-vao-danh-sach-cat-margin.htm" TargetMode="External"/><Relationship Id="rId69" Type="http://schemas.openxmlformats.org/officeDocument/2006/relationships/hyperlink" Target="https://cafef.vn/them-mot-co-phieu-nganh-dien-bi-hose-cat-margin-79-ma-chung-khoan-khong-duoc-giao-dich-ky-quy-trong-quy-3-188240813110317371.chn" TargetMode="External"/><Relationship Id="rId77" Type="http://schemas.openxmlformats.org/officeDocument/2006/relationships/hyperlink" Target="https://vneconomy.vn/hose-them-11-ma-chung-khoan-vao-danh-sach-chung-khoan-khong-du-dieu-kien-giao-dich-ky-quy.htm" TargetMode="External"/><Relationship Id="rId8" Type="http://schemas.openxmlformats.org/officeDocument/2006/relationships/hyperlink" Target="https://vietstock.vn/2024/08/hbc-va-hng-chinh-thuc-bi-huy-niem-yet-tu-ngay-0609-830-1218158.htm" TargetMode="External"/><Relationship Id="rId51" Type="http://schemas.openxmlformats.org/officeDocument/2006/relationships/hyperlink" Target="https://vneconomy.vn/co-phieu-ptl-se-bi-huy-niem-yet.htm" TargetMode="External"/><Relationship Id="rId72" Type="http://schemas.openxmlformats.org/officeDocument/2006/relationships/hyperlink" Target="https://www.dnse.com.vn/senses/tin-tuc/86-ma-chung-khoan-tren-hose-khong-u-ieu-kien-cap-margin-33712796" TargetMode="External"/><Relationship Id="rId80" Type="http://schemas.openxmlformats.org/officeDocument/2006/relationships/hyperlink" Target="https://vneconomy.vn/vi-pham-ve-thue-viettronics-tan-binh-bi-cat-margin-tren-hose.htm" TargetMode="External"/><Relationship Id="rId3" Type="http://schemas.openxmlformats.org/officeDocument/2006/relationships/hyperlink" Target="https://vietstock.vn/2024/04/co-phieu-sap-huy-niem-yet-chu-tich-qbs-xin-tu-nhiem-214-1182648.htm" TargetMode="External"/><Relationship Id="rId12" Type="http://schemas.openxmlformats.org/officeDocument/2006/relationships/hyperlink" Target="https://vneconomy.vn/co-phieu-ttb-bi-huy-niem-yet-bat-buoc.htm" TargetMode="External"/><Relationship Id="rId17" Type="http://schemas.openxmlformats.org/officeDocument/2006/relationships/hyperlink" Target="https://cafef.vn/du-lieu/evg-1974828/evg-quyet-dinh-ve-viec-chuyen-co-phieu-tu-dien-canh-bao-sang-dien-kiem-soat-do-y-kien-ngoai-tru-2-nam.chn" TargetMode="External"/><Relationship Id="rId25" Type="http://schemas.openxmlformats.org/officeDocument/2006/relationships/hyperlink" Target="https://www.tinnhanhchungkhoan.vn/co-phieu-rdp-cua-rang-dong-holding-bi-han-che-giao-dich-do-cham-cong-bo-bao-cao-tai-chinh-post356148.html" TargetMode="External"/><Relationship Id="rId33" Type="http://schemas.openxmlformats.org/officeDocument/2006/relationships/hyperlink" Target="https://stockbiz.vn/tin-tuc/bce-khac-phuc-tinh-trang-co-phieu-bi-canh-bao/23015850" TargetMode="External"/><Relationship Id="rId38" Type="http://schemas.openxmlformats.org/officeDocument/2006/relationships/hyperlink" Target="https://vneconomy.vn/mua-ban-chui-co-phieu-lanh-dao-fdc-bi-phat-tien-va-bi-dinh-chi-giao-dich-4-thang.htm" TargetMode="External"/><Relationship Id="rId46" Type="http://schemas.openxmlformats.org/officeDocument/2006/relationships/hyperlink" Target="https://vneconomy.vn/dqc-va-mdg-bi-hose-dua-vao-danh-sach-khong-du-dieu-kien-giao-dich-ky-quy.htm" TargetMode="External"/><Relationship Id="rId59" Type="http://schemas.openxmlformats.org/officeDocument/2006/relationships/hyperlink" Target="https://stockbiz.vn/tin-tuc/vaf-co-phieu-cua-phan-lan-van-dien-roi-vao-dien-canh-bao/23933974" TargetMode="External"/><Relationship Id="rId67" Type="http://schemas.openxmlformats.org/officeDocument/2006/relationships/hyperlink" Target="https://vietnamdaily.kienthuc.net.vn/doanh-nghiep/thuy-dien-hua-na-bi-hose-nhac-nho-vi-quen-cong-bo-ke-hoach-kinh-doanh-220746.html" TargetMode="External"/><Relationship Id="rId20" Type="http://schemas.openxmlformats.org/officeDocument/2006/relationships/hyperlink" Target="https://vneconomy.vn/chua-nop-bao-cao-tai-chinh-ban-nien-2024-kpf-vao-dien-bi-dinh-chi-giao-dich.htm" TargetMode="External"/><Relationship Id="rId41" Type="http://schemas.openxmlformats.org/officeDocument/2006/relationships/hyperlink" Target="https://vietstock.vn/2024/03/lo-luy-ke-co-phieu-hvx-bi-dua-vao-dien-canh-bao-830-1165678.htm" TargetMode="External"/><Relationship Id="rId54" Type="http://schemas.openxmlformats.org/officeDocument/2006/relationships/hyperlink" Target="https://www.tinnhanhchungkhoan.vn/kinh-doanh-va-phat-trien-binh-duong-tdc-neu-lo-trinh-khac-phuc-co-phieu-bi-dua-vao-dien-canh-bao-post343181.html" TargetMode="External"/><Relationship Id="rId62" Type="http://schemas.openxmlformats.org/officeDocument/2006/relationships/hyperlink" Target="https://thitruongtaichinhtiente.vn/hose-them-2-co-phieu-bi-cat-margin-nang-tong-so-ma-bi-cat-margin-len-81-61888.html" TargetMode="External"/><Relationship Id="rId70" Type="http://schemas.openxmlformats.org/officeDocument/2006/relationships/hyperlink" Target="https://vneconomy.vn/den-cuoi-thang-8-da-co-95-ma-bi-cat-margin-tren-san-hose.htm" TargetMode="External"/><Relationship Id="rId75" Type="http://schemas.openxmlformats.org/officeDocument/2006/relationships/hyperlink" Target="https://baodautu.vn/manh-tay-voi-doanh-nghiep-tre-hen-cong-bo-thong-tin-d226123.html" TargetMode="External"/><Relationship Id="rId83" Type="http://schemas.openxmlformats.org/officeDocument/2006/relationships/comments" Target="../comments3.xml"/><Relationship Id="rId1" Type="http://schemas.openxmlformats.org/officeDocument/2006/relationships/hyperlink" Target="https://static2.vietstock.vn/vietstock/2024/12/13/20241213_20241212___danh_sach_bo_sung_khong_duoc_giao_dich_ky_quy_ryg.pdf" TargetMode="External"/><Relationship Id="rId6" Type="http://schemas.openxmlformats.org/officeDocument/2006/relationships/hyperlink" Target="https://baodautu.vn/co-phieu-dag-chinh-thuc-bi-huy-niem-yet-tu-ngay-2210-d227845.html" TargetMode="External"/><Relationship Id="rId15" Type="http://schemas.openxmlformats.org/officeDocument/2006/relationships/hyperlink" Target="https://cafef.vn/du-lieu/ckg-1831765/ckg-quyet-dinh-ve-viec-dua-co-phieu-vao-dien-kiem-soat.chn" TargetMode="External"/><Relationship Id="rId23" Type="http://schemas.openxmlformats.org/officeDocument/2006/relationships/hyperlink" Target="https://vietstock.vn/2024/04/hose-loai-bo-co-phieu-lgl-thuoc-chi-so-vnx-allshare-cua-bo-chi-so-vnxindex-830-1182155.htm" TargetMode="External"/><Relationship Id="rId28" Type="http://schemas.openxmlformats.org/officeDocument/2006/relationships/hyperlink" Target="https://vietstock.vn/2024/04/tsc-quyet-dinh-ve-viec-dua-co-phieu-vao-dien-kiem-soat-830-1174802.htm" TargetMode="External"/><Relationship Id="rId36" Type="http://schemas.openxmlformats.org/officeDocument/2006/relationships/hyperlink" Target="https://vietstock.vn/2024/09/co-phieu-drh-vao-dien-canh-bao-dinh-chi-giao-dich-830-1228955.htm" TargetMode="External"/><Relationship Id="rId49" Type="http://schemas.openxmlformats.org/officeDocument/2006/relationships/hyperlink" Target="https://kinhtemoitruong.vn/co-phieu-pit-cua-ctcp-xuat-nhap-khau-petrolimex-van-nam-trong-dien-canh-bao-92733.html" TargetMode="External"/><Relationship Id="rId57" Type="http://schemas.openxmlformats.org/officeDocument/2006/relationships/hyperlink" Target="https://thoibaotaichinhvietnam.vn/co-phieu-tpc-bi-dua-vao-dien-canh-bao-vi-bao-lo-hon-15-ty-dong-147399.html" TargetMode="External"/><Relationship Id="rId10" Type="http://schemas.openxmlformats.org/officeDocument/2006/relationships/hyperlink" Target="https://www.congluan.vn/cong-ty-may-50-nam-tuoi-garmex-sai-gon-gmc-chinh-thuc-bi-huy-niem-yet-33-trieu-co-phieu-post329360.html" TargetMode="External"/><Relationship Id="rId31" Type="http://schemas.openxmlformats.org/officeDocument/2006/relationships/hyperlink" Target="https://stockbiz.vn/tin-tuc/aph-vao-dien-canh-bao-va-giai-trinh-cua-an-phat-holdings/24680836" TargetMode="External"/><Relationship Id="rId44" Type="http://schemas.openxmlformats.org/officeDocument/2006/relationships/hyperlink" Target="https://vietstock.vn/2021/07/jvc-giai-trinh-gi-sau-khi-co-phieu-chuyen-sang-dien-kiem-soat-830-873846.htm" TargetMode="External"/><Relationship Id="rId52" Type="http://schemas.openxmlformats.org/officeDocument/2006/relationships/hyperlink" Target="https://doanhnhan.baophapluat.vn/co-phieu-srf-cua-cong-ty-searefico-duoc-giao-dich-toan-thoi-gian-tro-lai-tu-ngay-10022025-80607.html" TargetMode="External"/><Relationship Id="rId60" Type="http://schemas.openxmlformats.org/officeDocument/2006/relationships/hyperlink" Target="https://cafef.vn/du-lieu/aat-1995479/aat-quyet-dinh-ve-viec-chuyen-co-phieu-tu-dien-kiem-soat-sang-dien-han-che-giao-dich.chn" TargetMode="External"/><Relationship Id="rId65" Type="http://schemas.openxmlformats.org/officeDocument/2006/relationships/hyperlink" Target="https://vietstock.vn/2024/09/them-6-ma-bi-cat-margin-tren-hose-do-lo-rong-ban-nien-830-1225658.htm" TargetMode="External"/><Relationship Id="rId73" Type="http://schemas.openxmlformats.org/officeDocument/2006/relationships/hyperlink" Target="https://www.tinnhanhchungkhoan.vn/lo-2363-ty-dong-trong-nua-dau-nam-2024-co-phieu-saigonres-sgr-bi-cat-margin-post352937.html" TargetMode="External"/><Relationship Id="rId78" Type="http://schemas.openxmlformats.org/officeDocument/2006/relationships/hyperlink" Target="https://vtv.vn/kinh-te/hose-bo-sung-them-2-ma-co-phieu-bi-cat-margin-20241204170256868.htm" TargetMode="External"/><Relationship Id="rId81" Type="http://schemas.openxmlformats.org/officeDocument/2006/relationships/hyperlink" Target="https://nld.com.vn/kinh-te/danh-sach-86-co-phieu-bi-hose-cat-margin-trong-quy-cuoi-nam-20231004120643006.htm" TargetMode="External"/><Relationship Id="rId4" Type="http://schemas.openxmlformats.org/officeDocument/2006/relationships/hyperlink" Target="https://vietstock.vn/2024/04/co-phieu-scd-bi-huy-niem-yet-con-ac-mong-lo-van-deo-bam-737-1181426.htm" TargetMode="External"/><Relationship Id="rId9" Type="http://schemas.openxmlformats.org/officeDocument/2006/relationships/hyperlink" Target="https://vietstock.vn/2024/10/vi-pham-cong-bo-thong-tin-sjf-bi-huy-niem-yet-tu-0111-741-1240359.htm" TargetMode="External"/><Relationship Id="rId13" Type="http://schemas.openxmlformats.org/officeDocument/2006/relationships/hyperlink" Target="https://vietstock.vn/2024/06/gan-58-trieu-cp-cav-chinh-thuc-huy-niem-yet-tu-1807-quyen-loi-co-dong-duoc-dam-bao-the-nao-830-1199467.htm" TargetMode="External"/><Relationship Id="rId18" Type="http://schemas.openxmlformats.org/officeDocument/2006/relationships/hyperlink" Target="https://vietstock.vn/2024/10/dlg-lai-cham-thanh-toan-trai-phieu-co-phieu-truoc-nguy-co-bi-huy-niem-yet-3118-1233511.htm" TargetMode="External"/><Relationship Id="rId39" Type="http://schemas.openxmlformats.org/officeDocument/2006/relationships/hyperlink" Target="https://tuoitrethudo.vn/hoang-anh-gia-lai-khac-phuc-co-phieu-thuoc-dien-canh-bao-ra-sao-263265.html" TargetMode="External"/><Relationship Id="rId34" Type="http://schemas.openxmlformats.org/officeDocument/2006/relationships/hyperlink" Target="https://static2.vietstock.vn/vietstock/2024/9/5/20240905_20240905___c47___tb_ve_viec_giu_nguyen_co_phieu_o_dien_canh_bao.pdf" TargetMode="External"/><Relationship Id="rId50" Type="http://schemas.openxmlformats.org/officeDocument/2006/relationships/hyperlink" Target="https://vietstock.vn/2025/03/psh-bi-dinh-chi-giao-dich-830-1277376.htm" TargetMode="External"/><Relationship Id="rId55" Type="http://schemas.openxmlformats.org/officeDocument/2006/relationships/hyperlink" Target="https://phapluatplus.baophapluat.vn/co-phieu-tdh-cua-thuduc-house-duoc-ra-khoi-dien-han-che-giao-dich-79250.html" TargetMode="External"/><Relationship Id="rId76" Type="http://schemas.openxmlformats.org/officeDocument/2006/relationships/hyperlink" Target="https://doanhnhan.baophapluat.vn/co-phieu-tld-bi-hose-cho-vao-dien-canh-bao-76169.html" TargetMode="External"/><Relationship Id="rId7" Type="http://schemas.openxmlformats.org/officeDocument/2006/relationships/hyperlink" Target="https://vietstock.vn/2024/08/hbc-va-hng-chinh-thuc-bi-huy-niem-yet-tu-ngay-0609-830-1218158.htm" TargetMode="External"/><Relationship Id="rId71" Type="http://schemas.openxmlformats.org/officeDocument/2006/relationships/hyperlink" Target="https://vneconomy.vn/hose-yeu-cau-qcg-giai-trinh-viec-gia-co-phieu-co-5-phien-giam-san-lien-tiep.htm" TargetMode="External"/><Relationship Id="rId2" Type="http://schemas.openxmlformats.org/officeDocument/2006/relationships/hyperlink" Target="https://vietstock.vn/2024/04/gan-280-trieu-cp-pom-se-bi-huy-niem-yet-tu-ngay-1005-830-1177594.htm" TargetMode="External"/><Relationship Id="rId29" Type="http://schemas.openxmlformats.org/officeDocument/2006/relationships/hyperlink" Target="https://vietstock.vn/2024/05/tvb-khac-phuc-tinh-trang-chung-khoan-bi-kiem-soat-nhu-the-nao-830-1188572.htm" TargetMode="External"/><Relationship Id="rId24" Type="http://schemas.openxmlformats.org/officeDocument/2006/relationships/hyperlink" Target="https://vneconomy.vn/hose-dua-mot-loat-co-phieu-vao-dien-tu-kiem-soat-sang-dien-canh-bao.htm" TargetMode="External"/><Relationship Id="rId40" Type="http://schemas.openxmlformats.org/officeDocument/2006/relationships/hyperlink" Target="https://phapluatplus.baophapluat.vn/hose-dua-co-phieu-vne-va-hu1-vao-dien-canh-bao-198287.html" TargetMode="External"/><Relationship Id="rId45" Type="http://schemas.openxmlformats.org/officeDocument/2006/relationships/hyperlink" Target="https://mekongasean.vn/co-phieu-nvl-cua-novaland-bi-canh-bao-33480.html" TargetMode="External"/><Relationship Id="rId66" Type="http://schemas.openxmlformats.org/officeDocument/2006/relationships/hyperlink" Target="https://vietstock.vn/2024/09/them-6-ma-bi-cat-margin-tren-hose-do-lo-rong-ban-nien-830-1225658.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2779"/>
  <sheetViews>
    <sheetView tabSelected="1" zoomScale="55" zoomScaleNormal="55"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16" customWidth="1"/>
    <col min="2" max="2" width="5.33203125" customWidth="1"/>
    <col min="3" max="3" width="10.33203125" customWidth="1"/>
    <col min="4" max="4" width="62.21875" customWidth="1"/>
    <col min="6" max="6" width="16.77734375" customWidth="1"/>
    <col min="7" max="7" width="6.109375" customWidth="1"/>
    <col min="8" max="8" width="19.33203125" customWidth="1"/>
    <col min="9" max="10" width="20.77734375" customWidth="1"/>
    <col min="11" max="11" width="21.33203125" customWidth="1"/>
    <col min="12" max="12" width="21.44140625" customWidth="1"/>
    <col min="13" max="13" width="20.44140625" customWidth="1"/>
    <col min="14" max="14" width="21.33203125" customWidth="1"/>
    <col min="15" max="15" width="20.88671875" customWidth="1"/>
    <col min="16" max="17" width="18.33203125" customWidth="1"/>
    <col min="18" max="18" width="33.77734375" customWidth="1"/>
    <col min="19" max="22" width="27.6640625" customWidth="1"/>
    <col min="23" max="23" width="12.6640625" customWidth="1"/>
    <col min="24" max="24" width="19.77734375" customWidth="1"/>
    <col min="25" max="25" width="17.44140625" customWidth="1"/>
    <col min="26" max="26" width="27.6640625" customWidth="1"/>
    <col min="27" max="27" width="19.109375" customWidth="1"/>
    <col min="28" max="28" width="18.109375" customWidth="1"/>
    <col min="29" max="29" width="18" customWidth="1"/>
    <col min="30" max="30" width="21.6640625" customWidth="1"/>
    <col min="31" max="35" width="18" customWidth="1"/>
    <col min="36" max="36" width="55.109375" customWidth="1"/>
  </cols>
  <sheetData>
    <row r="1" spans="1:44" ht="84">
      <c r="A1" s="1" t="s">
        <v>0</v>
      </c>
      <c r="B1" s="1" t="s">
        <v>1</v>
      </c>
      <c r="C1" s="1" t="s">
        <v>2</v>
      </c>
      <c r="D1" s="1" t="s">
        <v>3</v>
      </c>
      <c r="E1" s="1" t="s">
        <v>4</v>
      </c>
      <c r="F1" s="2" t="s">
        <v>5</v>
      </c>
      <c r="G1" s="1" t="s">
        <v>6</v>
      </c>
      <c r="H1" s="3" t="s">
        <v>7</v>
      </c>
      <c r="I1" s="3" t="s">
        <v>8</v>
      </c>
      <c r="J1" s="3" t="s">
        <v>9</v>
      </c>
      <c r="K1" s="3" t="s">
        <v>10</v>
      </c>
      <c r="L1" s="3" t="s">
        <v>11</v>
      </c>
      <c r="M1" s="3" t="s">
        <v>12</v>
      </c>
      <c r="N1" s="3" t="s">
        <v>13</v>
      </c>
      <c r="O1" s="4" t="s">
        <v>14</v>
      </c>
      <c r="P1" s="5" t="s">
        <v>15</v>
      </c>
      <c r="Q1" s="5" t="s">
        <v>16</v>
      </c>
      <c r="R1" s="4" t="s">
        <v>17</v>
      </c>
      <c r="S1" s="6" t="s">
        <v>18</v>
      </c>
      <c r="T1" s="7" t="s">
        <v>19</v>
      </c>
      <c r="U1" s="6" t="s">
        <v>20</v>
      </c>
      <c r="V1" s="6" t="s">
        <v>21</v>
      </c>
      <c r="W1" s="8" t="s">
        <v>22</v>
      </c>
      <c r="X1" s="8" t="s">
        <v>23</v>
      </c>
      <c r="Y1" s="8" t="s">
        <v>24</v>
      </c>
      <c r="Z1" s="9" t="s">
        <v>25</v>
      </c>
      <c r="AA1" s="10" t="s">
        <v>26</v>
      </c>
      <c r="AB1" s="11" t="s">
        <v>27</v>
      </c>
      <c r="AC1" s="11" t="s">
        <v>28</v>
      </c>
      <c r="AD1" s="12" t="s">
        <v>29</v>
      </c>
      <c r="AE1" s="13" t="s">
        <v>30</v>
      </c>
      <c r="AF1" s="12" t="s">
        <v>31</v>
      </c>
      <c r="AG1" s="12" t="s">
        <v>32</v>
      </c>
      <c r="AH1" s="14" t="s">
        <v>33</v>
      </c>
      <c r="AI1" s="15" t="s">
        <v>34</v>
      </c>
      <c r="AJ1" s="5" t="s">
        <v>35</v>
      </c>
      <c r="AK1" s="5"/>
      <c r="AL1" s="16"/>
      <c r="AM1" s="16"/>
      <c r="AN1" s="16"/>
      <c r="AO1" s="16"/>
      <c r="AP1" s="16"/>
      <c r="AQ1" s="16"/>
      <c r="AR1" s="16"/>
    </row>
    <row r="2" spans="1:44" ht="16.8">
      <c r="A2" s="17" t="s">
        <v>36</v>
      </c>
      <c r="B2" s="18">
        <v>1</v>
      </c>
      <c r="C2" s="1" t="s">
        <v>37</v>
      </c>
      <c r="D2" s="19" t="s">
        <v>38</v>
      </c>
      <c r="E2" s="20" t="s">
        <v>39</v>
      </c>
      <c r="F2" s="21">
        <v>1993</v>
      </c>
      <c r="G2" s="22">
        <v>2021</v>
      </c>
      <c r="H2" s="23">
        <f>7509877000000+32349574000000+49818776000000</f>
        <v>89678227000000</v>
      </c>
      <c r="I2" s="23">
        <v>527769944000000</v>
      </c>
      <c r="J2" s="24">
        <v>482869035000000</v>
      </c>
      <c r="K2" s="23">
        <f>(J2+409081941000000)/2</f>
        <v>445975488000000</v>
      </c>
      <c r="L2" s="23">
        <v>482869035000000</v>
      </c>
      <c r="M2" s="23">
        <v>44900909000000</v>
      </c>
      <c r="N2" s="23">
        <v>4026460000000</v>
      </c>
      <c r="O2" s="25">
        <f t="shared" ref="O2:O256" si="0">H2-L2</f>
        <v>-393190808000000</v>
      </c>
      <c r="P2" s="23">
        <v>9602746000000</v>
      </c>
      <c r="Q2" s="23">
        <v>8229776000000</v>
      </c>
      <c r="R2" s="25">
        <f t="shared" ref="R2:R256" si="1">N2-Q2</f>
        <v>-4203316000000</v>
      </c>
      <c r="S2" s="26">
        <f t="shared" ref="S2:S256" si="2">J2/I2</f>
        <v>0.9149233306851593</v>
      </c>
      <c r="T2" s="27">
        <f t="shared" ref="T2:T256" si="3">H2/L2</f>
        <v>0.18571956472628234</v>
      </c>
      <c r="U2" s="26">
        <f t="shared" ref="U2:U256" si="4">LN(I2)</f>
        <v>33.899681592563489</v>
      </c>
      <c r="V2" s="26">
        <f t="shared" ref="V2:V256" si="5">N2/K2</f>
        <v>9.028433419192761E-3</v>
      </c>
      <c r="W2" s="28" t="s">
        <v>40</v>
      </c>
      <c r="X2" s="29">
        <v>19370</v>
      </c>
      <c r="Y2" s="28">
        <v>5651800</v>
      </c>
      <c r="Z2" s="30">
        <f t="shared" ref="Z2:Z256" si="6">X2*Y2</f>
        <v>109475366000</v>
      </c>
      <c r="AA2" s="31">
        <f t="shared" ref="AA2:AA256" si="7">G2-F2</f>
        <v>28</v>
      </c>
      <c r="AB2" s="32">
        <v>1.84E-2</v>
      </c>
      <c r="AC2" s="32">
        <v>2.58E-2</v>
      </c>
      <c r="AD2" s="33">
        <f t="shared" ref="AD2:AD256" si="8">O2/I2</f>
        <v>-0.74500416795239099</v>
      </c>
      <c r="AE2" s="34">
        <f t="shared" ref="AE2:AE256" si="9">P2/I2</f>
        <v>1.8194946698215159E-2</v>
      </c>
      <c r="AF2" s="33">
        <f t="shared" ref="AF2:AF256" si="10">R2/I2</f>
        <v>-7.9642958978353648E-3</v>
      </c>
      <c r="AG2" s="33">
        <f t="shared" ref="AG2:AG256" si="11">Z2/J2</f>
        <v>2.2671854698655506E-4</v>
      </c>
      <c r="AH2" s="35">
        <f t="shared" ref="AH2:AH256" si="12">N2/J2</f>
        <v>8.3386171159225402E-3</v>
      </c>
      <c r="AI2" s="36">
        <f t="shared" ref="AI2:AI256" si="13">1.2*AD2+1.4*AE2+3.3*AF2+0.6*AG2+1*AH2</f>
        <v>-0.88633960438411019</v>
      </c>
      <c r="AJ2" s="256" t="s">
        <v>41</v>
      </c>
      <c r="AK2" s="23"/>
      <c r="AL2" s="38"/>
      <c r="AM2" s="38"/>
      <c r="AN2" s="38"/>
      <c r="AO2" s="38"/>
      <c r="AP2" s="38"/>
      <c r="AQ2" s="38"/>
      <c r="AR2" s="38"/>
    </row>
    <row r="3" spans="1:44" ht="16.8">
      <c r="A3" s="17" t="s">
        <v>42</v>
      </c>
      <c r="B3" s="39"/>
      <c r="C3" s="1" t="s">
        <v>37</v>
      </c>
      <c r="D3" s="19" t="s">
        <v>38</v>
      </c>
      <c r="E3" s="20" t="s">
        <v>39</v>
      </c>
      <c r="F3" s="21">
        <v>1993</v>
      </c>
      <c r="G3" s="22">
        <v>2022</v>
      </c>
      <c r="H3" s="23">
        <f>8460883000000+13657531000000+85689411000000</f>
        <v>107807825000000</v>
      </c>
      <c r="I3" s="23">
        <v>607875185000000</v>
      </c>
      <c r="J3" s="24">
        <v>549436522000000</v>
      </c>
      <c r="K3" s="23">
        <f t="shared" ref="K3:K4" si="14">(J3+J2)/2</f>
        <v>516152778500000</v>
      </c>
      <c r="L3" s="24">
        <v>549702517000000</v>
      </c>
      <c r="M3" s="23">
        <v>58438663000000</v>
      </c>
      <c r="N3" s="23">
        <v>5057559000000</v>
      </c>
      <c r="O3" s="25">
        <f t="shared" si="0"/>
        <v>-441894692000000</v>
      </c>
      <c r="P3" s="23">
        <v>13688193000000</v>
      </c>
      <c r="Q3" s="23">
        <v>11605045000000</v>
      </c>
      <c r="R3" s="25">
        <f t="shared" si="1"/>
        <v>-6547486000000</v>
      </c>
      <c r="S3" s="26">
        <f t="shared" si="2"/>
        <v>0.90386404241851059</v>
      </c>
      <c r="T3" s="27">
        <f t="shared" si="3"/>
        <v>0.1961203044664247</v>
      </c>
      <c r="U3" s="26">
        <f t="shared" si="4"/>
        <v>34.040990688991336</v>
      </c>
      <c r="V3" s="26">
        <f t="shared" si="5"/>
        <v>9.7985697465348427E-3</v>
      </c>
      <c r="W3" s="28" t="s">
        <v>43</v>
      </c>
      <c r="X3" s="29">
        <v>15370</v>
      </c>
      <c r="Y3" s="28">
        <v>1340931</v>
      </c>
      <c r="Z3" s="30">
        <f t="shared" si="6"/>
        <v>20610109470</v>
      </c>
      <c r="AA3" s="31">
        <f t="shared" si="7"/>
        <v>29</v>
      </c>
      <c r="AB3" s="32">
        <v>3.15E-2</v>
      </c>
      <c r="AC3" s="32">
        <v>8.0199999999999994E-2</v>
      </c>
      <c r="AD3" s="33">
        <f t="shared" si="8"/>
        <v>-0.72694971419173826</v>
      </c>
      <c r="AE3" s="34">
        <f t="shared" si="9"/>
        <v>2.2518098020402E-2</v>
      </c>
      <c r="AF3" s="33">
        <f t="shared" si="10"/>
        <v>-1.0771102623641398E-2</v>
      </c>
      <c r="AG3" s="33">
        <f t="shared" si="11"/>
        <v>3.7511356898841176E-5</v>
      </c>
      <c r="AH3" s="35">
        <f t="shared" si="12"/>
        <v>9.20499238308734E-3</v>
      </c>
      <c r="AI3" s="36">
        <f t="shared" si="13"/>
        <v>-0.86713145926231305</v>
      </c>
      <c r="AJ3" s="257"/>
      <c r="AK3" s="23"/>
      <c r="AL3" s="38"/>
      <c r="AM3" s="38"/>
      <c r="AN3" s="38"/>
      <c r="AO3" s="38"/>
      <c r="AP3" s="38"/>
      <c r="AQ3" s="38"/>
      <c r="AR3" s="38"/>
    </row>
    <row r="4" spans="1:44" ht="16.8">
      <c r="A4" s="17" t="s">
        <v>44</v>
      </c>
      <c r="B4" s="18"/>
      <c r="C4" s="1" t="s">
        <v>37</v>
      </c>
      <c r="D4" s="19" t="s">
        <v>38</v>
      </c>
      <c r="E4" s="20" t="s">
        <v>39</v>
      </c>
      <c r="F4" s="21">
        <v>1993</v>
      </c>
      <c r="G4" s="40">
        <v>2023</v>
      </c>
      <c r="H4" s="23">
        <f>6909295000000+18504709000000+111175983000000</f>
        <v>136589987000000</v>
      </c>
      <c r="I4" s="23">
        <v>718794589000000</v>
      </c>
      <c r="J4" s="23">
        <v>647838628000000</v>
      </c>
      <c r="K4" s="23">
        <f t="shared" si="14"/>
        <v>598637575000000</v>
      </c>
      <c r="L4" s="23">
        <v>642463172000000</v>
      </c>
      <c r="M4" s="23">
        <v>70955961000000</v>
      </c>
      <c r="N4" s="23">
        <v>4945751000000</v>
      </c>
      <c r="O4" s="25">
        <f t="shared" si="0"/>
        <v>-505873185000000</v>
      </c>
      <c r="P4" s="23">
        <v>16044733000000</v>
      </c>
      <c r="Q4" s="23">
        <v>10874286000000</v>
      </c>
      <c r="R4" s="25">
        <f t="shared" si="1"/>
        <v>-5928535000000</v>
      </c>
      <c r="S4" s="26">
        <f t="shared" si="2"/>
        <v>0.90128478693931846</v>
      </c>
      <c r="T4" s="27">
        <f t="shared" si="3"/>
        <v>0.21260360586085081</v>
      </c>
      <c r="U4" s="26">
        <f t="shared" si="4"/>
        <v>34.208596742985463</v>
      </c>
      <c r="V4" s="26">
        <f t="shared" si="5"/>
        <v>8.2616781948577148E-3</v>
      </c>
      <c r="W4" s="41">
        <v>45889</v>
      </c>
      <c r="X4" s="42">
        <v>20080</v>
      </c>
      <c r="Y4" s="28">
        <v>9202991</v>
      </c>
      <c r="Z4" s="30">
        <f t="shared" si="6"/>
        <v>184796059280</v>
      </c>
      <c r="AA4" s="31">
        <f t="shared" si="7"/>
        <v>30</v>
      </c>
      <c r="AB4" s="32">
        <v>3.2500000000000001E-2</v>
      </c>
      <c r="AC4" s="32">
        <v>5.0500000000000003E-2</v>
      </c>
      <c r="AD4" s="33">
        <f t="shared" si="8"/>
        <v>-0.70377990143718239</v>
      </c>
      <c r="AE4" s="34">
        <f t="shared" si="9"/>
        <v>2.2321722012851715E-2</v>
      </c>
      <c r="AF4" s="33">
        <f t="shared" si="10"/>
        <v>-8.2478848487825777E-3</v>
      </c>
      <c r="AG4" s="33">
        <f t="shared" si="11"/>
        <v>2.8525013991601624E-4</v>
      </c>
      <c r="AH4" s="35">
        <f t="shared" si="12"/>
        <v>7.6342329497524185E-3</v>
      </c>
      <c r="AI4" s="36">
        <f t="shared" si="13"/>
        <v>-0.83269810787390686</v>
      </c>
      <c r="AJ4" s="257"/>
      <c r="AK4" s="23"/>
      <c r="AL4" s="38"/>
      <c r="AM4" s="38"/>
      <c r="AN4" s="38"/>
      <c r="AO4" s="38"/>
      <c r="AP4" s="38"/>
      <c r="AQ4" s="38"/>
      <c r="AR4" s="38"/>
    </row>
    <row r="5" spans="1:44" ht="16.8">
      <c r="A5" s="17" t="s">
        <v>45</v>
      </c>
      <c r="B5" s="18">
        <v>2</v>
      </c>
      <c r="C5" s="1" t="s">
        <v>46</v>
      </c>
      <c r="D5" s="19" t="s">
        <v>47</v>
      </c>
      <c r="E5" s="20" t="s">
        <v>39</v>
      </c>
      <c r="F5" s="21">
        <v>1996</v>
      </c>
      <c r="G5" s="40">
        <v>2021</v>
      </c>
      <c r="H5" s="23">
        <v>129506353503</v>
      </c>
      <c r="I5" s="23">
        <v>533824888800</v>
      </c>
      <c r="J5" s="23">
        <v>171328399500</v>
      </c>
      <c r="K5" s="23">
        <f>(J5+159727056260)/2</f>
        <v>165527727880</v>
      </c>
      <c r="L5" s="23">
        <v>171328399500</v>
      </c>
      <c r="M5" s="23">
        <v>362496489300</v>
      </c>
      <c r="N5" s="23">
        <v>0</v>
      </c>
      <c r="O5" s="25">
        <f t="shared" si="0"/>
        <v>-41822045997</v>
      </c>
      <c r="P5" s="23">
        <v>-12864133470</v>
      </c>
      <c r="Q5" s="23">
        <v>1107696370</v>
      </c>
      <c r="R5" s="25">
        <f t="shared" si="1"/>
        <v>-1107696370</v>
      </c>
      <c r="S5" s="26">
        <f t="shared" si="2"/>
        <v>0.32094494485847957</v>
      </c>
      <c r="T5" s="27">
        <f t="shared" si="3"/>
        <v>0.75589542586604275</v>
      </c>
      <c r="U5" s="26">
        <f t="shared" si="4"/>
        <v>27.003333698532401</v>
      </c>
      <c r="V5" s="26">
        <f t="shared" si="5"/>
        <v>0</v>
      </c>
      <c r="W5" s="43">
        <v>45750</v>
      </c>
      <c r="X5" s="42">
        <v>3400</v>
      </c>
      <c r="Y5" s="28">
        <v>5651800</v>
      </c>
      <c r="Z5" s="30">
        <f t="shared" si="6"/>
        <v>19216120000</v>
      </c>
      <c r="AA5" s="31">
        <f t="shared" si="7"/>
        <v>25</v>
      </c>
      <c r="AB5" s="32">
        <v>1.84E-2</v>
      </c>
      <c r="AC5" s="32">
        <v>2.58E-2</v>
      </c>
      <c r="AD5" s="33">
        <f t="shared" si="8"/>
        <v>-7.8344129085125558E-2</v>
      </c>
      <c r="AE5" s="34">
        <f t="shared" si="9"/>
        <v>-2.4098039900158359E-2</v>
      </c>
      <c r="AF5" s="33">
        <f t="shared" si="10"/>
        <v>-2.075018218970685E-3</v>
      </c>
      <c r="AG5" s="33">
        <f t="shared" si="11"/>
        <v>0.11215957223717601</v>
      </c>
      <c r="AH5" s="35">
        <f t="shared" si="12"/>
        <v>0</v>
      </c>
      <c r="AI5" s="36">
        <f t="shared" si="13"/>
        <v>-6.730202754267002E-2</v>
      </c>
      <c r="AJ5" s="23" t="s">
        <v>48</v>
      </c>
      <c r="AK5" s="23"/>
      <c r="AL5" s="38"/>
      <c r="AM5" s="38"/>
      <c r="AN5" s="38"/>
      <c r="AO5" s="38"/>
      <c r="AP5" s="38"/>
      <c r="AQ5" s="38"/>
      <c r="AR5" s="38"/>
    </row>
    <row r="6" spans="1:44" ht="16.8">
      <c r="A6" s="17" t="s">
        <v>49</v>
      </c>
      <c r="B6" s="39"/>
      <c r="C6" s="1" t="s">
        <v>46</v>
      </c>
      <c r="D6" s="19" t="s">
        <v>47</v>
      </c>
      <c r="E6" s="20" t="s">
        <v>39</v>
      </c>
      <c r="F6" s="21">
        <v>1996</v>
      </c>
      <c r="G6" s="40">
        <v>2022</v>
      </c>
      <c r="H6" s="23">
        <v>149714994357</v>
      </c>
      <c r="I6" s="23">
        <v>534699966339</v>
      </c>
      <c r="J6" s="23">
        <v>181784349044</v>
      </c>
      <c r="K6" s="23">
        <f t="shared" ref="K6:K7" si="15">(J6+J5)/2</f>
        <v>176556374272</v>
      </c>
      <c r="L6" s="23">
        <v>181784349044</v>
      </c>
      <c r="M6" s="23">
        <v>352915617295</v>
      </c>
      <c r="N6" s="23">
        <v>0</v>
      </c>
      <c r="O6" s="25">
        <f t="shared" si="0"/>
        <v>-32069354687</v>
      </c>
      <c r="P6" s="23">
        <v>-9580872005</v>
      </c>
      <c r="Q6" s="23">
        <v>572783436</v>
      </c>
      <c r="R6" s="25">
        <f t="shared" si="1"/>
        <v>-572783436</v>
      </c>
      <c r="S6" s="26">
        <f t="shared" si="2"/>
        <v>0.33997449128087032</v>
      </c>
      <c r="T6" s="27">
        <f t="shared" si="3"/>
        <v>0.8235857220071362</v>
      </c>
      <c r="U6" s="26">
        <f t="shared" si="4"/>
        <v>27.004971615948037</v>
      </c>
      <c r="V6" s="26">
        <f t="shared" si="5"/>
        <v>0</v>
      </c>
      <c r="W6" s="28" t="s">
        <v>50</v>
      </c>
      <c r="X6" s="29">
        <v>800</v>
      </c>
      <c r="Y6" s="28">
        <v>1340931</v>
      </c>
      <c r="Z6" s="30">
        <f t="shared" si="6"/>
        <v>1072744800</v>
      </c>
      <c r="AA6" s="31">
        <f t="shared" si="7"/>
        <v>26</v>
      </c>
      <c r="AB6" s="32">
        <v>3.15E-2</v>
      </c>
      <c r="AC6" s="32">
        <v>8.0199999999999994E-2</v>
      </c>
      <c r="AD6" s="33">
        <f t="shared" si="8"/>
        <v>-5.9976354415305903E-2</v>
      </c>
      <c r="AE6" s="34">
        <f t="shared" si="9"/>
        <v>-1.7918220699729245E-2</v>
      </c>
      <c r="AF6" s="33">
        <f t="shared" si="10"/>
        <v>-1.0712239986131868E-3</v>
      </c>
      <c r="AG6" s="33">
        <f t="shared" si="11"/>
        <v>5.9011944957942852E-3</v>
      </c>
      <c r="AH6" s="35">
        <f t="shared" si="12"/>
        <v>0</v>
      </c>
      <c r="AI6" s="36">
        <f t="shared" si="13"/>
        <v>-9.7051456775934963E-2</v>
      </c>
      <c r="AJ6" s="23" t="s">
        <v>51</v>
      </c>
      <c r="AK6" s="23"/>
      <c r="AL6" s="38"/>
      <c r="AM6" s="38"/>
      <c r="AN6" s="38"/>
      <c r="AO6" s="38"/>
      <c r="AP6" s="38"/>
      <c r="AQ6" s="38"/>
      <c r="AR6" s="38"/>
    </row>
    <row r="7" spans="1:44" ht="16.8">
      <c r="A7" s="17" t="s">
        <v>52</v>
      </c>
      <c r="B7" s="18"/>
      <c r="C7" s="1" t="s">
        <v>46</v>
      </c>
      <c r="D7" s="19" t="s">
        <v>47</v>
      </c>
      <c r="E7" s="20" t="s">
        <v>39</v>
      </c>
      <c r="F7" s="21">
        <v>1996</v>
      </c>
      <c r="G7" s="40">
        <v>2023</v>
      </c>
      <c r="H7" s="23">
        <v>167871707339</v>
      </c>
      <c r="I7" s="23">
        <v>533701264118</v>
      </c>
      <c r="J7" s="23">
        <v>190714168026</v>
      </c>
      <c r="K7" s="23">
        <f t="shared" si="15"/>
        <v>186249258535</v>
      </c>
      <c r="L7" s="23">
        <v>190714168026</v>
      </c>
      <c r="M7" s="23">
        <v>342987096092</v>
      </c>
      <c r="N7" s="23">
        <v>0</v>
      </c>
      <c r="O7" s="25">
        <f t="shared" si="0"/>
        <v>-22842460687</v>
      </c>
      <c r="P7" s="23">
        <v>-9928521203</v>
      </c>
      <c r="Q7" s="23">
        <v>1017418144</v>
      </c>
      <c r="R7" s="25">
        <f t="shared" si="1"/>
        <v>-1017418144</v>
      </c>
      <c r="S7" s="26">
        <f t="shared" si="2"/>
        <v>0.3573425450681218</v>
      </c>
      <c r="T7" s="27">
        <f t="shared" si="3"/>
        <v>0.88022672398473356</v>
      </c>
      <c r="U7" s="26">
        <f t="shared" si="4"/>
        <v>27.003102088876346</v>
      </c>
      <c r="V7" s="26">
        <f t="shared" si="5"/>
        <v>0</v>
      </c>
      <c r="W7" s="28" t="s">
        <v>53</v>
      </c>
      <c r="X7" s="29">
        <v>600</v>
      </c>
      <c r="Y7" s="28">
        <v>9202991</v>
      </c>
      <c r="Z7" s="30">
        <f t="shared" si="6"/>
        <v>5521794600</v>
      </c>
      <c r="AA7" s="31">
        <f t="shared" si="7"/>
        <v>27</v>
      </c>
      <c r="AB7" s="32">
        <v>3.2500000000000001E-2</v>
      </c>
      <c r="AC7" s="32">
        <v>5.0500000000000003E-2</v>
      </c>
      <c r="AD7" s="33">
        <f t="shared" si="8"/>
        <v>-4.2800087282441945E-2</v>
      </c>
      <c r="AE7" s="34">
        <f t="shared" si="9"/>
        <v>-1.8603143500902086E-2</v>
      </c>
      <c r="AF7" s="33">
        <f t="shared" si="10"/>
        <v>-1.9063438901187452E-3</v>
      </c>
      <c r="AG7" s="33">
        <f t="shared" si="11"/>
        <v>2.8953247979181158E-2</v>
      </c>
      <c r="AH7" s="35">
        <f t="shared" si="12"/>
        <v>0</v>
      </c>
      <c r="AI7" s="36">
        <f t="shared" si="13"/>
        <v>-6.6323491690076411E-2</v>
      </c>
      <c r="AJ7" s="23"/>
      <c r="AK7" s="23"/>
      <c r="AL7" s="44"/>
      <c r="AM7" s="44"/>
      <c r="AN7" s="44"/>
      <c r="AO7" s="44"/>
      <c r="AP7" s="44"/>
      <c r="AQ7" s="44"/>
      <c r="AR7" s="44"/>
    </row>
    <row r="8" spans="1:44" ht="16.8">
      <c r="A8" s="17" t="s">
        <v>54</v>
      </c>
      <c r="B8" s="18">
        <v>3</v>
      </c>
      <c r="C8" s="1" t="s">
        <v>55</v>
      </c>
      <c r="D8" s="19" t="s">
        <v>56</v>
      </c>
      <c r="E8" s="20" t="s">
        <v>39</v>
      </c>
      <c r="F8" s="21">
        <v>2007</v>
      </c>
      <c r="G8" s="40">
        <v>2021</v>
      </c>
      <c r="H8" s="23">
        <v>112733161889</v>
      </c>
      <c r="I8" s="23">
        <v>143816621765</v>
      </c>
      <c r="J8" s="23">
        <v>76922895348</v>
      </c>
      <c r="K8" s="23">
        <f>(J8+73778052965)/2</f>
        <v>75350474156.5</v>
      </c>
      <c r="L8" s="23">
        <v>76922895348</v>
      </c>
      <c r="M8" s="23">
        <v>66893726417</v>
      </c>
      <c r="N8" s="23">
        <v>299308198903</v>
      </c>
      <c r="O8" s="25">
        <f t="shared" si="0"/>
        <v>35810266541</v>
      </c>
      <c r="P8" s="23">
        <v>10390276667</v>
      </c>
      <c r="Q8" s="23">
        <f>85334708548+15458082586</f>
        <v>100792791134</v>
      </c>
      <c r="R8" s="25">
        <f t="shared" si="1"/>
        <v>198515407769</v>
      </c>
      <c r="S8" s="26">
        <f t="shared" si="2"/>
        <v>0.53486790611514956</v>
      </c>
      <c r="T8" s="27">
        <f t="shared" si="3"/>
        <v>1.4655345639161652</v>
      </c>
      <c r="U8" s="26">
        <f t="shared" si="4"/>
        <v>25.691804865017943</v>
      </c>
      <c r="V8" s="26">
        <f t="shared" si="5"/>
        <v>3.9722138746114393</v>
      </c>
      <c r="W8" s="28" t="s">
        <v>57</v>
      </c>
      <c r="X8" s="29">
        <v>16410</v>
      </c>
      <c r="Y8" s="28">
        <v>0</v>
      </c>
      <c r="Z8" s="30">
        <f t="shared" si="6"/>
        <v>0</v>
      </c>
      <c r="AA8" s="31">
        <f t="shared" si="7"/>
        <v>14</v>
      </c>
      <c r="AB8" s="32">
        <v>1.84E-2</v>
      </c>
      <c r="AC8" s="32">
        <v>2.58E-2</v>
      </c>
      <c r="AD8" s="33">
        <f t="shared" si="8"/>
        <v>0.24899949742606861</v>
      </c>
      <c r="AE8" s="34">
        <f t="shared" si="9"/>
        <v>7.2246702359467008E-2</v>
      </c>
      <c r="AF8" s="33">
        <f t="shared" si="10"/>
        <v>1.38033702455742</v>
      </c>
      <c r="AG8" s="33">
        <f t="shared" si="11"/>
        <v>0</v>
      </c>
      <c r="AH8" s="35">
        <f t="shared" si="12"/>
        <v>3.8910157703883415</v>
      </c>
      <c r="AI8" s="36">
        <f t="shared" si="13"/>
        <v>8.846072731642364</v>
      </c>
      <c r="AJ8" s="23"/>
      <c r="AK8" s="23"/>
      <c r="AL8" s="44"/>
      <c r="AM8" s="44"/>
      <c r="AN8" s="44"/>
      <c r="AO8" s="44"/>
      <c r="AP8" s="44"/>
      <c r="AQ8" s="44"/>
      <c r="AR8" s="44"/>
    </row>
    <row r="9" spans="1:44" ht="16.8">
      <c r="A9" s="17" t="s">
        <v>58</v>
      </c>
      <c r="B9" s="39"/>
      <c r="C9" s="1" t="s">
        <v>55</v>
      </c>
      <c r="D9" s="19" t="s">
        <v>56</v>
      </c>
      <c r="E9" s="20" t="s">
        <v>39</v>
      </c>
      <c r="F9" s="21">
        <v>2007</v>
      </c>
      <c r="G9" s="40">
        <v>2022</v>
      </c>
      <c r="H9" s="23">
        <v>127884585895</v>
      </c>
      <c r="I9" s="23">
        <v>161955513908</v>
      </c>
      <c r="J9" s="23">
        <v>89556758951</v>
      </c>
      <c r="K9" s="23">
        <f t="shared" ref="K9:K10" si="16">(J9+J8)/2</f>
        <v>83239827149.5</v>
      </c>
      <c r="L9" s="23">
        <v>89556758951</v>
      </c>
      <c r="M9" s="23">
        <v>72398754957</v>
      </c>
      <c r="N9" s="23">
        <v>390415031494</v>
      </c>
      <c r="O9" s="25">
        <f t="shared" si="0"/>
        <v>38327826944</v>
      </c>
      <c r="P9" s="23">
        <v>13152194273</v>
      </c>
      <c r="Q9" s="23">
        <f>104256533990+19698555558</f>
        <v>123955089548</v>
      </c>
      <c r="R9" s="25">
        <f t="shared" si="1"/>
        <v>266459941946</v>
      </c>
      <c r="S9" s="26">
        <f t="shared" si="2"/>
        <v>0.55297134867463271</v>
      </c>
      <c r="T9" s="27">
        <f t="shared" si="3"/>
        <v>1.4279724656513155</v>
      </c>
      <c r="U9" s="26">
        <f t="shared" si="4"/>
        <v>25.810587528961626</v>
      </c>
      <c r="V9" s="26">
        <f t="shared" si="5"/>
        <v>4.6902431788188199</v>
      </c>
      <c r="W9" s="28" t="s">
        <v>59</v>
      </c>
      <c r="X9" s="29">
        <v>15190</v>
      </c>
      <c r="Y9" s="28">
        <v>1300</v>
      </c>
      <c r="Z9" s="30">
        <f t="shared" si="6"/>
        <v>19747000</v>
      </c>
      <c r="AA9" s="31">
        <f t="shared" si="7"/>
        <v>15</v>
      </c>
      <c r="AB9" s="32">
        <v>3.15E-2</v>
      </c>
      <c r="AC9" s="32">
        <v>8.0199999999999994E-2</v>
      </c>
      <c r="AD9" s="33">
        <f t="shared" si="8"/>
        <v>0.23665651152681594</v>
      </c>
      <c r="AE9" s="34">
        <f t="shared" si="9"/>
        <v>8.1208684753216853E-2</v>
      </c>
      <c r="AF9" s="33">
        <f t="shared" si="10"/>
        <v>1.6452662556297064</v>
      </c>
      <c r="AG9" s="33">
        <f t="shared" si="11"/>
        <v>2.204970370891197E-4</v>
      </c>
      <c r="AH9" s="35">
        <f t="shared" si="12"/>
        <v>4.3594144771095538</v>
      </c>
      <c r="AI9" s="36">
        <f t="shared" si="13"/>
        <v>10.186605391396521</v>
      </c>
      <c r="AJ9" s="23"/>
      <c r="AK9" s="23"/>
      <c r="AL9" s="44"/>
      <c r="AM9" s="44"/>
      <c r="AN9" s="44"/>
      <c r="AO9" s="44"/>
      <c r="AP9" s="44"/>
      <c r="AQ9" s="44"/>
      <c r="AR9" s="44"/>
    </row>
    <row r="10" spans="1:44" ht="16.8">
      <c r="A10" s="17" t="s">
        <v>60</v>
      </c>
      <c r="B10" s="18"/>
      <c r="C10" s="1" t="s">
        <v>55</v>
      </c>
      <c r="D10" s="19" t="s">
        <v>56</v>
      </c>
      <c r="E10" s="20" t="s">
        <v>39</v>
      </c>
      <c r="F10" s="21">
        <v>2007</v>
      </c>
      <c r="G10" s="40">
        <v>2023</v>
      </c>
      <c r="H10" s="23">
        <v>133207366907</v>
      </c>
      <c r="I10" s="23">
        <v>162247976401</v>
      </c>
      <c r="J10" s="23">
        <v>84214754129</v>
      </c>
      <c r="K10" s="23">
        <f t="shared" si="16"/>
        <v>86885756540</v>
      </c>
      <c r="L10" s="23">
        <v>84214754129</v>
      </c>
      <c r="M10" s="23">
        <v>78033222272</v>
      </c>
      <c r="N10" s="23">
        <v>431661958216</v>
      </c>
      <c r="O10" s="25">
        <f t="shared" si="0"/>
        <v>48992612778</v>
      </c>
      <c r="P10" s="23">
        <v>14231810170</v>
      </c>
      <c r="Q10" s="23">
        <f>103836866327+20917595751</f>
        <v>124754462078</v>
      </c>
      <c r="R10" s="25">
        <f t="shared" si="1"/>
        <v>306907496138</v>
      </c>
      <c r="S10" s="26">
        <f t="shared" si="2"/>
        <v>0.51904964238728679</v>
      </c>
      <c r="T10" s="27">
        <f t="shared" si="3"/>
        <v>1.5817580694108921</v>
      </c>
      <c r="U10" s="26">
        <f t="shared" si="4"/>
        <v>25.812391720348057</v>
      </c>
      <c r="V10" s="26">
        <f t="shared" si="5"/>
        <v>4.9681556034707919</v>
      </c>
      <c r="W10" s="28" t="s">
        <v>61</v>
      </c>
      <c r="X10" s="29">
        <v>17170</v>
      </c>
      <c r="Y10" s="28">
        <v>520</v>
      </c>
      <c r="Z10" s="30">
        <f t="shared" si="6"/>
        <v>8928400</v>
      </c>
      <c r="AA10" s="31">
        <f t="shared" si="7"/>
        <v>16</v>
      </c>
      <c r="AB10" s="32">
        <v>3.2500000000000001E-2</v>
      </c>
      <c r="AC10" s="32">
        <v>5.0500000000000003E-2</v>
      </c>
      <c r="AD10" s="33">
        <f t="shared" si="8"/>
        <v>0.30196131788364194</v>
      </c>
      <c r="AE10" s="34">
        <f t="shared" si="9"/>
        <v>8.7716410926603608E-2</v>
      </c>
      <c r="AF10" s="33">
        <f t="shared" si="10"/>
        <v>1.8915952170612613</v>
      </c>
      <c r="AG10" s="33">
        <f t="shared" si="11"/>
        <v>1.0601942726476994E-4</v>
      </c>
      <c r="AH10" s="35">
        <f t="shared" si="12"/>
        <v>5.125728415175101</v>
      </c>
      <c r="AI10" s="36">
        <f t="shared" si="13"/>
        <v>11.853212799891239</v>
      </c>
      <c r="AJ10" s="23"/>
      <c r="AK10" s="23"/>
      <c r="AL10" s="44"/>
      <c r="AM10" s="44"/>
      <c r="AN10" s="44"/>
      <c r="AO10" s="44"/>
      <c r="AP10" s="44"/>
      <c r="AQ10" s="44"/>
      <c r="AR10" s="44"/>
    </row>
    <row r="11" spans="1:44" ht="16.8">
      <c r="A11" s="45"/>
      <c r="B11" s="45">
        <v>4</v>
      </c>
      <c r="C11" s="45" t="s">
        <v>62</v>
      </c>
      <c r="D11" s="46" t="s">
        <v>63</v>
      </c>
      <c r="E11" s="47" t="s">
        <v>39</v>
      </c>
      <c r="F11" s="48"/>
      <c r="G11" s="48"/>
      <c r="H11" s="49"/>
      <c r="I11" s="49"/>
      <c r="J11" s="49"/>
      <c r="K11" s="49"/>
      <c r="L11" s="49"/>
      <c r="M11" s="49"/>
      <c r="N11" s="49"/>
      <c r="O11" s="49">
        <f t="shared" si="0"/>
        <v>0</v>
      </c>
      <c r="P11" s="49"/>
      <c r="Q11" s="49"/>
      <c r="R11" s="49">
        <f t="shared" si="1"/>
        <v>0</v>
      </c>
      <c r="S11" s="50" t="e">
        <f t="shared" si="2"/>
        <v>#DIV/0!</v>
      </c>
      <c r="T11" s="51" t="e">
        <f t="shared" si="3"/>
        <v>#DIV/0!</v>
      </c>
      <c r="U11" s="50" t="e">
        <f t="shared" si="4"/>
        <v>#NUM!</v>
      </c>
      <c r="V11" s="50" t="e">
        <f t="shared" si="5"/>
        <v>#DIV/0!</v>
      </c>
      <c r="W11" s="52"/>
      <c r="X11" s="53">
        <v>0</v>
      </c>
      <c r="Y11" s="54"/>
      <c r="Z11" s="55">
        <f t="shared" si="6"/>
        <v>0</v>
      </c>
      <c r="AA11" s="48">
        <f t="shared" si="7"/>
        <v>0</v>
      </c>
      <c r="AB11" s="49"/>
      <c r="AC11" s="49"/>
      <c r="AD11" s="50" t="e">
        <f t="shared" si="8"/>
        <v>#DIV/0!</v>
      </c>
      <c r="AE11" s="56" t="e">
        <f t="shared" si="9"/>
        <v>#DIV/0!</v>
      </c>
      <c r="AF11" s="50" t="e">
        <f t="shared" si="10"/>
        <v>#DIV/0!</v>
      </c>
      <c r="AG11" s="50" t="e">
        <f t="shared" si="11"/>
        <v>#DIV/0!</v>
      </c>
      <c r="AH11" s="57" t="e">
        <f t="shared" si="12"/>
        <v>#DIV/0!</v>
      </c>
      <c r="AI11" s="58" t="e">
        <f t="shared" si="13"/>
        <v>#DIV/0!</v>
      </c>
      <c r="AJ11" s="49"/>
      <c r="AK11" s="49"/>
      <c r="AL11" s="59"/>
      <c r="AM11" s="59"/>
      <c r="AN11" s="59"/>
      <c r="AO11" s="59"/>
      <c r="AP11" s="59"/>
      <c r="AQ11" s="59"/>
      <c r="AR11" s="59"/>
    </row>
    <row r="12" spans="1:44" ht="16.8">
      <c r="A12" s="17" t="s">
        <v>64</v>
      </c>
      <c r="B12" s="18">
        <v>5</v>
      </c>
      <c r="C12" s="1" t="s">
        <v>65</v>
      </c>
      <c r="D12" s="19" t="s">
        <v>66</v>
      </c>
      <c r="E12" s="20" t="s">
        <v>39</v>
      </c>
      <c r="F12" s="21">
        <v>1989</v>
      </c>
      <c r="G12" s="40">
        <v>2021</v>
      </c>
      <c r="H12" s="23">
        <v>155703611540</v>
      </c>
      <c r="I12" s="23">
        <v>276575206242</v>
      </c>
      <c r="J12" s="23">
        <v>61594537161</v>
      </c>
      <c r="K12" s="23">
        <f>(J12+78760246362)/2</f>
        <v>70177391761.5</v>
      </c>
      <c r="L12" s="23">
        <v>58763653544</v>
      </c>
      <c r="M12" s="23">
        <v>214980576203</v>
      </c>
      <c r="N12" s="23">
        <v>224346045177</v>
      </c>
      <c r="O12" s="25">
        <f t="shared" si="0"/>
        <v>96939957996</v>
      </c>
      <c r="P12" s="23">
        <v>5260993498</v>
      </c>
      <c r="Q12" s="23">
        <f>11820929605+20751335506</f>
        <v>32572265111</v>
      </c>
      <c r="R12" s="25">
        <f t="shared" si="1"/>
        <v>191773780066</v>
      </c>
      <c r="S12" s="26">
        <f t="shared" si="2"/>
        <v>0.22270447882123431</v>
      </c>
      <c r="T12" s="27">
        <f t="shared" si="3"/>
        <v>2.6496584563690382</v>
      </c>
      <c r="U12" s="26">
        <f t="shared" si="4"/>
        <v>26.345748614567189</v>
      </c>
      <c r="V12" s="26">
        <f t="shared" si="5"/>
        <v>3.1968421673385476</v>
      </c>
      <c r="W12" s="28" t="s">
        <v>67</v>
      </c>
      <c r="X12" s="29">
        <v>17620</v>
      </c>
      <c r="Y12" s="28">
        <v>0</v>
      </c>
      <c r="Z12" s="30">
        <f t="shared" si="6"/>
        <v>0</v>
      </c>
      <c r="AA12" s="31">
        <f t="shared" si="7"/>
        <v>32</v>
      </c>
      <c r="AB12" s="32">
        <v>1.84E-2</v>
      </c>
      <c r="AC12" s="32">
        <v>2.58E-2</v>
      </c>
      <c r="AD12" s="33">
        <f t="shared" si="8"/>
        <v>0.35050125899997953</v>
      </c>
      <c r="AE12" s="34">
        <f t="shared" si="9"/>
        <v>1.9021927415274868E-2</v>
      </c>
      <c r="AF12" s="33">
        <f t="shared" si="10"/>
        <v>0.69338746112404681</v>
      </c>
      <c r="AG12" s="33">
        <f t="shared" si="11"/>
        <v>0</v>
      </c>
      <c r="AH12" s="35">
        <f t="shared" si="12"/>
        <v>3.6423042613436483</v>
      </c>
      <c r="AI12" s="36">
        <f t="shared" si="13"/>
        <v>6.3777150922343626</v>
      </c>
      <c r="AJ12" s="23"/>
      <c r="AK12" s="23"/>
      <c r="AL12" s="44"/>
      <c r="AM12" s="44"/>
      <c r="AN12" s="44"/>
      <c r="AO12" s="44"/>
      <c r="AP12" s="44"/>
      <c r="AQ12" s="44"/>
      <c r="AR12" s="44"/>
    </row>
    <row r="13" spans="1:44" ht="16.8">
      <c r="A13" s="17" t="s">
        <v>68</v>
      </c>
      <c r="B13" s="39"/>
      <c r="C13" s="1" t="s">
        <v>65</v>
      </c>
      <c r="D13" s="19" t="s">
        <v>66</v>
      </c>
      <c r="E13" s="20" t="s">
        <v>39</v>
      </c>
      <c r="F13" s="21">
        <v>1989</v>
      </c>
      <c r="G13" s="40">
        <v>2022</v>
      </c>
      <c r="H13" s="23">
        <v>198634603582</v>
      </c>
      <c r="I13" s="23">
        <v>312303334849</v>
      </c>
      <c r="J13" s="23">
        <v>93041519572</v>
      </c>
      <c r="K13" s="23">
        <f t="shared" ref="K13:K14" si="17">(J13+J12)/2</f>
        <v>77318028366.5</v>
      </c>
      <c r="L13" s="23">
        <v>89659584401</v>
      </c>
      <c r="M13" s="23">
        <v>219261815277</v>
      </c>
      <c r="N13" s="23">
        <v>261691896195</v>
      </c>
      <c r="O13" s="25">
        <f t="shared" si="0"/>
        <v>108975019181</v>
      </c>
      <c r="P13" s="23">
        <v>9432070824</v>
      </c>
      <c r="Q13" s="23">
        <f>11877062483+22686702883</f>
        <v>34563765366</v>
      </c>
      <c r="R13" s="25">
        <f t="shared" si="1"/>
        <v>227128130829</v>
      </c>
      <c r="S13" s="26">
        <f t="shared" si="2"/>
        <v>0.29792035239388648</v>
      </c>
      <c r="T13" s="27">
        <f t="shared" si="3"/>
        <v>2.2154307864467926</v>
      </c>
      <c r="U13" s="26">
        <f t="shared" si="4"/>
        <v>26.467240779529376</v>
      </c>
      <c r="V13" s="26">
        <f t="shared" si="5"/>
        <v>3.3846167798606808</v>
      </c>
      <c r="W13" s="28" t="s">
        <v>69</v>
      </c>
      <c r="X13" s="29">
        <v>12540</v>
      </c>
      <c r="Y13" s="28">
        <v>3407</v>
      </c>
      <c r="Z13" s="30">
        <f t="shared" si="6"/>
        <v>42723780</v>
      </c>
      <c r="AA13" s="31">
        <f t="shared" si="7"/>
        <v>33</v>
      </c>
      <c r="AB13" s="32">
        <v>3.15E-2</v>
      </c>
      <c r="AC13" s="32">
        <v>8.0199999999999994E-2</v>
      </c>
      <c r="AD13" s="33">
        <f t="shared" si="8"/>
        <v>0.34893965904555546</v>
      </c>
      <c r="AE13" s="34">
        <f t="shared" si="9"/>
        <v>3.02016333849283E-2</v>
      </c>
      <c r="AF13" s="33">
        <f t="shared" si="10"/>
        <v>0.72726770893694559</v>
      </c>
      <c r="AG13" s="33">
        <f t="shared" si="11"/>
        <v>4.5919047965396016E-4</v>
      </c>
      <c r="AH13" s="35">
        <f t="shared" si="12"/>
        <v>2.8126356641508874</v>
      </c>
      <c r="AI13" s="36">
        <f t="shared" si="13"/>
        <v>5.673904495524166</v>
      </c>
      <c r="AJ13" s="23"/>
      <c r="AK13" s="23"/>
      <c r="AL13" s="44"/>
      <c r="AM13" s="44"/>
      <c r="AN13" s="44"/>
      <c r="AO13" s="44"/>
      <c r="AP13" s="44"/>
      <c r="AQ13" s="44"/>
      <c r="AR13" s="44"/>
    </row>
    <row r="14" spans="1:44" ht="16.8">
      <c r="A14" s="17" t="s">
        <v>70</v>
      </c>
      <c r="B14" s="18"/>
      <c r="C14" s="1" t="s">
        <v>65</v>
      </c>
      <c r="D14" s="19" t="s">
        <v>66</v>
      </c>
      <c r="E14" s="20" t="s">
        <v>39</v>
      </c>
      <c r="F14" s="21">
        <v>1989</v>
      </c>
      <c r="G14" s="40">
        <v>2023</v>
      </c>
      <c r="H14" s="23">
        <v>184029658367</v>
      </c>
      <c r="I14" s="23">
        <v>326741213834</v>
      </c>
      <c r="J14" s="23">
        <v>106196667651</v>
      </c>
      <c r="K14" s="23">
        <f t="shared" si="17"/>
        <v>99619093611.5</v>
      </c>
      <c r="L14" s="23">
        <v>104279414370</v>
      </c>
      <c r="M14" s="23">
        <v>220544546183</v>
      </c>
      <c r="N14" s="23">
        <v>304082597574</v>
      </c>
      <c r="O14" s="25">
        <f t="shared" si="0"/>
        <v>79750243997</v>
      </c>
      <c r="P14" s="23">
        <v>7019439906</v>
      </c>
      <c r="Q14" s="23">
        <f>12370887138+26025040571</f>
        <v>38395927709</v>
      </c>
      <c r="R14" s="25">
        <f t="shared" si="1"/>
        <v>265686669865</v>
      </c>
      <c r="S14" s="26">
        <f t="shared" si="2"/>
        <v>0.32501766889117617</v>
      </c>
      <c r="T14" s="27">
        <f t="shared" si="3"/>
        <v>1.7647745672413675</v>
      </c>
      <c r="U14" s="26">
        <f t="shared" si="4"/>
        <v>26.512434299522265</v>
      </c>
      <c r="V14" s="26">
        <f t="shared" si="5"/>
        <v>3.0524529640861617</v>
      </c>
      <c r="W14" s="28" t="s">
        <v>71</v>
      </c>
      <c r="X14" s="29">
        <v>12500</v>
      </c>
      <c r="Y14" s="28">
        <v>300</v>
      </c>
      <c r="Z14" s="30">
        <f t="shared" si="6"/>
        <v>3750000</v>
      </c>
      <c r="AA14" s="31">
        <f t="shared" si="7"/>
        <v>34</v>
      </c>
      <c r="AB14" s="32">
        <v>3.2500000000000001E-2</v>
      </c>
      <c r="AC14" s="32">
        <v>5.0500000000000003E-2</v>
      </c>
      <c r="AD14" s="33">
        <f t="shared" si="8"/>
        <v>0.24407770008933399</v>
      </c>
      <c r="AE14" s="34">
        <f t="shared" si="9"/>
        <v>2.1483178762891565E-2</v>
      </c>
      <c r="AF14" s="33">
        <f t="shared" si="10"/>
        <v>0.81314097706688881</v>
      </c>
      <c r="AG14" s="33">
        <f t="shared" si="11"/>
        <v>3.5311842480065692E-5</v>
      </c>
      <c r="AH14" s="35">
        <f t="shared" si="12"/>
        <v>2.8633911430566119</v>
      </c>
      <c r="AI14" s="36">
        <f t="shared" si="13"/>
        <v>5.8697472448580816</v>
      </c>
      <c r="AJ14" s="23"/>
      <c r="AK14" s="23"/>
      <c r="AL14" s="44"/>
      <c r="AM14" s="44"/>
      <c r="AN14" s="44"/>
      <c r="AO14" s="44"/>
      <c r="AP14" s="44"/>
      <c r="AQ14" s="44"/>
      <c r="AR14" s="44"/>
    </row>
    <row r="15" spans="1:44" ht="16.8">
      <c r="A15" s="45"/>
      <c r="B15" s="45">
        <v>6</v>
      </c>
      <c r="C15" s="45" t="s">
        <v>72</v>
      </c>
      <c r="D15" s="46" t="s">
        <v>73</v>
      </c>
      <c r="E15" s="47" t="s">
        <v>39</v>
      </c>
      <c r="F15" s="48"/>
      <c r="G15" s="48"/>
      <c r="H15" s="49"/>
      <c r="I15" s="49"/>
      <c r="J15" s="49"/>
      <c r="K15" s="49"/>
      <c r="L15" s="49"/>
      <c r="M15" s="49"/>
      <c r="N15" s="49"/>
      <c r="O15" s="49">
        <f t="shared" si="0"/>
        <v>0</v>
      </c>
      <c r="P15" s="49"/>
      <c r="Q15" s="49"/>
      <c r="R15" s="49">
        <f t="shared" si="1"/>
        <v>0</v>
      </c>
      <c r="S15" s="50" t="e">
        <f t="shared" si="2"/>
        <v>#DIV/0!</v>
      </c>
      <c r="T15" s="51" t="e">
        <f t="shared" si="3"/>
        <v>#DIV/0!</v>
      </c>
      <c r="U15" s="50" t="e">
        <f t="shared" si="4"/>
        <v>#NUM!</v>
      </c>
      <c r="V15" s="50" t="e">
        <f t="shared" si="5"/>
        <v>#DIV/0!</v>
      </c>
      <c r="W15" s="52"/>
      <c r="X15" s="53">
        <v>0</v>
      </c>
      <c r="Y15" s="54"/>
      <c r="Z15" s="55">
        <f t="shared" si="6"/>
        <v>0</v>
      </c>
      <c r="AA15" s="48">
        <f t="shared" si="7"/>
        <v>0</v>
      </c>
      <c r="AB15" s="49"/>
      <c r="AC15" s="49"/>
      <c r="AD15" s="50" t="e">
        <f t="shared" si="8"/>
        <v>#DIV/0!</v>
      </c>
      <c r="AE15" s="56" t="e">
        <f t="shared" si="9"/>
        <v>#DIV/0!</v>
      </c>
      <c r="AF15" s="50" t="e">
        <f t="shared" si="10"/>
        <v>#DIV/0!</v>
      </c>
      <c r="AG15" s="50" t="e">
        <f t="shared" si="11"/>
        <v>#DIV/0!</v>
      </c>
      <c r="AH15" s="57" t="e">
        <f t="shared" si="12"/>
        <v>#DIV/0!</v>
      </c>
      <c r="AI15" s="58" t="e">
        <f t="shared" si="13"/>
        <v>#DIV/0!</v>
      </c>
      <c r="AJ15" s="49"/>
      <c r="AK15" s="49"/>
      <c r="AL15" s="59"/>
      <c r="AM15" s="59"/>
      <c r="AN15" s="59"/>
      <c r="AO15" s="59"/>
      <c r="AP15" s="59"/>
      <c r="AQ15" s="59"/>
      <c r="AR15" s="59"/>
    </row>
    <row r="16" spans="1:44" ht="16.8">
      <c r="A16" s="17" t="s">
        <v>74</v>
      </c>
      <c r="B16" s="18">
        <v>7</v>
      </c>
      <c r="C16" s="1" t="s">
        <v>75</v>
      </c>
      <c r="D16" s="19" t="s">
        <v>76</v>
      </c>
      <c r="E16" s="20" t="s">
        <v>39</v>
      </c>
      <c r="F16" s="21">
        <v>2007</v>
      </c>
      <c r="G16" s="40">
        <v>2021</v>
      </c>
      <c r="H16" s="23">
        <v>41961241806</v>
      </c>
      <c r="I16" s="23">
        <v>85504247036</v>
      </c>
      <c r="J16" s="23">
        <v>35144339247</v>
      </c>
      <c r="K16" s="23">
        <f>(J16+45689741755)/2</f>
        <v>40417040501</v>
      </c>
      <c r="L16" s="23">
        <v>31517272038</v>
      </c>
      <c r="M16" s="23">
        <v>50359907789</v>
      </c>
      <c r="N16" s="23">
        <v>157803608857</v>
      </c>
      <c r="O16" s="25">
        <f t="shared" si="0"/>
        <v>10443969768</v>
      </c>
      <c r="P16" s="23">
        <v>7079045972</v>
      </c>
      <c r="Q16" s="23">
        <f>53873236823+8351115404</f>
        <v>62224352227</v>
      </c>
      <c r="R16" s="25">
        <f t="shared" si="1"/>
        <v>95579256630</v>
      </c>
      <c r="S16" s="26">
        <f t="shared" si="2"/>
        <v>0.4110244866807975</v>
      </c>
      <c r="T16" s="27">
        <f t="shared" si="3"/>
        <v>1.3313728978639976</v>
      </c>
      <c r="U16" s="26">
        <f t="shared" si="4"/>
        <v>25.171831884591139</v>
      </c>
      <c r="V16" s="26">
        <f t="shared" si="5"/>
        <v>3.9043830745869585</v>
      </c>
      <c r="W16" s="28" t="s">
        <v>77</v>
      </c>
      <c r="X16" s="29">
        <v>19230</v>
      </c>
      <c r="Y16" s="28">
        <v>3800</v>
      </c>
      <c r="Z16" s="30">
        <f t="shared" si="6"/>
        <v>73074000</v>
      </c>
      <c r="AA16" s="31">
        <f t="shared" si="7"/>
        <v>14</v>
      </c>
      <c r="AB16" s="32">
        <v>1.84E-2</v>
      </c>
      <c r="AC16" s="32">
        <v>2.58E-2</v>
      </c>
      <c r="AD16" s="33">
        <f t="shared" si="8"/>
        <v>0.12214562586116638</v>
      </c>
      <c r="AE16" s="34">
        <f t="shared" si="9"/>
        <v>8.2791746812523798E-2</v>
      </c>
      <c r="AF16" s="33">
        <f t="shared" si="10"/>
        <v>1.1178305165327997</v>
      </c>
      <c r="AG16" s="33">
        <f t="shared" si="11"/>
        <v>2.0792537735999051E-3</v>
      </c>
      <c r="AH16" s="35">
        <f t="shared" si="12"/>
        <v>4.4901572269699299</v>
      </c>
      <c r="AI16" s="36">
        <f t="shared" si="13"/>
        <v>8.4427286803632615</v>
      </c>
      <c r="AJ16" s="23"/>
      <c r="AK16" s="23"/>
      <c r="AL16" s="44"/>
      <c r="AM16" s="44"/>
      <c r="AN16" s="44"/>
      <c r="AO16" s="44"/>
      <c r="AP16" s="44"/>
      <c r="AQ16" s="44"/>
      <c r="AR16" s="44"/>
    </row>
    <row r="17" spans="1:44" ht="16.8">
      <c r="A17" s="17" t="s">
        <v>78</v>
      </c>
      <c r="B17" s="39"/>
      <c r="C17" s="1" t="s">
        <v>75</v>
      </c>
      <c r="D17" s="19" t="s">
        <v>76</v>
      </c>
      <c r="E17" s="20" t="s">
        <v>39</v>
      </c>
      <c r="F17" s="21">
        <v>2007</v>
      </c>
      <c r="G17" s="40">
        <v>2022</v>
      </c>
      <c r="H17" s="23">
        <v>36441682854</v>
      </c>
      <c r="I17" s="23">
        <v>74875430215</v>
      </c>
      <c r="J17" s="23">
        <v>24903955254</v>
      </c>
      <c r="K17" s="23">
        <f t="shared" ref="K17:K18" si="18">(J17+J16)/2</f>
        <v>30024147250.5</v>
      </c>
      <c r="L17" s="23">
        <v>21716534213</v>
      </c>
      <c r="M17" s="23">
        <v>49971474961</v>
      </c>
      <c r="N17" s="23">
        <v>165171459239</v>
      </c>
      <c r="O17" s="25">
        <f t="shared" si="0"/>
        <v>14725148641</v>
      </c>
      <c r="P17" s="23">
        <v>6319471769</v>
      </c>
      <c r="Q17" s="23">
        <f>58574319378+9083070693</f>
        <v>67657390071</v>
      </c>
      <c r="R17" s="25">
        <f t="shared" si="1"/>
        <v>97514069168</v>
      </c>
      <c r="S17" s="26">
        <f t="shared" si="2"/>
        <v>0.33260517078152191</v>
      </c>
      <c r="T17" s="27">
        <f t="shared" si="3"/>
        <v>1.6780616325134052</v>
      </c>
      <c r="U17" s="26">
        <f t="shared" si="4"/>
        <v>25.039091639141812</v>
      </c>
      <c r="V17" s="26">
        <f t="shared" si="5"/>
        <v>5.501287275902544</v>
      </c>
      <c r="W17" s="28" t="s">
        <v>79</v>
      </c>
      <c r="X17" s="29">
        <v>19530</v>
      </c>
      <c r="Y17" s="28">
        <v>0</v>
      </c>
      <c r="Z17" s="30">
        <f t="shared" si="6"/>
        <v>0</v>
      </c>
      <c r="AA17" s="31">
        <f t="shared" si="7"/>
        <v>15</v>
      </c>
      <c r="AB17" s="32">
        <v>3.15E-2</v>
      </c>
      <c r="AC17" s="32">
        <v>8.0199999999999994E-2</v>
      </c>
      <c r="AD17" s="33">
        <f t="shared" si="8"/>
        <v>0.19666195704943101</v>
      </c>
      <c r="AE17" s="34">
        <f t="shared" si="9"/>
        <v>8.4399805795493152E-2</v>
      </c>
      <c r="AF17" s="33">
        <f t="shared" si="10"/>
        <v>1.3023507028673438</v>
      </c>
      <c r="AG17" s="33">
        <f t="shared" si="11"/>
        <v>0</v>
      </c>
      <c r="AH17" s="35">
        <f t="shared" si="12"/>
        <v>6.6323384199170787</v>
      </c>
      <c r="AI17" s="36">
        <f t="shared" si="13"/>
        <v>11.284249815952322</v>
      </c>
      <c r="AJ17" s="23"/>
      <c r="AK17" s="23"/>
      <c r="AL17" s="44"/>
      <c r="AM17" s="44"/>
      <c r="AN17" s="44"/>
      <c r="AO17" s="44"/>
      <c r="AP17" s="44"/>
      <c r="AQ17" s="44"/>
      <c r="AR17" s="44"/>
    </row>
    <row r="18" spans="1:44" ht="16.8">
      <c r="A18" s="17" t="s">
        <v>80</v>
      </c>
      <c r="B18" s="18"/>
      <c r="C18" s="1" t="s">
        <v>75</v>
      </c>
      <c r="D18" s="19" t="s">
        <v>76</v>
      </c>
      <c r="E18" s="20" t="s">
        <v>39</v>
      </c>
      <c r="F18" s="21">
        <v>2007</v>
      </c>
      <c r="G18" s="40">
        <v>2023</v>
      </c>
      <c r="H18" s="23">
        <v>41611827920</v>
      </c>
      <c r="I18" s="23">
        <v>78361908165</v>
      </c>
      <c r="J18" s="23">
        <v>27168900820</v>
      </c>
      <c r="K18" s="23">
        <f t="shared" si="18"/>
        <v>26036428037</v>
      </c>
      <c r="L18" s="23">
        <v>24374802203</v>
      </c>
      <c r="M18" s="23">
        <v>51193007345</v>
      </c>
      <c r="N18" s="23">
        <v>146862618091</v>
      </c>
      <c r="O18" s="25">
        <f t="shared" si="0"/>
        <v>17237025717</v>
      </c>
      <c r="P18" s="23">
        <v>6436466355</v>
      </c>
      <c r="Q18" s="23">
        <f>44054880931+8829516723</f>
        <v>52884397654</v>
      </c>
      <c r="R18" s="25">
        <f t="shared" si="1"/>
        <v>93978220437</v>
      </c>
      <c r="S18" s="26">
        <f t="shared" si="2"/>
        <v>0.34671055690467312</v>
      </c>
      <c r="T18" s="27">
        <f t="shared" si="3"/>
        <v>1.7071657678878929</v>
      </c>
      <c r="U18" s="26">
        <f t="shared" si="4"/>
        <v>25.084603780989664</v>
      </c>
      <c r="V18" s="26">
        <f t="shared" si="5"/>
        <v>5.6406592287657737</v>
      </c>
      <c r="W18" s="28" t="s">
        <v>81</v>
      </c>
      <c r="X18" s="29">
        <v>15930</v>
      </c>
      <c r="Y18" s="28">
        <v>0</v>
      </c>
      <c r="Z18" s="30">
        <f t="shared" si="6"/>
        <v>0</v>
      </c>
      <c r="AA18" s="31">
        <f t="shared" si="7"/>
        <v>16</v>
      </c>
      <c r="AB18" s="32">
        <v>3.2500000000000001E-2</v>
      </c>
      <c r="AC18" s="32">
        <v>5.0500000000000003E-2</v>
      </c>
      <c r="AD18" s="33">
        <f t="shared" si="8"/>
        <v>0.21996689616982606</v>
      </c>
      <c r="AE18" s="34">
        <f t="shared" si="9"/>
        <v>8.2137692990416733E-2</v>
      </c>
      <c r="AF18" s="33">
        <f t="shared" si="10"/>
        <v>1.1992844819337229</v>
      </c>
      <c r="AG18" s="33">
        <f t="shared" si="11"/>
        <v>0</v>
      </c>
      <c r="AH18" s="35">
        <f t="shared" si="12"/>
        <v>5.4055413969080846</v>
      </c>
      <c r="AI18" s="36">
        <f t="shared" si="13"/>
        <v>9.7421332328797448</v>
      </c>
      <c r="AJ18" s="23"/>
      <c r="AK18" s="23"/>
      <c r="AL18" s="44"/>
      <c r="AM18" s="44"/>
      <c r="AN18" s="44"/>
      <c r="AO18" s="44"/>
      <c r="AP18" s="44"/>
      <c r="AQ18" s="44"/>
      <c r="AR18" s="44"/>
    </row>
    <row r="19" spans="1:44" ht="16.8">
      <c r="A19" s="17" t="s">
        <v>82</v>
      </c>
      <c r="B19" s="18">
        <v>8</v>
      </c>
      <c r="C19" s="1" t="s">
        <v>83</v>
      </c>
      <c r="D19" s="19" t="s">
        <v>84</v>
      </c>
      <c r="E19" s="20" t="s">
        <v>39</v>
      </c>
      <c r="F19" s="21">
        <v>1995</v>
      </c>
      <c r="G19" s="40">
        <v>2021</v>
      </c>
      <c r="H19" s="23">
        <v>1589820590326</v>
      </c>
      <c r="I19" s="23">
        <v>2903269526862</v>
      </c>
      <c r="J19" s="23">
        <v>2558220962608</v>
      </c>
      <c r="K19" s="23">
        <f>(J19+1748927712403)/2</f>
        <v>2153574337505.5</v>
      </c>
      <c r="L19" s="23">
        <v>1270712200983</v>
      </c>
      <c r="M19" s="23">
        <v>345048564254</v>
      </c>
      <c r="N19" s="23">
        <v>1784702868306</v>
      </c>
      <c r="O19" s="25">
        <f t="shared" si="0"/>
        <v>319108389343</v>
      </c>
      <c r="P19" s="23">
        <v>20908368641</v>
      </c>
      <c r="Q19" s="23">
        <v>26246085124</v>
      </c>
      <c r="R19" s="25">
        <f t="shared" si="1"/>
        <v>1758456783182</v>
      </c>
      <c r="S19" s="26">
        <f t="shared" si="2"/>
        <v>0.88115172874529979</v>
      </c>
      <c r="T19" s="27">
        <f t="shared" si="3"/>
        <v>1.2511256200232779</v>
      </c>
      <c r="U19" s="26">
        <f t="shared" si="4"/>
        <v>28.696858640912744</v>
      </c>
      <c r="V19" s="26">
        <f t="shared" si="5"/>
        <v>0.82871663040581811</v>
      </c>
      <c r="W19" s="43">
        <v>45822</v>
      </c>
      <c r="X19" s="42">
        <v>14600</v>
      </c>
      <c r="Y19" s="28">
        <v>47061</v>
      </c>
      <c r="Z19" s="30">
        <f t="shared" si="6"/>
        <v>687090600</v>
      </c>
      <c r="AA19" s="31">
        <f t="shared" si="7"/>
        <v>26</v>
      </c>
      <c r="AB19" s="32">
        <v>1.84E-2</v>
      </c>
      <c r="AC19" s="32">
        <v>2.58E-2</v>
      </c>
      <c r="AD19" s="33">
        <f t="shared" si="8"/>
        <v>0.10991345667031763</v>
      </c>
      <c r="AE19" s="34">
        <f t="shared" si="9"/>
        <v>7.2016629691280566E-3</v>
      </c>
      <c r="AF19" s="33">
        <f t="shared" si="10"/>
        <v>0.60568154865133339</v>
      </c>
      <c r="AG19" s="33">
        <f t="shared" si="11"/>
        <v>2.6858141264683396E-4</v>
      </c>
      <c r="AH19" s="35">
        <f t="shared" si="12"/>
        <v>0.69763436950597479</v>
      </c>
      <c r="AI19" s="36">
        <f t="shared" si="13"/>
        <v>2.8385231050641231</v>
      </c>
      <c r="AJ19" s="23" t="s">
        <v>85</v>
      </c>
      <c r="AK19" s="23"/>
      <c r="AL19" s="44"/>
      <c r="AM19" s="44"/>
      <c r="AN19" s="44"/>
      <c r="AO19" s="44"/>
      <c r="AP19" s="44"/>
      <c r="AQ19" s="44"/>
      <c r="AR19" s="44"/>
    </row>
    <row r="20" spans="1:44" ht="16.8">
      <c r="A20" s="17" t="s">
        <v>86</v>
      </c>
      <c r="B20" s="39"/>
      <c r="C20" s="1" t="s">
        <v>83</v>
      </c>
      <c r="D20" s="19" t="s">
        <v>84</v>
      </c>
      <c r="E20" s="20" t="s">
        <v>39</v>
      </c>
      <c r="F20" s="21">
        <v>1995</v>
      </c>
      <c r="G20" s="40">
        <v>2022</v>
      </c>
      <c r="H20" s="23">
        <v>2065307834040</v>
      </c>
      <c r="I20" s="23">
        <v>2145254708075</v>
      </c>
      <c r="J20" s="23">
        <v>1379554863704</v>
      </c>
      <c r="K20" s="23">
        <f t="shared" ref="K20:K21" si="19">(J20+J19)/2</f>
        <v>1968887913156</v>
      </c>
      <c r="L20" s="23">
        <v>1379554863704</v>
      </c>
      <c r="M20" s="23">
        <v>765699844371</v>
      </c>
      <c r="N20" s="23">
        <v>2213252011607</v>
      </c>
      <c r="O20" s="25">
        <f t="shared" si="0"/>
        <v>685752970336</v>
      </c>
      <c r="P20" s="23">
        <v>20845680117</v>
      </c>
      <c r="Q20" s="23">
        <v>38379572991</v>
      </c>
      <c r="R20" s="25">
        <f t="shared" si="1"/>
        <v>2174872438616</v>
      </c>
      <c r="S20" s="26">
        <f t="shared" si="2"/>
        <v>0.64307275891817761</v>
      </c>
      <c r="T20" s="27">
        <f t="shared" si="3"/>
        <v>1.4970827825540809</v>
      </c>
      <c r="U20" s="26">
        <f t="shared" si="4"/>
        <v>28.394279406282205</v>
      </c>
      <c r="V20" s="26">
        <f t="shared" si="5"/>
        <v>1.1241127525940775</v>
      </c>
      <c r="W20" s="43">
        <v>45910</v>
      </c>
      <c r="X20" s="42">
        <v>10900</v>
      </c>
      <c r="Y20" s="28">
        <v>2502</v>
      </c>
      <c r="Z20" s="30">
        <f t="shared" si="6"/>
        <v>27271800</v>
      </c>
      <c r="AA20" s="31">
        <f t="shared" si="7"/>
        <v>27</v>
      </c>
      <c r="AB20" s="32">
        <v>3.15E-2</v>
      </c>
      <c r="AC20" s="32">
        <v>8.0199999999999994E-2</v>
      </c>
      <c r="AD20" s="33">
        <f t="shared" si="8"/>
        <v>0.31966039638777732</v>
      </c>
      <c r="AE20" s="34">
        <f t="shared" si="9"/>
        <v>9.7171119301285389E-3</v>
      </c>
      <c r="AF20" s="33">
        <f t="shared" si="10"/>
        <v>1.0138061603731787</v>
      </c>
      <c r="AG20" s="33">
        <f t="shared" si="11"/>
        <v>1.9768550506775271E-5</v>
      </c>
      <c r="AH20" s="35">
        <f t="shared" si="12"/>
        <v>1.6043233001002848</v>
      </c>
      <c r="AI20" s="36">
        <f t="shared" si="13"/>
        <v>5.3470919228295912</v>
      </c>
      <c r="AJ20" s="23" t="s">
        <v>85</v>
      </c>
      <c r="AK20" s="23"/>
      <c r="AL20" s="44"/>
      <c r="AM20" s="44"/>
      <c r="AN20" s="44"/>
      <c r="AO20" s="44"/>
      <c r="AP20" s="44"/>
      <c r="AQ20" s="44"/>
      <c r="AR20" s="44"/>
    </row>
    <row r="21" spans="1:44" ht="16.8">
      <c r="A21" s="17" t="s">
        <v>87</v>
      </c>
      <c r="B21" s="18"/>
      <c r="C21" s="1" t="s">
        <v>83</v>
      </c>
      <c r="D21" s="19" t="s">
        <v>84</v>
      </c>
      <c r="E21" s="20" t="s">
        <v>39</v>
      </c>
      <c r="F21" s="21">
        <v>1995</v>
      </c>
      <c r="G21" s="40">
        <v>2023</v>
      </c>
      <c r="H21" s="23">
        <v>2439675877440</v>
      </c>
      <c r="I21" s="23">
        <v>2516041909541</v>
      </c>
      <c r="J21" s="23">
        <v>1729144510179</v>
      </c>
      <c r="K21" s="23">
        <f t="shared" si="19"/>
        <v>1554349686941.5</v>
      </c>
      <c r="L21" s="23">
        <v>1729144510179</v>
      </c>
      <c r="M21" s="23">
        <v>786897399362</v>
      </c>
      <c r="N21" s="23">
        <v>2215317341019</v>
      </c>
      <c r="O21" s="25">
        <f t="shared" si="0"/>
        <v>710531367261</v>
      </c>
      <c r="P21" s="23">
        <v>21197554991</v>
      </c>
      <c r="Q21" s="23">
        <v>27500951616</v>
      </c>
      <c r="R21" s="25">
        <f t="shared" si="1"/>
        <v>2187816389403</v>
      </c>
      <c r="S21" s="26">
        <f t="shared" si="2"/>
        <v>0.68724789663557184</v>
      </c>
      <c r="T21" s="27">
        <f t="shared" si="3"/>
        <v>1.410914971581783</v>
      </c>
      <c r="U21" s="26">
        <f t="shared" si="4"/>
        <v>28.553708111838265</v>
      </c>
      <c r="V21" s="26">
        <f t="shared" si="5"/>
        <v>1.4252374222032937</v>
      </c>
      <c r="W21" s="43">
        <v>45785</v>
      </c>
      <c r="X21" s="42">
        <v>8500</v>
      </c>
      <c r="Y21" s="28">
        <v>0</v>
      </c>
      <c r="Z21" s="30">
        <f t="shared" si="6"/>
        <v>0</v>
      </c>
      <c r="AA21" s="31">
        <f t="shared" si="7"/>
        <v>28</v>
      </c>
      <c r="AB21" s="32">
        <v>3.2500000000000001E-2</v>
      </c>
      <c r="AC21" s="32">
        <v>5.0500000000000003E-2</v>
      </c>
      <c r="AD21" s="33">
        <f t="shared" si="8"/>
        <v>0.28240044991564622</v>
      </c>
      <c r="AE21" s="34">
        <f t="shared" si="9"/>
        <v>8.424961011427293E-3</v>
      </c>
      <c r="AF21" s="33">
        <f t="shared" si="10"/>
        <v>0.86954687881257198</v>
      </c>
      <c r="AG21" s="33">
        <f t="shared" si="11"/>
        <v>0</v>
      </c>
      <c r="AH21" s="35">
        <f t="shared" si="12"/>
        <v>1.2811637939906317</v>
      </c>
      <c r="AI21" s="36">
        <f t="shared" si="13"/>
        <v>4.5013439793868928</v>
      </c>
      <c r="AJ21" s="23" t="s">
        <v>85</v>
      </c>
      <c r="AK21" s="23"/>
      <c r="AL21" s="44"/>
      <c r="AM21" s="44"/>
      <c r="AN21" s="44"/>
      <c r="AO21" s="44"/>
      <c r="AP21" s="44"/>
      <c r="AQ21" s="44"/>
      <c r="AR21" s="44"/>
    </row>
    <row r="22" spans="1:44" ht="16.8">
      <c r="A22" s="17" t="s">
        <v>88</v>
      </c>
      <c r="B22" s="18">
        <v>9</v>
      </c>
      <c r="C22" s="1" t="s">
        <v>89</v>
      </c>
      <c r="D22" s="19" t="s">
        <v>90</v>
      </c>
      <c r="E22" s="20" t="s">
        <v>39</v>
      </c>
      <c r="F22" s="21">
        <v>2002</v>
      </c>
      <c r="G22" s="40">
        <v>2021</v>
      </c>
      <c r="H22" s="23">
        <v>1005956244020</v>
      </c>
      <c r="I22" s="23">
        <v>1530038654927</v>
      </c>
      <c r="J22" s="23">
        <v>315807086795</v>
      </c>
      <c r="K22" s="23">
        <f>(J22+101263786548)/2</f>
        <v>208535436671.5</v>
      </c>
      <c r="L22" s="23">
        <v>157191725259</v>
      </c>
      <c r="M22" s="23">
        <v>1214231568132</v>
      </c>
      <c r="N22" s="23">
        <v>220412895067</v>
      </c>
      <c r="O22" s="25">
        <f t="shared" si="0"/>
        <v>848764518761</v>
      </c>
      <c r="P22" s="23">
        <v>78311799010</v>
      </c>
      <c r="Q22" s="23">
        <f>992056629+12763078659</f>
        <v>13755135288</v>
      </c>
      <c r="R22" s="25">
        <f t="shared" si="1"/>
        <v>206657759779</v>
      </c>
      <c r="S22" s="26">
        <f t="shared" si="2"/>
        <v>0.20640464590750326</v>
      </c>
      <c r="T22" s="27">
        <f t="shared" si="3"/>
        <v>6.3995496096408173</v>
      </c>
      <c r="U22" s="26">
        <f t="shared" si="4"/>
        <v>28.056314115671917</v>
      </c>
      <c r="V22" s="26">
        <f t="shared" si="5"/>
        <v>1.0569565469786808</v>
      </c>
      <c r="W22" s="28" t="s">
        <v>91</v>
      </c>
      <c r="X22" s="29">
        <v>13760</v>
      </c>
      <c r="Y22" s="28">
        <v>1936982</v>
      </c>
      <c r="Z22" s="30">
        <f t="shared" si="6"/>
        <v>26652872320</v>
      </c>
      <c r="AA22" s="31">
        <f t="shared" si="7"/>
        <v>19</v>
      </c>
      <c r="AB22" s="32">
        <v>1.84E-2</v>
      </c>
      <c r="AC22" s="32">
        <v>2.58E-2</v>
      </c>
      <c r="AD22" s="33">
        <f t="shared" si="8"/>
        <v>0.55473403631197515</v>
      </c>
      <c r="AE22" s="34">
        <f t="shared" si="9"/>
        <v>5.1182889241276293E-2</v>
      </c>
      <c r="AF22" s="33">
        <f t="shared" si="10"/>
        <v>0.13506701880604441</v>
      </c>
      <c r="AG22" s="33">
        <f t="shared" si="11"/>
        <v>8.4396055169278672E-2</v>
      </c>
      <c r="AH22" s="35">
        <f t="shared" si="12"/>
        <v>0.69793524047823763</v>
      </c>
      <c r="AI22" s="36">
        <f t="shared" si="13"/>
        <v>1.9316309241519085</v>
      </c>
      <c r="AJ22" s="23"/>
      <c r="AK22" s="23"/>
      <c r="AL22" s="44"/>
      <c r="AM22" s="44"/>
      <c r="AN22" s="44"/>
      <c r="AO22" s="44"/>
      <c r="AP22" s="44"/>
      <c r="AQ22" s="44"/>
      <c r="AR22" s="44"/>
    </row>
    <row r="23" spans="1:44" ht="16.8">
      <c r="A23" s="17" t="s">
        <v>92</v>
      </c>
      <c r="B23" s="18"/>
      <c r="C23" s="1" t="s">
        <v>89</v>
      </c>
      <c r="D23" s="19" t="s">
        <v>90</v>
      </c>
      <c r="E23" s="20" t="s">
        <v>39</v>
      </c>
      <c r="F23" s="21">
        <v>2002</v>
      </c>
      <c r="G23" s="40">
        <v>2022</v>
      </c>
      <c r="H23" s="23">
        <v>1483965889354</v>
      </c>
      <c r="I23" s="23">
        <v>2001913072424</v>
      </c>
      <c r="J23" s="23">
        <v>325132985240</v>
      </c>
      <c r="K23" s="23">
        <f t="shared" ref="K23:K24" si="20">(J23+J22)/2</f>
        <v>320470036017.5</v>
      </c>
      <c r="L23" s="23">
        <v>188887396967</v>
      </c>
      <c r="M23" s="23">
        <v>1676780087184</v>
      </c>
      <c r="N23" s="23">
        <v>284844513275</v>
      </c>
      <c r="O23" s="25">
        <f t="shared" si="0"/>
        <v>1295078492387</v>
      </c>
      <c r="P23" s="23">
        <v>56413002627</v>
      </c>
      <c r="Q23" s="23">
        <f>1804102413+15199443883</f>
        <v>17003546296</v>
      </c>
      <c r="R23" s="25">
        <f t="shared" si="1"/>
        <v>267840966979</v>
      </c>
      <c r="S23" s="26">
        <f t="shared" si="2"/>
        <v>0.1624111404828959</v>
      </c>
      <c r="T23" s="27">
        <f t="shared" si="3"/>
        <v>7.856352055151989</v>
      </c>
      <c r="U23" s="26">
        <f t="shared" si="4"/>
        <v>28.325124375511255</v>
      </c>
      <c r="V23" s="26">
        <f t="shared" si="5"/>
        <v>0.88883352969525486</v>
      </c>
      <c r="W23" s="43">
        <v>45719</v>
      </c>
      <c r="X23" s="42">
        <v>3300</v>
      </c>
      <c r="Y23" s="28">
        <v>651355</v>
      </c>
      <c r="Z23" s="30">
        <f t="shared" si="6"/>
        <v>2149471500</v>
      </c>
      <c r="AA23" s="31">
        <f t="shared" si="7"/>
        <v>20</v>
      </c>
      <c r="AB23" s="32">
        <v>3.15E-2</v>
      </c>
      <c r="AC23" s="32">
        <v>8.0199999999999994E-2</v>
      </c>
      <c r="AD23" s="33">
        <f t="shared" si="8"/>
        <v>0.64692044336314003</v>
      </c>
      <c r="AE23" s="34">
        <f t="shared" si="9"/>
        <v>2.8179546556780698E-2</v>
      </c>
      <c r="AF23" s="33">
        <f t="shared" si="10"/>
        <v>0.13379250611250915</v>
      </c>
      <c r="AG23" s="33">
        <f t="shared" si="11"/>
        <v>6.6110533153483251E-3</v>
      </c>
      <c r="AH23" s="35">
        <f t="shared" si="12"/>
        <v>0.87608617459941607</v>
      </c>
      <c r="AI23" s="36">
        <f t="shared" si="13"/>
        <v>2.1373239739751662</v>
      </c>
      <c r="AJ23" s="23"/>
      <c r="AK23" s="23"/>
      <c r="AL23" s="44"/>
      <c r="AM23" s="44"/>
      <c r="AN23" s="44"/>
      <c r="AO23" s="44"/>
      <c r="AP23" s="44"/>
      <c r="AQ23" s="44"/>
      <c r="AR23" s="44"/>
    </row>
    <row r="24" spans="1:44" ht="16.8">
      <c r="A24" s="17" t="s">
        <v>93</v>
      </c>
      <c r="B24" s="18"/>
      <c r="C24" s="1" t="s">
        <v>89</v>
      </c>
      <c r="D24" s="19" t="s">
        <v>90</v>
      </c>
      <c r="E24" s="20" t="s">
        <v>39</v>
      </c>
      <c r="F24" s="21">
        <v>2002</v>
      </c>
      <c r="G24" s="40">
        <v>2023</v>
      </c>
      <c r="H24" s="23">
        <v>1582098001678</v>
      </c>
      <c r="I24" s="23">
        <v>1972918304693</v>
      </c>
      <c r="J24" s="23">
        <v>282835468368</v>
      </c>
      <c r="K24" s="23">
        <f t="shared" si="20"/>
        <v>303984226804</v>
      </c>
      <c r="L24" s="23">
        <v>154993592731</v>
      </c>
      <c r="M24" s="23">
        <v>1690082836325</v>
      </c>
      <c r="N24" s="23">
        <v>196573157159</v>
      </c>
      <c r="O24" s="25">
        <f t="shared" si="0"/>
        <v>1427104408947</v>
      </c>
      <c r="P24" s="23">
        <v>13850571354</v>
      </c>
      <c r="Q24" s="23">
        <f>2262368030+14859137233</f>
        <v>17121505263</v>
      </c>
      <c r="R24" s="25">
        <f t="shared" si="1"/>
        <v>179451651896</v>
      </c>
      <c r="S24" s="26">
        <f t="shared" si="2"/>
        <v>0.14335893569197292</v>
      </c>
      <c r="T24" s="27">
        <f t="shared" si="3"/>
        <v>10.207505831701178</v>
      </c>
      <c r="U24" s="26">
        <f t="shared" si="4"/>
        <v>28.310534935468564</v>
      </c>
      <c r="V24" s="26">
        <f t="shared" si="5"/>
        <v>0.64665577956366971</v>
      </c>
      <c r="W24" s="43">
        <v>45903</v>
      </c>
      <c r="X24" s="42">
        <v>3900</v>
      </c>
      <c r="Y24" s="28">
        <v>525279</v>
      </c>
      <c r="Z24" s="30">
        <f t="shared" si="6"/>
        <v>2048588100</v>
      </c>
      <c r="AA24" s="31">
        <f t="shared" si="7"/>
        <v>21</v>
      </c>
      <c r="AB24" s="32">
        <v>3.2500000000000001E-2</v>
      </c>
      <c r="AC24" s="32">
        <v>5.0500000000000003E-2</v>
      </c>
      <c r="AD24" s="33">
        <f t="shared" si="8"/>
        <v>0.7233469351226216</v>
      </c>
      <c r="AE24" s="34">
        <f t="shared" si="9"/>
        <v>7.0203471279340415E-3</v>
      </c>
      <c r="AF24" s="33">
        <f t="shared" si="10"/>
        <v>9.0957467153676155E-2</v>
      </c>
      <c r="AG24" s="33">
        <f t="shared" si="11"/>
        <v>7.2430381939741799E-3</v>
      </c>
      <c r="AH24" s="35">
        <f t="shared" si="12"/>
        <v>0.69500886254915084</v>
      </c>
      <c r="AI24" s="36">
        <f t="shared" si="13"/>
        <v>1.8773591351989201</v>
      </c>
      <c r="AJ24" s="23"/>
      <c r="AK24" s="23"/>
      <c r="AL24" s="44"/>
      <c r="AM24" s="44"/>
      <c r="AN24" s="44"/>
      <c r="AO24" s="44"/>
      <c r="AP24" s="44"/>
      <c r="AQ24" s="44"/>
      <c r="AR24" s="44"/>
    </row>
    <row r="25" spans="1:44" ht="16.8">
      <c r="A25" s="17" t="s">
        <v>94</v>
      </c>
      <c r="B25" s="18">
        <v>10</v>
      </c>
      <c r="C25" s="1" t="s">
        <v>95</v>
      </c>
      <c r="D25" s="19" t="s">
        <v>96</v>
      </c>
      <c r="E25" s="20" t="s">
        <v>39</v>
      </c>
      <c r="F25" s="21">
        <v>2006</v>
      </c>
      <c r="G25" s="40">
        <v>2021</v>
      </c>
      <c r="H25" s="23">
        <v>2235155479694</v>
      </c>
      <c r="I25" s="23">
        <v>2850119782962</v>
      </c>
      <c r="J25" s="23">
        <v>2005044947283</v>
      </c>
      <c r="K25" s="23">
        <f>(J25+2401622871067)/2</f>
        <v>2203333909175</v>
      </c>
      <c r="L25" s="23">
        <v>1938895288320</v>
      </c>
      <c r="M25" s="23">
        <v>845074835679</v>
      </c>
      <c r="N25" s="23">
        <v>1168012481708</v>
      </c>
      <c r="O25" s="25">
        <f t="shared" si="0"/>
        <v>296260191374</v>
      </c>
      <c r="P25" s="23">
        <v>201527539068</v>
      </c>
      <c r="Q25" s="23">
        <f>65886470804+67012796933</f>
        <v>132899267737</v>
      </c>
      <c r="R25" s="25">
        <f t="shared" si="1"/>
        <v>1035113213971</v>
      </c>
      <c r="S25" s="26">
        <f t="shared" si="2"/>
        <v>0.70349497563897045</v>
      </c>
      <c r="T25" s="27">
        <f t="shared" si="3"/>
        <v>1.1527984482497253</v>
      </c>
      <c r="U25" s="26">
        <f t="shared" si="4"/>
        <v>28.678382138435381</v>
      </c>
      <c r="V25" s="26">
        <f t="shared" si="5"/>
        <v>0.53011142652696797</v>
      </c>
      <c r="W25" s="60" t="s">
        <v>97</v>
      </c>
      <c r="X25" s="29">
        <v>34540</v>
      </c>
      <c r="Y25" s="28">
        <v>203942</v>
      </c>
      <c r="Z25" s="30">
        <f t="shared" si="6"/>
        <v>7044156680</v>
      </c>
      <c r="AA25" s="31">
        <f t="shared" si="7"/>
        <v>15</v>
      </c>
      <c r="AB25" s="32">
        <v>1.84E-2</v>
      </c>
      <c r="AC25" s="32">
        <v>2.58E-2</v>
      </c>
      <c r="AD25" s="33">
        <f t="shared" si="8"/>
        <v>0.10394657555975077</v>
      </c>
      <c r="AE25" s="34">
        <f t="shared" si="9"/>
        <v>7.0708445403849518E-2</v>
      </c>
      <c r="AF25" s="33">
        <f t="shared" si="10"/>
        <v>0.3631823547062481</v>
      </c>
      <c r="AG25" s="33">
        <f t="shared" si="11"/>
        <v>3.5132163443744287E-3</v>
      </c>
      <c r="AH25" s="35">
        <f t="shared" si="12"/>
        <v>0.58253680711285427</v>
      </c>
      <c r="AI25" s="36">
        <f t="shared" si="13"/>
        <v>2.0068742216871875</v>
      </c>
      <c r="AJ25" s="23"/>
      <c r="AK25" s="23"/>
      <c r="AL25" s="44"/>
      <c r="AM25" s="44"/>
      <c r="AN25" s="44"/>
      <c r="AO25" s="44"/>
      <c r="AP25" s="44"/>
      <c r="AQ25" s="44"/>
      <c r="AR25" s="44"/>
    </row>
    <row r="26" spans="1:44" ht="16.8">
      <c r="A26" s="17" t="s">
        <v>98</v>
      </c>
      <c r="B26" s="18"/>
      <c r="C26" s="1" t="s">
        <v>95</v>
      </c>
      <c r="D26" s="19" t="s">
        <v>96</v>
      </c>
      <c r="E26" s="20" t="s">
        <v>39</v>
      </c>
      <c r="F26" s="21">
        <v>2006</v>
      </c>
      <c r="G26" s="40">
        <v>2022</v>
      </c>
      <c r="H26" s="23">
        <v>2102335918408</v>
      </c>
      <c r="I26" s="23">
        <v>2534357477223</v>
      </c>
      <c r="J26" s="23">
        <v>1549200635231</v>
      </c>
      <c r="K26" s="23">
        <f t="shared" ref="K26:K27" si="21">(J26+J25)/2</f>
        <v>1777122791257</v>
      </c>
      <c r="L26" s="23">
        <v>1275348167928</v>
      </c>
      <c r="M26" s="23">
        <v>985156841992</v>
      </c>
      <c r="N26" s="23">
        <v>782603716800</v>
      </c>
      <c r="O26" s="25">
        <f t="shared" si="0"/>
        <v>826987750480</v>
      </c>
      <c r="P26" s="23">
        <v>121282006313</v>
      </c>
      <c r="Q26" s="23">
        <f>54672153268+56817374590</f>
        <v>111489527858</v>
      </c>
      <c r="R26" s="25">
        <f t="shared" si="1"/>
        <v>671114188942</v>
      </c>
      <c r="S26" s="26">
        <f t="shared" si="2"/>
        <v>0.61127944623207731</v>
      </c>
      <c r="T26" s="27">
        <f t="shared" si="3"/>
        <v>1.6484407719215759</v>
      </c>
      <c r="U26" s="26">
        <f t="shared" si="4"/>
        <v>28.560961260183575</v>
      </c>
      <c r="V26" s="26">
        <f t="shared" si="5"/>
        <v>0.44037683870254474</v>
      </c>
      <c r="W26" s="60" t="s">
        <v>99</v>
      </c>
      <c r="X26" s="29">
        <v>8600</v>
      </c>
      <c r="Y26" s="28">
        <v>119452</v>
      </c>
      <c r="Z26" s="30">
        <f t="shared" si="6"/>
        <v>1027287200</v>
      </c>
      <c r="AA26" s="31">
        <f t="shared" si="7"/>
        <v>16</v>
      </c>
      <c r="AB26" s="32">
        <v>3.15E-2</v>
      </c>
      <c r="AC26" s="32">
        <v>8.0199999999999994E-2</v>
      </c>
      <c r="AD26" s="33">
        <f t="shared" si="8"/>
        <v>0.32631061636425679</v>
      </c>
      <c r="AE26" s="34">
        <f t="shared" si="9"/>
        <v>4.7855129910833925E-2</v>
      </c>
      <c r="AF26" s="33">
        <f t="shared" si="10"/>
        <v>0.26480644304266321</v>
      </c>
      <c r="AG26" s="33">
        <f t="shared" si="11"/>
        <v>6.6310791297011186E-4</v>
      </c>
      <c r="AH26" s="35">
        <f t="shared" si="12"/>
        <v>0.50516614762638967</v>
      </c>
      <c r="AI26" s="36">
        <f t="shared" si="13"/>
        <v>1.837995195927236</v>
      </c>
      <c r="AJ26" s="23"/>
      <c r="AK26" s="23"/>
      <c r="AL26" s="44"/>
      <c r="AM26" s="44"/>
      <c r="AN26" s="44"/>
      <c r="AO26" s="44"/>
      <c r="AP26" s="44"/>
      <c r="AQ26" s="44"/>
      <c r="AR26" s="44"/>
    </row>
    <row r="27" spans="1:44" ht="16.8">
      <c r="A27" s="17" t="s">
        <v>100</v>
      </c>
      <c r="B27" s="18"/>
      <c r="C27" s="1" t="s">
        <v>95</v>
      </c>
      <c r="D27" s="19" t="s">
        <v>96</v>
      </c>
      <c r="E27" s="20" t="s">
        <v>39</v>
      </c>
      <c r="F27" s="21">
        <v>2006</v>
      </c>
      <c r="G27" s="40">
        <v>2023</v>
      </c>
      <c r="H27" s="23">
        <v>1714186256488</v>
      </c>
      <c r="I27" s="23">
        <v>2285966274223</v>
      </c>
      <c r="J27" s="23">
        <v>1354624620157</v>
      </c>
      <c r="K27" s="23">
        <f t="shared" si="21"/>
        <v>1451912627694</v>
      </c>
      <c r="L27" s="23">
        <v>1236993133431</v>
      </c>
      <c r="M27" s="23">
        <v>931341654066</v>
      </c>
      <c r="N27" s="23">
        <v>210997766321</v>
      </c>
      <c r="O27" s="25">
        <f t="shared" si="0"/>
        <v>477193123057</v>
      </c>
      <c r="P27" s="23">
        <v>-53815187926</v>
      </c>
      <c r="Q27" s="23">
        <f>23750196692+42436567312</f>
        <v>66186764004</v>
      </c>
      <c r="R27" s="25">
        <f t="shared" si="1"/>
        <v>144811002317</v>
      </c>
      <c r="S27" s="26">
        <f t="shared" si="2"/>
        <v>0.59258294202850259</v>
      </c>
      <c r="T27" s="27">
        <f t="shared" si="3"/>
        <v>1.3857686111267473</v>
      </c>
      <c r="U27" s="26">
        <f t="shared" si="4"/>
        <v>28.457809928009048</v>
      </c>
      <c r="V27" s="26">
        <f t="shared" si="5"/>
        <v>0.14532401075408868</v>
      </c>
      <c r="W27" s="60" t="s">
        <v>101</v>
      </c>
      <c r="X27" s="29">
        <v>5700</v>
      </c>
      <c r="Y27" s="28">
        <v>436864</v>
      </c>
      <c r="Z27" s="30">
        <f t="shared" si="6"/>
        <v>2490124800</v>
      </c>
      <c r="AA27" s="31">
        <f t="shared" si="7"/>
        <v>17</v>
      </c>
      <c r="AB27" s="32">
        <v>3.2500000000000001E-2</v>
      </c>
      <c r="AC27" s="32">
        <v>5.0500000000000003E-2</v>
      </c>
      <c r="AD27" s="33">
        <f t="shared" si="8"/>
        <v>0.20874897781210616</v>
      </c>
      <c r="AE27" s="34">
        <f t="shared" si="9"/>
        <v>-2.3541549380159506E-2</v>
      </c>
      <c r="AF27" s="33">
        <f t="shared" si="10"/>
        <v>6.3347829733936586E-2</v>
      </c>
      <c r="AG27" s="33">
        <f t="shared" si="11"/>
        <v>1.8382397329463837E-3</v>
      </c>
      <c r="AH27" s="35">
        <f t="shared" si="12"/>
        <v>0.15576105969234896</v>
      </c>
      <c r="AI27" s="36">
        <f t="shared" si="13"/>
        <v>0.58345244589641165</v>
      </c>
      <c r="AJ27" s="23"/>
      <c r="AK27" s="23"/>
      <c r="AL27" s="44"/>
      <c r="AM27" s="44"/>
      <c r="AN27" s="44"/>
      <c r="AO27" s="44"/>
      <c r="AP27" s="44"/>
      <c r="AQ27" s="44"/>
      <c r="AR27" s="44"/>
    </row>
    <row r="28" spans="1:44" ht="16.8">
      <c r="A28" s="17" t="s">
        <v>102</v>
      </c>
      <c r="B28" s="18">
        <v>11</v>
      </c>
      <c r="C28" s="1" t="s">
        <v>103</v>
      </c>
      <c r="D28" s="19" t="s">
        <v>104</v>
      </c>
      <c r="E28" s="20" t="s">
        <v>39</v>
      </c>
      <c r="F28" s="21">
        <v>1996</v>
      </c>
      <c r="G28" s="40">
        <v>2021</v>
      </c>
      <c r="H28" s="23">
        <v>69891256446</v>
      </c>
      <c r="I28" s="23">
        <v>100338407539</v>
      </c>
      <c r="J28" s="23">
        <v>49079578729</v>
      </c>
      <c r="K28" s="23">
        <f>(J28+43986558726)/2</f>
        <v>46533068727.5</v>
      </c>
      <c r="L28" s="23">
        <v>49079578729</v>
      </c>
      <c r="M28" s="23">
        <v>51258828810</v>
      </c>
      <c r="N28" s="23">
        <v>199819894808</v>
      </c>
      <c r="O28" s="25">
        <f t="shared" si="0"/>
        <v>20811677717</v>
      </c>
      <c r="P28" s="23">
        <v>3149152983</v>
      </c>
      <c r="Q28" s="23">
        <f>12273109029+11308053491</f>
        <v>23581162520</v>
      </c>
      <c r="R28" s="25">
        <f t="shared" si="1"/>
        <v>176238732288</v>
      </c>
      <c r="S28" s="26">
        <f t="shared" si="2"/>
        <v>0.48914049896519957</v>
      </c>
      <c r="T28" s="27">
        <f t="shared" si="3"/>
        <v>1.4240394529854197</v>
      </c>
      <c r="U28" s="26">
        <f t="shared" si="4"/>
        <v>25.331814385226789</v>
      </c>
      <c r="V28" s="26">
        <f t="shared" si="5"/>
        <v>4.294148232048812</v>
      </c>
      <c r="W28" s="61">
        <v>45699</v>
      </c>
      <c r="X28" s="42">
        <v>11200</v>
      </c>
      <c r="Y28" s="28">
        <v>19099</v>
      </c>
      <c r="Z28" s="30">
        <f t="shared" si="6"/>
        <v>213908800</v>
      </c>
      <c r="AA28" s="31">
        <f t="shared" si="7"/>
        <v>25</v>
      </c>
      <c r="AB28" s="32">
        <v>1.84E-2</v>
      </c>
      <c r="AC28" s="32">
        <v>2.58E-2</v>
      </c>
      <c r="AD28" s="33">
        <f t="shared" si="8"/>
        <v>0.20741486961421846</v>
      </c>
      <c r="AE28" s="34">
        <f t="shared" si="9"/>
        <v>3.1385319542528843E-2</v>
      </c>
      <c r="AF28" s="33">
        <f t="shared" si="10"/>
        <v>1.7564433860433624</v>
      </c>
      <c r="AG28" s="33">
        <f t="shared" si="11"/>
        <v>4.3584074179024313E-3</v>
      </c>
      <c r="AH28" s="35">
        <f t="shared" si="12"/>
        <v>4.0713449459567386</v>
      </c>
      <c r="AI28" s="36">
        <f t="shared" si="13"/>
        <v>10.163060455247177</v>
      </c>
      <c r="AJ28" s="23"/>
      <c r="AK28" s="23"/>
      <c r="AL28" s="44"/>
      <c r="AM28" s="44"/>
      <c r="AN28" s="44"/>
      <c r="AO28" s="44"/>
      <c r="AP28" s="44"/>
      <c r="AQ28" s="44"/>
      <c r="AR28" s="44"/>
    </row>
    <row r="29" spans="1:44" ht="16.8">
      <c r="A29" s="17" t="s">
        <v>105</v>
      </c>
      <c r="B29" s="18"/>
      <c r="C29" s="1" t="s">
        <v>103</v>
      </c>
      <c r="D29" s="19" t="s">
        <v>104</v>
      </c>
      <c r="E29" s="20" t="s">
        <v>39</v>
      </c>
      <c r="F29" s="21">
        <v>1996</v>
      </c>
      <c r="G29" s="40">
        <v>2022</v>
      </c>
      <c r="H29" s="23">
        <v>55473411580</v>
      </c>
      <c r="I29" s="23">
        <v>85720047784</v>
      </c>
      <c r="J29" s="23">
        <v>35584206276</v>
      </c>
      <c r="K29" s="23">
        <f t="shared" ref="K29:K30" si="22">(J29+J28)/2</f>
        <v>42331892502.5</v>
      </c>
      <c r="L29" s="23">
        <v>35584206276</v>
      </c>
      <c r="M29" s="23">
        <v>50135841508</v>
      </c>
      <c r="N29" s="23">
        <v>271693143660</v>
      </c>
      <c r="O29" s="25">
        <f t="shared" si="0"/>
        <v>19889205304</v>
      </c>
      <c r="P29" s="23">
        <v>433973883</v>
      </c>
      <c r="Q29" s="23">
        <f>11775949597+9550894718</f>
        <v>21326844315</v>
      </c>
      <c r="R29" s="25">
        <f t="shared" si="1"/>
        <v>250366299345</v>
      </c>
      <c r="S29" s="26">
        <f t="shared" si="2"/>
        <v>0.41512116705378155</v>
      </c>
      <c r="T29" s="27">
        <f t="shared" si="3"/>
        <v>1.5589335097074908</v>
      </c>
      <c r="U29" s="26">
        <f t="shared" si="4"/>
        <v>25.174352564994468</v>
      </c>
      <c r="V29" s="26">
        <f t="shared" si="5"/>
        <v>6.4181667201378865</v>
      </c>
      <c r="W29" s="61">
        <v>45692</v>
      </c>
      <c r="X29" s="42">
        <v>4200</v>
      </c>
      <c r="Y29" s="28">
        <v>500</v>
      </c>
      <c r="Z29" s="30">
        <f t="shared" si="6"/>
        <v>2100000</v>
      </c>
      <c r="AA29" s="31">
        <f t="shared" si="7"/>
        <v>26</v>
      </c>
      <c r="AB29" s="32">
        <v>3.15E-2</v>
      </c>
      <c r="AC29" s="32">
        <v>8.0199999999999994E-2</v>
      </c>
      <c r="AD29" s="33">
        <f t="shared" si="8"/>
        <v>0.23202513085523971</v>
      </c>
      <c r="AE29" s="34">
        <f t="shared" si="9"/>
        <v>5.0626883000991869E-3</v>
      </c>
      <c r="AF29" s="33">
        <f t="shared" si="10"/>
        <v>2.9207438145144375</v>
      </c>
      <c r="AG29" s="33">
        <f t="shared" si="11"/>
        <v>5.9014945667521004E-5</v>
      </c>
      <c r="AH29" s="35">
        <f t="shared" si="12"/>
        <v>7.6352171958727997</v>
      </c>
      <c r="AI29" s="36">
        <f t="shared" si="13"/>
        <v>17.559225113384272</v>
      </c>
      <c r="AJ29" s="23"/>
      <c r="AK29" s="23"/>
      <c r="AL29" s="44"/>
      <c r="AM29" s="44"/>
      <c r="AN29" s="44"/>
      <c r="AO29" s="44"/>
      <c r="AP29" s="44"/>
      <c r="AQ29" s="44"/>
      <c r="AR29" s="44"/>
    </row>
    <row r="30" spans="1:44" ht="16.8">
      <c r="A30" s="17" t="s">
        <v>106</v>
      </c>
      <c r="B30" s="18"/>
      <c r="C30" s="1" t="s">
        <v>103</v>
      </c>
      <c r="D30" s="19" t="s">
        <v>104</v>
      </c>
      <c r="E30" s="20" t="s">
        <v>39</v>
      </c>
      <c r="F30" s="21">
        <v>1996</v>
      </c>
      <c r="G30" s="40">
        <v>2023</v>
      </c>
      <c r="H30" s="23">
        <v>52945009132</v>
      </c>
      <c r="I30" s="23">
        <v>81874827048</v>
      </c>
      <c r="J30" s="23">
        <v>36241135357</v>
      </c>
      <c r="K30" s="23">
        <f t="shared" si="22"/>
        <v>35912670816.5</v>
      </c>
      <c r="L30" s="23">
        <v>36241135357</v>
      </c>
      <c r="M30" s="23">
        <v>45633691691</v>
      </c>
      <c r="N30" s="23">
        <v>201467597569</v>
      </c>
      <c r="O30" s="25">
        <f t="shared" si="0"/>
        <v>16703873775</v>
      </c>
      <c r="P30" s="23">
        <v>-4502149817</v>
      </c>
      <c r="Q30" s="23">
        <f>10065721521+9058330540</f>
        <v>19124052061</v>
      </c>
      <c r="R30" s="25">
        <f t="shared" si="1"/>
        <v>182343545508</v>
      </c>
      <c r="S30" s="26">
        <f t="shared" si="2"/>
        <v>0.44264075618447712</v>
      </c>
      <c r="T30" s="27">
        <f t="shared" si="3"/>
        <v>1.4609092295386279</v>
      </c>
      <c r="U30" s="26">
        <f t="shared" si="4"/>
        <v>25.128457418508756</v>
      </c>
      <c r="V30" s="26">
        <f t="shared" si="5"/>
        <v>5.6099307845529589</v>
      </c>
      <c r="W30" s="61">
        <v>45842</v>
      </c>
      <c r="X30" s="42">
        <v>4700</v>
      </c>
      <c r="Y30" s="28">
        <v>1000</v>
      </c>
      <c r="Z30" s="30">
        <f t="shared" si="6"/>
        <v>4700000</v>
      </c>
      <c r="AA30" s="31">
        <f t="shared" si="7"/>
        <v>27</v>
      </c>
      <c r="AB30" s="32">
        <v>3.2500000000000001E-2</v>
      </c>
      <c r="AC30" s="32">
        <v>5.0500000000000003E-2</v>
      </c>
      <c r="AD30" s="33">
        <f t="shared" si="8"/>
        <v>0.20401720989538302</v>
      </c>
      <c r="AE30" s="34">
        <f t="shared" si="9"/>
        <v>-5.4988205524520571E-2</v>
      </c>
      <c r="AF30" s="33">
        <f t="shared" si="10"/>
        <v>2.2271014435376961</v>
      </c>
      <c r="AG30" s="33">
        <f t="shared" si="11"/>
        <v>1.2968688628824075E-4</v>
      </c>
      <c r="AH30" s="35">
        <f t="shared" si="12"/>
        <v>5.5590862588714787</v>
      </c>
      <c r="AI30" s="36">
        <f t="shared" si="13"/>
        <v>13.076435998817779</v>
      </c>
      <c r="AJ30" s="23"/>
      <c r="AK30" s="23"/>
      <c r="AL30" s="44"/>
      <c r="AM30" s="44"/>
      <c r="AN30" s="44"/>
      <c r="AO30" s="44"/>
      <c r="AP30" s="44"/>
      <c r="AQ30" s="44"/>
      <c r="AR30" s="44"/>
    </row>
    <row r="31" spans="1:44" ht="16.8">
      <c r="A31" s="17" t="s">
        <v>107</v>
      </c>
      <c r="B31" s="18">
        <v>12</v>
      </c>
      <c r="C31" s="1" t="s">
        <v>108</v>
      </c>
      <c r="D31" s="19" t="s">
        <v>109</v>
      </c>
      <c r="E31" s="20" t="s">
        <v>39</v>
      </c>
      <c r="F31" s="21">
        <v>2006</v>
      </c>
      <c r="G31" s="40">
        <v>2021</v>
      </c>
      <c r="H31" s="23">
        <v>1594590332733</v>
      </c>
      <c r="I31" s="23">
        <v>1612693221785</v>
      </c>
      <c r="J31" s="23">
        <v>202462582344</v>
      </c>
      <c r="K31" s="23">
        <f>(J31+10839247294)/2</f>
        <v>106650914819</v>
      </c>
      <c r="L31" s="23">
        <v>122449114059</v>
      </c>
      <c r="M31" s="23">
        <v>1410230639441</v>
      </c>
      <c r="N31" s="23">
        <v>747450057604</v>
      </c>
      <c r="O31" s="25">
        <f t="shared" si="0"/>
        <v>1472141218674</v>
      </c>
      <c r="P31" s="23">
        <v>562596953375</v>
      </c>
      <c r="Q31" s="23">
        <v>31665033044</v>
      </c>
      <c r="R31" s="25">
        <f t="shared" si="1"/>
        <v>715785024560</v>
      </c>
      <c r="S31" s="26">
        <f t="shared" si="2"/>
        <v>0.12554314708404707</v>
      </c>
      <c r="T31" s="27">
        <f t="shared" si="3"/>
        <v>13.02247341670985</v>
      </c>
      <c r="U31" s="26">
        <f t="shared" si="4"/>
        <v>28.108926705901169</v>
      </c>
      <c r="V31" s="26">
        <f t="shared" si="5"/>
        <v>7.0083792424332847</v>
      </c>
      <c r="W31" s="60" t="s">
        <v>110</v>
      </c>
      <c r="X31" s="29">
        <v>39300</v>
      </c>
      <c r="Y31" s="28">
        <v>2630527</v>
      </c>
      <c r="Z31" s="30">
        <f t="shared" si="6"/>
        <v>103379711100</v>
      </c>
      <c r="AA31" s="31">
        <f t="shared" si="7"/>
        <v>15</v>
      </c>
      <c r="AB31" s="32">
        <v>1.84E-2</v>
      </c>
      <c r="AC31" s="32">
        <v>2.58E-2</v>
      </c>
      <c r="AD31" s="33">
        <f t="shared" si="8"/>
        <v>0.91284641045652137</v>
      </c>
      <c r="AE31" s="34">
        <f t="shared" si="9"/>
        <v>0.34885553295269195</v>
      </c>
      <c r="AF31" s="33">
        <f t="shared" si="10"/>
        <v>0.44384450488837396</v>
      </c>
      <c r="AG31" s="33">
        <f t="shared" si="11"/>
        <v>0.51061144189275265</v>
      </c>
      <c r="AH31" s="35">
        <f t="shared" si="12"/>
        <v>3.6917935598293568</v>
      </c>
      <c r="AI31" s="36">
        <f t="shared" si="13"/>
        <v>7.0466607297782371</v>
      </c>
      <c r="AJ31" s="23"/>
      <c r="AK31" s="23"/>
      <c r="AL31" s="44"/>
      <c r="AM31" s="44"/>
      <c r="AN31" s="44"/>
      <c r="AO31" s="44"/>
      <c r="AP31" s="44"/>
      <c r="AQ31" s="44"/>
      <c r="AR31" s="44"/>
    </row>
    <row r="32" spans="1:44" ht="16.8">
      <c r="A32" s="17" t="s">
        <v>111</v>
      </c>
      <c r="B32" s="18"/>
      <c r="C32" s="1" t="s">
        <v>108</v>
      </c>
      <c r="D32" s="19" t="s">
        <v>109</v>
      </c>
      <c r="E32" s="20" t="s">
        <v>39</v>
      </c>
      <c r="F32" s="21">
        <v>2006</v>
      </c>
      <c r="G32" s="40">
        <v>2022</v>
      </c>
      <c r="H32" s="23">
        <v>913402491446</v>
      </c>
      <c r="I32" s="23">
        <v>975004973839</v>
      </c>
      <c r="J32" s="23">
        <v>13822653177</v>
      </c>
      <c r="K32" s="23">
        <f>(J32+J31)/2</f>
        <v>108142617760.5</v>
      </c>
      <c r="L32" s="23">
        <v>9191653177</v>
      </c>
      <c r="M32" s="23">
        <v>961182320662</v>
      </c>
      <c r="N32" s="23">
        <v>421382669585</v>
      </c>
      <c r="O32" s="25">
        <f t="shared" si="0"/>
        <v>904210838269</v>
      </c>
      <c r="P32" s="23">
        <v>-449048318779</v>
      </c>
      <c r="Q32" s="23">
        <v>964592713361</v>
      </c>
      <c r="R32" s="25">
        <f t="shared" si="1"/>
        <v>-543210043776</v>
      </c>
      <c r="S32" s="26">
        <f t="shared" si="2"/>
        <v>1.4177007859328622E-2</v>
      </c>
      <c r="T32" s="27">
        <f t="shared" si="3"/>
        <v>99.373037021411974</v>
      </c>
      <c r="U32" s="26">
        <f t="shared" si="4"/>
        <v>27.605708409304579</v>
      </c>
      <c r="V32" s="26">
        <f t="shared" si="5"/>
        <v>3.8965458605618624</v>
      </c>
      <c r="W32" s="61">
        <v>45785</v>
      </c>
      <c r="X32" s="42">
        <v>8500</v>
      </c>
      <c r="Y32" s="28">
        <v>676892</v>
      </c>
      <c r="Z32" s="30">
        <f t="shared" si="6"/>
        <v>5753582000</v>
      </c>
      <c r="AA32" s="31">
        <f t="shared" si="7"/>
        <v>16</v>
      </c>
      <c r="AB32" s="32">
        <v>3.15E-2</v>
      </c>
      <c r="AC32" s="32">
        <v>8.0199999999999994E-2</v>
      </c>
      <c r="AD32" s="33">
        <f t="shared" si="8"/>
        <v>0.92739100059022872</v>
      </c>
      <c r="AE32" s="34">
        <f t="shared" si="9"/>
        <v>-0.46056002874622276</v>
      </c>
      <c r="AF32" s="33">
        <f t="shared" si="10"/>
        <v>-0.55713566427990224</v>
      </c>
      <c r="AG32" s="33">
        <f t="shared" si="11"/>
        <v>0.41624295468641204</v>
      </c>
      <c r="AH32" s="35">
        <f t="shared" si="12"/>
        <v>30.484933984030899</v>
      </c>
      <c r="AI32" s="36">
        <f t="shared" si="13"/>
        <v>29.364217225182632</v>
      </c>
      <c r="AJ32" s="23"/>
      <c r="AK32" s="23"/>
      <c r="AL32" s="44"/>
      <c r="AM32" s="44"/>
      <c r="AN32" s="44"/>
      <c r="AO32" s="44"/>
      <c r="AP32" s="44"/>
      <c r="AQ32" s="44"/>
      <c r="AR32" s="44"/>
    </row>
    <row r="33" spans="1:44" ht="16.8">
      <c r="A33" s="17" t="s">
        <v>112</v>
      </c>
      <c r="B33" s="18"/>
      <c r="C33" s="1" t="s">
        <v>108</v>
      </c>
      <c r="D33" s="19" t="s">
        <v>109</v>
      </c>
      <c r="E33" s="20" t="s">
        <v>39</v>
      </c>
      <c r="F33" s="21">
        <v>2006</v>
      </c>
      <c r="G33" s="40">
        <v>2023</v>
      </c>
      <c r="H33" s="23">
        <v>730279571006</v>
      </c>
      <c r="I33" s="23">
        <v>802708770688</v>
      </c>
      <c r="J33" s="23">
        <v>21445071767</v>
      </c>
      <c r="K33" s="23">
        <f>(J33+13822653177)/2</f>
        <v>17633862472</v>
      </c>
      <c r="L33" s="23">
        <v>16814071767</v>
      </c>
      <c r="M33" s="23">
        <v>781263698921</v>
      </c>
      <c r="N33" s="23">
        <v>434751876855</v>
      </c>
      <c r="O33" s="25">
        <f t="shared" si="0"/>
        <v>713465499239</v>
      </c>
      <c r="P33" s="23">
        <v>-179918621741</v>
      </c>
      <c r="Q33" s="23">
        <v>423580993815</v>
      </c>
      <c r="R33" s="25">
        <f t="shared" si="1"/>
        <v>11170883040</v>
      </c>
      <c r="S33" s="26">
        <f t="shared" si="2"/>
        <v>2.6715880715517129E-2</v>
      </c>
      <c r="T33" s="27">
        <f t="shared" si="3"/>
        <v>43.432642677264958</v>
      </c>
      <c r="U33" s="26">
        <f t="shared" si="4"/>
        <v>27.411257808507369</v>
      </c>
      <c r="V33" s="26">
        <f t="shared" si="5"/>
        <v>24.654376064536201</v>
      </c>
      <c r="W33" s="61">
        <v>45844</v>
      </c>
      <c r="X33" s="42">
        <v>6700</v>
      </c>
      <c r="Y33" s="28">
        <v>298314</v>
      </c>
      <c r="Z33" s="30">
        <f t="shared" si="6"/>
        <v>1998703800</v>
      </c>
      <c r="AA33" s="31">
        <f t="shared" si="7"/>
        <v>17</v>
      </c>
      <c r="AB33" s="32">
        <v>3.2500000000000001E-2</v>
      </c>
      <c r="AC33" s="32">
        <v>5.0500000000000003E-2</v>
      </c>
      <c r="AD33" s="33">
        <f t="shared" si="8"/>
        <v>0.88882235412413668</v>
      </c>
      <c r="AE33" s="34">
        <f t="shared" si="9"/>
        <v>-0.22413934955113562</v>
      </c>
      <c r="AF33" s="33">
        <f t="shared" si="10"/>
        <v>1.3916483098129673E-2</v>
      </c>
      <c r="AG33" s="33">
        <f t="shared" si="11"/>
        <v>9.3201077698216686E-2</v>
      </c>
      <c r="AH33" s="35">
        <f t="shared" si="12"/>
        <v>20.272810535612326</v>
      </c>
      <c r="AI33" s="36">
        <f t="shared" si="13"/>
        <v>21.127447312032459</v>
      </c>
      <c r="AJ33" s="23"/>
      <c r="AK33" s="23"/>
      <c r="AL33" s="44"/>
      <c r="AM33" s="44"/>
      <c r="AN33" s="44"/>
      <c r="AO33" s="44"/>
      <c r="AP33" s="44"/>
      <c r="AQ33" s="44"/>
      <c r="AR33" s="44"/>
    </row>
    <row r="34" spans="1:44" ht="16.8">
      <c r="A34" s="17" t="s">
        <v>113</v>
      </c>
      <c r="B34" s="18">
        <v>13</v>
      </c>
      <c r="C34" s="1" t="s">
        <v>114</v>
      </c>
      <c r="D34" s="19" t="s">
        <v>115</v>
      </c>
      <c r="E34" s="20" t="s">
        <v>39</v>
      </c>
      <c r="F34" s="21">
        <v>1989</v>
      </c>
      <c r="G34" s="40">
        <v>2021</v>
      </c>
      <c r="H34" s="23">
        <v>108460254360</v>
      </c>
      <c r="I34" s="23">
        <v>119911966463</v>
      </c>
      <c r="J34" s="23">
        <v>83525549105</v>
      </c>
      <c r="K34" s="23">
        <f>(J34+157233555035)/2</f>
        <v>120379552070</v>
      </c>
      <c r="L34" s="23">
        <v>81804701355</v>
      </c>
      <c r="M34" s="23">
        <v>36386417358</v>
      </c>
      <c r="N34" s="23">
        <v>191456752059</v>
      </c>
      <c r="O34" s="25">
        <f t="shared" si="0"/>
        <v>26655553005</v>
      </c>
      <c r="P34" s="23">
        <v>1931497423</v>
      </c>
      <c r="Q34" s="23">
        <f>3418703010+15946346225</f>
        <v>19365049235</v>
      </c>
      <c r="R34" s="25">
        <f t="shared" si="1"/>
        <v>172091702824</v>
      </c>
      <c r="S34" s="26">
        <f t="shared" si="2"/>
        <v>0.69655724585896617</v>
      </c>
      <c r="T34" s="27">
        <f t="shared" si="3"/>
        <v>1.3258437787007553</v>
      </c>
      <c r="U34" s="26">
        <f t="shared" si="4"/>
        <v>25.510023697694567</v>
      </c>
      <c r="V34" s="26">
        <f t="shared" si="5"/>
        <v>1.5904424693960402</v>
      </c>
      <c r="W34" s="60" t="s">
        <v>116</v>
      </c>
      <c r="X34" s="29">
        <v>46510</v>
      </c>
      <c r="Y34" s="28">
        <v>0</v>
      </c>
      <c r="Z34" s="30">
        <f t="shared" si="6"/>
        <v>0</v>
      </c>
      <c r="AA34" s="31">
        <f t="shared" si="7"/>
        <v>32</v>
      </c>
      <c r="AB34" s="32">
        <v>1.84E-2</v>
      </c>
      <c r="AC34" s="32">
        <v>2.58E-2</v>
      </c>
      <c r="AD34" s="33">
        <f t="shared" si="8"/>
        <v>0.22229268513601458</v>
      </c>
      <c r="AE34" s="34">
        <f t="shared" si="9"/>
        <v>1.6107628621001575E-2</v>
      </c>
      <c r="AF34" s="33">
        <f t="shared" si="10"/>
        <v>1.4351503682253477</v>
      </c>
      <c r="AG34" s="33">
        <f t="shared" si="11"/>
        <v>0</v>
      </c>
      <c r="AH34" s="35">
        <f t="shared" si="12"/>
        <v>2.292193874934239</v>
      </c>
      <c r="AI34" s="36">
        <f t="shared" si="13"/>
        <v>7.3174919923105053</v>
      </c>
      <c r="AJ34" s="23"/>
      <c r="AK34" s="23"/>
      <c r="AL34" s="44"/>
      <c r="AM34" s="44"/>
      <c r="AN34" s="44"/>
      <c r="AO34" s="44"/>
      <c r="AP34" s="44"/>
      <c r="AQ34" s="44"/>
      <c r="AR34" s="44"/>
    </row>
    <row r="35" spans="1:44" ht="16.8">
      <c r="A35" s="17" t="s">
        <v>117</v>
      </c>
      <c r="B35" s="18"/>
      <c r="C35" s="1" t="s">
        <v>114</v>
      </c>
      <c r="D35" s="19" t="s">
        <v>115</v>
      </c>
      <c r="E35" s="20" t="s">
        <v>39</v>
      </c>
      <c r="F35" s="21">
        <v>1989</v>
      </c>
      <c r="G35" s="40">
        <v>2022</v>
      </c>
      <c r="H35" s="23">
        <v>107526778649</v>
      </c>
      <c r="I35" s="23">
        <v>119452935600</v>
      </c>
      <c r="J35" s="23">
        <v>83758689142</v>
      </c>
      <c r="K35" s="23">
        <f t="shared" ref="K35:K36" si="23">(J35+J34)/2</f>
        <v>83642119123.5</v>
      </c>
      <c r="L35" s="23">
        <v>82037841392</v>
      </c>
      <c r="M35" s="23">
        <v>35694246458</v>
      </c>
      <c r="N35" s="23">
        <v>180389415813</v>
      </c>
      <c r="O35" s="25">
        <f t="shared" si="0"/>
        <v>25488937257</v>
      </c>
      <c r="P35" s="23">
        <v>2373036955</v>
      </c>
      <c r="Q35" s="23">
        <f>4419825772+20484839259</f>
        <v>24904665031</v>
      </c>
      <c r="R35" s="25">
        <f t="shared" si="1"/>
        <v>155484750782</v>
      </c>
      <c r="S35" s="26">
        <f t="shared" si="2"/>
        <v>0.70118569059260527</v>
      </c>
      <c r="T35" s="27">
        <f t="shared" si="3"/>
        <v>1.3106973175367529</v>
      </c>
      <c r="U35" s="26">
        <f t="shared" si="4"/>
        <v>25.506188286389456</v>
      </c>
      <c r="V35" s="26">
        <f t="shared" si="5"/>
        <v>2.1566815583264911</v>
      </c>
      <c r="W35" s="60" t="s">
        <v>118</v>
      </c>
      <c r="X35" s="29">
        <v>47460</v>
      </c>
      <c r="Y35" s="28">
        <v>0</v>
      </c>
      <c r="Z35" s="30">
        <f t="shared" si="6"/>
        <v>0</v>
      </c>
      <c r="AA35" s="31">
        <f t="shared" si="7"/>
        <v>33</v>
      </c>
      <c r="AB35" s="32">
        <v>3.15E-2</v>
      </c>
      <c r="AC35" s="32">
        <v>8.0199999999999994E-2</v>
      </c>
      <c r="AD35" s="33">
        <f t="shared" si="8"/>
        <v>0.21338058482172623</v>
      </c>
      <c r="AE35" s="34">
        <f t="shared" si="9"/>
        <v>1.9865873894856376E-2</v>
      </c>
      <c r="AF35" s="33">
        <f t="shared" si="10"/>
        <v>1.301640265272811</v>
      </c>
      <c r="AG35" s="33">
        <f t="shared" si="11"/>
        <v>0</v>
      </c>
      <c r="AH35" s="35">
        <f t="shared" si="12"/>
        <v>2.1536800260469389</v>
      </c>
      <c r="AI35" s="36">
        <f t="shared" si="13"/>
        <v>6.7329618266860844</v>
      </c>
      <c r="AJ35" s="23"/>
      <c r="AK35" s="23"/>
      <c r="AL35" s="44"/>
      <c r="AM35" s="44"/>
      <c r="AN35" s="44"/>
      <c r="AO35" s="44"/>
      <c r="AP35" s="44"/>
      <c r="AQ35" s="44"/>
      <c r="AR35" s="44"/>
    </row>
    <row r="36" spans="1:44" ht="16.8">
      <c r="A36" s="17" t="s">
        <v>119</v>
      </c>
      <c r="B36" s="18"/>
      <c r="C36" s="1" t="s">
        <v>114</v>
      </c>
      <c r="D36" s="19" t="s">
        <v>115</v>
      </c>
      <c r="E36" s="20" t="s">
        <v>39</v>
      </c>
      <c r="F36" s="21">
        <v>1989</v>
      </c>
      <c r="G36" s="40">
        <v>2023</v>
      </c>
      <c r="H36" s="23">
        <v>167551641952</v>
      </c>
      <c r="I36" s="23">
        <v>177645451467</v>
      </c>
      <c r="J36" s="23">
        <v>140232238950</v>
      </c>
      <c r="K36" s="23">
        <f t="shared" si="23"/>
        <v>111995464046</v>
      </c>
      <c r="L36" s="23">
        <v>138877408950</v>
      </c>
      <c r="M36" s="23">
        <v>37413212517</v>
      </c>
      <c r="N36" s="23">
        <v>204268509037</v>
      </c>
      <c r="O36" s="25">
        <f t="shared" si="0"/>
        <v>28674233002</v>
      </c>
      <c r="P36" s="23">
        <v>3907988870</v>
      </c>
      <c r="Q36" s="23">
        <f>5734521576+21061018674</f>
        <v>26795540250</v>
      </c>
      <c r="R36" s="25">
        <f t="shared" si="1"/>
        <v>177472968787</v>
      </c>
      <c r="S36" s="26">
        <f t="shared" si="2"/>
        <v>0.789393918008928</v>
      </c>
      <c r="T36" s="27">
        <f t="shared" si="3"/>
        <v>1.2064715436354632</v>
      </c>
      <c r="U36" s="26">
        <f t="shared" si="4"/>
        <v>25.903055555184732</v>
      </c>
      <c r="V36" s="26">
        <f t="shared" si="5"/>
        <v>1.8238998407390912</v>
      </c>
      <c r="W36" s="60" t="s">
        <v>120</v>
      </c>
      <c r="X36" s="29">
        <v>29250</v>
      </c>
      <c r="Y36" s="28">
        <v>0</v>
      </c>
      <c r="Z36" s="30">
        <f t="shared" si="6"/>
        <v>0</v>
      </c>
      <c r="AA36" s="31">
        <f t="shared" si="7"/>
        <v>34</v>
      </c>
      <c r="AB36" s="32">
        <v>3.2500000000000001E-2</v>
      </c>
      <c r="AC36" s="32">
        <v>5.0500000000000003E-2</v>
      </c>
      <c r="AD36" s="33">
        <f t="shared" si="8"/>
        <v>0.16141270584305739</v>
      </c>
      <c r="AE36" s="34">
        <f t="shared" si="9"/>
        <v>2.1998811890356566E-2</v>
      </c>
      <c r="AF36" s="33">
        <f t="shared" si="10"/>
        <v>0.99902906222154497</v>
      </c>
      <c r="AG36" s="33">
        <f t="shared" si="11"/>
        <v>0</v>
      </c>
      <c r="AH36" s="35">
        <f t="shared" si="12"/>
        <v>1.4566444247519448</v>
      </c>
      <c r="AI36" s="36">
        <f t="shared" si="13"/>
        <v>4.9779339137412109</v>
      </c>
      <c r="AJ36" s="23"/>
      <c r="AK36" s="23"/>
      <c r="AL36" s="44"/>
      <c r="AM36" s="44"/>
      <c r="AN36" s="44"/>
      <c r="AO36" s="44"/>
      <c r="AP36" s="44"/>
      <c r="AQ36" s="44"/>
      <c r="AR36" s="44"/>
    </row>
    <row r="37" spans="1:44" ht="16.8">
      <c r="A37" s="45"/>
      <c r="B37" s="45">
        <v>14</v>
      </c>
      <c r="C37" s="45" t="s">
        <v>121</v>
      </c>
      <c r="D37" s="46" t="s">
        <v>122</v>
      </c>
      <c r="E37" s="47" t="s">
        <v>39</v>
      </c>
      <c r="F37" s="48"/>
      <c r="G37" s="48"/>
      <c r="H37" s="49"/>
      <c r="I37" s="49"/>
      <c r="J37" s="49"/>
      <c r="K37" s="49"/>
      <c r="L37" s="49"/>
      <c r="M37" s="49"/>
      <c r="N37" s="49"/>
      <c r="O37" s="49">
        <f t="shared" si="0"/>
        <v>0</v>
      </c>
      <c r="P37" s="49"/>
      <c r="Q37" s="49"/>
      <c r="R37" s="49">
        <f t="shared" si="1"/>
        <v>0</v>
      </c>
      <c r="S37" s="50" t="e">
        <f t="shared" si="2"/>
        <v>#DIV/0!</v>
      </c>
      <c r="T37" s="51" t="e">
        <f t="shared" si="3"/>
        <v>#DIV/0!</v>
      </c>
      <c r="U37" s="50" t="e">
        <f t="shared" si="4"/>
        <v>#NUM!</v>
      </c>
      <c r="V37" s="50" t="e">
        <f t="shared" si="5"/>
        <v>#DIV/0!</v>
      </c>
      <c r="W37" s="52"/>
      <c r="X37" s="53">
        <v>0</v>
      </c>
      <c r="Y37" s="54"/>
      <c r="Z37" s="55">
        <f t="shared" si="6"/>
        <v>0</v>
      </c>
      <c r="AA37" s="48">
        <f t="shared" si="7"/>
        <v>0</v>
      </c>
      <c r="AB37" s="49"/>
      <c r="AC37" s="49"/>
      <c r="AD37" s="50" t="e">
        <f t="shared" si="8"/>
        <v>#DIV/0!</v>
      </c>
      <c r="AE37" s="56" t="e">
        <f t="shared" si="9"/>
        <v>#DIV/0!</v>
      </c>
      <c r="AF37" s="50" t="e">
        <f t="shared" si="10"/>
        <v>#DIV/0!</v>
      </c>
      <c r="AG37" s="50" t="e">
        <f t="shared" si="11"/>
        <v>#DIV/0!</v>
      </c>
      <c r="AH37" s="57" t="e">
        <f t="shared" si="12"/>
        <v>#DIV/0!</v>
      </c>
      <c r="AI37" s="58" t="e">
        <f t="shared" si="13"/>
        <v>#DIV/0!</v>
      </c>
      <c r="AJ37" s="49"/>
      <c r="AK37" s="49"/>
      <c r="AL37" s="59"/>
      <c r="AM37" s="59"/>
      <c r="AN37" s="59"/>
      <c r="AO37" s="59"/>
      <c r="AP37" s="59"/>
      <c r="AQ37" s="59"/>
      <c r="AR37" s="59"/>
    </row>
    <row r="38" spans="1:44" ht="16.8">
      <c r="A38" s="17" t="s">
        <v>123</v>
      </c>
      <c r="B38" s="18">
        <v>15</v>
      </c>
      <c r="C38" s="1" t="s">
        <v>124</v>
      </c>
      <c r="D38" s="19" t="s">
        <v>125</v>
      </c>
      <c r="E38" s="20" t="s">
        <v>39</v>
      </c>
      <c r="F38" s="21">
        <v>1998</v>
      </c>
      <c r="G38" s="40">
        <v>2021</v>
      </c>
      <c r="H38" s="23">
        <v>23395487124</v>
      </c>
      <c r="I38" s="23">
        <v>59116314018</v>
      </c>
      <c r="J38" s="23">
        <v>16701568045</v>
      </c>
      <c r="K38" s="23">
        <f>(J38+13021957366)/2</f>
        <v>14861762705.5</v>
      </c>
      <c r="L38" s="23">
        <v>16701568045</v>
      </c>
      <c r="M38" s="23">
        <v>42414745973</v>
      </c>
      <c r="N38" s="23">
        <v>38397925728</v>
      </c>
      <c r="O38" s="25">
        <f t="shared" si="0"/>
        <v>6693919079</v>
      </c>
      <c r="P38" s="23">
        <v>2231874177</v>
      </c>
      <c r="Q38" s="23">
        <v>2035552502</v>
      </c>
      <c r="R38" s="25">
        <f t="shared" si="1"/>
        <v>36362373226</v>
      </c>
      <c r="S38" s="26">
        <f t="shared" si="2"/>
        <v>0.28252045687277849</v>
      </c>
      <c r="T38" s="27">
        <f t="shared" si="3"/>
        <v>1.4007958450945557</v>
      </c>
      <c r="U38" s="26">
        <f t="shared" si="4"/>
        <v>24.802772764179885</v>
      </c>
      <c r="V38" s="26">
        <f t="shared" si="5"/>
        <v>2.5836723737884606</v>
      </c>
      <c r="W38" s="61">
        <v>45746</v>
      </c>
      <c r="X38" s="42">
        <v>30300</v>
      </c>
      <c r="Y38" s="28">
        <v>0</v>
      </c>
      <c r="Z38" s="30">
        <f t="shared" si="6"/>
        <v>0</v>
      </c>
      <c r="AA38" s="31">
        <f t="shared" si="7"/>
        <v>23</v>
      </c>
      <c r="AB38" s="32">
        <v>1.84E-2</v>
      </c>
      <c r="AC38" s="32">
        <v>2.58E-2</v>
      </c>
      <c r="AD38" s="33">
        <f t="shared" si="8"/>
        <v>0.11323302526882521</v>
      </c>
      <c r="AE38" s="34">
        <f t="shared" si="9"/>
        <v>3.7753946843174777E-2</v>
      </c>
      <c r="AF38" s="33">
        <f t="shared" si="10"/>
        <v>0.61509879007219936</v>
      </c>
      <c r="AG38" s="33">
        <f t="shared" si="11"/>
        <v>0</v>
      </c>
      <c r="AH38" s="35">
        <f t="shared" si="12"/>
        <v>2.2990611195632797</v>
      </c>
      <c r="AI38" s="36">
        <f t="shared" si="13"/>
        <v>4.517622282704572</v>
      </c>
      <c r="AJ38" s="23" t="s">
        <v>51</v>
      </c>
      <c r="AK38" s="23"/>
      <c r="AL38" s="44"/>
      <c r="AM38" s="44"/>
      <c r="AN38" s="44"/>
      <c r="AO38" s="44"/>
      <c r="AP38" s="44"/>
      <c r="AQ38" s="44"/>
      <c r="AR38" s="44"/>
    </row>
    <row r="39" spans="1:44" ht="16.8">
      <c r="A39" s="17" t="s">
        <v>126</v>
      </c>
      <c r="B39" s="18"/>
      <c r="C39" s="1" t="s">
        <v>124</v>
      </c>
      <c r="D39" s="19" t="s">
        <v>125</v>
      </c>
      <c r="E39" s="20" t="s">
        <v>39</v>
      </c>
      <c r="F39" s="21">
        <v>1998</v>
      </c>
      <c r="G39" s="40">
        <v>2022</v>
      </c>
      <c r="H39" s="23">
        <v>12516419428</v>
      </c>
      <c r="I39" s="23">
        <v>48222561974</v>
      </c>
      <c r="J39" s="23">
        <v>4999287291</v>
      </c>
      <c r="K39" s="23">
        <f t="shared" ref="K39:K40" si="24">(J39+J38)/2</f>
        <v>10850427668</v>
      </c>
      <c r="L39" s="23">
        <v>4999287291</v>
      </c>
      <c r="M39" s="23">
        <v>43223274683</v>
      </c>
      <c r="N39" s="23">
        <v>42249349300</v>
      </c>
      <c r="O39" s="25">
        <f t="shared" si="0"/>
        <v>7517132137</v>
      </c>
      <c r="P39" s="23">
        <v>808528710</v>
      </c>
      <c r="Q39" s="23">
        <v>1890361159</v>
      </c>
      <c r="R39" s="25">
        <f t="shared" si="1"/>
        <v>40358988141</v>
      </c>
      <c r="S39" s="26">
        <f t="shared" si="2"/>
        <v>0.10367112584552121</v>
      </c>
      <c r="T39" s="27">
        <f t="shared" si="3"/>
        <v>2.50364075906035</v>
      </c>
      <c r="U39" s="26">
        <f t="shared" si="4"/>
        <v>24.599092839229556</v>
      </c>
      <c r="V39" s="26">
        <f t="shared" si="5"/>
        <v>3.8937957648067147</v>
      </c>
      <c r="W39" s="61">
        <v>45912</v>
      </c>
      <c r="X39" s="42">
        <v>12900</v>
      </c>
      <c r="Y39" s="28">
        <v>0</v>
      </c>
      <c r="Z39" s="30">
        <f t="shared" si="6"/>
        <v>0</v>
      </c>
      <c r="AA39" s="31">
        <f t="shared" si="7"/>
        <v>24</v>
      </c>
      <c r="AB39" s="32">
        <v>3.15E-2</v>
      </c>
      <c r="AC39" s="32">
        <v>8.0199999999999994E-2</v>
      </c>
      <c r="AD39" s="33">
        <f t="shared" si="8"/>
        <v>0.15588413035900056</v>
      </c>
      <c r="AE39" s="34">
        <f t="shared" si="9"/>
        <v>1.6766606271063154E-2</v>
      </c>
      <c r="AF39" s="33">
        <f t="shared" si="10"/>
        <v>0.83693164545592214</v>
      </c>
      <c r="AG39" s="33">
        <f t="shared" si="11"/>
        <v>0</v>
      </c>
      <c r="AH39" s="35">
        <f t="shared" si="12"/>
        <v>8.4510744913699334</v>
      </c>
      <c r="AI39" s="36">
        <f t="shared" si="13"/>
        <v>11.423483126584765</v>
      </c>
      <c r="AJ39" s="23" t="s">
        <v>51</v>
      </c>
      <c r="AK39" s="23"/>
      <c r="AL39" s="44"/>
      <c r="AM39" s="44"/>
      <c r="AN39" s="44"/>
      <c r="AO39" s="44"/>
      <c r="AP39" s="44"/>
      <c r="AQ39" s="44"/>
      <c r="AR39" s="44"/>
    </row>
    <row r="40" spans="1:44" ht="16.8">
      <c r="A40" s="17" t="s">
        <v>127</v>
      </c>
      <c r="B40" s="39"/>
      <c r="C40" s="1" t="s">
        <v>124</v>
      </c>
      <c r="D40" s="19" t="s">
        <v>125</v>
      </c>
      <c r="E40" s="20" t="s">
        <v>39</v>
      </c>
      <c r="F40" s="21">
        <v>1998</v>
      </c>
      <c r="G40" s="40">
        <v>2023</v>
      </c>
      <c r="H40" s="23">
        <v>12686247990</v>
      </c>
      <c r="I40" s="23">
        <v>50396277286</v>
      </c>
      <c r="J40" s="23">
        <v>6942126957</v>
      </c>
      <c r="K40" s="23">
        <f t="shared" si="24"/>
        <v>5970707124</v>
      </c>
      <c r="L40" s="23">
        <v>4999287291</v>
      </c>
      <c r="M40" s="23">
        <v>43454150329</v>
      </c>
      <c r="N40" s="23">
        <v>47943633600</v>
      </c>
      <c r="O40" s="25">
        <f t="shared" si="0"/>
        <v>7686960699</v>
      </c>
      <c r="P40" s="23">
        <v>230875646</v>
      </c>
      <c r="Q40" s="23">
        <v>1928550036</v>
      </c>
      <c r="R40" s="25">
        <f t="shared" si="1"/>
        <v>46015083564</v>
      </c>
      <c r="S40" s="26">
        <f t="shared" si="2"/>
        <v>0.13775078896409895</v>
      </c>
      <c r="T40" s="27">
        <f t="shared" si="3"/>
        <v>2.5376113136843528</v>
      </c>
      <c r="U40" s="26">
        <f t="shared" si="4"/>
        <v>24.643183145922684</v>
      </c>
      <c r="V40" s="26">
        <f t="shared" si="5"/>
        <v>8.0298082964553057</v>
      </c>
      <c r="W40" s="61">
        <v>45888</v>
      </c>
      <c r="X40" s="42">
        <v>19800</v>
      </c>
      <c r="Y40" s="60">
        <v>0</v>
      </c>
      <c r="Z40" s="30">
        <f t="shared" si="6"/>
        <v>0</v>
      </c>
      <c r="AA40" s="31">
        <f t="shared" si="7"/>
        <v>25</v>
      </c>
      <c r="AB40" s="32">
        <v>3.2500000000000001E-2</v>
      </c>
      <c r="AC40" s="32">
        <v>5.0500000000000003E-2</v>
      </c>
      <c r="AD40" s="33">
        <f t="shared" si="8"/>
        <v>0.1525303278926006</v>
      </c>
      <c r="AE40" s="34">
        <f t="shared" si="9"/>
        <v>4.5812043752711243E-3</v>
      </c>
      <c r="AF40" s="33">
        <f t="shared" si="10"/>
        <v>0.91306513183232507</v>
      </c>
      <c r="AG40" s="33">
        <f t="shared" si="11"/>
        <v>0</v>
      </c>
      <c r="AH40" s="35">
        <f t="shared" si="12"/>
        <v>6.9061879589592756</v>
      </c>
      <c r="AI40" s="36">
        <f t="shared" si="13"/>
        <v>10.108752973602449</v>
      </c>
      <c r="AJ40" s="23" t="s">
        <v>51</v>
      </c>
      <c r="AK40" s="23"/>
      <c r="AL40" s="44"/>
      <c r="AM40" s="44"/>
      <c r="AN40" s="44"/>
      <c r="AO40" s="44"/>
      <c r="AP40" s="44"/>
      <c r="AQ40" s="44"/>
      <c r="AR40" s="44"/>
    </row>
    <row r="41" spans="1:44" ht="16.8">
      <c r="A41" s="45"/>
      <c r="B41" s="45">
        <v>16</v>
      </c>
      <c r="C41" s="45" t="s">
        <v>128</v>
      </c>
      <c r="D41" s="46" t="s">
        <v>129</v>
      </c>
      <c r="E41" s="47" t="s">
        <v>39</v>
      </c>
      <c r="F41" s="48"/>
      <c r="G41" s="48"/>
      <c r="H41" s="49"/>
      <c r="I41" s="49"/>
      <c r="J41" s="49"/>
      <c r="K41" s="49"/>
      <c r="L41" s="49"/>
      <c r="M41" s="49"/>
      <c r="N41" s="49"/>
      <c r="O41" s="49">
        <f t="shared" si="0"/>
        <v>0</v>
      </c>
      <c r="P41" s="49"/>
      <c r="Q41" s="49"/>
      <c r="R41" s="49">
        <f t="shared" si="1"/>
        <v>0</v>
      </c>
      <c r="S41" s="50" t="e">
        <f t="shared" si="2"/>
        <v>#DIV/0!</v>
      </c>
      <c r="T41" s="51" t="e">
        <f t="shared" si="3"/>
        <v>#DIV/0!</v>
      </c>
      <c r="U41" s="50" t="e">
        <f t="shared" si="4"/>
        <v>#NUM!</v>
      </c>
      <c r="V41" s="50" t="e">
        <f t="shared" si="5"/>
        <v>#DIV/0!</v>
      </c>
      <c r="W41" s="52"/>
      <c r="X41" s="53">
        <v>0</v>
      </c>
      <c r="Y41" s="52"/>
      <c r="Z41" s="55">
        <f t="shared" si="6"/>
        <v>0</v>
      </c>
      <c r="AA41" s="48">
        <f t="shared" si="7"/>
        <v>0</v>
      </c>
      <c r="AB41" s="49"/>
      <c r="AC41" s="49"/>
      <c r="AD41" s="50" t="e">
        <f t="shared" si="8"/>
        <v>#DIV/0!</v>
      </c>
      <c r="AE41" s="56" t="e">
        <f t="shared" si="9"/>
        <v>#DIV/0!</v>
      </c>
      <c r="AF41" s="50" t="e">
        <f t="shared" si="10"/>
        <v>#DIV/0!</v>
      </c>
      <c r="AG41" s="50" t="e">
        <f t="shared" si="11"/>
        <v>#DIV/0!</v>
      </c>
      <c r="AH41" s="57" t="e">
        <f t="shared" si="12"/>
        <v>#DIV/0!</v>
      </c>
      <c r="AI41" s="58" t="e">
        <f t="shared" si="13"/>
        <v>#DIV/0!</v>
      </c>
      <c r="AJ41" s="49"/>
      <c r="AK41" s="49"/>
      <c r="AL41" s="59"/>
      <c r="AM41" s="59"/>
      <c r="AN41" s="59"/>
      <c r="AO41" s="59"/>
      <c r="AP41" s="59"/>
      <c r="AQ41" s="59"/>
      <c r="AR41" s="59"/>
    </row>
    <row r="42" spans="1:44" ht="16.8">
      <c r="A42" s="45"/>
      <c r="B42" s="45">
        <v>17</v>
      </c>
      <c r="C42" s="45" t="s">
        <v>130</v>
      </c>
      <c r="D42" s="46" t="s">
        <v>131</v>
      </c>
      <c r="E42" s="47" t="s">
        <v>39</v>
      </c>
      <c r="F42" s="48"/>
      <c r="G42" s="48"/>
      <c r="H42" s="49"/>
      <c r="I42" s="49"/>
      <c r="J42" s="49"/>
      <c r="K42" s="49"/>
      <c r="L42" s="49"/>
      <c r="M42" s="49"/>
      <c r="N42" s="49"/>
      <c r="O42" s="49">
        <f t="shared" si="0"/>
        <v>0</v>
      </c>
      <c r="P42" s="49"/>
      <c r="Q42" s="49"/>
      <c r="R42" s="49">
        <f t="shared" si="1"/>
        <v>0</v>
      </c>
      <c r="S42" s="50" t="e">
        <f t="shared" si="2"/>
        <v>#DIV/0!</v>
      </c>
      <c r="T42" s="51" t="e">
        <f t="shared" si="3"/>
        <v>#DIV/0!</v>
      </c>
      <c r="U42" s="50" t="e">
        <f t="shared" si="4"/>
        <v>#NUM!</v>
      </c>
      <c r="V42" s="50" t="e">
        <f t="shared" si="5"/>
        <v>#DIV/0!</v>
      </c>
      <c r="W42" s="52"/>
      <c r="X42" s="53">
        <v>0</v>
      </c>
      <c r="Y42" s="52"/>
      <c r="Z42" s="55">
        <f t="shared" si="6"/>
        <v>0</v>
      </c>
      <c r="AA42" s="48">
        <f t="shared" si="7"/>
        <v>0</v>
      </c>
      <c r="AB42" s="49"/>
      <c r="AC42" s="49"/>
      <c r="AD42" s="50" t="e">
        <f t="shared" si="8"/>
        <v>#DIV/0!</v>
      </c>
      <c r="AE42" s="56" t="e">
        <f t="shared" si="9"/>
        <v>#DIV/0!</v>
      </c>
      <c r="AF42" s="50" t="e">
        <f t="shared" si="10"/>
        <v>#DIV/0!</v>
      </c>
      <c r="AG42" s="50" t="e">
        <f t="shared" si="11"/>
        <v>#DIV/0!</v>
      </c>
      <c r="AH42" s="57" t="e">
        <f t="shared" si="12"/>
        <v>#DIV/0!</v>
      </c>
      <c r="AI42" s="58" t="e">
        <f t="shared" si="13"/>
        <v>#DIV/0!</v>
      </c>
      <c r="AJ42" s="49"/>
      <c r="AK42" s="49"/>
      <c r="AL42" s="59"/>
      <c r="AM42" s="59"/>
      <c r="AN42" s="59"/>
      <c r="AO42" s="59"/>
      <c r="AP42" s="59"/>
      <c r="AQ42" s="59"/>
      <c r="AR42" s="59"/>
    </row>
    <row r="43" spans="1:44" ht="16.8">
      <c r="A43" s="258" t="s">
        <v>132</v>
      </c>
      <c r="B43" s="62">
        <v>18</v>
      </c>
      <c r="C43" s="1" t="s">
        <v>133</v>
      </c>
      <c r="D43" s="19" t="s">
        <v>134</v>
      </c>
      <c r="E43" s="20" t="s">
        <v>39</v>
      </c>
      <c r="F43" s="21">
        <v>2004</v>
      </c>
      <c r="G43" s="40">
        <v>2021</v>
      </c>
      <c r="H43" s="23">
        <v>363074829437</v>
      </c>
      <c r="I43" s="23">
        <v>828373196874</v>
      </c>
      <c r="J43" s="23">
        <v>601956768821</v>
      </c>
      <c r="K43" s="23">
        <f>(J43+589029172090)/2</f>
        <v>595492970455.5</v>
      </c>
      <c r="L43" s="23">
        <v>136799243190</v>
      </c>
      <c r="M43" s="23">
        <v>226416428053</v>
      </c>
      <c r="N43" s="23">
        <v>171905798278</v>
      </c>
      <c r="O43" s="25">
        <f t="shared" si="0"/>
        <v>226275586247</v>
      </c>
      <c r="P43" s="23">
        <v>60333386197</v>
      </c>
      <c r="Q43" s="23">
        <v>24086359375</v>
      </c>
      <c r="R43" s="25">
        <f t="shared" si="1"/>
        <v>147819438903</v>
      </c>
      <c r="S43" s="26">
        <f t="shared" si="2"/>
        <v>0.72667340166555494</v>
      </c>
      <c r="T43" s="27">
        <f t="shared" si="3"/>
        <v>2.6540704536846493</v>
      </c>
      <c r="U43" s="26">
        <f t="shared" si="4"/>
        <v>27.442729610649852</v>
      </c>
      <c r="V43" s="26">
        <f t="shared" si="5"/>
        <v>0.28867813191229968</v>
      </c>
      <c r="W43" s="63" t="s">
        <v>135</v>
      </c>
      <c r="X43" s="29">
        <v>56900</v>
      </c>
      <c r="Y43" s="63">
        <v>1000</v>
      </c>
      <c r="Z43" s="30">
        <f t="shared" si="6"/>
        <v>56900000</v>
      </c>
      <c r="AA43" s="31">
        <f t="shared" si="7"/>
        <v>17</v>
      </c>
      <c r="AB43" s="32">
        <v>1.84E-2</v>
      </c>
      <c r="AC43" s="32">
        <v>2.58E-2</v>
      </c>
      <c r="AD43" s="33">
        <f t="shared" si="8"/>
        <v>0.27315657616746591</v>
      </c>
      <c r="AE43" s="34">
        <f t="shared" si="9"/>
        <v>7.283358083612286E-2</v>
      </c>
      <c r="AF43" s="33">
        <f t="shared" si="10"/>
        <v>0.17844546330183125</v>
      </c>
      <c r="AG43" s="33">
        <f t="shared" si="11"/>
        <v>9.4525060514636373E-5</v>
      </c>
      <c r="AH43" s="35">
        <f t="shared" si="12"/>
        <v>0.28557831256669286</v>
      </c>
      <c r="AI43" s="36">
        <f t="shared" si="13"/>
        <v>1.3042599610705761</v>
      </c>
      <c r="AJ43" s="23" t="s">
        <v>136</v>
      </c>
      <c r="AK43" s="23"/>
      <c r="AL43" s="44"/>
      <c r="AM43" s="44"/>
      <c r="AN43" s="44"/>
      <c r="AO43" s="44"/>
      <c r="AP43" s="44"/>
      <c r="AQ43" s="44"/>
      <c r="AR43" s="44"/>
    </row>
    <row r="44" spans="1:44" ht="16.8">
      <c r="A44" s="257"/>
      <c r="B44" s="62"/>
      <c r="C44" s="1" t="s">
        <v>133</v>
      </c>
      <c r="D44" s="19" t="s">
        <v>134</v>
      </c>
      <c r="E44" s="20" t="s">
        <v>39</v>
      </c>
      <c r="F44" s="21">
        <v>2004</v>
      </c>
      <c r="G44" s="40">
        <v>2022</v>
      </c>
      <c r="H44" s="23">
        <v>306303361128</v>
      </c>
      <c r="I44" s="23">
        <v>767757104769</v>
      </c>
      <c r="J44" s="23">
        <v>522671267944</v>
      </c>
      <c r="K44" s="23">
        <f>(601956768821+J44)/2</f>
        <v>562314018382.5</v>
      </c>
      <c r="L44" s="23">
        <v>39363657555</v>
      </c>
      <c r="M44" s="23">
        <v>245085836825</v>
      </c>
      <c r="N44" s="23">
        <v>232289678070</v>
      </c>
      <c r="O44" s="25">
        <f t="shared" si="0"/>
        <v>266939703573</v>
      </c>
      <c r="P44" s="23">
        <v>64658857784</v>
      </c>
      <c r="Q44" s="23">
        <v>26059222656</v>
      </c>
      <c r="R44" s="25">
        <f t="shared" si="1"/>
        <v>206230455414</v>
      </c>
      <c r="S44" s="26">
        <f t="shared" si="2"/>
        <v>0.68077685598397619</v>
      </c>
      <c r="T44" s="27">
        <f t="shared" si="3"/>
        <v>7.7813745000708945</v>
      </c>
      <c r="U44" s="26">
        <f t="shared" si="4"/>
        <v>27.366739250238201</v>
      </c>
      <c r="V44" s="26">
        <f t="shared" si="5"/>
        <v>0.41309601126107937</v>
      </c>
      <c r="W44" s="63" t="s">
        <v>137</v>
      </c>
      <c r="X44" s="29">
        <v>62880</v>
      </c>
      <c r="Y44" s="63">
        <v>0</v>
      </c>
      <c r="Z44" s="30">
        <f t="shared" si="6"/>
        <v>0</v>
      </c>
      <c r="AA44" s="31">
        <f t="shared" si="7"/>
        <v>18</v>
      </c>
      <c r="AB44" s="32">
        <v>3.15E-2</v>
      </c>
      <c r="AC44" s="32">
        <v>8.0199999999999994E-2</v>
      </c>
      <c r="AD44" s="33">
        <f t="shared" si="8"/>
        <v>0.34768770215850475</v>
      </c>
      <c r="AE44" s="34">
        <f t="shared" si="9"/>
        <v>8.4217856640290328E-2</v>
      </c>
      <c r="AF44" s="33">
        <f t="shared" si="10"/>
        <v>0.26861419338613596</v>
      </c>
      <c r="AG44" s="33">
        <f t="shared" si="11"/>
        <v>0</v>
      </c>
      <c r="AH44" s="35">
        <f t="shared" si="12"/>
        <v>0.44442786951680679</v>
      </c>
      <c r="AI44" s="36">
        <f t="shared" si="13"/>
        <v>1.8659849495776677</v>
      </c>
      <c r="AJ44" s="23" t="s">
        <v>136</v>
      </c>
      <c r="AK44" s="23"/>
      <c r="AL44" s="44"/>
      <c r="AM44" s="44"/>
      <c r="AN44" s="44"/>
      <c r="AO44" s="44"/>
      <c r="AP44" s="44"/>
      <c r="AQ44" s="44"/>
      <c r="AR44" s="44"/>
    </row>
    <row r="45" spans="1:44" ht="16.8">
      <c r="A45" s="257"/>
      <c r="B45" s="62"/>
      <c r="C45" s="1" t="s">
        <v>133</v>
      </c>
      <c r="D45" s="19" t="s">
        <v>134</v>
      </c>
      <c r="E45" s="20" t="s">
        <v>39</v>
      </c>
      <c r="F45" s="21">
        <v>2004</v>
      </c>
      <c r="G45" s="40">
        <v>2023</v>
      </c>
      <c r="H45" s="23">
        <v>270287279321</v>
      </c>
      <c r="I45" s="23">
        <v>724830592178</v>
      </c>
      <c r="J45" s="23">
        <v>514174691284</v>
      </c>
      <c r="K45" s="23">
        <f>(J45+522671267944)/2</f>
        <v>518422979614</v>
      </c>
      <c r="L45" s="23">
        <v>45047590253</v>
      </c>
      <c r="M45" s="23">
        <v>210655900894</v>
      </c>
      <c r="N45" s="23">
        <v>74522860806</v>
      </c>
      <c r="O45" s="25">
        <f t="shared" si="0"/>
        <v>225239689068</v>
      </c>
      <c r="P45" s="23">
        <v>28766331975</v>
      </c>
      <c r="Q45" s="23">
        <v>22196110344</v>
      </c>
      <c r="R45" s="25">
        <f t="shared" si="1"/>
        <v>52326750462</v>
      </c>
      <c r="S45" s="26">
        <f t="shared" si="2"/>
        <v>0.70937222687992141</v>
      </c>
      <c r="T45" s="27">
        <f t="shared" si="3"/>
        <v>6.0000385770468574</v>
      </c>
      <c r="U45" s="26">
        <f t="shared" si="4"/>
        <v>27.309203798535563</v>
      </c>
      <c r="V45" s="26">
        <f t="shared" si="5"/>
        <v>0.14374914642380854</v>
      </c>
      <c r="W45" s="63" t="s">
        <v>138</v>
      </c>
      <c r="X45" s="29">
        <v>38470</v>
      </c>
      <c r="Y45" s="63">
        <v>310</v>
      </c>
      <c r="Z45" s="30">
        <f t="shared" si="6"/>
        <v>11925700</v>
      </c>
      <c r="AA45" s="31">
        <f t="shared" si="7"/>
        <v>19</v>
      </c>
      <c r="AB45" s="32">
        <v>3.2500000000000001E-2</v>
      </c>
      <c r="AC45" s="32">
        <v>5.0500000000000003E-2</v>
      </c>
      <c r="AD45" s="33">
        <f t="shared" si="8"/>
        <v>0.31074804443779169</v>
      </c>
      <c r="AE45" s="34">
        <f t="shared" si="9"/>
        <v>3.9686972770508727E-2</v>
      </c>
      <c r="AF45" s="33">
        <f t="shared" si="10"/>
        <v>7.2191696965723376E-2</v>
      </c>
      <c r="AG45" s="33">
        <f t="shared" si="11"/>
        <v>2.3193868158347261E-5</v>
      </c>
      <c r="AH45" s="35">
        <f t="shared" si="12"/>
        <v>0.14493685136446735</v>
      </c>
      <c r="AI45" s="36">
        <f t="shared" si="13"/>
        <v>0.81164278287631164</v>
      </c>
      <c r="AJ45" s="23" t="s">
        <v>136</v>
      </c>
      <c r="AK45" s="23"/>
      <c r="AL45" s="44"/>
      <c r="AM45" s="44"/>
      <c r="AN45" s="44"/>
      <c r="AO45" s="44"/>
      <c r="AP45" s="44"/>
      <c r="AQ45" s="44"/>
      <c r="AR45" s="44"/>
    </row>
    <row r="46" spans="1:44" ht="16.8">
      <c r="A46" s="64" t="s">
        <v>139</v>
      </c>
      <c r="B46" s="62">
        <v>19</v>
      </c>
      <c r="C46" s="1" t="s">
        <v>140</v>
      </c>
      <c r="D46" s="19" t="s">
        <v>141</v>
      </c>
      <c r="E46" s="20" t="s">
        <v>39</v>
      </c>
      <c r="F46" s="21">
        <v>1996</v>
      </c>
      <c r="G46" s="40">
        <v>2021</v>
      </c>
      <c r="H46" s="23">
        <v>281042800361</v>
      </c>
      <c r="I46" s="23">
        <v>394565027353</v>
      </c>
      <c r="J46" s="23">
        <v>284028643923</v>
      </c>
      <c r="K46" s="23">
        <f>(J46+279132469496)/2</f>
        <v>281580556709.5</v>
      </c>
      <c r="L46" s="23">
        <v>281128643923</v>
      </c>
      <c r="M46" s="23">
        <v>110536383430</v>
      </c>
      <c r="N46" s="23">
        <v>523353809694</v>
      </c>
      <c r="O46" s="25">
        <f t="shared" si="0"/>
        <v>-85843562</v>
      </c>
      <c r="P46" s="23">
        <v>10208419100</v>
      </c>
      <c r="Q46" s="23">
        <f>7099466240+10713229216</f>
        <v>17812695456</v>
      </c>
      <c r="R46" s="25">
        <f t="shared" si="1"/>
        <v>505541114238</v>
      </c>
      <c r="S46" s="26">
        <f t="shared" si="2"/>
        <v>0.71985255720318075</v>
      </c>
      <c r="T46" s="27">
        <f t="shared" si="3"/>
        <v>0.99969464668984953</v>
      </c>
      <c r="U46" s="26">
        <f t="shared" si="4"/>
        <v>26.701049798510418</v>
      </c>
      <c r="V46" s="26">
        <f t="shared" si="5"/>
        <v>1.8586290751386352</v>
      </c>
      <c r="W46" s="63" t="s">
        <v>142</v>
      </c>
      <c r="X46" s="29">
        <v>9700</v>
      </c>
      <c r="Y46" s="63">
        <v>0</v>
      </c>
      <c r="Z46" s="30">
        <f t="shared" si="6"/>
        <v>0</v>
      </c>
      <c r="AA46" s="31">
        <f t="shared" si="7"/>
        <v>25</v>
      </c>
      <c r="AB46" s="32">
        <v>1.84E-2</v>
      </c>
      <c r="AC46" s="32">
        <v>2.58E-2</v>
      </c>
      <c r="AD46" s="33">
        <f t="shared" si="8"/>
        <v>-2.1756505531140126E-4</v>
      </c>
      <c r="AE46" s="34">
        <f t="shared" si="9"/>
        <v>2.5872589794601782E-2</v>
      </c>
      <c r="AF46" s="33">
        <f t="shared" si="10"/>
        <v>1.2812618432746057</v>
      </c>
      <c r="AG46" s="33">
        <f t="shared" si="11"/>
        <v>0</v>
      </c>
      <c r="AH46" s="35">
        <f t="shared" si="12"/>
        <v>1.8426092610429845</v>
      </c>
      <c r="AI46" s="36">
        <f t="shared" si="13"/>
        <v>6.1067338914952529</v>
      </c>
      <c r="AJ46" s="23"/>
      <c r="AK46" s="23"/>
      <c r="AL46" s="44"/>
      <c r="AM46" s="44"/>
      <c r="AN46" s="44"/>
      <c r="AO46" s="44"/>
      <c r="AP46" s="44"/>
      <c r="AQ46" s="44"/>
      <c r="AR46" s="44"/>
    </row>
    <row r="47" spans="1:44" ht="16.8">
      <c r="A47" s="64" t="s">
        <v>143</v>
      </c>
      <c r="B47" s="62"/>
      <c r="C47" s="1" t="s">
        <v>140</v>
      </c>
      <c r="D47" s="19" t="s">
        <v>141</v>
      </c>
      <c r="E47" s="20" t="s">
        <v>39</v>
      </c>
      <c r="F47" s="21">
        <v>1996</v>
      </c>
      <c r="G47" s="40">
        <v>2022</v>
      </c>
      <c r="H47" s="23">
        <v>231745904703</v>
      </c>
      <c r="I47" s="23">
        <v>343511860291</v>
      </c>
      <c r="J47" s="23">
        <v>234471297030</v>
      </c>
      <c r="K47" s="23">
        <f t="shared" ref="K47:K48" si="25">(J47+J46)/2</f>
        <v>259249970476.5</v>
      </c>
      <c r="L47" s="23">
        <v>231601297030</v>
      </c>
      <c r="M47" s="23">
        <v>109040563261</v>
      </c>
      <c r="N47" s="23">
        <v>448421604262</v>
      </c>
      <c r="O47" s="25">
        <f t="shared" si="0"/>
        <v>144607673</v>
      </c>
      <c r="P47" s="23">
        <v>7812598931</v>
      </c>
      <c r="Q47" s="23">
        <f>7859168964+13543071226</f>
        <v>21402240190</v>
      </c>
      <c r="R47" s="25">
        <f t="shared" si="1"/>
        <v>427019364072</v>
      </c>
      <c r="S47" s="26">
        <f t="shared" si="2"/>
        <v>0.68257118351422219</v>
      </c>
      <c r="T47" s="27">
        <f t="shared" si="3"/>
        <v>1.0006243819652758</v>
      </c>
      <c r="U47" s="26">
        <f t="shared" si="4"/>
        <v>26.562487475788583</v>
      </c>
      <c r="V47" s="26">
        <f t="shared" si="5"/>
        <v>1.7296881594154228</v>
      </c>
      <c r="W47" s="63" t="s">
        <v>144</v>
      </c>
      <c r="X47" s="29">
        <v>8670</v>
      </c>
      <c r="Y47" s="63">
        <v>0</v>
      </c>
      <c r="Z47" s="30">
        <f t="shared" si="6"/>
        <v>0</v>
      </c>
      <c r="AA47" s="31">
        <f t="shared" si="7"/>
        <v>26</v>
      </c>
      <c r="AB47" s="32">
        <v>3.15E-2</v>
      </c>
      <c r="AC47" s="32">
        <v>8.0199999999999994E-2</v>
      </c>
      <c r="AD47" s="33">
        <f t="shared" si="8"/>
        <v>4.2096850128405514E-4</v>
      </c>
      <c r="AE47" s="34">
        <f t="shared" si="9"/>
        <v>2.2743316415280958E-2</v>
      </c>
      <c r="AF47" s="33">
        <f t="shared" si="10"/>
        <v>1.2430993320296368</v>
      </c>
      <c r="AG47" s="33">
        <f t="shared" si="11"/>
        <v>0</v>
      </c>
      <c r="AH47" s="35">
        <f t="shared" si="12"/>
        <v>1.9124797360788499</v>
      </c>
      <c r="AI47" s="36">
        <f t="shared" si="13"/>
        <v>6.0470533369595847</v>
      </c>
      <c r="AJ47" s="23"/>
      <c r="AK47" s="23"/>
      <c r="AL47" s="44"/>
      <c r="AM47" s="44"/>
      <c r="AN47" s="44"/>
      <c r="AO47" s="44"/>
      <c r="AP47" s="44"/>
      <c r="AQ47" s="44"/>
      <c r="AR47" s="44"/>
    </row>
    <row r="48" spans="1:44" ht="16.8">
      <c r="A48" s="64" t="s">
        <v>145</v>
      </c>
      <c r="B48" s="62"/>
      <c r="C48" s="1" t="s">
        <v>140</v>
      </c>
      <c r="D48" s="19" t="s">
        <v>141</v>
      </c>
      <c r="E48" s="20" t="s">
        <v>39</v>
      </c>
      <c r="F48" s="21">
        <v>1996</v>
      </c>
      <c r="G48" s="40">
        <v>2023</v>
      </c>
      <c r="H48" s="23">
        <v>216373509875</v>
      </c>
      <c r="I48" s="23">
        <v>299256744957</v>
      </c>
      <c r="J48" s="23">
        <v>192158253057</v>
      </c>
      <c r="K48" s="23">
        <f t="shared" si="25"/>
        <v>213314775043.5</v>
      </c>
      <c r="L48" s="23">
        <v>192158253057</v>
      </c>
      <c r="M48" s="23">
        <v>107198491900</v>
      </c>
      <c r="N48" s="23">
        <v>355621825662</v>
      </c>
      <c r="O48" s="25">
        <f t="shared" si="0"/>
        <v>24215256818</v>
      </c>
      <c r="P48" s="23">
        <v>5657928639</v>
      </c>
      <c r="Q48" s="23">
        <f>7051927533+10344171443</f>
        <v>17396098976</v>
      </c>
      <c r="R48" s="25">
        <f t="shared" si="1"/>
        <v>338225726686</v>
      </c>
      <c r="S48" s="26">
        <f t="shared" si="2"/>
        <v>0.64211836924381138</v>
      </c>
      <c r="T48" s="27">
        <f t="shared" si="3"/>
        <v>1.1260172614642632</v>
      </c>
      <c r="U48" s="26">
        <f t="shared" si="4"/>
        <v>26.42456772066933</v>
      </c>
      <c r="V48" s="26">
        <f t="shared" si="5"/>
        <v>1.6671223340693591</v>
      </c>
      <c r="W48" s="65">
        <v>45940</v>
      </c>
      <c r="X48" s="42">
        <v>10100</v>
      </c>
      <c r="Y48" s="63">
        <v>0</v>
      </c>
      <c r="Z48" s="30">
        <f t="shared" si="6"/>
        <v>0</v>
      </c>
      <c r="AA48" s="31">
        <f t="shared" si="7"/>
        <v>27</v>
      </c>
      <c r="AB48" s="32">
        <v>3.2500000000000001E-2</v>
      </c>
      <c r="AC48" s="32">
        <v>5.0500000000000003E-2</v>
      </c>
      <c r="AD48" s="33">
        <f t="shared" si="8"/>
        <v>8.0917998428003596E-2</v>
      </c>
      <c r="AE48" s="34">
        <f t="shared" si="9"/>
        <v>1.8906603558135286E-2</v>
      </c>
      <c r="AF48" s="33">
        <f t="shared" si="10"/>
        <v>1.130219226084944</v>
      </c>
      <c r="AG48" s="33">
        <f t="shared" si="11"/>
        <v>0</v>
      </c>
      <c r="AH48" s="35">
        <f t="shared" si="12"/>
        <v>1.850671620940016</v>
      </c>
      <c r="AI48" s="36">
        <f t="shared" si="13"/>
        <v>5.7039659101153246</v>
      </c>
      <c r="AJ48" s="23"/>
      <c r="AK48" s="23"/>
      <c r="AL48" s="44"/>
      <c r="AM48" s="44"/>
      <c r="AN48" s="44"/>
      <c r="AO48" s="44"/>
      <c r="AP48" s="44"/>
      <c r="AQ48" s="44"/>
      <c r="AR48" s="44"/>
    </row>
    <row r="49" spans="1:44" ht="16.8">
      <c r="A49" s="64" t="s">
        <v>146</v>
      </c>
      <c r="B49" s="62">
        <v>20</v>
      </c>
      <c r="C49" s="1" t="s">
        <v>147</v>
      </c>
      <c r="D49" s="19" t="s">
        <v>148</v>
      </c>
      <c r="E49" s="20" t="s">
        <v>39</v>
      </c>
      <c r="F49" s="21">
        <v>1980</v>
      </c>
      <c r="G49" s="22">
        <v>2021</v>
      </c>
      <c r="H49" s="23">
        <v>562798825558</v>
      </c>
      <c r="I49" s="23">
        <v>3927546473902</v>
      </c>
      <c r="J49" s="23">
        <v>1764802782927</v>
      </c>
      <c r="K49" s="23">
        <f>(J49+2012132904102)/2</f>
        <v>1888467843514.5</v>
      </c>
      <c r="L49" s="23">
        <v>1724931321533</v>
      </c>
      <c r="M49" s="23">
        <v>2162743690975</v>
      </c>
      <c r="N49" s="23">
        <v>4330090558349</v>
      </c>
      <c r="O49" s="25">
        <f t="shared" si="0"/>
        <v>-1162132495975</v>
      </c>
      <c r="P49" s="23">
        <v>122087680880</v>
      </c>
      <c r="Q49" s="23">
        <f>161444544657+140998527820</f>
        <v>302443072477</v>
      </c>
      <c r="R49" s="25">
        <f t="shared" si="1"/>
        <v>4027647485872</v>
      </c>
      <c r="S49" s="26">
        <f t="shared" si="2"/>
        <v>0.4493397582062667</v>
      </c>
      <c r="T49" s="27">
        <f t="shared" si="3"/>
        <v>0.32627317884043244</v>
      </c>
      <c r="U49" s="26">
        <f t="shared" si="4"/>
        <v>28.999036039953854</v>
      </c>
      <c r="V49" s="26">
        <f t="shared" si="5"/>
        <v>2.2929119885306393</v>
      </c>
      <c r="W49" s="66">
        <v>45678</v>
      </c>
      <c r="X49" s="42">
        <v>21010</v>
      </c>
      <c r="Y49" s="63">
        <v>793271</v>
      </c>
      <c r="Z49" s="30">
        <f t="shared" si="6"/>
        <v>16666623710</v>
      </c>
      <c r="AA49" s="31">
        <f t="shared" si="7"/>
        <v>41</v>
      </c>
      <c r="AB49" s="32">
        <v>1.84E-2</v>
      </c>
      <c r="AC49" s="32">
        <v>2.58E-2</v>
      </c>
      <c r="AD49" s="33">
        <f t="shared" si="8"/>
        <v>-0.29589274212213879</v>
      </c>
      <c r="AE49" s="34">
        <f t="shared" si="9"/>
        <v>3.108497421768416E-2</v>
      </c>
      <c r="AF49" s="33">
        <f t="shared" si="10"/>
        <v>1.0254869070640302</v>
      </c>
      <c r="AG49" s="33">
        <f t="shared" si="11"/>
        <v>9.4439015346279662E-3</v>
      </c>
      <c r="AH49" s="35">
        <f t="shared" si="12"/>
        <v>2.4535832560096953</v>
      </c>
      <c r="AI49" s="36">
        <f t="shared" si="13"/>
        <v>5.5318040635999628</v>
      </c>
      <c r="AJ49" s="23"/>
      <c r="AK49" s="23"/>
      <c r="AL49" s="44"/>
      <c r="AM49" s="44"/>
      <c r="AN49" s="44"/>
      <c r="AO49" s="44"/>
      <c r="AP49" s="44"/>
      <c r="AQ49" s="44"/>
      <c r="AR49" s="44"/>
    </row>
    <row r="50" spans="1:44" ht="16.8">
      <c r="A50" s="64" t="s">
        <v>149</v>
      </c>
      <c r="B50" s="62"/>
      <c r="C50" s="1" t="s">
        <v>147</v>
      </c>
      <c r="D50" s="19" t="s">
        <v>148</v>
      </c>
      <c r="E50" s="20" t="s">
        <v>39</v>
      </c>
      <c r="F50" s="21">
        <v>1980</v>
      </c>
      <c r="G50" s="22">
        <v>2022</v>
      </c>
      <c r="H50" s="23">
        <v>804676941007</v>
      </c>
      <c r="I50" s="23">
        <v>4099184212345</v>
      </c>
      <c r="J50" s="23">
        <v>1976541810162</v>
      </c>
      <c r="K50" s="23">
        <f t="shared" ref="K50:K51" si="26">(J50+J49)/2</f>
        <v>1870672296544.5</v>
      </c>
      <c r="L50" s="23">
        <v>1898364424251</v>
      </c>
      <c r="M50" s="23">
        <v>2122642402183</v>
      </c>
      <c r="N50" s="23">
        <v>4288419129197</v>
      </c>
      <c r="O50" s="25">
        <f t="shared" si="0"/>
        <v>-1093687483244</v>
      </c>
      <c r="P50" s="23">
        <v>63134725541</v>
      </c>
      <c r="Q50" s="23">
        <f>167783519156+148297592156</f>
        <v>316081111312</v>
      </c>
      <c r="R50" s="25">
        <f t="shared" si="1"/>
        <v>3972338017885</v>
      </c>
      <c r="S50" s="26">
        <f t="shared" si="2"/>
        <v>0.48217930880234572</v>
      </c>
      <c r="T50" s="27">
        <f t="shared" si="3"/>
        <v>0.42387906701553651</v>
      </c>
      <c r="U50" s="26">
        <f t="shared" si="4"/>
        <v>29.041809097242357</v>
      </c>
      <c r="V50" s="26">
        <f t="shared" si="5"/>
        <v>2.2924480878444369</v>
      </c>
      <c r="W50" s="63" t="s">
        <v>150</v>
      </c>
      <c r="X50" s="29">
        <v>7870</v>
      </c>
      <c r="Y50" s="63">
        <v>232084</v>
      </c>
      <c r="Z50" s="30">
        <f t="shared" si="6"/>
        <v>1826501080</v>
      </c>
      <c r="AA50" s="31">
        <f t="shared" si="7"/>
        <v>42</v>
      </c>
      <c r="AB50" s="32">
        <v>3.15E-2</v>
      </c>
      <c r="AC50" s="32">
        <v>8.0199999999999994E-2</v>
      </c>
      <c r="AD50" s="33">
        <f t="shared" si="8"/>
        <v>-0.26680613180307394</v>
      </c>
      <c r="AE50" s="34">
        <f t="shared" si="9"/>
        <v>1.5401778078395465E-2</v>
      </c>
      <c r="AF50" s="33">
        <f t="shared" si="10"/>
        <v>0.96905574673175376</v>
      </c>
      <c r="AG50" s="33">
        <f t="shared" si="11"/>
        <v>9.2408927077049664E-4</v>
      </c>
      <c r="AH50" s="35">
        <f t="shared" si="12"/>
        <v>2.1696576855338647</v>
      </c>
      <c r="AI50" s="36">
        <f t="shared" si="13"/>
        <v>5.0694912344571792</v>
      </c>
      <c r="AJ50" s="23"/>
      <c r="AK50" s="23"/>
      <c r="AL50" s="44"/>
      <c r="AM50" s="44"/>
      <c r="AN50" s="44"/>
      <c r="AO50" s="44"/>
      <c r="AP50" s="44"/>
      <c r="AQ50" s="44"/>
      <c r="AR50" s="44"/>
    </row>
    <row r="51" spans="1:44" ht="16.8">
      <c r="A51" s="64" t="s">
        <v>151</v>
      </c>
      <c r="B51" s="62"/>
      <c r="C51" s="1" t="s">
        <v>147</v>
      </c>
      <c r="D51" s="19" t="s">
        <v>148</v>
      </c>
      <c r="E51" s="20" t="s">
        <v>39</v>
      </c>
      <c r="F51" s="21">
        <v>1980</v>
      </c>
      <c r="G51" s="22">
        <v>2023</v>
      </c>
      <c r="H51" s="23">
        <v>611981257995</v>
      </c>
      <c r="I51" s="23">
        <v>3656713441407</v>
      </c>
      <c r="J51" s="23">
        <v>1871791299592</v>
      </c>
      <c r="K51" s="23">
        <f t="shared" si="26"/>
        <v>1924166554877</v>
      </c>
      <c r="L51" s="23">
        <v>1819751836421</v>
      </c>
      <c r="M51" s="23">
        <v>1784922141815</v>
      </c>
      <c r="N51" s="23">
        <v>3196185460631</v>
      </c>
      <c r="O51" s="25">
        <f t="shared" si="0"/>
        <v>-1207770578426</v>
      </c>
      <c r="P51" s="23">
        <v>-233536479368</v>
      </c>
      <c r="Q51" s="23">
        <f>148083124011+124874241528</f>
        <v>272957365539</v>
      </c>
      <c r="R51" s="25">
        <f t="shared" si="1"/>
        <v>2923228095092</v>
      </c>
      <c r="S51" s="26">
        <f t="shared" si="2"/>
        <v>0.51187803736455417</v>
      </c>
      <c r="T51" s="27">
        <f t="shared" si="3"/>
        <v>0.33629929408320597</v>
      </c>
      <c r="U51" s="26">
        <f t="shared" si="4"/>
        <v>28.927585893099401</v>
      </c>
      <c r="V51" s="26">
        <f t="shared" si="5"/>
        <v>1.6610752601067387</v>
      </c>
      <c r="W51" s="63" t="s">
        <v>152</v>
      </c>
      <c r="X51" s="29">
        <v>9200</v>
      </c>
      <c r="Y51" s="63">
        <v>184052</v>
      </c>
      <c r="Z51" s="30">
        <f t="shared" si="6"/>
        <v>1693278400</v>
      </c>
      <c r="AA51" s="31">
        <f t="shared" si="7"/>
        <v>43</v>
      </c>
      <c r="AB51" s="32">
        <v>3.2500000000000001E-2</v>
      </c>
      <c r="AC51" s="32">
        <v>5.0500000000000003E-2</v>
      </c>
      <c r="AD51" s="33">
        <f t="shared" si="8"/>
        <v>-0.33028854947990782</v>
      </c>
      <c r="AE51" s="34">
        <f t="shared" si="9"/>
        <v>-6.3865130016351995E-2</v>
      </c>
      <c r="AF51" s="33">
        <f t="shared" si="10"/>
        <v>0.79941404814242822</v>
      </c>
      <c r="AG51" s="33">
        <f t="shared" si="11"/>
        <v>9.0462991273070298E-4</v>
      </c>
      <c r="AH51" s="35">
        <f t="shared" si="12"/>
        <v>1.7075543952617378</v>
      </c>
      <c r="AI51" s="36">
        <f t="shared" si="13"/>
        <v>3.8604060906806072</v>
      </c>
      <c r="AJ51" s="23"/>
      <c r="AK51" s="23"/>
      <c r="AL51" s="44"/>
      <c r="AM51" s="44"/>
      <c r="AN51" s="44"/>
      <c r="AO51" s="44"/>
      <c r="AP51" s="44"/>
      <c r="AQ51" s="44"/>
      <c r="AR51" s="44"/>
    </row>
    <row r="52" spans="1:44" ht="16.8">
      <c r="A52" s="64" t="s">
        <v>153</v>
      </c>
      <c r="B52" s="62">
        <v>21</v>
      </c>
      <c r="C52" s="1" t="s">
        <v>154</v>
      </c>
      <c r="D52" s="19" t="s">
        <v>155</v>
      </c>
      <c r="E52" s="20" t="s">
        <v>39</v>
      </c>
      <c r="F52" s="21">
        <v>2007</v>
      </c>
      <c r="G52" s="22">
        <v>2021</v>
      </c>
      <c r="H52" s="23">
        <v>20203635614</v>
      </c>
      <c r="I52" s="23">
        <v>24525352692</v>
      </c>
      <c r="J52" s="23">
        <v>10431557740</v>
      </c>
      <c r="K52" s="23">
        <f>(J52+4241671407)/2</f>
        <v>7336614573.5</v>
      </c>
      <c r="L52" s="23">
        <v>10341557740</v>
      </c>
      <c r="M52" s="23">
        <v>14093794952</v>
      </c>
      <c r="N52" s="23">
        <v>65525999722</v>
      </c>
      <c r="O52" s="25">
        <f t="shared" si="0"/>
        <v>9862077874</v>
      </c>
      <c r="P52" s="23">
        <v>1573473656</v>
      </c>
      <c r="Q52" s="23">
        <f>3300036416+2864808650</f>
        <v>6164845066</v>
      </c>
      <c r="R52" s="25">
        <f t="shared" si="1"/>
        <v>59361154656</v>
      </c>
      <c r="S52" s="26">
        <f t="shared" si="2"/>
        <v>0.42533772586286606</v>
      </c>
      <c r="T52" s="27">
        <f t="shared" si="3"/>
        <v>1.9536356245301978</v>
      </c>
      <c r="U52" s="26">
        <f t="shared" si="4"/>
        <v>23.922973223211866</v>
      </c>
      <c r="V52" s="26">
        <f t="shared" si="5"/>
        <v>8.9313673310141208</v>
      </c>
      <c r="W52" s="63" t="s">
        <v>156</v>
      </c>
      <c r="X52" s="29">
        <v>10140</v>
      </c>
      <c r="Y52" s="63">
        <v>0</v>
      </c>
      <c r="Z52" s="30">
        <f t="shared" si="6"/>
        <v>0</v>
      </c>
      <c r="AA52" s="31">
        <f t="shared" si="7"/>
        <v>14</v>
      </c>
      <c r="AB52" s="32">
        <v>1.84E-2</v>
      </c>
      <c r="AC52" s="32">
        <v>2.58E-2</v>
      </c>
      <c r="AD52" s="33">
        <f t="shared" si="8"/>
        <v>0.40211767789243419</v>
      </c>
      <c r="AE52" s="34">
        <f t="shared" si="9"/>
        <v>6.4157024600639323E-2</v>
      </c>
      <c r="AF52" s="33">
        <f t="shared" si="10"/>
        <v>2.4203996330443474</v>
      </c>
      <c r="AG52" s="33">
        <f t="shared" si="11"/>
        <v>0</v>
      </c>
      <c r="AH52" s="35">
        <f t="shared" si="12"/>
        <v>6.281516275439798</v>
      </c>
      <c r="AI52" s="36">
        <f t="shared" si="13"/>
        <v>14.841196112397959</v>
      </c>
      <c r="AJ52" s="23"/>
      <c r="AK52" s="23"/>
      <c r="AL52" s="44"/>
      <c r="AM52" s="44"/>
      <c r="AN52" s="44"/>
      <c r="AO52" s="44"/>
      <c r="AP52" s="44"/>
      <c r="AQ52" s="44"/>
      <c r="AR52" s="44"/>
    </row>
    <row r="53" spans="1:44" ht="16.8">
      <c r="A53" s="64" t="s">
        <v>157</v>
      </c>
      <c r="B53" s="62"/>
      <c r="C53" s="1" t="s">
        <v>154</v>
      </c>
      <c r="D53" s="19" t="s">
        <v>155</v>
      </c>
      <c r="E53" s="20" t="s">
        <v>39</v>
      </c>
      <c r="F53" s="21">
        <v>2007</v>
      </c>
      <c r="G53" s="22">
        <v>2022</v>
      </c>
      <c r="H53" s="23">
        <v>16729037540</v>
      </c>
      <c r="I53" s="23">
        <v>21350159875</v>
      </c>
      <c r="J53" s="23">
        <v>7224047237</v>
      </c>
      <c r="K53" s="23">
        <f t="shared" ref="K53:K54" si="27">(J53+J52)/2</f>
        <v>8827802488.5</v>
      </c>
      <c r="L53" s="23">
        <v>7134047237</v>
      </c>
      <c r="M53" s="23">
        <v>14126112638</v>
      </c>
      <c r="N53" s="23">
        <v>74836566227</v>
      </c>
      <c r="O53" s="25">
        <f t="shared" si="0"/>
        <v>9594990303</v>
      </c>
      <c r="P53" s="23">
        <v>1394812734</v>
      </c>
      <c r="Q53" s="23">
        <f>2813952760+3056016605</f>
        <v>5869969365</v>
      </c>
      <c r="R53" s="25">
        <f t="shared" si="1"/>
        <v>68966596862</v>
      </c>
      <c r="S53" s="26">
        <f t="shared" si="2"/>
        <v>0.33836033450311576</v>
      </c>
      <c r="T53" s="27">
        <f t="shared" si="3"/>
        <v>2.3449574952681238</v>
      </c>
      <c r="U53" s="26">
        <f t="shared" si="4"/>
        <v>23.784325064883404</v>
      </c>
      <c r="V53" s="26">
        <f t="shared" si="5"/>
        <v>8.4773720667731052</v>
      </c>
      <c r="W53" s="63" t="s">
        <v>158</v>
      </c>
      <c r="X53" s="29">
        <v>9370</v>
      </c>
      <c r="Y53" s="63">
        <v>0</v>
      </c>
      <c r="Z53" s="30">
        <f t="shared" si="6"/>
        <v>0</v>
      </c>
      <c r="AA53" s="31">
        <f t="shared" si="7"/>
        <v>15</v>
      </c>
      <c r="AB53" s="32">
        <v>3.15E-2</v>
      </c>
      <c r="AC53" s="32">
        <v>8.0199999999999994E-2</v>
      </c>
      <c r="AD53" s="33">
        <f t="shared" si="8"/>
        <v>0.44941070039645314</v>
      </c>
      <c r="AE53" s="34">
        <f t="shared" si="9"/>
        <v>6.5330318000721768E-2</v>
      </c>
      <c r="AF53" s="33">
        <f t="shared" si="10"/>
        <v>3.2302613781715301</v>
      </c>
      <c r="AG53" s="33">
        <f t="shared" si="11"/>
        <v>0</v>
      </c>
      <c r="AH53" s="35">
        <f t="shared" si="12"/>
        <v>10.359368339080532</v>
      </c>
      <c r="AI53" s="36">
        <f t="shared" si="13"/>
        <v>21.649986172723334</v>
      </c>
      <c r="AJ53" s="23"/>
      <c r="AK53" s="23"/>
      <c r="AL53" s="44"/>
      <c r="AM53" s="44"/>
      <c r="AN53" s="44"/>
      <c r="AO53" s="44"/>
      <c r="AP53" s="44"/>
      <c r="AQ53" s="44"/>
      <c r="AR53" s="44"/>
    </row>
    <row r="54" spans="1:44" ht="16.8">
      <c r="A54" s="64" t="s">
        <v>159</v>
      </c>
      <c r="B54" s="62"/>
      <c r="C54" s="1" t="s">
        <v>154</v>
      </c>
      <c r="D54" s="19" t="s">
        <v>155</v>
      </c>
      <c r="E54" s="20" t="s">
        <v>39</v>
      </c>
      <c r="F54" s="21">
        <v>2007</v>
      </c>
      <c r="G54" s="22">
        <v>2023</v>
      </c>
      <c r="H54" s="23">
        <v>15307826225</v>
      </c>
      <c r="I54" s="23">
        <v>19661962712</v>
      </c>
      <c r="J54" s="23">
        <v>5917817064</v>
      </c>
      <c r="K54" s="23">
        <f t="shared" si="27"/>
        <v>6570932150.5</v>
      </c>
      <c r="L54" s="23">
        <v>5917817064</v>
      </c>
      <c r="M54" s="23">
        <v>13744145648</v>
      </c>
      <c r="N54" s="23">
        <v>64475719262</v>
      </c>
      <c r="O54" s="25">
        <f t="shared" si="0"/>
        <v>9390009161</v>
      </c>
      <c r="P54" s="23">
        <v>943105107</v>
      </c>
      <c r="Q54" s="23">
        <f>2631144289+2477429861</f>
        <v>5108574150</v>
      </c>
      <c r="R54" s="25">
        <f t="shared" si="1"/>
        <v>59367145112</v>
      </c>
      <c r="S54" s="26">
        <f t="shared" si="2"/>
        <v>0.30097794155556323</v>
      </c>
      <c r="T54" s="27">
        <f t="shared" si="3"/>
        <v>2.5867352875982719</v>
      </c>
      <c r="U54" s="26">
        <f t="shared" si="4"/>
        <v>23.701951779439341</v>
      </c>
      <c r="V54" s="26">
        <f t="shared" si="5"/>
        <v>9.8122637375115591</v>
      </c>
      <c r="W54" s="63" t="s">
        <v>160</v>
      </c>
      <c r="X54" s="29">
        <v>8710</v>
      </c>
      <c r="Y54" s="63">
        <v>0</v>
      </c>
      <c r="Z54" s="30">
        <f t="shared" si="6"/>
        <v>0</v>
      </c>
      <c r="AA54" s="31">
        <f t="shared" si="7"/>
        <v>16</v>
      </c>
      <c r="AB54" s="32">
        <v>3.2500000000000001E-2</v>
      </c>
      <c r="AC54" s="32">
        <v>5.0500000000000003E-2</v>
      </c>
      <c r="AD54" s="33">
        <f t="shared" si="8"/>
        <v>0.47757232065490246</v>
      </c>
      <c r="AE54" s="34">
        <f t="shared" si="9"/>
        <v>4.7965969665093929E-2</v>
      </c>
      <c r="AF54" s="33">
        <f t="shared" si="10"/>
        <v>3.0193905858527192</v>
      </c>
      <c r="AG54" s="33">
        <f t="shared" si="11"/>
        <v>0</v>
      </c>
      <c r="AH54" s="35">
        <f t="shared" si="12"/>
        <v>10.895186276410385</v>
      </c>
      <c r="AI54" s="36">
        <f t="shared" si="13"/>
        <v>21.49941435204137</v>
      </c>
      <c r="AJ54" s="23"/>
      <c r="AK54" s="23"/>
      <c r="AL54" s="44"/>
      <c r="AM54" s="44"/>
      <c r="AN54" s="44"/>
      <c r="AO54" s="44"/>
      <c r="AP54" s="44"/>
      <c r="AQ54" s="44"/>
      <c r="AR54" s="44"/>
    </row>
    <row r="55" spans="1:44" ht="16.8">
      <c r="A55" s="64" t="s">
        <v>161</v>
      </c>
      <c r="B55" s="62">
        <v>22</v>
      </c>
      <c r="C55" s="1" t="s">
        <v>162</v>
      </c>
      <c r="D55" s="19" t="s">
        <v>163</v>
      </c>
      <c r="E55" s="20" t="s">
        <v>39</v>
      </c>
      <c r="F55" s="21">
        <v>1982</v>
      </c>
      <c r="G55" s="22">
        <v>2021</v>
      </c>
      <c r="H55" s="23">
        <v>27225292496</v>
      </c>
      <c r="I55" s="23">
        <v>50921708187</v>
      </c>
      <c r="J55" s="23">
        <v>10450205797</v>
      </c>
      <c r="K55" s="23">
        <f>(J55+10285942174)/2</f>
        <v>10368073985.5</v>
      </c>
      <c r="L55" s="23">
        <v>9916725797</v>
      </c>
      <c r="M55" s="23">
        <v>40471502390</v>
      </c>
      <c r="N55" s="23">
        <v>73807825810</v>
      </c>
      <c r="O55" s="25">
        <f t="shared" si="0"/>
        <v>17308566699</v>
      </c>
      <c r="P55" s="23">
        <v>5517833463</v>
      </c>
      <c r="Q55" s="23">
        <f>8321449254+4062762721</f>
        <v>12384211975</v>
      </c>
      <c r="R55" s="25">
        <f t="shared" si="1"/>
        <v>61423613835</v>
      </c>
      <c r="S55" s="26">
        <f t="shared" si="2"/>
        <v>0.20522103772763603</v>
      </c>
      <c r="T55" s="27">
        <f t="shared" si="3"/>
        <v>2.7453912766486064</v>
      </c>
      <c r="U55" s="26">
        <f t="shared" si="4"/>
        <v>24.653555156557626</v>
      </c>
      <c r="V55" s="26">
        <f t="shared" si="5"/>
        <v>7.1187595606688392</v>
      </c>
      <c r="W55" s="63" t="s">
        <v>164</v>
      </c>
      <c r="X55" s="29">
        <v>39730</v>
      </c>
      <c r="Y55" s="63">
        <v>0</v>
      </c>
      <c r="Z55" s="30">
        <f t="shared" si="6"/>
        <v>0</v>
      </c>
      <c r="AA55" s="31">
        <f t="shared" si="7"/>
        <v>39</v>
      </c>
      <c r="AB55" s="32">
        <v>1.84E-2</v>
      </c>
      <c r="AC55" s="32">
        <v>2.58E-2</v>
      </c>
      <c r="AD55" s="33">
        <f t="shared" si="8"/>
        <v>0.33990546105479569</v>
      </c>
      <c r="AE55" s="34">
        <f t="shared" si="9"/>
        <v>0.10835915878424261</v>
      </c>
      <c r="AF55" s="33">
        <f t="shared" si="10"/>
        <v>1.206236318888475</v>
      </c>
      <c r="AG55" s="33">
        <f t="shared" si="11"/>
        <v>0</v>
      </c>
      <c r="AH55" s="35">
        <f t="shared" si="12"/>
        <v>7.0628107468647583</v>
      </c>
      <c r="AI55" s="36">
        <f t="shared" si="13"/>
        <v>11.602979974760419</v>
      </c>
      <c r="AJ55" s="23"/>
      <c r="AK55" s="23"/>
      <c r="AL55" s="44"/>
      <c r="AM55" s="44"/>
      <c r="AN55" s="44"/>
      <c r="AO55" s="44"/>
      <c r="AP55" s="44"/>
      <c r="AQ55" s="44"/>
      <c r="AR55" s="44"/>
    </row>
    <row r="56" spans="1:44" ht="16.8">
      <c r="A56" s="64" t="s">
        <v>165</v>
      </c>
      <c r="B56" s="62"/>
      <c r="C56" s="1" t="s">
        <v>162</v>
      </c>
      <c r="D56" s="19" t="s">
        <v>163</v>
      </c>
      <c r="E56" s="20" t="s">
        <v>39</v>
      </c>
      <c r="F56" s="21">
        <v>1982</v>
      </c>
      <c r="G56" s="22">
        <v>2022</v>
      </c>
      <c r="H56" s="23">
        <v>26980700183</v>
      </c>
      <c r="I56" s="23">
        <v>49254587465</v>
      </c>
      <c r="J56" s="23">
        <v>10208279136</v>
      </c>
      <c r="K56" s="23">
        <f t="shared" ref="K56:K57" si="28">(J55+J56)/2</f>
        <v>10329242466.5</v>
      </c>
      <c r="L56" s="23">
        <v>9479930736</v>
      </c>
      <c r="M56" s="23">
        <v>39046308329</v>
      </c>
      <c r="N56" s="23">
        <v>85448025318</v>
      </c>
      <c r="O56" s="25">
        <f t="shared" si="0"/>
        <v>17500769447</v>
      </c>
      <c r="P56" s="23">
        <v>4250697612</v>
      </c>
      <c r="Q56" s="23">
        <f>9560331189+3328106555</f>
        <v>12888437744</v>
      </c>
      <c r="R56" s="25">
        <f t="shared" si="1"/>
        <v>72559587574</v>
      </c>
      <c r="S56" s="26">
        <f t="shared" si="2"/>
        <v>0.20725539815461735</v>
      </c>
      <c r="T56" s="27">
        <f t="shared" si="3"/>
        <v>2.8460862145902497</v>
      </c>
      <c r="U56" s="26">
        <f t="shared" si="4"/>
        <v>24.620268346724107</v>
      </c>
      <c r="V56" s="26">
        <f t="shared" si="5"/>
        <v>8.2724387190180408</v>
      </c>
      <c r="W56" s="63" t="s">
        <v>166</v>
      </c>
      <c r="X56" s="29">
        <v>36020</v>
      </c>
      <c r="Y56" s="63">
        <v>0</v>
      </c>
      <c r="Z56" s="30">
        <f t="shared" si="6"/>
        <v>0</v>
      </c>
      <c r="AA56" s="31">
        <f t="shared" si="7"/>
        <v>40</v>
      </c>
      <c r="AB56" s="32">
        <v>3.15E-2</v>
      </c>
      <c r="AC56" s="32">
        <v>8.0199999999999994E-2</v>
      </c>
      <c r="AD56" s="33">
        <f t="shared" si="8"/>
        <v>0.35531247641523617</v>
      </c>
      <c r="AE56" s="34">
        <f t="shared" si="9"/>
        <v>8.6300542361064728E-2</v>
      </c>
      <c r="AF56" s="33">
        <f t="shared" si="10"/>
        <v>1.473153899127881</v>
      </c>
      <c r="AG56" s="33">
        <f t="shared" si="11"/>
        <v>0</v>
      </c>
      <c r="AH56" s="35">
        <f t="shared" si="12"/>
        <v>8.3704632465097202</v>
      </c>
      <c r="AI56" s="36">
        <f t="shared" si="13"/>
        <v>13.779066844635501</v>
      </c>
      <c r="AJ56" s="23"/>
      <c r="AK56" s="23"/>
      <c r="AL56" s="44"/>
      <c r="AM56" s="44"/>
      <c r="AN56" s="44"/>
      <c r="AO56" s="44"/>
      <c r="AP56" s="44"/>
      <c r="AQ56" s="44"/>
      <c r="AR56" s="44"/>
    </row>
    <row r="57" spans="1:44" ht="16.8">
      <c r="A57" s="64" t="s">
        <v>167</v>
      </c>
      <c r="B57" s="62"/>
      <c r="C57" s="1" t="s">
        <v>162</v>
      </c>
      <c r="D57" s="19" t="s">
        <v>163</v>
      </c>
      <c r="E57" s="20" t="s">
        <v>39</v>
      </c>
      <c r="F57" s="21">
        <v>1982</v>
      </c>
      <c r="G57" s="22">
        <v>2023</v>
      </c>
      <c r="H57" s="23">
        <v>32303703256</v>
      </c>
      <c r="I57" s="23">
        <v>53702845954</v>
      </c>
      <c r="J57" s="23">
        <v>10655475943</v>
      </c>
      <c r="K57" s="23">
        <f t="shared" si="28"/>
        <v>10431877539.5</v>
      </c>
      <c r="L57" s="23">
        <v>9912025943</v>
      </c>
      <c r="M57" s="23">
        <v>43047370011</v>
      </c>
      <c r="N57" s="23">
        <v>82464919439</v>
      </c>
      <c r="O57" s="25">
        <f t="shared" si="0"/>
        <v>22391677313</v>
      </c>
      <c r="P57" s="23">
        <v>8107044592</v>
      </c>
      <c r="Q57" s="23">
        <f>11440746733+3349024323</f>
        <v>14789771056</v>
      </c>
      <c r="R57" s="25">
        <f t="shared" si="1"/>
        <v>67675148383</v>
      </c>
      <c r="S57" s="26">
        <f t="shared" si="2"/>
        <v>0.19841547973318047</v>
      </c>
      <c r="T57" s="27">
        <f t="shared" si="3"/>
        <v>3.2590414352994395</v>
      </c>
      <c r="U57" s="26">
        <f t="shared" si="4"/>
        <v>24.706731834338115</v>
      </c>
      <c r="V57" s="26">
        <f t="shared" si="5"/>
        <v>7.9050889091392218</v>
      </c>
      <c r="W57" s="63" t="s">
        <v>168</v>
      </c>
      <c r="X57" s="29">
        <v>13350</v>
      </c>
      <c r="Y57" s="63">
        <v>100</v>
      </c>
      <c r="Z57" s="30">
        <f t="shared" si="6"/>
        <v>1335000</v>
      </c>
      <c r="AA57" s="31">
        <f t="shared" si="7"/>
        <v>41</v>
      </c>
      <c r="AB57" s="32">
        <v>3.2500000000000001E-2</v>
      </c>
      <c r="AC57" s="32">
        <v>5.0500000000000003E-2</v>
      </c>
      <c r="AD57" s="33">
        <f t="shared" si="8"/>
        <v>0.4169551336660991</v>
      </c>
      <c r="AE57" s="34">
        <f t="shared" si="9"/>
        <v>0.15096117250367352</v>
      </c>
      <c r="AF57" s="33">
        <f t="shared" si="10"/>
        <v>1.2601780628342898</v>
      </c>
      <c r="AG57" s="33">
        <f t="shared" si="11"/>
        <v>1.2528769312055121E-4</v>
      </c>
      <c r="AH57" s="35">
        <f t="shared" si="12"/>
        <v>7.739205632872217</v>
      </c>
      <c r="AI57" s="36">
        <f t="shared" si="13"/>
        <v>12.609560214745708</v>
      </c>
      <c r="AJ57" s="23"/>
      <c r="AK57" s="23"/>
      <c r="AL57" s="44"/>
      <c r="AM57" s="44"/>
      <c r="AN57" s="44"/>
      <c r="AO57" s="44"/>
      <c r="AP57" s="44"/>
      <c r="AQ57" s="44"/>
      <c r="AR57" s="44"/>
    </row>
    <row r="58" spans="1:44" ht="16.8">
      <c r="A58" s="67" t="s">
        <v>169</v>
      </c>
      <c r="B58" s="45">
        <v>23</v>
      </c>
      <c r="C58" s="45" t="s">
        <v>170</v>
      </c>
      <c r="D58" s="46" t="s">
        <v>171</v>
      </c>
      <c r="E58" s="47" t="s">
        <v>39</v>
      </c>
      <c r="F58" s="48">
        <v>1998</v>
      </c>
      <c r="G58" s="68">
        <v>2021</v>
      </c>
      <c r="H58" s="49">
        <v>109971178517</v>
      </c>
      <c r="I58" s="49">
        <v>209388964069</v>
      </c>
      <c r="J58" s="49">
        <v>237652168978</v>
      </c>
      <c r="K58" s="49">
        <f>(J58+182745254441)/2</f>
        <v>210198711709.5</v>
      </c>
      <c r="L58" s="49">
        <v>112338556929</v>
      </c>
      <c r="M58" s="49">
        <v>-28263204909</v>
      </c>
      <c r="N58" s="49">
        <v>-1555500268</v>
      </c>
      <c r="O58" s="49">
        <f t="shared" si="0"/>
        <v>-2367378412</v>
      </c>
      <c r="P58" s="49">
        <v>-6441884613</v>
      </c>
      <c r="Q58" s="49">
        <v>909521497</v>
      </c>
      <c r="R58" s="49">
        <f t="shared" si="1"/>
        <v>-2465021765</v>
      </c>
      <c r="S58" s="50">
        <f t="shared" si="2"/>
        <v>1.1349794390294916</v>
      </c>
      <c r="T58" s="51">
        <f t="shared" si="3"/>
        <v>0.97892639467056508</v>
      </c>
      <c r="U58" s="50">
        <f t="shared" si="4"/>
        <v>26.067459431362689</v>
      </c>
      <c r="V58" s="50">
        <f t="shared" si="5"/>
        <v>-7.4001417770330636E-3</v>
      </c>
      <c r="W58" s="52"/>
      <c r="X58" s="53">
        <v>0</v>
      </c>
      <c r="Y58" s="52"/>
      <c r="Z58" s="55">
        <f t="shared" si="6"/>
        <v>0</v>
      </c>
      <c r="AA58" s="48">
        <f t="shared" si="7"/>
        <v>23</v>
      </c>
      <c r="AB58" s="49"/>
      <c r="AC58" s="49"/>
      <c r="AD58" s="50">
        <f t="shared" si="8"/>
        <v>-1.1306127916177459E-2</v>
      </c>
      <c r="AE58" s="56">
        <f t="shared" si="9"/>
        <v>-3.0765158238603273E-2</v>
      </c>
      <c r="AF58" s="50">
        <f t="shared" si="10"/>
        <v>-1.1772453127891214E-2</v>
      </c>
      <c r="AG58" s="50">
        <f t="shared" si="11"/>
        <v>0</v>
      </c>
      <c r="AH58" s="57">
        <f t="shared" si="12"/>
        <v>-6.5452811758010768E-3</v>
      </c>
      <c r="AI58" s="58">
        <f t="shared" si="13"/>
        <v>-0.10203295153129963</v>
      </c>
      <c r="AJ58" s="49" t="s">
        <v>136</v>
      </c>
      <c r="AK58" s="49"/>
      <c r="AL58" s="59"/>
      <c r="AM58" s="59"/>
      <c r="AN58" s="59"/>
      <c r="AO58" s="59"/>
      <c r="AP58" s="59"/>
      <c r="AQ58" s="59"/>
      <c r="AR58" s="59"/>
    </row>
    <row r="59" spans="1:44" ht="16.8">
      <c r="A59" s="67" t="s">
        <v>172</v>
      </c>
      <c r="B59" s="45"/>
      <c r="C59" s="45" t="s">
        <v>170</v>
      </c>
      <c r="D59" s="46" t="s">
        <v>171</v>
      </c>
      <c r="E59" s="47" t="s">
        <v>39</v>
      </c>
      <c r="F59" s="48">
        <v>1998</v>
      </c>
      <c r="G59" s="68">
        <v>2022</v>
      </c>
      <c r="H59" s="49">
        <v>357323436215</v>
      </c>
      <c r="I59" s="49">
        <v>390364474817</v>
      </c>
      <c r="J59" s="49">
        <v>420266261165</v>
      </c>
      <c r="K59" s="49">
        <f>(J58+J59)/2</f>
        <v>328959215071.5</v>
      </c>
      <c r="L59" s="49">
        <v>418769822395</v>
      </c>
      <c r="M59" s="49">
        <v>-29901786348</v>
      </c>
      <c r="N59" s="49">
        <v>0</v>
      </c>
      <c r="O59" s="49">
        <f t="shared" si="0"/>
        <v>-61446386180</v>
      </c>
      <c r="P59" s="49">
        <v>-1638581439</v>
      </c>
      <c r="Q59" s="49">
        <v>4903758811</v>
      </c>
      <c r="R59" s="49">
        <f t="shared" si="1"/>
        <v>-4903758811</v>
      </c>
      <c r="S59" s="50">
        <f t="shared" si="2"/>
        <v>1.0765996607709185</v>
      </c>
      <c r="T59" s="51">
        <f t="shared" si="3"/>
        <v>0.85326930716119898</v>
      </c>
      <c r="U59" s="50">
        <f t="shared" si="4"/>
        <v>26.690346690462196</v>
      </c>
      <c r="V59" s="50">
        <f t="shared" si="5"/>
        <v>0</v>
      </c>
      <c r="W59" s="52"/>
      <c r="X59" s="53">
        <v>0</v>
      </c>
      <c r="Y59" s="52"/>
      <c r="Z59" s="55">
        <f t="shared" si="6"/>
        <v>0</v>
      </c>
      <c r="AA59" s="48">
        <f t="shared" si="7"/>
        <v>24</v>
      </c>
      <c r="AB59" s="49"/>
      <c r="AC59" s="49"/>
      <c r="AD59" s="50">
        <f t="shared" si="8"/>
        <v>-0.15740773083617718</v>
      </c>
      <c r="AE59" s="56">
        <f t="shared" si="9"/>
        <v>-4.1975680286177553E-3</v>
      </c>
      <c r="AF59" s="50">
        <f t="shared" si="10"/>
        <v>-1.256200071304861E-2</v>
      </c>
      <c r="AG59" s="50">
        <f t="shared" si="11"/>
        <v>0</v>
      </c>
      <c r="AH59" s="57">
        <f t="shared" si="12"/>
        <v>0</v>
      </c>
      <c r="AI59" s="58">
        <f t="shared" si="13"/>
        <v>-0.23622047459653789</v>
      </c>
      <c r="AJ59" s="49" t="s">
        <v>136</v>
      </c>
      <c r="AK59" s="49"/>
      <c r="AL59" s="59"/>
      <c r="AM59" s="59"/>
      <c r="AN59" s="59"/>
      <c r="AO59" s="59"/>
      <c r="AP59" s="59"/>
      <c r="AQ59" s="59"/>
      <c r="AR59" s="59"/>
    </row>
    <row r="60" spans="1:44" ht="16.8">
      <c r="A60" s="45"/>
      <c r="B60" s="45"/>
      <c r="C60" s="45" t="s">
        <v>170</v>
      </c>
      <c r="D60" s="46" t="s">
        <v>171</v>
      </c>
      <c r="E60" s="47" t="s">
        <v>39</v>
      </c>
      <c r="F60" s="68"/>
      <c r="G60" s="68"/>
      <c r="H60" s="49"/>
      <c r="I60" s="49"/>
      <c r="J60" s="49"/>
      <c r="K60" s="49"/>
      <c r="L60" s="49"/>
      <c r="M60" s="49"/>
      <c r="N60" s="49"/>
      <c r="O60" s="49">
        <f t="shared" si="0"/>
        <v>0</v>
      </c>
      <c r="P60" s="49"/>
      <c r="Q60" s="49"/>
      <c r="R60" s="49">
        <f t="shared" si="1"/>
        <v>0</v>
      </c>
      <c r="S60" s="50" t="e">
        <f t="shared" si="2"/>
        <v>#DIV/0!</v>
      </c>
      <c r="T60" s="51" t="e">
        <f t="shared" si="3"/>
        <v>#DIV/0!</v>
      </c>
      <c r="U60" s="50" t="e">
        <f t="shared" si="4"/>
        <v>#NUM!</v>
      </c>
      <c r="V60" s="50" t="e">
        <f t="shared" si="5"/>
        <v>#DIV/0!</v>
      </c>
      <c r="W60" s="52"/>
      <c r="X60" s="53">
        <v>0</v>
      </c>
      <c r="Y60" s="52"/>
      <c r="Z60" s="55">
        <f t="shared" si="6"/>
        <v>0</v>
      </c>
      <c r="AA60" s="48">
        <f t="shared" si="7"/>
        <v>0</v>
      </c>
      <c r="AB60" s="49"/>
      <c r="AC60" s="49"/>
      <c r="AD60" s="50" t="e">
        <f t="shared" si="8"/>
        <v>#DIV/0!</v>
      </c>
      <c r="AE60" s="56" t="e">
        <f t="shared" si="9"/>
        <v>#DIV/0!</v>
      </c>
      <c r="AF60" s="50" t="e">
        <f t="shared" si="10"/>
        <v>#DIV/0!</v>
      </c>
      <c r="AG60" s="50" t="e">
        <f t="shared" si="11"/>
        <v>#DIV/0!</v>
      </c>
      <c r="AH60" s="57" t="e">
        <f t="shared" si="12"/>
        <v>#DIV/0!</v>
      </c>
      <c r="AI60" s="58" t="e">
        <f t="shared" si="13"/>
        <v>#DIV/0!</v>
      </c>
      <c r="AJ60" s="49"/>
      <c r="AK60" s="49"/>
      <c r="AL60" s="59"/>
      <c r="AM60" s="59"/>
      <c r="AN60" s="59"/>
      <c r="AO60" s="59"/>
      <c r="AP60" s="59"/>
      <c r="AQ60" s="59"/>
      <c r="AR60" s="59"/>
    </row>
    <row r="61" spans="1:44" ht="16.8">
      <c r="A61" s="45"/>
      <c r="B61" s="45">
        <v>24</v>
      </c>
      <c r="C61" s="45" t="s">
        <v>173</v>
      </c>
      <c r="D61" s="46" t="s">
        <v>174</v>
      </c>
      <c r="E61" s="47" t="s">
        <v>39</v>
      </c>
      <c r="F61" s="48"/>
      <c r="G61" s="68"/>
      <c r="H61" s="49"/>
      <c r="I61" s="49"/>
      <c r="J61" s="49"/>
      <c r="K61" s="49"/>
      <c r="L61" s="49"/>
      <c r="M61" s="49"/>
      <c r="N61" s="49"/>
      <c r="O61" s="49">
        <f t="shared" si="0"/>
        <v>0</v>
      </c>
      <c r="P61" s="49"/>
      <c r="Q61" s="49"/>
      <c r="R61" s="49">
        <f t="shared" si="1"/>
        <v>0</v>
      </c>
      <c r="S61" s="50" t="e">
        <f t="shared" si="2"/>
        <v>#DIV/0!</v>
      </c>
      <c r="T61" s="51" t="e">
        <f t="shared" si="3"/>
        <v>#DIV/0!</v>
      </c>
      <c r="U61" s="50" t="e">
        <f t="shared" si="4"/>
        <v>#NUM!</v>
      </c>
      <c r="V61" s="50" t="e">
        <f t="shared" si="5"/>
        <v>#DIV/0!</v>
      </c>
      <c r="W61" s="52"/>
      <c r="X61" s="53">
        <v>0</v>
      </c>
      <c r="Y61" s="52"/>
      <c r="Z61" s="55">
        <f t="shared" si="6"/>
        <v>0</v>
      </c>
      <c r="AA61" s="48">
        <f t="shared" si="7"/>
        <v>0</v>
      </c>
      <c r="AB61" s="49"/>
      <c r="AC61" s="49"/>
      <c r="AD61" s="50" t="e">
        <f t="shared" si="8"/>
        <v>#DIV/0!</v>
      </c>
      <c r="AE61" s="56" t="e">
        <f t="shared" si="9"/>
        <v>#DIV/0!</v>
      </c>
      <c r="AF61" s="50" t="e">
        <f t="shared" si="10"/>
        <v>#DIV/0!</v>
      </c>
      <c r="AG61" s="50" t="e">
        <f t="shared" si="11"/>
        <v>#DIV/0!</v>
      </c>
      <c r="AH61" s="57" t="e">
        <f t="shared" si="12"/>
        <v>#DIV/0!</v>
      </c>
      <c r="AI61" s="58" t="e">
        <f t="shared" si="13"/>
        <v>#DIV/0!</v>
      </c>
      <c r="AJ61" s="49"/>
      <c r="AK61" s="49"/>
      <c r="AL61" s="59"/>
      <c r="AM61" s="59"/>
      <c r="AN61" s="59"/>
      <c r="AO61" s="59"/>
      <c r="AP61" s="59"/>
      <c r="AQ61" s="59"/>
      <c r="AR61" s="59"/>
    </row>
    <row r="62" spans="1:44" ht="16.8">
      <c r="A62" s="64" t="s">
        <v>175</v>
      </c>
      <c r="B62" s="62">
        <v>25</v>
      </c>
      <c r="C62" s="1" t="s">
        <v>176</v>
      </c>
      <c r="D62" s="19" t="s">
        <v>177</v>
      </c>
      <c r="E62" s="20" t="s">
        <v>178</v>
      </c>
      <c r="F62" s="21">
        <v>2008</v>
      </c>
      <c r="G62" s="22">
        <v>2021</v>
      </c>
      <c r="H62" s="23">
        <v>448562047592</v>
      </c>
      <c r="I62" s="23">
        <v>1000604494296</v>
      </c>
      <c r="J62" s="23">
        <v>359227611356</v>
      </c>
      <c r="K62" s="23">
        <f>(J62+449673791235)/2</f>
        <v>404450701295.5</v>
      </c>
      <c r="L62" s="23">
        <v>356142878932</v>
      </c>
      <c r="M62" s="23">
        <v>641376882940</v>
      </c>
      <c r="N62" s="23">
        <v>493008106538</v>
      </c>
      <c r="O62" s="25">
        <f t="shared" si="0"/>
        <v>92419168660</v>
      </c>
      <c r="P62" s="23">
        <v>32613463527</v>
      </c>
      <c r="Q62" s="23">
        <f>1146617679+8141266208</f>
        <v>9287883887</v>
      </c>
      <c r="R62" s="25">
        <f t="shared" si="1"/>
        <v>483720222651</v>
      </c>
      <c r="S62" s="26">
        <f t="shared" si="2"/>
        <v>0.35901059150123393</v>
      </c>
      <c r="T62" s="27">
        <f t="shared" si="3"/>
        <v>1.2595002571359739</v>
      </c>
      <c r="U62" s="26">
        <f t="shared" si="4"/>
        <v>27.631625427591469</v>
      </c>
      <c r="V62" s="26">
        <f t="shared" si="5"/>
        <v>1.2189572300377793</v>
      </c>
      <c r="W62" s="65">
        <v>45790</v>
      </c>
      <c r="X62" s="42">
        <v>13500</v>
      </c>
      <c r="Y62" s="63">
        <v>1154550</v>
      </c>
      <c r="Z62" s="30">
        <f t="shared" si="6"/>
        <v>15586425000</v>
      </c>
      <c r="AA62" s="31">
        <f t="shared" si="7"/>
        <v>13</v>
      </c>
      <c r="AB62" s="32">
        <v>1.84E-2</v>
      </c>
      <c r="AC62" s="32">
        <v>2.58E-2</v>
      </c>
      <c r="AD62" s="33">
        <f t="shared" si="8"/>
        <v>9.2363335550500192E-2</v>
      </c>
      <c r="AE62" s="34">
        <f t="shared" si="9"/>
        <v>3.2593760784520566E-2</v>
      </c>
      <c r="AF62" s="33">
        <f t="shared" si="10"/>
        <v>0.48342799318659196</v>
      </c>
      <c r="AG62" s="33">
        <f t="shared" si="11"/>
        <v>4.3388716533133129E-2</v>
      </c>
      <c r="AH62" s="35">
        <f t="shared" si="12"/>
        <v>1.3724115044414598</v>
      </c>
      <c r="AI62" s="36">
        <f t="shared" si="13"/>
        <v>3.1502243796360219</v>
      </c>
      <c r="AJ62" s="23"/>
      <c r="AK62" s="23"/>
      <c r="AL62" s="44"/>
      <c r="AM62" s="44"/>
      <c r="AN62" s="44"/>
      <c r="AO62" s="44"/>
      <c r="AP62" s="44"/>
      <c r="AQ62" s="44"/>
      <c r="AR62" s="44"/>
    </row>
    <row r="63" spans="1:44" ht="16.8">
      <c r="A63" s="64" t="s">
        <v>179</v>
      </c>
      <c r="B63" s="62"/>
      <c r="C63" s="1" t="s">
        <v>176</v>
      </c>
      <c r="D63" s="19" t="s">
        <v>177</v>
      </c>
      <c r="E63" s="20" t="s">
        <v>178</v>
      </c>
      <c r="F63" s="21">
        <v>2008</v>
      </c>
      <c r="G63" s="22">
        <v>2022</v>
      </c>
      <c r="H63" s="23">
        <v>411504558252</v>
      </c>
      <c r="I63" s="23">
        <v>976048092665</v>
      </c>
      <c r="J63" s="23">
        <v>452978070062</v>
      </c>
      <c r="K63" s="23">
        <f t="shared" ref="K63:K64" si="29">SUM(J62:J63)/2</f>
        <v>406102840709</v>
      </c>
      <c r="L63" s="23">
        <v>436494655019</v>
      </c>
      <c r="M63" s="23">
        <v>523070022603</v>
      </c>
      <c r="N63" s="23">
        <v>175763024192</v>
      </c>
      <c r="O63" s="25">
        <f t="shared" si="0"/>
        <v>-24990096767</v>
      </c>
      <c r="P63" s="23">
        <v>-118306860337</v>
      </c>
      <c r="Q63" s="23">
        <f>1082975140+73999027509</f>
        <v>75082002649</v>
      </c>
      <c r="R63" s="25">
        <f t="shared" si="1"/>
        <v>100681021543</v>
      </c>
      <c r="S63" s="26">
        <f t="shared" si="2"/>
        <v>0.46409400670533507</v>
      </c>
      <c r="T63" s="27">
        <f t="shared" si="3"/>
        <v>0.94274821815192167</v>
      </c>
      <c r="U63" s="26">
        <f t="shared" si="4"/>
        <v>27.606777697417034</v>
      </c>
      <c r="V63" s="26">
        <f t="shared" si="5"/>
        <v>0.43280422241110605</v>
      </c>
      <c r="W63" s="65">
        <v>45659</v>
      </c>
      <c r="X63" s="42">
        <v>2100</v>
      </c>
      <c r="Y63" s="63">
        <v>473079</v>
      </c>
      <c r="Z63" s="30">
        <f t="shared" si="6"/>
        <v>993465900</v>
      </c>
      <c r="AA63" s="31">
        <f t="shared" si="7"/>
        <v>14</v>
      </c>
      <c r="AB63" s="32">
        <v>3.15E-2</v>
      </c>
      <c r="AC63" s="32">
        <v>8.0199999999999994E-2</v>
      </c>
      <c r="AD63" s="33">
        <f t="shared" si="8"/>
        <v>-2.5603345731425062E-2</v>
      </c>
      <c r="AE63" s="34">
        <f t="shared" si="9"/>
        <v>-0.12121007276800794</v>
      </c>
      <c r="AF63" s="33">
        <f t="shared" si="10"/>
        <v>0.10315170153972712</v>
      </c>
      <c r="AG63" s="33">
        <f t="shared" si="11"/>
        <v>2.1931876301738455E-3</v>
      </c>
      <c r="AH63" s="35">
        <f t="shared" si="12"/>
        <v>0.38801662996167335</v>
      </c>
      <c r="AI63" s="36">
        <f t="shared" si="13"/>
        <v>0.529315040867956</v>
      </c>
      <c r="AJ63" s="23"/>
      <c r="AK63" s="23"/>
      <c r="AL63" s="44"/>
      <c r="AM63" s="44"/>
      <c r="AN63" s="44"/>
      <c r="AO63" s="44"/>
      <c r="AP63" s="44"/>
      <c r="AQ63" s="44"/>
      <c r="AR63" s="44"/>
    </row>
    <row r="64" spans="1:44" ht="16.8">
      <c r="A64" s="64" t="s">
        <v>180</v>
      </c>
      <c r="B64" s="62"/>
      <c r="C64" s="1" t="s">
        <v>176</v>
      </c>
      <c r="D64" s="19" t="s">
        <v>177</v>
      </c>
      <c r="E64" s="20" t="s">
        <v>178</v>
      </c>
      <c r="F64" s="21">
        <v>2008</v>
      </c>
      <c r="G64" s="22">
        <v>2023</v>
      </c>
      <c r="H64" s="23">
        <v>412479644112</v>
      </c>
      <c r="I64" s="23">
        <v>975409053687</v>
      </c>
      <c r="J64" s="23">
        <v>464643849884</v>
      </c>
      <c r="K64" s="23">
        <f t="shared" si="29"/>
        <v>458810959973</v>
      </c>
      <c r="L64" s="23">
        <v>446588196818</v>
      </c>
      <c r="M64" s="23">
        <v>510765203803</v>
      </c>
      <c r="N64" s="23">
        <v>0</v>
      </c>
      <c r="O64" s="25">
        <f t="shared" si="0"/>
        <v>-34108552706</v>
      </c>
      <c r="P64" s="23">
        <v>-2436860568</v>
      </c>
      <c r="Q64" s="23">
        <v>1008975864</v>
      </c>
      <c r="R64" s="25">
        <f t="shared" si="1"/>
        <v>-1008975864</v>
      </c>
      <c r="S64" s="26">
        <f t="shared" si="2"/>
        <v>0.47635794247312785</v>
      </c>
      <c r="T64" s="27">
        <f t="shared" si="3"/>
        <v>0.92362415095376915</v>
      </c>
      <c r="U64" s="26">
        <f t="shared" si="4"/>
        <v>27.606122762204095</v>
      </c>
      <c r="V64" s="26">
        <f t="shared" si="5"/>
        <v>0</v>
      </c>
      <c r="W64" s="63" t="s">
        <v>181</v>
      </c>
      <c r="X64" s="29">
        <v>600</v>
      </c>
      <c r="Y64" s="63">
        <v>853154</v>
      </c>
      <c r="Z64" s="30">
        <f t="shared" si="6"/>
        <v>511892400</v>
      </c>
      <c r="AA64" s="31">
        <f t="shared" si="7"/>
        <v>15</v>
      </c>
      <c r="AB64" s="32">
        <v>3.2500000000000001E-2</v>
      </c>
      <c r="AC64" s="32">
        <v>5.0500000000000003E-2</v>
      </c>
      <c r="AD64" s="33">
        <f t="shared" si="8"/>
        <v>-3.4968460234269187E-2</v>
      </c>
      <c r="AE64" s="34">
        <f t="shared" si="9"/>
        <v>-2.4982960315867303E-3</v>
      </c>
      <c r="AF64" s="33">
        <f t="shared" si="10"/>
        <v>-1.0344130600245293E-3</v>
      </c>
      <c r="AG64" s="33">
        <f t="shared" si="11"/>
        <v>1.1016876692283688E-3</v>
      </c>
      <c r="AH64" s="35">
        <f t="shared" si="12"/>
        <v>0</v>
      </c>
      <c r="AI64" s="36">
        <f t="shared" si="13"/>
        <v>-4.8212317221888366E-2</v>
      </c>
      <c r="AJ64" s="23" t="s">
        <v>136</v>
      </c>
      <c r="AK64" s="23"/>
      <c r="AL64" s="44"/>
      <c r="AM64" s="44"/>
      <c r="AN64" s="44"/>
      <c r="AO64" s="44"/>
      <c r="AP64" s="44"/>
      <c r="AQ64" s="44"/>
      <c r="AR64" s="44"/>
    </row>
    <row r="65" spans="1:44" ht="16.8">
      <c r="A65" s="64" t="s">
        <v>182</v>
      </c>
      <c r="B65" s="62">
        <v>26</v>
      </c>
      <c r="C65" s="1" t="s">
        <v>183</v>
      </c>
      <c r="D65" s="19" t="s">
        <v>184</v>
      </c>
      <c r="E65" s="20" t="s">
        <v>39</v>
      </c>
      <c r="F65" s="21">
        <v>2000</v>
      </c>
      <c r="G65" s="22">
        <v>2021</v>
      </c>
      <c r="H65" s="23">
        <v>318820620287</v>
      </c>
      <c r="I65" s="23">
        <v>422438123032</v>
      </c>
      <c r="J65" s="23">
        <v>286011178808</v>
      </c>
      <c r="K65" s="23">
        <f>(J65+256571341194)/2</f>
        <v>271291260001</v>
      </c>
      <c r="L65" s="23">
        <v>276011178808</v>
      </c>
      <c r="M65" s="23">
        <v>136426944224</v>
      </c>
      <c r="N65" s="23">
        <v>377971840359</v>
      </c>
      <c r="O65" s="25">
        <f t="shared" si="0"/>
        <v>42809441479</v>
      </c>
      <c r="P65" s="23">
        <v>4529137016</v>
      </c>
      <c r="Q65" s="23">
        <f>457782000+12513588239</f>
        <v>12971370239</v>
      </c>
      <c r="R65" s="25">
        <f t="shared" si="1"/>
        <v>365000470120</v>
      </c>
      <c r="S65" s="26">
        <f t="shared" si="2"/>
        <v>0.67704869237460952</v>
      </c>
      <c r="T65" s="27">
        <f t="shared" si="3"/>
        <v>1.155100390005505</v>
      </c>
      <c r="U65" s="26">
        <f t="shared" si="4"/>
        <v>26.769308818656022</v>
      </c>
      <c r="V65" s="26">
        <f t="shared" si="5"/>
        <v>1.393232647294302</v>
      </c>
      <c r="W65" s="65">
        <v>45724</v>
      </c>
      <c r="X65" s="42">
        <v>8300</v>
      </c>
      <c r="Y65" s="63">
        <v>10500</v>
      </c>
      <c r="Z65" s="30">
        <f t="shared" si="6"/>
        <v>87150000</v>
      </c>
      <c r="AA65" s="31">
        <f t="shared" si="7"/>
        <v>21</v>
      </c>
      <c r="AB65" s="32">
        <v>1.84E-2</v>
      </c>
      <c r="AC65" s="32">
        <v>2.58E-2</v>
      </c>
      <c r="AD65" s="33">
        <f t="shared" si="8"/>
        <v>0.1013389633770273</v>
      </c>
      <c r="AE65" s="34">
        <f t="shared" si="9"/>
        <v>1.0721421124335681E-2</v>
      </c>
      <c r="AF65" s="33">
        <f t="shared" si="10"/>
        <v>0.86403297955272595</v>
      </c>
      <c r="AG65" s="33">
        <f t="shared" si="11"/>
        <v>3.0470836966307532E-4</v>
      </c>
      <c r="AH65" s="35">
        <f t="shared" si="12"/>
        <v>1.3215282071640053</v>
      </c>
      <c r="AI65" s="36">
        <f t="shared" si="13"/>
        <v>4.3096366103363017</v>
      </c>
      <c r="AJ65" s="23"/>
      <c r="AK65" s="23"/>
      <c r="AL65" s="44"/>
      <c r="AM65" s="44"/>
      <c r="AN65" s="44"/>
      <c r="AO65" s="44"/>
      <c r="AP65" s="44"/>
      <c r="AQ65" s="44"/>
      <c r="AR65" s="44"/>
    </row>
    <row r="66" spans="1:44" ht="16.8">
      <c r="A66" s="64" t="s">
        <v>185</v>
      </c>
      <c r="B66" s="62"/>
      <c r="C66" s="1" t="s">
        <v>183</v>
      </c>
      <c r="D66" s="19" t="s">
        <v>184</v>
      </c>
      <c r="E66" s="20" t="s">
        <v>39</v>
      </c>
      <c r="F66" s="21">
        <v>2000</v>
      </c>
      <c r="G66" s="22">
        <v>2022</v>
      </c>
      <c r="H66" s="23">
        <v>261310438964</v>
      </c>
      <c r="I66" s="23">
        <v>385042854769</v>
      </c>
      <c r="J66" s="23">
        <v>207112549383</v>
      </c>
      <c r="K66" s="23">
        <f>(207112549383+278027422609)/2</f>
        <v>242569985996</v>
      </c>
      <c r="L66" s="23">
        <v>197112549383</v>
      </c>
      <c r="M66" s="23">
        <v>177930305386</v>
      </c>
      <c r="N66" s="23">
        <v>240298998787</v>
      </c>
      <c r="O66" s="25">
        <f t="shared" si="0"/>
        <v>64197889581</v>
      </c>
      <c r="P66" s="23">
        <v>2968428038</v>
      </c>
      <c r="Q66" s="23">
        <f>926738298+12602671554</f>
        <v>13529409852</v>
      </c>
      <c r="R66" s="25">
        <f t="shared" si="1"/>
        <v>226769588935</v>
      </c>
      <c r="S66" s="26">
        <f t="shared" si="2"/>
        <v>0.53789480006648538</v>
      </c>
      <c r="T66" s="27">
        <f t="shared" si="3"/>
        <v>1.3256915390823754</v>
      </c>
      <c r="U66" s="26">
        <f t="shared" si="4"/>
        <v>26.676620476127887</v>
      </c>
      <c r="V66" s="26">
        <f t="shared" si="5"/>
        <v>0.99063780624105136</v>
      </c>
      <c r="W66" s="65">
        <v>45814</v>
      </c>
      <c r="X66" s="42">
        <v>6600</v>
      </c>
      <c r="Y66" s="63">
        <v>100</v>
      </c>
      <c r="Z66" s="30">
        <f t="shared" si="6"/>
        <v>660000</v>
      </c>
      <c r="AA66" s="31">
        <f t="shared" si="7"/>
        <v>22</v>
      </c>
      <c r="AB66" s="32">
        <v>3.15E-2</v>
      </c>
      <c r="AC66" s="32">
        <v>8.0199999999999994E-2</v>
      </c>
      <c r="AD66" s="33">
        <f t="shared" si="8"/>
        <v>0.16672920633604393</v>
      </c>
      <c r="AE66" s="34">
        <f t="shared" si="9"/>
        <v>7.7093445605706896E-3</v>
      </c>
      <c r="AF66" s="33">
        <f t="shared" si="10"/>
        <v>0.58894636305105985</v>
      </c>
      <c r="AG66" s="33">
        <f t="shared" si="11"/>
        <v>3.1866731492909404E-6</v>
      </c>
      <c r="AH66" s="35">
        <f t="shared" si="12"/>
        <v>1.1602338897515594</v>
      </c>
      <c r="AI66" s="36">
        <f t="shared" si="13"/>
        <v>3.3146269298119977</v>
      </c>
      <c r="AJ66" s="23"/>
      <c r="AK66" s="23"/>
      <c r="AL66" s="44"/>
      <c r="AM66" s="44"/>
      <c r="AN66" s="44"/>
      <c r="AO66" s="44"/>
      <c r="AP66" s="44"/>
      <c r="AQ66" s="44"/>
      <c r="AR66" s="44"/>
    </row>
    <row r="67" spans="1:44" ht="16.8">
      <c r="A67" s="64" t="s">
        <v>186</v>
      </c>
      <c r="B67" s="62"/>
      <c r="C67" s="1" t="s">
        <v>183</v>
      </c>
      <c r="D67" s="19" t="s">
        <v>184</v>
      </c>
      <c r="E67" s="20" t="s">
        <v>39</v>
      </c>
      <c r="F67" s="21">
        <v>2000</v>
      </c>
      <c r="G67" s="22">
        <v>2023</v>
      </c>
      <c r="H67" s="23">
        <v>266334866645</v>
      </c>
      <c r="I67" s="23">
        <v>368457837358</v>
      </c>
      <c r="J67" s="23">
        <v>185398443033</v>
      </c>
      <c r="K67" s="23">
        <f>SUM(J66:J67)/2</f>
        <v>196255496208</v>
      </c>
      <c r="L67" s="23">
        <v>155008443033</v>
      </c>
      <c r="M67" s="23">
        <v>183059394325</v>
      </c>
      <c r="N67" s="23">
        <v>439951065783</v>
      </c>
      <c r="O67" s="25">
        <f t="shared" si="0"/>
        <v>111326423612</v>
      </c>
      <c r="P67" s="23">
        <v>5129088939</v>
      </c>
      <c r="Q67" s="23">
        <f>2789541716+13995577833</f>
        <v>16785119549</v>
      </c>
      <c r="R67" s="25">
        <f t="shared" si="1"/>
        <v>423165946234</v>
      </c>
      <c r="S67" s="26">
        <f t="shared" si="2"/>
        <v>0.50317410633028192</v>
      </c>
      <c r="T67" s="27">
        <f t="shared" si="3"/>
        <v>1.7181958700681843</v>
      </c>
      <c r="U67" s="26">
        <f t="shared" si="4"/>
        <v>26.632592125090742</v>
      </c>
      <c r="V67" s="26">
        <f t="shared" si="5"/>
        <v>2.2417260881026282</v>
      </c>
      <c r="W67" s="65">
        <v>45906</v>
      </c>
      <c r="X67" s="42">
        <v>6900</v>
      </c>
      <c r="Y67" s="63">
        <v>100</v>
      </c>
      <c r="Z67" s="30">
        <f t="shared" si="6"/>
        <v>690000</v>
      </c>
      <c r="AA67" s="31">
        <f t="shared" si="7"/>
        <v>23</v>
      </c>
      <c r="AB67" s="32">
        <v>3.2500000000000001E-2</v>
      </c>
      <c r="AC67" s="32">
        <v>5.0500000000000003E-2</v>
      </c>
      <c r="AD67" s="33">
        <f t="shared" si="8"/>
        <v>0.30214155413346067</v>
      </c>
      <c r="AE67" s="34">
        <f t="shared" si="9"/>
        <v>1.3920422960135025E-2</v>
      </c>
      <c r="AF67" s="33">
        <f t="shared" si="10"/>
        <v>1.1484786136407914</v>
      </c>
      <c r="AG67" s="33">
        <f t="shared" si="11"/>
        <v>3.72171410240583E-6</v>
      </c>
      <c r="AH67" s="35">
        <f t="shared" si="12"/>
        <v>2.3730030230334291</v>
      </c>
      <c r="AI67" s="36">
        <f t="shared" si="13"/>
        <v>6.5450431381808443</v>
      </c>
      <c r="AJ67" s="23"/>
      <c r="AK67" s="23"/>
      <c r="AL67" s="44"/>
      <c r="AM67" s="44"/>
      <c r="AN67" s="44"/>
      <c r="AO67" s="44"/>
      <c r="AP67" s="44"/>
      <c r="AQ67" s="44"/>
      <c r="AR67" s="44"/>
    </row>
    <row r="68" spans="1:44" ht="16.8">
      <c r="A68" s="64" t="s">
        <v>187</v>
      </c>
      <c r="B68" s="62">
        <v>27</v>
      </c>
      <c r="C68" s="1" t="s">
        <v>188</v>
      </c>
      <c r="D68" s="19" t="s">
        <v>189</v>
      </c>
      <c r="E68" s="20" t="s">
        <v>178</v>
      </c>
      <c r="F68" s="21">
        <v>2000</v>
      </c>
      <c r="G68" s="22">
        <v>2021</v>
      </c>
      <c r="H68" s="23">
        <v>387999495702</v>
      </c>
      <c r="I68" s="23">
        <v>513923668056</v>
      </c>
      <c r="J68" s="23">
        <v>363407522630</v>
      </c>
      <c r="K68" s="23">
        <f>(J68+366830772293)/2</f>
        <v>365119147461.5</v>
      </c>
      <c r="L68" s="23">
        <v>328486629419</v>
      </c>
      <c r="M68" s="23">
        <v>150516145426</v>
      </c>
      <c r="N68" s="23">
        <v>424015916604</v>
      </c>
      <c r="O68" s="25">
        <f t="shared" si="0"/>
        <v>59512866283</v>
      </c>
      <c r="P68" s="23">
        <v>-10994138679</v>
      </c>
      <c r="Q68" s="23">
        <f>71777186550+22600802878</f>
        <v>94377989428</v>
      </c>
      <c r="R68" s="25">
        <f t="shared" si="1"/>
        <v>329637927176</v>
      </c>
      <c r="S68" s="26">
        <f t="shared" si="2"/>
        <v>0.7071235384131036</v>
      </c>
      <c r="T68" s="27">
        <f t="shared" si="3"/>
        <v>1.1811728726623103</v>
      </c>
      <c r="U68" s="26">
        <f t="shared" si="4"/>
        <v>26.965340585645883</v>
      </c>
      <c r="V68" s="26">
        <f t="shared" si="5"/>
        <v>1.1613083552368624</v>
      </c>
      <c r="W68" s="65">
        <v>45784</v>
      </c>
      <c r="X68" s="42">
        <v>7500</v>
      </c>
      <c r="Y68" s="63">
        <v>112881</v>
      </c>
      <c r="Z68" s="30">
        <f t="shared" si="6"/>
        <v>846607500</v>
      </c>
      <c r="AA68" s="31">
        <f t="shared" si="7"/>
        <v>21</v>
      </c>
      <c r="AB68" s="32">
        <v>1.84E-2</v>
      </c>
      <c r="AC68" s="32">
        <v>2.58E-2</v>
      </c>
      <c r="AD68" s="33">
        <f t="shared" si="8"/>
        <v>0.11580098365213867</v>
      </c>
      <c r="AE68" s="34">
        <f t="shared" si="9"/>
        <v>-2.1392551778335333E-2</v>
      </c>
      <c r="AF68" s="33">
        <f t="shared" si="10"/>
        <v>0.64141417814616164</v>
      </c>
      <c r="AG68" s="33">
        <f t="shared" si="11"/>
        <v>2.3296366951158728E-3</v>
      </c>
      <c r="AH68" s="35">
        <f t="shared" si="12"/>
        <v>1.1667780389777673</v>
      </c>
      <c r="AI68" s="36">
        <f t="shared" si="13"/>
        <v>3.3938542167700669</v>
      </c>
      <c r="AJ68" s="23"/>
      <c r="AK68" s="23"/>
      <c r="AL68" s="44"/>
      <c r="AM68" s="44"/>
      <c r="AN68" s="44"/>
      <c r="AO68" s="44"/>
      <c r="AP68" s="44"/>
      <c r="AQ68" s="44"/>
      <c r="AR68" s="44"/>
    </row>
    <row r="69" spans="1:44" ht="16.8">
      <c r="A69" s="64" t="s">
        <v>190</v>
      </c>
      <c r="B69" s="62"/>
      <c r="C69" s="1" t="s">
        <v>188</v>
      </c>
      <c r="D69" s="19" t="s">
        <v>189</v>
      </c>
      <c r="E69" s="20" t="s">
        <v>178</v>
      </c>
      <c r="F69" s="21">
        <v>2000</v>
      </c>
      <c r="G69" s="22">
        <v>2022</v>
      </c>
      <c r="H69" s="23">
        <v>462164561877</v>
      </c>
      <c r="I69" s="23">
        <v>568100264846</v>
      </c>
      <c r="J69" s="23">
        <v>456157274299</v>
      </c>
      <c r="K69" s="23">
        <f t="shared" ref="K69:K70" si="30">SUM(J68:J69)/2</f>
        <v>409782398464.5</v>
      </c>
      <c r="L69" s="23">
        <v>436657649562</v>
      </c>
      <c r="M69" s="23">
        <v>111942990547</v>
      </c>
      <c r="N69" s="23">
        <v>647100104241</v>
      </c>
      <c r="O69" s="25">
        <f t="shared" si="0"/>
        <v>25506912315</v>
      </c>
      <c r="P69" s="23">
        <v>-38573154879</v>
      </c>
      <c r="Q69" s="23">
        <f>82700345447+21276326047</f>
        <v>103976671494</v>
      </c>
      <c r="R69" s="25">
        <f t="shared" si="1"/>
        <v>543123432747</v>
      </c>
      <c r="S69" s="26">
        <f t="shared" si="2"/>
        <v>0.80295205358275024</v>
      </c>
      <c r="T69" s="27">
        <f t="shared" si="3"/>
        <v>1.0584139825343386</v>
      </c>
      <c r="U69" s="26">
        <f t="shared" si="4"/>
        <v>27.065563762705477</v>
      </c>
      <c r="V69" s="26">
        <f t="shared" si="5"/>
        <v>1.5791310379990837</v>
      </c>
      <c r="W69" s="65">
        <v>45691</v>
      </c>
      <c r="X69" s="42">
        <v>3200</v>
      </c>
      <c r="Y69" s="63">
        <v>0</v>
      </c>
      <c r="Z69" s="30">
        <f t="shared" si="6"/>
        <v>0</v>
      </c>
      <c r="AA69" s="31">
        <f t="shared" si="7"/>
        <v>22</v>
      </c>
      <c r="AB69" s="32">
        <v>3.15E-2</v>
      </c>
      <c r="AC69" s="32">
        <v>8.0199999999999994E-2</v>
      </c>
      <c r="AD69" s="33">
        <f t="shared" si="8"/>
        <v>4.4898610145718533E-2</v>
      </c>
      <c r="AE69" s="34">
        <f t="shared" si="9"/>
        <v>-6.7898498321341871E-2</v>
      </c>
      <c r="AF69" s="33">
        <f t="shared" si="10"/>
        <v>0.95603446496232369</v>
      </c>
      <c r="AG69" s="33">
        <f t="shared" si="11"/>
        <v>0</v>
      </c>
      <c r="AH69" s="35">
        <f t="shared" si="12"/>
        <v>1.418589904623206</v>
      </c>
      <c r="AI69" s="36">
        <f t="shared" si="13"/>
        <v>4.5323240735238581</v>
      </c>
      <c r="AJ69" s="23"/>
      <c r="AK69" s="23"/>
      <c r="AL69" s="44"/>
      <c r="AM69" s="44"/>
      <c r="AN69" s="44"/>
      <c r="AO69" s="44"/>
      <c r="AP69" s="44"/>
      <c r="AQ69" s="44"/>
      <c r="AR69" s="44"/>
    </row>
    <row r="70" spans="1:44" ht="16.8">
      <c r="A70" s="64" t="s">
        <v>191</v>
      </c>
      <c r="B70" s="62"/>
      <c r="C70" s="1" t="s">
        <v>188</v>
      </c>
      <c r="D70" s="19" t="s">
        <v>189</v>
      </c>
      <c r="E70" s="20" t="s">
        <v>178</v>
      </c>
      <c r="F70" s="21">
        <v>2000</v>
      </c>
      <c r="G70" s="22">
        <v>2023</v>
      </c>
      <c r="H70" s="23">
        <v>409191449574</v>
      </c>
      <c r="I70" s="23">
        <v>494710294395</v>
      </c>
      <c r="J70" s="23">
        <v>378508373892</v>
      </c>
      <c r="K70" s="23">
        <f t="shared" si="30"/>
        <v>417332824095.5</v>
      </c>
      <c r="L70" s="23">
        <v>358990989010</v>
      </c>
      <c r="M70" s="23">
        <v>116201920503</v>
      </c>
      <c r="N70" s="23">
        <v>580021300613</v>
      </c>
      <c r="O70" s="25">
        <f t="shared" si="0"/>
        <v>50200460564</v>
      </c>
      <c r="P70" s="23">
        <v>4258929956</v>
      </c>
      <c r="Q70" s="23">
        <f>63887253829+20941947114</f>
        <v>84829200943</v>
      </c>
      <c r="R70" s="25">
        <f t="shared" si="1"/>
        <v>495192099670</v>
      </c>
      <c r="S70" s="26">
        <f t="shared" si="2"/>
        <v>0.76511117350992719</v>
      </c>
      <c r="T70" s="27">
        <f t="shared" si="3"/>
        <v>1.1398376619492296</v>
      </c>
      <c r="U70" s="26">
        <f t="shared" si="4"/>
        <v>26.927238164332877</v>
      </c>
      <c r="V70" s="26">
        <f t="shared" si="5"/>
        <v>1.389829093530087</v>
      </c>
      <c r="W70" s="63" t="s">
        <v>192</v>
      </c>
      <c r="X70" s="29">
        <v>4000</v>
      </c>
      <c r="Y70" s="63">
        <v>20158</v>
      </c>
      <c r="Z70" s="30">
        <f t="shared" si="6"/>
        <v>80632000</v>
      </c>
      <c r="AA70" s="31">
        <f t="shared" si="7"/>
        <v>23</v>
      </c>
      <c r="AB70" s="32">
        <v>3.2500000000000001E-2</v>
      </c>
      <c r="AC70" s="32">
        <v>5.0500000000000003E-2</v>
      </c>
      <c r="AD70" s="33">
        <f t="shared" si="8"/>
        <v>0.10147446118013786</v>
      </c>
      <c r="AE70" s="34">
        <f t="shared" si="9"/>
        <v>8.6089374008446844E-3</v>
      </c>
      <c r="AF70" s="33">
        <f t="shared" si="10"/>
        <v>1.0009739139865468</v>
      </c>
      <c r="AG70" s="33">
        <f t="shared" si="11"/>
        <v>2.1302567013486146E-4</v>
      </c>
      <c r="AH70" s="35">
        <f t="shared" si="12"/>
        <v>1.5323869711228577</v>
      </c>
      <c r="AI70" s="36">
        <f t="shared" si="13"/>
        <v>4.9695505684578904</v>
      </c>
      <c r="AJ70" s="23"/>
      <c r="AK70" s="23"/>
      <c r="AL70" s="44"/>
      <c r="AM70" s="44"/>
      <c r="AN70" s="44"/>
      <c r="AO70" s="44"/>
      <c r="AP70" s="44"/>
      <c r="AQ70" s="44"/>
      <c r="AR70" s="44"/>
    </row>
    <row r="71" spans="1:44" ht="16.8">
      <c r="A71" s="64" t="s">
        <v>193</v>
      </c>
      <c r="B71" s="62">
        <v>28</v>
      </c>
      <c r="C71" s="1" t="s">
        <v>194</v>
      </c>
      <c r="D71" s="19" t="s">
        <v>195</v>
      </c>
      <c r="E71" s="20" t="s">
        <v>39</v>
      </c>
      <c r="F71" s="21">
        <v>1999</v>
      </c>
      <c r="G71" s="22">
        <v>2021</v>
      </c>
      <c r="H71" s="23">
        <v>179817161032</v>
      </c>
      <c r="I71" s="23">
        <v>183191176631</v>
      </c>
      <c r="J71" s="23">
        <v>86698946519</v>
      </c>
      <c r="K71" s="23">
        <f>(J71+108532384054)/2</f>
        <v>97615665286.5</v>
      </c>
      <c r="L71" s="23">
        <v>86698946519</v>
      </c>
      <c r="M71" s="23">
        <v>96492230112</v>
      </c>
      <c r="N71" s="23">
        <v>264024739528</v>
      </c>
      <c r="O71" s="25">
        <f t="shared" si="0"/>
        <v>93118214513</v>
      </c>
      <c r="P71" s="23">
        <v>3755997333</v>
      </c>
      <c r="Q71" s="23">
        <f>6822860610+14425312080</f>
        <v>21248172690</v>
      </c>
      <c r="R71" s="25">
        <f t="shared" si="1"/>
        <v>242776566838</v>
      </c>
      <c r="S71" s="26">
        <f t="shared" si="2"/>
        <v>0.47327031854616419</v>
      </c>
      <c r="T71" s="27">
        <f t="shared" si="3"/>
        <v>2.0740408995926289</v>
      </c>
      <c r="U71" s="26">
        <f t="shared" si="4"/>
        <v>25.933796125532048</v>
      </c>
      <c r="V71" s="26">
        <f t="shared" si="5"/>
        <v>2.7047373877245291</v>
      </c>
      <c r="W71" s="69" t="s">
        <v>196</v>
      </c>
      <c r="X71" s="42">
        <v>12570</v>
      </c>
      <c r="Y71" s="63">
        <v>410</v>
      </c>
      <c r="Z71" s="30">
        <f t="shared" si="6"/>
        <v>5153700</v>
      </c>
      <c r="AA71" s="31">
        <f t="shared" si="7"/>
        <v>22</v>
      </c>
      <c r="AB71" s="32">
        <v>1.84E-2</v>
      </c>
      <c r="AC71" s="32">
        <v>2.58E-2</v>
      </c>
      <c r="AD71" s="33">
        <f t="shared" si="8"/>
        <v>0.50831167868181237</v>
      </c>
      <c r="AE71" s="34">
        <f t="shared" si="9"/>
        <v>2.050315633140817E-2</v>
      </c>
      <c r="AF71" s="33">
        <f t="shared" si="10"/>
        <v>1.3252634286367526</v>
      </c>
      <c r="AG71" s="33">
        <f t="shared" si="11"/>
        <v>5.9443628866592643E-5</v>
      </c>
      <c r="AH71" s="35">
        <f t="shared" si="12"/>
        <v>3.0453050484314619</v>
      </c>
      <c r="AI71" s="36">
        <f t="shared" si="13"/>
        <v>8.0573884623922112</v>
      </c>
      <c r="AJ71" s="23"/>
      <c r="AK71" s="23"/>
      <c r="AL71" s="44"/>
      <c r="AM71" s="44"/>
      <c r="AN71" s="44"/>
      <c r="AO71" s="44"/>
      <c r="AP71" s="44"/>
      <c r="AQ71" s="44"/>
      <c r="AR71" s="44"/>
    </row>
    <row r="72" spans="1:44" ht="16.8">
      <c r="A72" s="64" t="s">
        <v>197</v>
      </c>
      <c r="B72" s="62"/>
      <c r="C72" s="1" t="s">
        <v>194</v>
      </c>
      <c r="D72" s="19" t="s">
        <v>195</v>
      </c>
      <c r="E72" s="20" t="s">
        <v>39</v>
      </c>
      <c r="F72" s="21">
        <v>1999</v>
      </c>
      <c r="G72" s="22">
        <v>2022</v>
      </c>
      <c r="H72" s="23">
        <v>204744167865</v>
      </c>
      <c r="I72" s="23">
        <v>207140533496</v>
      </c>
      <c r="J72" s="23">
        <v>113314107411</v>
      </c>
      <c r="K72" s="23">
        <f t="shared" ref="K72:K73" si="31">SUM(J71:J72)/2</f>
        <v>100006526965</v>
      </c>
      <c r="L72" s="23">
        <v>113314107411</v>
      </c>
      <c r="M72" s="23">
        <v>93826426085</v>
      </c>
      <c r="N72" s="23">
        <v>263796551448</v>
      </c>
      <c r="O72" s="25">
        <f t="shared" si="0"/>
        <v>91430060454</v>
      </c>
      <c r="P72" s="23">
        <v>1090193306</v>
      </c>
      <c r="Q72" s="23">
        <f>6724919954+12842323336</f>
        <v>19567243290</v>
      </c>
      <c r="R72" s="25">
        <f t="shared" si="1"/>
        <v>244229308158</v>
      </c>
      <c r="S72" s="26">
        <f t="shared" si="2"/>
        <v>0.54703975846035058</v>
      </c>
      <c r="T72" s="27">
        <f t="shared" si="3"/>
        <v>1.8068727058174259</v>
      </c>
      <c r="U72" s="26">
        <f t="shared" si="4"/>
        <v>26.056663305637283</v>
      </c>
      <c r="V72" s="26">
        <f t="shared" si="5"/>
        <v>2.6377933466314931</v>
      </c>
      <c r="W72" s="63" t="s">
        <v>198</v>
      </c>
      <c r="X72" s="29">
        <v>8620</v>
      </c>
      <c r="Y72" s="63">
        <v>0</v>
      </c>
      <c r="Z72" s="30">
        <f t="shared" si="6"/>
        <v>0</v>
      </c>
      <c r="AA72" s="31">
        <f t="shared" si="7"/>
        <v>23</v>
      </c>
      <c r="AB72" s="32">
        <v>3.15E-2</v>
      </c>
      <c r="AC72" s="32">
        <v>8.0199999999999994E-2</v>
      </c>
      <c r="AD72" s="33">
        <f t="shared" si="8"/>
        <v>0.44139145009861419</v>
      </c>
      <c r="AE72" s="34">
        <f t="shared" si="9"/>
        <v>5.2630612058409722E-3</v>
      </c>
      <c r="AF72" s="33">
        <f t="shared" si="10"/>
        <v>1.1790512655154295</v>
      </c>
      <c r="AG72" s="33">
        <f t="shared" si="11"/>
        <v>0</v>
      </c>
      <c r="AH72" s="35">
        <f t="shared" si="12"/>
        <v>2.3280115554472598</v>
      </c>
      <c r="AI72" s="36">
        <f t="shared" si="13"/>
        <v>6.7559187574546913</v>
      </c>
      <c r="AJ72" s="23"/>
      <c r="AK72" s="23"/>
      <c r="AL72" s="44"/>
      <c r="AM72" s="44"/>
      <c r="AN72" s="44"/>
      <c r="AO72" s="44"/>
      <c r="AP72" s="44"/>
      <c r="AQ72" s="44"/>
      <c r="AR72" s="44"/>
    </row>
    <row r="73" spans="1:44" ht="16.8">
      <c r="A73" s="64" t="s">
        <v>199</v>
      </c>
      <c r="B73" s="62"/>
      <c r="C73" s="1" t="s">
        <v>194</v>
      </c>
      <c r="D73" s="19" t="s">
        <v>195</v>
      </c>
      <c r="E73" s="20" t="s">
        <v>39</v>
      </c>
      <c r="F73" s="21">
        <v>1999</v>
      </c>
      <c r="G73" s="22">
        <v>2023</v>
      </c>
      <c r="H73" s="23">
        <v>185544150725</v>
      </c>
      <c r="I73" s="23">
        <v>187044481900</v>
      </c>
      <c r="J73" s="23">
        <v>93180736656</v>
      </c>
      <c r="K73" s="23">
        <f t="shared" si="31"/>
        <v>103247422033.5</v>
      </c>
      <c r="L73" s="23">
        <v>93180736656</v>
      </c>
      <c r="M73" s="23">
        <v>93863745244</v>
      </c>
      <c r="N73" s="23">
        <v>227638128651</v>
      </c>
      <c r="O73" s="25">
        <f t="shared" si="0"/>
        <v>92363414069</v>
      </c>
      <c r="P73" s="23">
        <v>1127512465</v>
      </c>
      <c r="Q73" s="23">
        <f>5885867292+13261705772</f>
        <v>19147573064</v>
      </c>
      <c r="R73" s="25">
        <f t="shared" si="1"/>
        <v>208490555587</v>
      </c>
      <c r="S73" s="26">
        <f t="shared" si="2"/>
        <v>0.498174208132039</v>
      </c>
      <c r="T73" s="27">
        <f t="shared" si="3"/>
        <v>1.9912286314067535</v>
      </c>
      <c r="U73" s="26">
        <f t="shared" si="4"/>
        <v>25.954612296637144</v>
      </c>
      <c r="V73" s="26">
        <f t="shared" si="5"/>
        <v>2.2047826877182444</v>
      </c>
      <c r="W73" s="63" t="s">
        <v>200</v>
      </c>
      <c r="X73" s="29">
        <v>9210</v>
      </c>
      <c r="Y73" s="63">
        <v>0</v>
      </c>
      <c r="Z73" s="30">
        <f t="shared" si="6"/>
        <v>0</v>
      </c>
      <c r="AA73" s="31">
        <f t="shared" si="7"/>
        <v>24</v>
      </c>
      <c r="AB73" s="32">
        <v>3.2500000000000001E-2</v>
      </c>
      <c r="AC73" s="32">
        <v>5.0500000000000003E-2</v>
      </c>
      <c r="AD73" s="33">
        <f t="shared" si="8"/>
        <v>0.49380453852886425</v>
      </c>
      <c r="AE73" s="34">
        <f t="shared" si="9"/>
        <v>6.0280445247393316E-3</v>
      </c>
      <c r="AF73" s="33">
        <f t="shared" si="10"/>
        <v>1.1146576122917422</v>
      </c>
      <c r="AG73" s="33">
        <f t="shared" si="11"/>
        <v>0</v>
      </c>
      <c r="AH73" s="35">
        <f t="shared" si="12"/>
        <v>2.4429741255575506</v>
      </c>
      <c r="AI73" s="36">
        <f t="shared" si="13"/>
        <v>6.7223489546895721</v>
      </c>
      <c r="AJ73" s="23"/>
      <c r="AK73" s="23"/>
      <c r="AL73" s="44"/>
      <c r="AM73" s="44"/>
      <c r="AN73" s="44"/>
      <c r="AO73" s="44"/>
      <c r="AP73" s="44"/>
      <c r="AQ73" s="44"/>
      <c r="AR73" s="44"/>
    </row>
    <row r="74" spans="1:44" ht="16.8">
      <c r="A74" s="64" t="s">
        <v>201</v>
      </c>
      <c r="B74" s="62">
        <v>29</v>
      </c>
      <c r="C74" s="1" t="s">
        <v>202</v>
      </c>
      <c r="D74" s="19" t="s">
        <v>203</v>
      </c>
      <c r="E74" s="20" t="s">
        <v>39</v>
      </c>
      <c r="F74" s="21">
        <v>2003</v>
      </c>
      <c r="G74" s="22">
        <v>2021</v>
      </c>
      <c r="H74" s="23">
        <v>88123704387</v>
      </c>
      <c r="I74" s="23">
        <v>463013346695</v>
      </c>
      <c r="J74" s="23">
        <v>105055041205</v>
      </c>
      <c r="K74" s="23">
        <f>(J74+131108668048)/2</f>
        <v>118081854626.5</v>
      </c>
      <c r="L74" s="23">
        <v>16455233759</v>
      </c>
      <c r="M74" s="23">
        <v>357958305490</v>
      </c>
      <c r="N74" s="23">
        <v>103253019965</v>
      </c>
      <c r="O74" s="25">
        <f t="shared" si="0"/>
        <v>71668470628</v>
      </c>
      <c r="P74" s="23">
        <v>4880093980</v>
      </c>
      <c r="Q74" s="23">
        <f>12278636445+14322438845</f>
        <v>26601075290</v>
      </c>
      <c r="R74" s="25">
        <f t="shared" si="1"/>
        <v>76651944675</v>
      </c>
      <c r="S74" s="26">
        <f t="shared" si="2"/>
        <v>0.22689419636579661</v>
      </c>
      <c r="T74" s="27">
        <f t="shared" si="3"/>
        <v>5.3553602262746196</v>
      </c>
      <c r="U74" s="26">
        <f t="shared" si="4"/>
        <v>26.861021717172243</v>
      </c>
      <c r="V74" s="26">
        <f t="shared" si="5"/>
        <v>0.8744190230717116</v>
      </c>
      <c r="W74" s="65">
        <v>45982</v>
      </c>
      <c r="X74" s="42">
        <v>21110</v>
      </c>
      <c r="Y74" s="63">
        <v>0</v>
      </c>
      <c r="Z74" s="30">
        <f t="shared" si="6"/>
        <v>0</v>
      </c>
      <c r="AA74" s="31">
        <f t="shared" si="7"/>
        <v>18</v>
      </c>
      <c r="AB74" s="32">
        <v>1.84E-2</v>
      </c>
      <c r="AC74" s="32">
        <v>2.58E-2</v>
      </c>
      <c r="AD74" s="33">
        <f t="shared" si="8"/>
        <v>0.15478705125796308</v>
      </c>
      <c r="AE74" s="34">
        <f t="shared" si="9"/>
        <v>1.0539855956279065E-2</v>
      </c>
      <c r="AF74" s="33">
        <f t="shared" si="10"/>
        <v>0.16555018386001907</v>
      </c>
      <c r="AG74" s="33">
        <f t="shared" si="11"/>
        <v>0</v>
      </c>
      <c r="AH74" s="35">
        <f t="shared" si="12"/>
        <v>0.98284688464893744</v>
      </c>
      <c r="AI74" s="36">
        <f t="shared" si="13"/>
        <v>1.7296627512353466</v>
      </c>
      <c r="AJ74" s="23"/>
      <c r="AK74" s="23"/>
      <c r="AL74" s="44"/>
      <c r="AM74" s="44"/>
      <c r="AN74" s="44"/>
      <c r="AO74" s="44"/>
      <c r="AP74" s="44"/>
      <c r="AQ74" s="44"/>
      <c r="AR74" s="44"/>
    </row>
    <row r="75" spans="1:44" ht="16.8">
      <c r="A75" s="64" t="s">
        <v>204</v>
      </c>
      <c r="B75" s="62"/>
      <c r="C75" s="1" t="s">
        <v>202</v>
      </c>
      <c r="D75" s="19" t="s">
        <v>203</v>
      </c>
      <c r="E75" s="20" t="s">
        <v>39</v>
      </c>
      <c r="F75" s="21">
        <v>2003</v>
      </c>
      <c r="G75" s="22">
        <v>2022</v>
      </c>
      <c r="H75" s="23">
        <v>122502011066</v>
      </c>
      <c r="I75" s="23">
        <v>470848388319</v>
      </c>
      <c r="J75" s="23">
        <v>105427307410</v>
      </c>
      <c r="K75" s="23">
        <f t="shared" ref="K75:K76" si="32">SUM(J74:J75)/2</f>
        <v>105241174307.5</v>
      </c>
      <c r="L75" s="23">
        <v>25015781060</v>
      </c>
      <c r="M75" s="23">
        <v>365421080909</v>
      </c>
      <c r="N75" s="23">
        <v>162761152465</v>
      </c>
      <c r="O75" s="25">
        <f t="shared" si="0"/>
        <v>97486230006</v>
      </c>
      <c r="P75" s="23">
        <v>17701097083</v>
      </c>
      <c r="Q75" s="23">
        <f>25193575290+23117237593</f>
        <v>48310812883</v>
      </c>
      <c r="R75" s="25">
        <f t="shared" si="1"/>
        <v>114450339582</v>
      </c>
      <c r="S75" s="26">
        <f t="shared" si="2"/>
        <v>0.22390924557773564</v>
      </c>
      <c r="T75" s="27">
        <f t="shared" si="3"/>
        <v>4.8969892553896539</v>
      </c>
      <c r="U75" s="26">
        <f t="shared" si="4"/>
        <v>26.877801985978497</v>
      </c>
      <c r="V75" s="26">
        <f t="shared" si="5"/>
        <v>1.5465539370497203</v>
      </c>
      <c r="W75" s="63" t="s">
        <v>205</v>
      </c>
      <c r="X75" s="29">
        <v>12480</v>
      </c>
      <c r="Y75" s="63">
        <v>0</v>
      </c>
      <c r="Z75" s="30">
        <f t="shared" si="6"/>
        <v>0</v>
      </c>
      <c r="AA75" s="31">
        <f t="shared" si="7"/>
        <v>19</v>
      </c>
      <c r="AB75" s="32">
        <v>3.15E-2</v>
      </c>
      <c r="AC75" s="32">
        <v>8.0199999999999994E-2</v>
      </c>
      <c r="AD75" s="33">
        <f t="shared" si="8"/>
        <v>0.2070437797483827</v>
      </c>
      <c r="AE75" s="34">
        <f t="shared" si="9"/>
        <v>3.7594048364900635E-2</v>
      </c>
      <c r="AF75" s="33">
        <f t="shared" si="10"/>
        <v>0.24307259496120404</v>
      </c>
      <c r="AG75" s="33">
        <f t="shared" si="11"/>
        <v>0</v>
      </c>
      <c r="AH75" s="35">
        <f t="shared" si="12"/>
        <v>1.5438234785986933</v>
      </c>
      <c r="AI75" s="36">
        <f t="shared" si="13"/>
        <v>2.6470472453795866</v>
      </c>
      <c r="AJ75" s="23"/>
      <c r="AK75" s="23"/>
      <c r="AL75" s="44"/>
      <c r="AM75" s="44"/>
      <c r="AN75" s="44"/>
      <c r="AO75" s="44"/>
      <c r="AP75" s="44"/>
      <c r="AQ75" s="44"/>
      <c r="AR75" s="44"/>
    </row>
    <row r="76" spans="1:44" ht="16.8">
      <c r="A76" s="64" t="s">
        <v>206</v>
      </c>
      <c r="B76" s="62"/>
      <c r="C76" s="1" t="s">
        <v>202</v>
      </c>
      <c r="D76" s="19" t="s">
        <v>203</v>
      </c>
      <c r="E76" s="20" t="s">
        <v>39</v>
      </c>
      <c r="F76" s="21">
        <v>2003</v>
      </c>
      <c r="G76" s="22">
        <v>2023</v>
      </c>
      <c r="H76" s="23">
        <v>164296211956</v>
      </c>
      <c r="I76" s="23">
        <v>508370039605</v>
      </c>
      <c r="J76" s="23">
        <v>120527505107</v>
      </c>
      <c r="K76" s="23">
        <f t="shared" si="32"/>
        <v>112977406258.5</v>
      </c>
      <c r="L76" s="23">
        <v>44782420363</v>
      </c>
      <c r="M76" s="23">
        <v>387842534498</v>
      </c>
      <c r="N76" s="23">
        <v>232433439105</v>
      </c>
      <c r="O76" s="25">
        <f t="shared" si="0"/>
        <v>119513791593</v>
      </c>
      <c r="P76" s="23">
        <v>49421453589</v>
      </c>
      <c r="Q76" s="23">
        <f>38349013445+28422614612</f>
        <v>66771628057</v>
      </c>
      <c r="R76" s="25">
        <f t="shared" si="1"/>
        <v>165661811048</v>
      </c>
      <c r="S76" s="26">
        <f t="shared" si="2"/>
        <v>0.23708616896591514</v>
      </c>
      <c r="T76" s="27">
        <f t="shared" si="3"/>
        <v>3.6687657930106954</v>
      </c>
      <c r="U76" s="26">
        <f t="shared" si="4"/>
        <v>26.95447544377188</v>
      </c>
      <c r="V76" s="26">
        <f t="shared" si="5"/>
        <v>2.0573444443677213</v>
      </c>
      <c r="W76" s="63" t="s">
        <v>207</v>
      </c>
      <c r="X76" s="29">
        <v>12000</v>
      </c>
      <c r="Y76" s="63">
        <v>0</v>
      </c>
      <c r="Z76" s="30">
        <f t="shared" si="6"/>
        <v>0</v>
      </c>
      <c r="AA76" s="31">
        <f t="shared" si="7"/>
        <v>20</v>
      </c>
      <c r="AB76" s="32">
        <v>3.2500000000000001E-2</v>
      </c>
      <c r="AC76" s="32">
        <v>5.0500000000000003E-2</v>
      </c>
      <c r="AD76" s="33">
        <f t="shared" si="8"/>
        <v>0.23509212243479452</v>
      </c>
      <c r="AE76" s="34">
        <f t="shared" si="9"/>
        <v>9.721551180986221E-2</v>
      </c>
      <c r="AF76" s="33">
        <f t="shared" si="10"/>
        <v>0.32586855664570258</v>
      </c>
      <c r="AG76" s="33">
        <f t="shared" si="11"/>
        <v>0</v>
      </c>
      <c r="AH76" s="35">
        <f t="shared" si="12"/>
        <v>1.9284680197989157</v>
      </c>
      <c r="AI76" s="36">
        <f t="shared" si="13"/>
        <v>3.4220465201852948</v>
      </c>
      <c r="AJ76" s="23"/>
      <c r="AK76" s="23"/>
      <c r="AL76" s="44"/>
      <c r="AM76" s="44"/>
      <c r="AN76" s="44"/>
      <c r="AO76" s="44"/>
      <c r="AP76" s="44"/>
      <c r="AQ76" s="44"/>
      <c r="AR76" s="44"/>
    </row>
    <row r="77" spans="1:44" ht="16.8">
      <c r="A77" s="64" t="s">
        <v>208</v>
      </c>
      <c r="B77" s="62">
        <v>30</v>
      </c>
      <c r="C77" s="1" t="s">
        <v>209</v>
      </c>
      <c r="D77" s="19" t="s">
        <v>210</v>
      </c>
      <c r="E77" s="20" t="s">
        <v>39</v>
      </c>
      <c r="F77" s="21">
        <v>1992</v>
      </c>
      <c r="G77" s="22">
        <v>2021</v>
      </c>
      <c r="H77" s="23">
        <v>20061605935</v>
      </c>
      <c r="I77" s="23">
        <v>21148479318</v>
      </c>
      <c r="J77" s="23">
        <v>6803691639</v>
      </c>
      <c r="K77" s="23">
        <f>(J77+4184762323)/2</f>
        <v>5494226981</v>
      </c>
      <c r="L77" s="23">
        <v>6803691639</v>
      </c>
      <c r="M77" s="23">
        <v>14344787679</v>
      </c>
      <c r="N77" s="23">
        <v>73061092365</v>
      </c>
      <c r="O77" s="25">
        <f t="shared" si="0"/>
        <v>13257914296</v>
      </c>
      <c r="P77" s="23">
        <v>1519108592</v>
      </c>
      <c r="Q77" s="23">
        <f>5987471560+1936587002</f>
        <v>7924058562</v>
      </c>
      <c r="R77" s="25">
        <f t="shared" si="1"/>
        <v>65137033803</v>
      </c>
      <c r="S77" s="26">
        <f t="shared" si="2"/>
        <v>0.32171067889544225</v>
      </c>
      <c r="T77" s="27">
        <f t="shared" si="3"/>
        <v>2.948635387883134</v>
      </c>
      <c r="U77" s="26">
        <f t="shared" si="4"/>
        <v>23.774833839995622</v>
      </c>
      <c r="V77" s="26">
        <f t="shared" si="5"/>
        <v>13.297792868343093</v>
      </c>
      <c r="W77" s="65">
        <v>45976</v>
      </c>
      <c r="X77" s="42">
        <v>15110</v>
      </c>
      <c r="Y77" s="63">
        <v>900</v>
      </c>
      <c r="Z77" s="30">
        <f t="shared" si="6"/>
        <v>13599000</v>
      </c>
      <c r="AA77" s="31">
        <f t="shared" si="7"/>
        <v>29</v>
      </c>
      <c r="AB77" s="32">
        <v>1.84E-2</v>
      </c>
      <c r="AC77" s="32">
        <v>2.58E-2</v>
      </c>
      <c r="AD77" s="33">
        <f t="shared" si="8"/>
        <v>0.62689681355556648</v>
      </c>
      <c r="AE77" s="34">
        <f t="shared" si="9"/>
        <v>7.1830629954894615E-2</v>
      </c>
      <c r="AF77" s="33">
        <f t="shared" si="10"/>
        <v>3.0799866422339046</v>
      </c>
      <c r="AG77" s="33">
        <f t="shared" si="11"/>
        <v>1.998767833928283E-3</v>
      </c>
      <c r="AH77" s="35">
        <f t="shared" si="12"/>
        <v>10.738448513186651</v>
      </c>
      <c r="AI77" s="36">
        <f t="shared" si="13"/>
        <v>21.756442751462423</v>
      </c>
      <c r="AJ77" s="23"/>
      <c r="AK77" s="23"/>
      <c r="AL77" s="44"/>
      <c r="AM77" s="44"/>
      <c r="AN77" s="44"/>
      <c r="AO77" s="44"/>
      <c r="AP77" s="44"/>
      <c r="AQ77" s="44"/>
      <c r="AR77" s="44"/>
    </row>
    <row r="78" spans="1:44" ht="16.8">
      <c r="A78" s="64" t="s">
        <v>211</v>
      </c>
      <c r="B78" s="62"/>
      <c r="C78" s="1" t="s">
        <v>209</v>
      </c>
      <c r="D78" s="19" t="s">
        <v>210</v>
      </c>
      <c r="E78" s="20" t="s">
        <v>39</v>
      </c>
      <c r="F78" s="21">
        <v>1992</v>
      </c>
      <c r="G78" s="22">
        <v>2022</v>
      </c>
      <c r="H78" s="23">
        <v>23977359074</v>
      </c>
      <c r="I78" s="23">
        <v>25160603232</v>
      </c>
      <c r="J78" s="23">
        <v>10263703588</v>
      </c>
      <c r="K78" s="23">
        <f t="shared" ref="K78:K79" si="33">SUM(J77:J78)/2</f>
        <v>8533697613.5</v>
      </c>
      <c r="L78" s="23">
        <v>10263703588</v>
      </c>
      <c r="M78" s="23">
        <v>14896899644</v>
      </c>
      <c r="N78" s="23">
        <v>102602057438</v>
      </c>
      <c r="O78" s="25">
        <f t="shared" si="0"/>
        <v>13713655486</v>
      </c>
      <c r="P78" s="23">
        <v>2065139956</v>
      </c>
      <c r="Q78" s="23">
        <f>9576050461+3394613020</f>
        <v>12970663481</v>
      </c>
      <c r="R78" s="25">
        <f t="shared" si="1"/>
        <v>89631393957</v>
      </c>
      <c r="S78" s="26">
        <f t="shared" si="2"/>
        <v>0.40792756411127368</v>
      </c>
      <c r="T78" s="27">
        <f t="shared" si="3"/>
        <v>2.3361312871538473</v>
      </c>
      <c r="U78" s="26">
        <f t="shared" si="4"/>
        <v>23.948545244325892</v>
      </c>
      <c r="V78" s="26">
        <f t="shared" si="5"/>
        <v>12.023165348123804</v>
      </c>
      <c r="W78" s="63" t="s">
        <v>212</v>
      </c>
      <c r="X78" s="29">
        <v>13670</v>
      </c>
      <c r="Y78" s="63">
        <v>0</v>
      </c>
      <c r="Z78" s="30">
        <f t="shared" si="6"/>
        <v>0</v>
      </c>
      <c r="AA78" s="31">
        <f t="shared" si="7"/>
        <v>30</v>
      </c>
      <c r="AB78" s="32">
        <v>3.15E-2</v>
      </c>
      <c r="AC78" s="32">
        <v>8.0199999999999994E-2</v>
      </c>
      <c r="AD78" s="33">
        <f t="shared" si="8"/>
        <v>0.54504478130152967</v>
      </c>
      <c r="AE78" s="34">
        <f t="shared" si="9"/>
        <v>8.207831652356784E-2</v>
      </c>
      <c r="AF78" s="33">
        <f t="shared" si="10"/>
        <v>3.5623706288172032</v>
      </c>
      <c r="AG78" s="33">
        <f t="shared" si="11"/>
        <v>0</v>
      </c>
      <c r="AH78" s="35">
        <f t="shared" si="12"/>
        <v>9.9965920253152198</v>
      </c>
      <c r="AI78" s="36">
        <f t="shared" si="13"/>
        <v>22.521378481106819</v>
      </c>
      <c r="AJ78" s="23"/>
      <c r="AK78" s="23"/>
      <c r="AL78" s="44"/>
      <c r="AM78" s="44"/>
      <c r="AN78" s="44"/>
      <c r="AO78" s="44"/>
      <c r="AP78" s="44"/>
      <c r="AQ78" s="44"/>
      <c r="AR78" s="44"/>
    </row>
    <row r="79" spans="1:44" ht="16.8">
      <c r="A79" s="64" t="s">
        <v>213</v>
      </c>
      <c r="B79" s="62"/>
      <c r="C79" s="1" t="s">
        <v>209</v>
      </c>
      <c r="D79" s="19" t="s">
        <v>210</v>
      </c>
      <c r="E79" s="20" t="s">
        <v>39</v>
      </c>
      <c r="F79" s="21">
        <v>1992</v>
      </c>
      <c r="G79" s="22">
        <v>2023</v>
      </c>
      <c r="H79" s="23">
        <v>26268824875</v>
      </c>
      <c r="I79" s="23">
        <v>27412063025</v>
      </c>
      <c r="J79" s="23">
        <v>11899581977</v>
      </c>
      <c r="K79" s="23">
        <f t="shared" si="33"/>
        <v>11081642782.5</v>
      </c>
      <c r="L79" s="23">
        <v>11899581977</v>
      </c>
      <c r="M79" s="23">
        <v>15512481048</v>
      </c>
      <c r="N79" s="23">
        <v>100732784008</v>
      </c>
      <c r="O79" s="25">
        <f t="shared" si="0"/>
        <v>14369242898</v>
      </c>
      <c r="P79" s="23">
        <v>2226318785</v>
      </c>
      <c r="Q79" s="23">
        <f>8733473886+3095549587</f>
        <v>11829023473</v>
      </c>
      <c r="R79" s="25">
        <f t="shared" si="1"/>
        <v>88903760535</v>
      </c>
      <c r="S79" s="26">
        <f t="shared" si="2"/>
        <v>0.43410019764464625</v>
      </c>
      <c r="T79" s="27">
        <f t="shared" si="3"/>
        <v>2.2075418217020952</v>
      </c>
      <c r="U79" s="26">
        <f t="shared" si="4"/>
        <v>24.034249009842888</v>
      </c>
      <c r="V79" s="26">
        <f t="shared" si="5"/>
        <v>9.0900587561869468</v>
      </c>
      <c r="W79" s="63" t="s">
        <v>214</v>
      </c>
      <c r="X79" s="29">
        <v>15710</v>
      </c>
      <c r="Y79" s="63">
        <v>900</v>
      </c>
      <c r="Z79" s="30">
        <f t="shared" si="6"/>
        <v>14139000</v>
      </c>
      <c r="AA79" s="31">
        <f t="shared" si="7"/>
        <v>31</v>
      </c>
      <c r="AB79" s="32">
        <v>3.2500000000000001E-2</v>
      </c>
      <c r="AC79" s="32">
        <v>5.0500000000000003E-2</v>
      </c>
      <c r="AD79" s="33">
        <f t="shared" si="8"/>
        <v>0.52419414346505577</v>
      </c>
      <c r="AE79" s="34">
        <f t="shared" si="9"/>
        <v>8.1216754206700215E-2</v>
      </c>
      <c r="AF79" s="33">
        <f t="shared" si="10"/>
        <v>3.2432349383524737</v>
      </c>
      <c r="AG79" s="33">
        <f t="shared" si="11"/>
        <v>1.1881929993279125E-3</v>
      </c>
      <c r="AH79" s="35">
        <f t="shared" si="12"/>
        <v>8.4652371993151068</v>
      </c>
      <c r="AI79" s="36">
        <f t="shared" si="13"/>
        <v>19.911361839725313</v>
      </c>
      <c r="AJ79" s="23"/>
      <c r="AK79" s="23"/>
      <c r="AL79" s="44"/>
      <c r="AM79" s="44"/>
      <c r="AN79" s="44"/>
      <c r="AO79" s="44"/>
      <c r="AP79" s="44"/>
      <c r="AQ79" s="44"/>
      <c r="AR79" s="44"/>
    </row>
    <row r="80" spans="1:44" ht="16.8">
      <c r="A80" s="70" t="s">
        <v>215</v>
      </c>
      <c r="B80" s="71">
        <v>31</v>
      </c>
      <c r="C80" s="1" t="s">
        <v>216</v>
      </c>
      <c r="D80" s="19" t="s">
        <v>217</v>
      </c>
      <c r="E80" s="20" t="s">
        <v>178</v>
      </c>
      <c r="F80" s="21">
        <v>2017</v>
      </c>
      <c r="G80" s="40">
        <v>2021</v>
      </c>
      <c r="H80" s="23">
        <v>114499330255</v>
      </c>
      <c r="I80" s="23">
        <v>282543605851</v>
      </c>
      <c r="J80" s="23">
        <v>8208130399</v>
      </c>
      <c r="K80" s="23">
        <v>8150344507</v>
      </c>
      <c r="L80" s="23">
        <v>8208130399</v>
      </c>
      <c r="M80" s="23">
        <v>274335475452</v>
      </c>
      <c r="N80" s="23">
        <v>114040597</v>
      </c>
      <c r="O80" s="25">
        <f t="shared" si="0"/>
        <v>106291199856</v>
      </c>
      <c r="P80" s="23">
        <v>13959219735</v>
      </c>
      <c r="Q80" s="23">
        <v>1063615119</v>
      </c>
      <c r="R80" s="25">
        <f t="shared" si="1"/>
        <v>-949574522</v>
      </c>
      <c r="S80" s="26">
        <f t="shared" si="2"/>
        <v>2.9050844644945093E-2</v>
      </c>
      <c r="T80" s="27">
        <f t="shared" si="3"/>
        <v>13.949501858419488</v>
      </c>
      <c r="U80" s="26">
        <f t="shared" si="4"/>
        <v>26.367098732615784</v>
      </c>
      <c r="V80" s="26">
        <f t="shared" si="5"/>
        <v>1.3992119830278973E-2</v>
      </c>
      <c r="W80" s="66">
        <v>45762</v>
      </c>
      <c r="X80" s="42">
        <v>15040</v>
      </c>
      <c r="Y80" s="63">
        <v>0</v>
      </c>
      <c r="Z80" s="30">
        <f t="shared" si="6"/>
        <v>0</v>
      </c>
      <c r="AA80" s="31">
        <f t="shared" si="7"/>
        <v>4</v>
      </c>
      <c r="AB80" s="32">
        <v>1.84E-2</v>
      </c>
      <c r="AC80" s="32">
        <v>2.58E-2</v>
      </c>
      <c r="AD80" s="33">
        <f t="shared" si="8"/>
        <v>0.3761939667183723</v>
      </c>
      <c r="AE80" s="34">
        <f t="shared" si="9"/>
        <v>4.9405541112692623E-2</v>
      </c>
      <c r="AF80" s="33">
        <f t="shared" si="10"/>
        <v>-3.3608069775281349E-3</v>
      </c>
      <c r="AG80" s="33">
        <f t="shared" si="11"/>
        <v>0</v>
      </c>
      <c r="AH80" s="35">
        <f t="shared" si="12"/>
        <v>1.3893614191837596E-2</v>
      </c>
      <c r="AI80" s="36">
        <f t="shared" si="13"/>
        <v>0.52340346878581112</v>
      </c>
      <c r="AJ80" s="23" t="s">
        <v>136</v>
      </c>
      <c r="AK80" s="23"/>
      <c r="AL80" s="44"/>
      <c r="AM80" s="44"/>
      <c r="AN80" s="44"/>
      <c r="AO80" s="44"/>
      <c r="AP80" s="44"/>
      <c r="AQ80" s="44"/>
      <c r="AR80" s="44"/>
    </row>
    <row r="81" spans="1:44" ht="16.8">
      <c r="A81" s="70" t="s">
        <v>218</v>
      </c>
      <c r="B81" s="71"/>
      <c r="C81" s="1" t="s">
        <v>216</v>
      </c>
      <c r="D81" s="19" t="s">
        <v>217</v>
      </c>
      <c r="E81" s="20" t="s">
        <v>178</v>
      </c>
      <c r="F81" s="21">
        <v>2017</v>
      </c>
      <c r="G81" s="40">
        <v>2022</v>
      </c>
      <c r="H81" s="23">
        <v>217726100548</v>
      </c>
      <c r="I81" s="23">
        <v>749051191507</v>
      </c>
      <c r="J81" s="23">
        <v>473019845701</v>
      </c>
      <c r="K81" s="23">
        <v>240613988050</v>
      </c>
      <c r="L81" s="23">
        <v>306927801043</v>
      </c>
      <c r="M81" s="23">
        <v>276031345806</v>
      </c>
      <c r="N81" s="23">
        <v>984933827</v>
      </c>
      <c r="O81" s="25">
        <f t="shared" si="0"/>
        <v>-89201700495</v>
      </c>
      <c r="P81" s="23">
        <v>1695870354</v>
      </c>
      <c r="Q81" s="23">
        <f>2227237732</f>
        <v>2227237732</v>
      </c>
      <c r="R81" s="25">
        <f t="shared" si="1"/>
        <v>-1242303905</v>
      </c>
      <c r="S81" s="26">
        <f t="shared" si="2"/>
        <v>0.63149201424984258</v>
      </c>
      <c r="T81" s="27">
        <f t="shared" si="3"/>
        <v>0.70937236642664703</v>
      </c>
      <c r="U81" s="26">
        <f t="shared" si="4"/>
        <v>27.342073164599412</v>
      </c>
      <c r="V81" s="26">
        <f t="shared" si="5"/>
        <v>4.0934188198373947E-3</v>
      </c>
      <c r="W81" s="63" t="s">
        <v>219</v>
      </c>
      <c r="X81" s="29">
        <v>16540</v>
      </c>
      <c r="Y81" s="63">
        <v>0</v>
      </c>
      <c r="Z81" s="30">
        <f t="shared" si="6"/>
        <v>0</v>
      </c>
      <c r="AA81" s="31">
        <f t="shared" si="7"/>
        <v>5</v>
      </c>
      <c r="AB81" s="32">
        <v>3.15E-2</v>
      </c>
      <c r="AC81" s="32">
        <v>8.0199999999999994E-2</v>
      </c>
      <c r="AD81" s="33">
        <f t="shared" si="8"/>
        <v>-0.11908625405900099</v>
      </c>
      <c r="AE81" s="34">
        <f t="shared" si="9"/>
        <v>2.2640246397420648E-3</v>
      </c>
      <c r="AF81" s="33">
        <f t="shared" si="10"/>
        <v>-1.658503342743018E-3</v>
      </c>
      <c r="AG81" s="33">
        <f t="shared" si="11"/>
        <v>0</v>
      </c>
      <c r="AH81" s="35">
        <f t="shared" si="12"/>
        <v>2.082225166557991E-3</v>
      </c>
      <c r="AI81" s="36">
        <f t="shared" si="13"/>
        <v>-0.14312470623965626</v>
      </c>
      <c r="AJ81" s="23" t="s">
        <v>136</v>
      </c>
      <c r="AK81" s="23"/>
      <c r="AL81" s="44"/>
      <c r="AM81" s="44"/>
      <c r="AN81" s="44"/>
      <c r="AO81" s="44"/>
      <c r="AP81" s="44"/>
      <c r="AQ81" s="44"/>
      <c r="AR81" s="44"/>
    </row>
    <row r="82" spans="1:44" ht="16.8">
      <c r="A82" s="70" t="s">
        <v>220</v>
      </c>
      <c r="B82" s="71"/>
      <c r="C82" s="1" t="s">
        <v>216</v>
      </c>
      <c r="D82" s="19" t="s">
        <v>217</v>
      </c>
      <c r="E82" s="20" t="s">
        <v>178</v>
      </c>
      <c r="F82" s="21">
        <v>2017</v>
      </c>
      <c r="G82" s="40">
        <v>2023</v>
      </c>
      <c r="H82" s="23">
        <v>231186338068</v>
      </c>
      <c r="I82" s="23">
        <v>1194276272490</v>
      </c>
      <c r="J82" s="23">
        <v>918140195462</v>
      </c>
      <c r="K82" s="23">
        <v>695580020582</v>
      </c>
      <c r="L82" s="23">
        <v>918140195462</v>
      </c>
      <c r="M82" s="23">
        <v>276136077028</v>
      </c>
      <c r="N82" s="23">
        <v>1052860194</v>
      </c>
      <c r="O82" s="25">
        <f t="shared" si="0"/>
        <v>-686953857394</v>
      </c>
      <c r="P82" s="23">
        <v>104731222</v>
      </c>
      <c r="Q82" s="23">
        <v>3009747479</v>
      </c>
      <c r="R82" s="25">
        <f t="shared" si="1"/>
        <v>-1956887285</v>
      </c>
      <c r="S82" s="26">
        <f t="shared" si="2"/>
        <v>0.76878375348421557</v>
      </c>
      <c r="T82" s="27">
        <f t="shared" si="3"/>
        <v>0.25179851531461278</v>
      </c>
      <c r="U82" s="26">
        <f t="shared" si="4"/>
        <v>27.808561488128785</v>
      </c>
      <c r="V82" s="26">
        <f t="shared" si="5"/>
        <v>1.5136435246070746E-3</v>
      </c>
      <c r="W82" s="63" t="s">
        <v>221</v>
      </c>
      <c r="X82" s="29">
        <v>13910</v>
      </c>
      <c r="Y82" s="63">
        <v>0</v>
      </c>
      <c r="Z82" s="30">
        <f t="shared" si="6"/>
        <v>0</v>
      </c>
      <c r="AA82" s="31">
        <f t="shared" si="7"/>
        <v>6</v>
      </c>
      <c r="AB82" s="32">
        <v>3.2500000000000001E-2</v>
      </c>
      <c r="AC82" s="32">
        <v>5.0500000000000003E-2</v>
      </c>
      <c r="AD82" s="33">
        <f t="shared" si="8"/>
        <v>-0.57520514575889481</v>
      </c>
      <c r="AE82" s="34">
        <f t="shared" si="9"/>
        <v>8.7694300232257977E-5</v>
      </c>
      <c r="AF82" s="33">
        <f t="shared" si="10"/>
        <v>-1.6385549391515568E-3</v>
      </c>
      <c r="AG82" s="33">
        <f t="shared" si="11"/>
        <v>0</v>
      </c>
      <c r="AH82" s="35">
        <f t="shared" si="12"/>
        <v>1.1467314024632264E-3</v>
      </c>
      <c r="AI82" s="36">
        <f t="shared" si="13"/>
        <v>-0.69438390278708551</v>
      </c>
      <c r="AJ82" s="23" t="s">
        <v>136</v>
      </c>
      <c r="AK82" s="23"/>
      <c r="AL82" s="44"/>
      <c r="AM82" s="44"/>
      <c r="AN82" s="44"/>
      <c r="AO82" s="44"/>
      <c r="AP82" s="44"/>
      <c r="AQ82" s="44"/>
      <c r="AR82" s="44"/>
    </row>
    <row r="83" spans="1:44" ht="16.8">
      <c r="A83" s="70" t="s">
        <v>222</v>
      </c>
      <c r="B83" s="71">
        <v>32</v>
      </c>
      <c r="C83" s="1" t="s">
        <v>223</v>
      </c>
      <c r="D83" s="19" t="s">
        <v>224</v>
      </c>
      <c r="E83" s="20" t="s">
        <v>39</v>
      </c>
      <c r="F83" s="21">
        <v>1997</v>
      </c>
      <c r="G83" s="40">
        <v>2021</v>
      </c>
      <c r="H83" s="23">
        <v>576283795076</v>
      </c>
      <c r="I83" s="23">
        <v>3070876302958</v>
      </c>
      <c r="J83" s="23">
        <v>1622710914849</v>
      </c>
      <c r="K83" s="23">
        <f>(J83+1864886149925)/2</f>
        <v>1743798532387</v>
      </c>
      <c r="L83" s="23">
        <v>1599017044520</v>
      </c>
      <c r="M83" s="23">
        <v>1448165388109</v>
      </c>
      <c r="N83" s="23">
        <v>2979817834159</v>
      </c>
      <c r="O83" s="25">
        <f t="shared" si="0"/>
        <v>-1022733249444</v>
      </c>
      <c r="P83" s="23">
        <v>59900362085</v>
      </c>
      <c r="Q83" s="23">
        <f>113453851220+107616340950</f>
        <v>221070192170</v>
      </c>
      <c r="R83" s="25">
        <f t="shared" si="1"/>
        <v>2758747641989</v>
      </c>
      <c r="S83" s="26">
        <f t="shared" si="2"/>
        <v>0.52841949813671596</v>
      </c>
      <c r="T83" s="27">
        <f t="shared" si="3"/>
        <v>0.36039878189603125</v>
      </c>
      <c r="U83" s="26">
        <f t="shared" si="4"/>
        <v>28.752984077500138</v>
      </c>
      <c r="V83" s="26">
        <f t="shared" si="5"/>
        <v>1.7088085457212043</v>
      </c>
      <c r="W83" s="63" t="s">
        <v>225</v>
      </c>
      <c r="X83" s="29">
        <v>10450</v>
      </c>
      <c r="Y83" s="63">
        <v>116955</v>
      </c>
      <c r="Z83" s="30">
        <f t="shared" si="6"/>
        <v>1222179750</v>
      </c>
      <c r="AA83" s="31">
        <f t="shared" si="7"/>
        <v>24</v>
      </c>
      <c r="AB83" s="32">
        <v>1.84E-2</v>
      </c>
      <c r="AC83" s="32">
        <v>2.58E-2</v>
      </c>
      <c r="AD83" s="33">
        <f t="shared" si="8"/>
        <v>-0.33304280229680999</v>
      </c>
      <c r="AE83" s="34">
        <f t="shared" si="9"/>
        <v>1.9505950802154226E-2</v>
      </c>
      <c r="AF83" s="33">
        <f t="shared" si="10"/>
        <v>0.898358439033072</v>
      </c>
      <c r="AG83" s="33">
        <f t="shared" si="11"/>
        <v>7.5317158393165115E-4</v>
      </c>
      <c r="AH83" s="35">
        <f t="shared" si="12"/>
        <v>1.8363208177694943</v>
      </c>
      <c r="AI83" s="36">
        <f t="shared" si="13"/>
        <v>4.4290125378958347</v>
      </c>
      <c r="AJ83" s="23" t="s">
        <v>226</v>
      </c>
      <c r="AK83" s="23"/>
      <c r="AL83" s="44"/>
      <c r="AM83" s="44"/>
      <c r="AN83" s="44"/>
      <c r="AO83" s="44"/>
      <c r="AP83" s="44"/>
      <c r="AQ83" s="44"/>
      <c r="AR83" s="44"/>
    </row>
    <row r="84" spans="1:44" ht="16.8">
      <c r="A84" s="70" t="s">
        <v>227</v>
      </c>
      <c r="B84" s="71"/>
      <c r="C84" s="1" t="s">
        <v>223</v>
      </c>
      <c r="D84" s="19" t="s">
        <v>224</v>
      </c>
      <c r="E84" s="20" t="s">
        <v>39</v>
      </c>
      <c r="F84" s="21">
        <v>1997</v>
      </c>
      <c r="G84" s="40">
        <v>2022</v>
      </c>
      <c r="H84" s="23">
        <v>979213276628</v>
      </c>
      <c r="I84" s="23">
        <v>3324552501989</v>
      </c>
      <c r="J84" s="23">
        <v>1902693874231</v>
      </c>
      <c r="K84" s="23">
        <f>(1902693874231+1622710914849)/2</f>
        <v>1762702394540</v>
      </c>
      <c r="L84" s="23">
        <v>1859586373694</v>
      </c>
      <c r="M84" s="23">
        <v>1421858627758</v>
      </c>
      <c r="N84" s="23">
        <v>3231367429906</v>
      </c>
      <c r="O84" s="25">
        <f t="shared" si="0"/>
        <v>-880373097066</v>
      </c>
      <c r="P84" s="23">
        <v>53929807849</v>
      </c>
      <c r="Q84" s="23">
        <f>113354049234+113102583698</f>
        <v>226456632932</v>
      </c>
      <c r="R84" s="25">
        <f t="shared" si="1"/>
        <v>3004910796974</v>
      </c>
      <c r="S84" s="26">
        <f t="shared" si="2"/>
        <v>0.57231578478386602</v>
      </c>
      <c r="T84" s="27">
        <f t="shared" si="3"/>
        <v>0.52657585067308743</v>
      </c>
      <c r="U84" s="26">
        <f t="shared" si="4"/>
        <v>28.832356195110904</v>
      </c>
      <c r="V84" s="26">
        <f t="shared" si="5"/>
        <v>1.8331894481537068</v>
      </c>
      <c r="W84" s="63" t="s">
        <v>228</v>
      </c>
      <c r="X84" s="29">
        <v>6290</v>
      </c>
      <c r="Y84" s="63">
        <v>800</v>
      </c>
      <c r="Z84" s="30">
        <f t="shared" si="6"/>
        <v>5032000</v>
      </c>
      <c r="AA84" s="31">
        <f t="shared" si="7"/>
        <v>25</v>
      </c>
      <c r="AB84" s="32">
        <v>3.15E-2</v>
      </c>
      <c r="AC84" s="32">
        <v>8.0199999999999994E-2</v>
      </c>
      <c r="AD84" s="33">
        <f t="shared" si="8"/>
        <v>-0.26480950339610937</v>
      </c>
      <c r="AE84" s="34">
        <f t="shared" si="9"/>
        <v>1.6221674290520328E-2</v>
      </c>
      <c r="AF84" s="33">
        <f t="shared" si="10"/>
        <v>0.90385421652274522</v>
      </c>
      <c r="AG84" s="33">
        <f t="shared" si="11"/>
        <v>2.6446713620885293E-6</v>
      </c>
      <c r="AH84" s="35">
        <f t="shared" si="12"/>
        <v>1.6983117850274267</v>
      </c>
      <c r="AI84" s="36">
        <f t="shared" si="13"/>
        <v>4.3859712262867001</v>
      </c>
      <c r="AJ84" s="23"/>
      <c r="AK84" s="23"/>
      <c r="AL84" s="44"/>
      <c r="AM84" s="44"/>
      <c r="AN84" s="44"/>
      <c r="AO84" s="44"/>
      <c r="AP84" s="44"/>
      <c r="AQ84" s="44"/>
      <c r="AR84" s="44"/>
    </row>
    <row r="85" spans="1:44" ht="16.8">
      <c r="A85" s="70" t="s">
        <v>229</v>
      </c>
      <c r="B85" s="71"/>
      <c r="C85" s="1" t="s">
        <v>223</v>
      </c>
      <c r="D85" s="19" t="s">
        <v>224</v>
      </c>
      <c r="E85" s="20" t="s">
        <v>39</v>
      </c>
      <c r="F85" s="21">
        <v>1997</v>
      </c>
      <c r="G85" s="40">
        <v>2023</v>
      </c>
      <c r="H85" s="23">
        <v>935003870182</v>
      </c>
      <c r="I85" s="23">
        <v>3498581725355</v>
      </c>
      <c r="J85" s="23">
        <v>2230379469393</v>
      </c>
      <c r="K85" s="23">
        <v>2066536671812</v>
      </c>
      <c r="L85" s="23">
        <v>2062623072645</v>
      </c>
      <c r="M85" s="23">
        <v>1268202255962</v>
      </c>
      <c r="N85" s="23">
        <v>2725163486</v>
      </c>
      <c r="O85" s="25">
        <f t="shared" si="0"/>
        <v>-1127619202463</v>
      </c>
      <c r="P85" s="23">
        <v>-141944743233</v>
      </c>
      <c r="Q85" s="23">
        <f>71418139237+100098794897</f>
        <v>171516934134</v>
      </c>
      <c r="R85" s="25">
        <f t="shared" si="1"/>
        <v>-168791770648</v>
      </c>
      <c r="S85" s="26">
        <f t="shared" si="2"/>
        <v>0.63750960945944002</v>
      </c>
      <c r="T85" s="27">
        <f t="shared" si="3"/>
        <v>0.45330816016859538</v>
      </c>
      <c r="U85" s="26">
        <f t="shared" si="4"/>
        <v>28.883378780972425</v>
      </c>
      <c r="V85" s="26">
        <f t="shared" si="5"/>
        <v>1.3187104410832917E-3</v>
      </c>
      <c r="W85" s="63" t="s">
        <v>230</v>
      </c>
      <c r="X85" s="29">
        <v>5500</v>
      </c>
      <c r="Y85" s="63">
        <v>12630</v>
      </c>
      <c r="Z85" s="30">
        <f t="shared" si="6"/>
        <v>69465000</v>
      </c>
      <c r="AA85" s="31">
        <f t="shared" si="7"/>
        <v>26</v>
      </c>
      <c r="AB85" s="32">
        <v>3.2500000000000001E-2</v>
      </c>
      <c r="AC85" s="32">
        <v>5.0500000000000003E-2</v>
      </c>
      <c r="AD85" s="33">
        <f t="shared" si="8"/>
        <v>-0.32230752087078396</v>
      </c>
      <c r="AE85" s="34">
        <f t="shared" si="9"/>
        <v>-4.0572081596463756E-2</v>
      </c>
      <c r="AF85" s="33">
        <f t="shared" si="10"/>
        <v>-4.8245770400253477E-2</v>
      </c>
      <c r="AG85" s="33">
        <f t="shared" si="11"/>
        <v>3.1144924419029455E-5</v>
      </c>
      <c r="AH85" s="35">
        <f t="shared" si="12"/>
        <v>1.2218384913405143E-3</v>
      </c>
      <c r="AI85" s="36">
        <f t="shared" si="13"/>
        <v>-0.60154045615483454</v>
      </c>
      <c r="AJ85" s="23"/>
      <c r="AK85" s="23"/>
      <c r="AL85" s="44"/>
      <c r="AM85" s="44"/>
      <c r="AN85" s="44"/>
      <c r="AO85" s="44"/>
      <c r="AP85" s="44"/>
      <c r="AQ85" s="44"/>
      <c r="AR85" s="44"/>
    </row>
    <row r="86" spans="1:44" ht="16.8">
      <c r="A86" s="70" t="s">
        <v>231</v>
      </c>
      <c r="B86" s="71">
        <v>33</v>
      </c>
      <c r="C86" s="1" t="s">
        <v>232</v>
      </c>
      <c r="D86" s="19" t="s">
        <v>233</v>
      </c>
      <c r="E86" s="20" t="s">
        <v>39</v>
      </c>
      <c r="F86" s="21">
        <v>1999</v>
      </c>
      <c r="G86" s="40">
        <v>2021</v>
      </c>
      <c r="H86" s="23">
        <v>5502631015506</v>
      </c>
      <c r="I86" s="23">
        <v>5719297483625</v>
      </c>
      <c r="J86" s="23">
        <v>3574845820516</v>
      </c>
      <c r="K86" s="23">
        <f>(J86+1538249222865)/2</f>
        <v>2556547521690.5</v>
      </c>
      <c r="L86" s="23">
        <v>3436050702885</v>
      </c>
      <c r="M86" s="23">
        <v>2144451663109</v>
      </c>
      <c r="N86" s="23">
        <v>1138320047459</v>
      </c>
      <c r="O86" s="25">
        <f t="shared" si="0"/>
        <v>2066580312621</v>
      </c>
      <c r="P86" s="23">
        <v>282944321418</v>
      </c>
      <c r="Q86" s="23">
        <v>509526210139</v>
      </c>
      <c r="R86" s="25">
        <f t="shared" si="1"/>
        <v>628793837320</v>
      </c>
      <c r="S86" s="26">
        <f t="shared" si="2"/>
        <v>0.62504981263016846</v>
      </c>
      <c r="T86" s="27">
        <f t="shared" si="3"/>
        <v>1.6014405756253376</v>
      </c>
      <c r="U86" s="26">
        <f t="shared" si="4"/>
        <v>29.374867096229487</v>
      </c>
      <c r="V86" s="26">
        <f t="shared" si="5"/>
        <v>0.44525675263266512</v>
      </c>
      <c r="W86" s="63" t="s">
        <v>234</v>
      </c>
      <c r="X86" s="29">
        <v>36160</v>
      </c>
      <c r="Y86" s="63">
        <v>212144</v>
      </c>
      <c r="Z86" s="30">
        <f t="shared" si="6"/>
        <v>7671127040</v>
      </c>
      <c r="AA86" s="31">
        <f t="shared" si="7"/>
        <v>22</v>
      </c>
      <c r="AB86" s="32">
        <v>1.84E-2</v>
      </c>
      <c r="AC86" s="32">
        <v>2.58E-2</v>
      </c>
      <c r="AD86" s="33">
        <f t="shared" si="8"/>
        <v>0.36133464267907989</v>
      </c>
      <c r="AE86" s="34">
        <f t="shared" si="9"/>
        <v>4.9471866471031072E-2</v>
      </c>
      <c r="AF86" s="33">
        <f t="shared" si="10"/>
        <v>0.10994249540617679</v>
      </c>
      <c r="AG86" s="33">
        <f t="shared" si="11"/>
        <v>2.1458623462795199E-3</v>
      </c>
      <c r="AH86" s="35">
        <f t="shared" si="12"/>
        <v>0.31842493483948148</v>
      </c>
      <c r="AI86" s="36">
        <f t="shared" si="13"/>
        <v>1.1853848713619719</v>
      </c>
      <c r="AJ86" s="23" t="s">
        <v>235</v>
      </c>
      <c r="AK86" s="23"/>
      <c r="AL86" s="44"/>
      <c r="AM86" s="44"/>
      <c r="AN86" s="44"/>
      <c r="AO86" s="44"/>
      <c r="AP86" s="44"/>
      <c r="AQ86" s="44"/>
      <c r="AR86" s="44"/>
    </row>
    <row r="87" spans="1:44" ht="16.8">
      <c r="A87" s="70" t="s">
        <v>236</v>
      </c>
      <c r="B87" s="71"/>
      <c r="C87" s="1" t="s">
        <v>232</v>
      </c>
      <c r="D87" s="19" t="s">
        <v>233</v>
      </c>
      <c r="E87" s="20" t="s">
        <v>39</v>
      </c>
      <c r="F87" s="21">
        <v>1999</v>
      </c>
      <c r="G87" s="40">
        <v>2022</v>
      </c>
      <c r="H87" s="23">
        <v>3652011176555</v>
      </c>
      <c r="I87" s="23">
        <v>3857650840076</v>
      </c>
      <c r="J87" s="23">
        <v>1676711034031</v>
      </c>
      <c r="K87" s="23">
        <f>(J87+3574845820516)/2</f>
        <v>2625778427273.5</v>
      </c>
      <c r="L87" s="23">
        <v>1658279740016</v>
      </c>
      <c r="M87" s="23">
        <v>2180939806045</v>
      </c>
      <c r="N87" s="23">
        <v>855266055502</v>
      </c>
      <c r="O87" s="25">
        <f t="shared" si="0"/>
        <v>1993731436539</v>
      </c>
      <c r="P87" s="23">
        <v>146887886231</v>
      </c>
      <c r="Q87" s="23">
        <v>483289013315</v>
      </c>
      <c r="R87" s="25">
        <f t="shared" si="1"/>
        <v>371977042187</v>
      </c>
      <c r="S87" s="26">
        <f t="shared" si="2"/>
        <v>0.4346456181601876</v>
      </c>
      <c r="T87" s="27">
        <f t="shared" si="3"/>
        <v>2.2022889675536672</v>
      </c>
      <c r="U87" s="26">
        <f t="shared" si="4"/>
        <v>28.981079523484937</v>
      </c>
      <c r="V87" s="26">
        <f t="shared" si="5"/>
        <v>0.32571905025134701</v>
      </c>
      <c r="W87" s="63" t="s">
        <v>237</v>
      </c>
      <c r="X87" s="29">
        <v>19450</v>
      </c>
      <c r="Y87" s="63">
        <v>127100</v>
      </c>
      <c r="Z87" s="30">
        <f t="shared" si="6"/>
        <v>2472095000</v>
      </c>
      <c r="AA87" s="31">
        <f t="shared" si="7"/>
        <v>23</v>
      </c>
      <c r="AB87" s="32">
        <v>3.15E-2</v>
      </c>
      <c r="AC87" s="32">
        <v>8.0199999999999994E-2</v>
      </c>
      <c r="AD87" s="33">
        <f t="shared" si="8"/>
        <v>0.51682526988360644</v>
      </c>
      <c r="AE87" s="34">
        <f t="shared" si="9"/>
        <v>3.8077029861029656E-2</v>
      </c>
      <c r="AF87" s="33">
        <f t="shared" si="10"/>
        <v>9.642579321141248E-2</v>
      </c>
      <c r="AG87" s="33">
        <f t="shared" si="11"/>
        <v>1.4743715224780315E-3</v>
      </c>
      <c r="AH87" s="35">
        <f t="shared" si="12"/>
        <v>0.51008554136239281</v>
      </c>
      <c r="AI87" s="36">
        <f t="shared" si="13"/>
        <v>1.5026734475393102</v>
      </c>
      <c r="AJ87" s="23" t="s">
        <v>235</v>
      </c>
      <c r="AK87" s="23"/>
      <c r="AL87" s="44"/>
      <c r="AM87" s="44"/>
      <c r="AN87" s="44"/>
      <c r="AO87" s="44"/>
      <c r="AP87" s="44"/>
      <c r="AQ87" s="44"/>
      <c r="AR87" s="44"/>
    </row>
    <row r="88" spans="1:44" ht="16.8">
      <c r="A88" s="70" t="s">
        <v>238</v>
      </c>
      <c r="B88" s="71"/>
      <c r="C88" s="1" t="s">
        <v>232</v>
      </c>
      <c r="D88" s="19" t="s">
        <v>233</v>
      </c>
      <c r="E88" s="20" t="s">
        <v>39</v>
      </c>
      <c r="F88" s="21">
        <v>1999</v>
      </c>
      <c r="G88" s="40">
        <v>2023</v>
      </c>
      <c r="H88" s="23">
        <v>5688297541268</v>
      </c>
      <c r="I88" s="23">
        <v>6013664430666</v>
      </c>
      <c r="J88" s="23">
        <v>3698887715085</v>
      </c>
      <c r="K88" s="23">
        <f>(J88+1676711034031)/2</f>
        <v>2687799374558</v>
      </c>
      <c r="L88" s="23">
        <v>3669810437178</v>
      </c>
      <c r="M88" s="23">
        <v>2314776715581</v>
      </c>
      <c r="N88" s="23">
        <v>870493836206</v>
      </c>
      <c r="O88" s="25">
        <f t="shared" si="0"/>
        <v>2018487104090</v>
      </c>
      <c r="P88" s="23">
        <v>195723439903</v>
      </c>
      <c r="Q88" s="23">
        <v>431837789691</v>
      </c>
      <c r="R88" s="25">
        <f t="shared" si="1"/>
        <v>438656046515</v>
      </c>
      <c r="S88" s="26">
        <f t="shared" si="2"/>
        <v>0.61508049837682022</v>
      </c>
      <c r="T88" s="27">
        <f t="shared" si="3"/>
        <v>1.5500248960112966</v>
      </c>
      <c r="U88" s="26">
        <f t="shared" si="4"/>
        <v>29.42505540091118</v>
      </c>
      <c r="V88" s="26">
        <f t="shared" si="5"/>
        <v>0.32386860583638238</v>
      </c>
      <c r="W88" s="63" t="s">
        <v>239</v>
      </c>
      <c r="X88" s="29">
        <v>24920</v>
      </c>
      <c r="Y88" s="63">
        <v>100800</v>
      </c>
      <c r="Z88" s="30">
        <f t="shared" si="6"/>
        <v>2511936000</v>
      </c>
      <c r="AA88" s="31">
        <f t="shared" si="7"/>
        <v>24</v>
      </c>
      <c r="AB88" s="32">
        <v>3.2500000000000001E-2</v>
      </c>
      <c r="AC88" s="32">
        <v>5.0500000000000003E-2</v>
      </c>
      <c r="AD88" s="33">
        <f t="shared" si="8"/>
        <v>0.33565010608123624</v>
      </c>
      <c r="AE88" s="34">
        <f t="shared" si="9"/>
        <v>3.2546451861352708E-2</v>
      </c>
      <c r="AF88" s="33">
        <f t="shared" si="10"/>
        <v>7.2943219824192926E-2</v>
      </c>
      <c r="AG88" s="33">
        <f t="shared" si="11"/>
        <v>6.7910577273154016E-4</v>
      </c>
      <c r="AH88" s="35">
        <f t="shared" si="12"/>
        <v>0.23533935151799981</v>
      </c>
      <c r="AI88" s="36">
        <f t="shared" si="13"/>
        <v>0.92480460030485268</v>
      </c>
      <c r="AJ88" s="23" t="s">
        <v>235</v>
      </c>
      <c r="AK88" s="23"/>
      <c r="AL88" s="44"/>
      <c r="AM88" s="44"/>
      <c r="AN88" s="44"/>
      <c r="AO88" s="44"/>
      <c r="AP88" s="44"/>
      <c r="AQ88" s="44"/>
      <c r="AR88" s="44"/>
    </row>
    <row r="89" spans="1:44" ht="16.8">
      <c r="A89" s="70" t="s">
        <v>240</v>
      </c>
      <c r="B89" s="71">
        <v>34</v>
      </c>
      <c r="C89" s="1" t="s">
        <v>241</v>
      </c>
      <c r="D89" s="19" t="s">
        <v>242</v>
      </c>
      <c r="E89" s="20" t="s">
        <v>39</v>
      </c>
      <c r="F89" s="21">
        <v>2004</v>
      </c>
      <c r="G89" s="40">
        <v>2021</v>
      </c>
      <c r="H89" s="23">
        <v>122987478249</v>
      </c>
      <c r="I89" s="23">
        <v>129729428630</v>
      </c>
      <c r="J89" s="23">
        <v>74002032297</v>
      </c>
      <c r="K89" s="23">
        <f>(J89+85866451273)/2</f>
        <v>79934241785</v>
      </c>
      <c r="L89" s="23">
        <v>74002032297</v>
      </c>
      <c r="M89" s="23">
        <v>55727396333</v>
      </c>
      <c r="N89" s="23">
        <v>229499772416</v>
      </c>
      <c r="O89" s="25">
        <f t="shared" si="0"/>
        <v>48985445952</v>
      </c>
      <c r="P89" s="23">
        <v>1629013406</v>
      </c>
      <c r="Q89" s="23">
        <f>4887347116+17385834172</f>
        <v>22273181288</v>
      </c>
      <c r="R89" s="25">
        <f t="shared" si="1"/>
        <v>207226591128</v>
      </c>
      <c r="S89" s="26">
        <f t="shared" si="2"/>
        <v>0.57043365625281872</v>
      </c>
      <c r="T89" s="27">
        <f t="shared" si="3"/>
        <v>1.6619473064658772</v>
      </c>
      <c r="U89" s="26">
        <f t="shared" si="4"/>
        <v>25.588716800218393</v>
      </c>
      <c r="V89" s="26">
        <f t="shared" si="5"/>
        <v>2.8711071412084954</v>
      </c>
      <c r="W89" s="63" t="s">
        <v>243</v>
      </c>
      <c r="X89" s="29">
        <v>16360</v>
      </c>
      <c r="Y89" s="63">
        <v>0</v>
      </c>
      <c r="Z89" s="30">
        <f t="shared" si="6"/>
        <v>0</v>
      </c>
      <c r="AA89" s="31">
        <f t="shared" si="7"/>
        <v>17</v>
      </c>
      <c r="AB89" s="32">
        <v>1.84E-2</v>
      </c>
      <c r="AC89" s="32">
        <v>2.58E-2</v>
      </c>
      <c r="AD89" s="33">
        <f t="shared" si="8"/>
        <v>0.37759702227403541</v>
      </c>
      <c r="AE89" s="34">
        <f t="shared" si="9"/>
        <v>1.2557007482443268E-2</v>
      </c>
      <c r="AF89" s="33">
        <f t="shared" si="10"/>
        <v>1.5973753474165748</v>
      </c>
      <c r="AG89" s="33">
        <f t="shared" si="11"/>
        <v>0</v>
      </c>
      <c r="AH89" s="35">
        <f t="shared" si="12"/>
        <v>3.1012631044364412</v>
      </c>
      <c r="AI89" s="36">
        <f t="shared" si="13"/>
        <v>8.8432979881154008</v>
      </c>
      <c r="AJ89" s="23"/>
      <c r="AK89" s="23"/>
      <c r="AL89" s="44"/>
      <c r="AM89" s="44"/>
      <c r="AN89" s="44"/>
      <c r="AO89" s="44"/>
      <c r="AP89" s="44"/>
      <c r="AQ89" s="44"/>
      <c r="AR89" s="44"/>
    </row>
    <row r="90" spans="1:44" ht="16.8">
      <c r="A90" s="70" t="s">
        <v>244</v>
      </c>
      <c r="B90" s="71"/>
      <c r="C90" s="1" t="s">
        <v>241</v>
      </c>
      <c r="D90" s="19" t="s">
        <v>242</v>
      </c>
      <c r="E90" s="20" t="s">
        <v>39</v>
      </c>
      <c r="F90" s="21">
        <v>2004</v>
      </c>
      <c r="G90" s="40">
        <v>2022</v>
      </c>
      <c r="H90" s="23">
        <v>103495994240</v>
      </c>
      <c r="I90" s="23">
        <v>108269155297</v>
      </c>
      <c r="J90" s="23">
        <v>52614821646</v>
      </c>
      <c r="K90" s="23">
        <f>(J90+74002032297)/2</f>
        <v>63308426971.5</v>
      </c>
      <c r="L90" s="23">
        <v>52614821646</v>
      </c>
      <c r="M90" s="23">
        <v>55654333651</v>
      </c>
      <c r="N90" s="23">
        <v>214861128652</v>
      </c>
      <c r="O90" s="25">
        <f t="shared" si="0"/>
        <v>50881172594</v>
      </c>
      <c r="P90" s="23">
        <v>1555950724</v>
      </c>
      <c r="Q90" s="23">
        <f>4517572558+18543560155</f>
        <v>23061132713</v>
      </c>
      <c r="R90" s="25">
        <f t="shared" si="1"/>
        <v>191799995939</v>
      </c>
      <c r="S90" s="26">
        <f t="shared" si="2"/>
        <v>0.48596316745677881</v>
      </c>
      <c r="T90" s="27">
        <f t="shared" si="3"/>
        <v>1.9670501771598841</v>
      </c>
      <c r="U90" s="26">
        <f t="shared" si="4"/>
        <v>25.407886142419258</v>
      </c>
      <c r="V90" s="26">
        <f t="shared" si="5"/>
        <v>3.3938788077727087</v>
      </c>
      <c r="W90" s="63" t="s">
        <v>245</v>
      </c>
      <c r="X90" s="29">
        <v>10410</v>
      </c>
      <c r="Y90" s="63">
        <v>0</v>
      </c>
      <c r="Z90" s="30">
        <f t="shared" si="6"/>
        <v>0</v>
      </c>
      <c r="AA90" s="31">
        <f t="shared" si="7"/>
        <v>18</v>
      </c>
      <c r="AB90" s="32">
        <v>3.15E-2</v>
      </c>
      <c r="AC90" s="32">
        <v>8.0199999999999994E-2</v>
      </c>
      <c r="AD90" s="33">
        <f t="shared" si="8"/>
        <v>0.46995076718225631</v>
      </c>
      <c r="AE90" s="34">
        <f t="shared" si="9"/>
        <v>1.4371135710182394E-2</v>
      </c>
      <c r="AF90" s="33">
        <f t="shared" si="10"/>
        <v>1.7715109664692705</v>
      </c>
      <c r="AG90" s="33">
        <f t="shared" si="11"/>
        <v>0</v>
      </c>
      <c r="AH90" s="35">
        <f t="shared" si="12"/>
        <v>4.083661636213769</v>
      </c>
      <c r="AI90" s="36">
        <f t="shared" si="13"/>
        <v>10.513708336175323</v>
      </c>
      <c r="AJ90" s="23"/>
      <c r="AK90" s="23"/>
      <c r="AL90" s="44"/>
      <c r="AM90" s="44"/>
      <c r="AN90" s="44"/>
      <c r="AO90" s="44"/>
      <c r="AP90" s="44"/>
      <c r="AQ90" s="44"/>
      <c r="AR90" s="44"/>
    </row>
    <row r="91" spans="1:44" ht="16.8">
      <c r="A91" s="70" t="s">
        <v>246</v>
      </c>
      <c r="B91" s="71"/>
      <c r="C91" s="1" t="s">
        <v>241</v>
      </c>
      <c r="D91" s="19" t="s">
        <v>242</v>
      </c>
      <c r="E91" s="20" t="s">
        <v>39</v>
      </c>
      <c r="F91" s="21">
        <v>2004</v>
      </c>
      <c r="G91" s="40">
        <v>2023</v>
      </c>
      <c r="H91" s="23">
        <v>108641369253</v>
      </c>
      <c r="I91" s="23">
        <v>113940999080</v>
      </c>
      <c r="J91" s="23">
        <v>58639003151</v>
      </c>
      <c r="K91" s="23">
        <f>(J91+52614821646)/2</f>
        <v>55626912398.5</v>
      </c>
      <c r="L91" s="23">
        <v>58639003151</v>
      </c>
      <c r="M91" s="23">
        <v>55301995929</v>
      </c>
      <c r="N91" s="23">
        <v>217191879661</v>
      </c>
      <c r="O91" s="25">
        <f t="shared" si="0"/>
        <v>50002366102</v>
      </c>
      <c r="P91" s="23">
        <v>1203613002</v>
      </c>
      <c r="Q91" s="23">
        <f>6737122367+18707911412</f>
        <v>25445033779</v>
      </c>
      <c r="R91" s="25">
        <f t="shared" si="1"/>
        <v>191746845882</v>
      </c>
      <c r="S91" s="26">
        <f t="shared" si="2"/>
        <v>0.51464357539842631</v>
      </c>
      <c r="T91" s="27">
        <f t="shared" si="3"/>
        <v>1.8527151454679407</v>
      </c>
      <c r="U91" s="26">
        <f t="shared" si="4"/>
        <v>25.458946599434853</v>
      </c>
      <c r="V91" s="26">
        <f t="shared" si="5"/>
        <v>3.9044388821202425</v>
      </c>
      <c r="W91" s="63" t="s">
        <v>247</v>
      </c>
      <c r="X91" s="29">
        <v>18990</v>
      </c>
      <c r="Y91" s="63">
        <v>0</v>
      </c>
      <c r="Z91" s="30">
        <f t="shared" si="6"/>
        <v>0</v>
      </c>
      <c r="AA91" s="31">
        <f t="shared" si="7"/>
        <v>19</v>
      </c>
      <c r="AB91" s="32">
        <v>3.2500000000000001E-2</v>
      </c>
      <c r="AC91" s="32">
        <v>5.0500000000000003E-2</v>
      </c>
      <c r="AD91" s="33">
        <f t="shared" si="8"/>
        <v>0.43884437126001019</v>
      </c>
      <c r="AE91" s="34">
        <f t="shared" si="9"/>
        <v>1.0563475936830446E-2</v>
      </c>
      <c r="AF91" s="33">
        <f t="shared" si="10"/>
        <v>1.6828608440353514</v>
      </c>
      <c r="AG91" s="33">
        <f t="shared" si="11"/>
        <v>0</v>
      </c>
      <c r="AH91" s="35">
        <f t="shared" si="12"/>
        <v>3.7038808299949095</v>
      </c>
      <c r="AI91" s="36">
        <f t="shared" si="13"/>
        <v>9.7987237271351439</v>
      </c>
      <c r="AJ91" s="23"/>
      <c r="AK91" s="23"/>
      <c r="AL91" s="44"/>
      <c r="AM91" s="44"/>
      <c r="AN91" s="44"/>
      <c r="AO91" s="44"/>
      <c r="AP91" s="44"/>
      <c r="AQ91" s="44"/>
      <c r="AR91" s="44"/>
    </row>
    <row r="92" spans="1:44" ht="16.8">
      <c r="A92" s="70" t="s">
        <v>248</v>
      </c>
      <c r="B92" s="71">
        <v>35</v>
      </c>
      <c r="C92" s="1" t="s">
        <v>249</v>
      </c>
      <c r="D92" s="19" t="s">
        <v>250</v>
      </c>
      <c r="E92" s="20" t="s">
        <v>178</v>
      </c>
      <c r="F92" s="21">
        <v>1992</v>
      </c>
      <c r="G92" s="40">
        <v>2021</v>
      </c>
      <c r="H92" s="23">
        <v>304250381963</v>
      </c>
      <c r="I92" s="23">
        <v>321760389099</v>
      </c>
      <c r="J92" s="23">
        <v>260147854249</v>
      </c>
      <c r="K92" s="23">
        <f>(J92+292561957339)/2</f>
        <v>276354905794</v>
      </c>
      <c r="L92" s="23">
        <v>257911992408</v>
      </c>
      <c r="M92" s="23">
        <v>61612534850</v>
      </c>
      <c r="N92" s="23">
        <v>180895537028</v>
      </c>
      <c r="O92" s="25">
        <f t="shared" si="0"/>
        <v>46338389555</v>
      </c>
      <c r="P92" s="23">
        <v>1033185958</v>
      </c>
      <c r="Q92" s="23">
        <v>5301317737</v>
      </c>
      <c r="R92" s="25">
        <f t="shared" si="1"/>
        <v>175594219291</v>
      </c>
      <c r="S92" s="26">
        <f t="shared" si="2"/>
        <v>0.80851423314557558</v>
      </c>
      <c r="T92" s="27">
        <f t="shared" si="3"/>
        <v>1.179667448273191</v>
      </c>
      <c r="U92" s="26">
        <f t="shared" si="4"/>
        <v>26.497072972253338</v>
      </c>
      <c r="V92" s="26">
        <f t="shared" si="5"/>
        <v>0.65457689816747033</v>
      </c>
      <c r="W92" s="72">
        <v>45785</v>
      </c>
      <c r="X92" s="42">
        <v>8500</v>
      </c>
      <c r="Y92" s="73">
        <v>39538</v>
      </c>
      <c r="Z92" s="30">
        <f t="shared" si="6"/>
        <v>336073000</v>
      </c>
      <c r="AA92" s="31">
        <f t="shared" si="7"/>
        <v>29</v>
      </c>
      <c r="AB92" s="32">
        <v>1.84E-2</v>
      </c>
      <c r="AC92" s="32">
        <v>2.58E-2</v>
      </c>
      <c r="AD92" s="33">
        <f t="shared" si="8"/>
        <v>0.14401520859903763</v>
      </c>
      <c r="AE92" s="34">
        <f t="shared" si="9"/>
        <v>3.2110414861603953E-3</v>
      </c>
      <c r="AF92" s="33">
        <f t="shared" si="10"/>
        <v>0.54572975804356316</v>
      </c>
      <c r="AG92" s="33">
        <f t="shared" si="11"/>
        <v>1.2918538227815956E-3</v>
      </c>
      <c r="AH92" s="35">
        <f t="shared" si="12"/>
        <v>0.69535663690255234</v>
      </c>
      <c r="AI92" s="36">
        <f t="shared" si="13"/>
        <v>2.6743536591394492</v>
      </c>
      <c r="AJ92" s="23" t="s">
        <v>136</v>
      </c>
      <c r="AK92" s="23"/>
      <c r="AL92" s="44"/>
      <c r="AM92" s="44"/>
      <c r="AN92" s="44"/>
      <c r="AO92" s="44"/>
      <c r="AP92" s="44"/>
      <c r="AQ92" s="44"/>
      <c r="AR92" s="44"/>
    </row>
    <row r="93" spans="1:44" ht="16.8">
      <c r="A93" s="70" t="s">
        <v>251</v>
      </c>
      <c r="B93" s="71"/>
      <c r="C93" s="1" t="s">
        <v>249</v>
      </c>
      <c r="D93" s="19" t="s">
        <v>252</v>
      </c>
      <c r="E93" s="20" t="s">
        <v>178</v>
      </c>
      <c r="F93" s="21">
        <v>1992</v>
      </c>
      <c r="G93" s="40">
        <v>2022</v>
      </c>
      <c r="H93" s="23">
        <v>249016424201</v>
      </c>
      <c r="I93" s="23">
        <v>272904758927</v>
      </c>
      <c r="J93" s="23">
        <v>211252883776</v>
      </c>
      <c r="K93" s="23">
        <f>(211252883776+260147854249)/2</f>
        <v>235700369012.5</v>
      </c>
      <c r="L93" s="23">
        <v>209017021935</v>
      </c>
      <c r="M93" s="23">
        <v>61651875151</v>
      </c>
      <c r="N93" s="23">
        <v>205451794841</v>
      </c>
      <c r="O93" s="25">
        <f t="shared" si="0"/>
        <v>39999402266</v>
      </c>
      <c r="P93" s="23">
        <v>39340301</v>
      </c>
      <c r="Q93" s="23">
        <v>10720394529</v>
      </c>
      <c r="R93" s="25">
        <f t="shared" si="1"/>
        <v>194731400312</v>
      </c>
      <c r="S93" s="26">
        <f t="shared" si="2"/>
        <v>0.77409014268054077</v>
      </c>
      <c r="T93" s="27">
        <f t="shared" si="3"/>
        <v>1.1913691138439384</v>
      </c>
      <c r="U93" s="26">
        <f t="shared" si="4"/>
        <v>26.332388702863366</v>
      </c>
      <c r="V93" s="26">
        <f t="shared" si="5"/>
        <v>0.87166513867487494</v>
      </c>
      <c r="W93" s="72">
        <v>45810</v>
      </c>
      <c r="X93" s="42">
        <v>2600</v>
      </c>
      <c r="Y93" s="73">
        <v>910</v>
      </c>
      <c r="Z93" s="30">
        <f t="shared" si="6"/>
        <v>2366000</v>
      </c>
      <c r="AA93" s="31">
        <f t="shared" si="7"/>
        <v>30</v>
      </c>
      <c r="AB93" s="32">
        <v>3.15E-2</v>
      </c>
      <c r="AC93" s="32">
        <v>8.0199999999999994E-2</v>
      </c>
      <c r="AD93" s="33">
        <f t="shared" si="8"/>
        <v>0.1465690903422448</v>
      </c>
      <c r="AE93" s="34">
        <f t="shared" si="9"/>
        <v>1.441539574270423E-4</v>
      </c>
      <c r="AF93" s="33">
        <f t="shared" si="10"/>
        <v>0.71355076795890249</v>
      </c>
      <c r="AG93" s="33">
        <f t="shared" si="11"/>
        <v>1.1199847110767802E-5</v>
      </c>
      <c r="AH93" s="35">
        <f t="shared" si="12"/>
        <v>0.97253959883856012</v>
      </c>
      <c r="AI93" s="36">
        <f t="shared" si="13"/>
        <v>3.5033485769622956</v>
      </c>
      <c r="AJ93" s="23" t="s">
        <v>136</v>
      </c>
      <c r="AK93" s="23"/>
      <c r="AL93" s="44"/>
      <c r="AM93" s="44"/>
      <c r="AN93" s="44"/>
      <c r="AO93" s="44"/>
      <c r="AP93" s="44"/>
      <c r="AQ93" s="44"/>
      <c r="AR93" s="44"/>
    </row>
    <row r="94" spans="1:44" ht="16.8">
      <c r="A94" s="70" t="s">
        <v>253</v>
      </c>
      <c r="B94" s="71"/>
      <c r="C94" s="1" t="s">
        <v>249</v>
      </c>
      <c r="D94" s="19" t="s">
        <v>254</v>
      </c>
      <c r="E94" s="20" t="s">
        <v>178</v>
      </c>
      <c r="F94" s="21">
        <v>1992</v>
      </c>
      <c r="G94" s="40">
        <v>2023</v>
      </c>
      <c r="H94" s="23">
        <v>426869595583</v>
      </c>
      <c r="I94" s="23">
        <v>464836703376</v>
      </c>
      <c r="J94" s="23">
        <v>403006394426</v>
      </c>
      <c r="K94" s="23">
        <f>(403006394426+211252883776)/2</f>
        <v>307129639101</v>
      </c>
      <c r="L94" s="23">
        <v>392579941335</v>
      </c>
      <c r="M94" s="23">
        <v>61830308950</v>
      </c>
      <c r="N94" s="23">
        <v>309646552915</v>
      </c>
      <c r="O94" s="25">
        <f t="shared" si="0"/>
        <v>34289654248</v>
      </c>
      <c r="P94" s="23">
        <v>178433799</v>
      </c>
      <c r="Q94" s="23">
        <v>23686375995</v>
      </c>
      <c r="R94" s="25">
        <f t="shared" si="1"/>
        <v>285960176920</v>
      </c>
      <c r="S94" s="26">
        <f t="shared" si="2"/>
        <v>0.86698488200062307</v>
      </c>
      <c r="T94" s="27">
        <f t="shared" si="3"/>
        <v>1.087344386805386</v>
      </c>
      <c r="U94" s="26">
        <f t="shared" si="4"/>
        <v>26.864952005321715</v>
      </c>
      <c r="V94" s="26">
        <f t="shared" si="5"/>
        <v>1.0081949557892467</v>
      </c>
      <c r="W94" s="72">
        <v>45660</v>
      </c>
      <c r="X94" s="42">
        <v>3100</v>
      </c>
      <c r="Y94" s="73">
        <v>10300</v>
      </c>
      <c r="Z94" s="30">
        <f t="shared" si="6"/>
        <v>31930000</v>
      </c>
      <c r="AA94" s="31">
        <f t="shared" si="7"/>
        <v>31</v>
      </c>
      <c r="AB94" s="32">
        <v>3.2500000000000001E-2</v>
      </c>
      <c r="AC94" s="32">
        <v>5.0500000000000003E-2</v>
      </c>
      <c r="AD94" s="33">
        <f t="shared" si="8"/>
        <v>7.3767097131018866E-2</v>
      </c>
      <c r="AE94" s="34">
        <f t="shared" si="9"/>
        <v>3.8386340343625437E-4</v>
      </c>
      <c r="AF94" s="33">
        <f t="shared" si="10"/>
        <v>0.61518416003542375</v>
      </c>
      <c r="AG94" s="33">
        <f t="shared" si="11"/>
        <v>7.9229512091185899E-5</v>
      </c>
      <c r="AH94" s="35">
        <f t="shared" si="12"/>
        <v>0.76834153799477067</v>
      </c>
      <c r="AI94" s="36">
        <f t="shared" si="13"/>
        <v>2.8875547291409571</v>
      </c>
      <c r="AJ94" s="23" t="s">
        <v>136</v>
      </c>
      <c r="AK94" s="23"/>
      <c r="AL94" s="44"/>
      <c r="AM94" s="44"/>
      <c r="AN94" s="44"/>
      <c r="AO94" s="44"/>
      <c r="AP94" s="44"/>
      <c r="AQ94" s="44"/>
      <c r="AR94" s="44"/>
    </row>
    <row r="95" spans="1:44" ht="16.8">
      <c r="A95" s="70" t="s">
        <v>255</v>
      </c>
      <c r="B95" s="71">
        <v>36</v>
      </c>
      <c r="C95" s="1" t="s">
        <v>256</v>
      </c>
      <c r="D95" s="19" t="s">
        <v>257</v>
      </c>
      <c r="E95" s="20" t="s">
        <v>39</v>
      </c>
      <c r="F95" s="21">
        <v>1957</v>
      </c>
      <c r="G95" s="40">
        <v>2021</v>
      </c>
      <c r="H95" s="23">
        <v>390008339932</v>
      </c>
      <c r="I95" s="23">
        <v>454793059382</v>
      </c>
      <c r="J95" s="23">
        <v>307006014263</v>
      </c>
      <c r="K95" s="23">
        <f>(307006014263+267789965375)/2</f>
        <v>287397989819</v>
      </c>
      <c r="L95" s="23">
        <v>302099529207</v>
      </c>
      <c r="M95" s="23">
        <v>147787045119</v>
      </c>
      <c r="N95" s="23">
        <v>881402222185</v>
      </c>
      <c r="O95" s="25">
        <f t="shared" si="0"/>
        <v>87908810725</v>
      </c>
      <c r="P95" s="23">
        <v>29418465276</v>
      </c>
      <c r="Q95" s="23">
        <f>-107276328366-33816247255</f>
        <v>-141092575621</v>
      </c>
      <c r="R95" s="25">
        <f t="shared" si="1"/>
        <v>1022494797806</v>
      </c>
      <c r="S95" s="26">
        <f t="shared" si="2"/>
        <v>0.67504551340378438</v>
      </c>
      <c r="T95" s="27">
        <f t="shared" si="3"/>
        <v>1.2909928756120783</v>
      </c>
      <c r="U95" s="26">
        <f t="shared" si="4"/>
        <v>26.843108337892801</v>
      </c>
      <c r="V95" s="26">
        <f t="shared" si="5"/>
        <v>3.0668350281089203</v>
      </c>
      <c r="W95" s="73" t="s">
        <v>258</v>
      </c>
      <c r="X95" s="29">
        <v>51540</v>
      </c>
      <c r="Y95" s="73">
        <v>100</v>
      </c>
      <c r="Z95" s="30">
        <f t="shared" si="6"/>
        <v>5154000</v>
      </c>
      <c r="AA95" s="31">
        <f t="shared" si="7"/>
        <v>64</v>
      </c>
      <c r="AB95" s="32">
        <v>1.84E-2</v>
      </c>
      <c r="AC95" s="32">
        <v>2.58E-2</v>
      </c>
      <c r="AD95" s="33">
        <f t="shared" si="8"/>
        <v>0.19329409038136103</v>
      </c>
      <c r="AE95" s="34">
        <f t="shared" si="9"/>
        <v>6.4685387494645516E-2</v>
      </c>
      <c r="AF95" s="33">
        <f t="shared" si="10"/>
        <v>2.2482638569626086</v>
      </c>
      <c r="AG95" s="33">
        <f t="shared" si="11"/>
        <v>1.6787944732524917E-5</v>
      </c>
      <c r="AH95" s="35">
        <f t="shared" si="12"/>
        <v>2.8709607670093957</v>
      </c>
      <c r="AI95" s="36">
        <f t="shared" si="13"/>
        <v>10.612754018702979</v>
      </c>
      <c r="AJ95" s="23" t="s">
        <v>259</v>
      </c>
      <c r="AK95" s="23"/>
      <c r="AL95" s="44"/>
      <c r="AM95" s="44"/>
      <c r="AN95" s="44"/>
      <c r="AO95" s="44"/>
      <c r="AP95" s="44"/>
      <c r="AQ95" s="44"/>
      <c r="AR95" s="44"/>
    </row>
    <row r="96" spans="1:44" ht="16.8">
      <c r="A96" s="74" t="s">
        <v>260</v>
      </c>
      <c r="B96" s="75"/>
      <c r="C96" s="1" t="s">
        <v>256</v>
      </c>
      <c r="D96" s="19" t="s">
        <v>257</v>
      </c>
      <c r="E96" s="20" t="s">
        <v>39</v>
      </c>
      <c r="F96" s="21">
        <v>1957</v>
      </c>
      <c r="G96" s="40">
        <v>2022</v>
      </c>
      <c r="H96" s="23">
        <v>433392036307</v>
      </c>
      <c r="I96" s="23">
        <v>490074362253</v>
      </c>
      <c r="J96" s="23">
        <v>342370104186</v>
      </c>
      <c r="K96" s="23">
        <f>(342370104186+307006014263)/2</f>
        <v>324688059224.5</v>
      </c>
      <c r="L96" s="23">
        <v>337397788150</v>
      </c>
      <c r="M96" s="23">
        <v>147704258067</v>
      </c>
      <c r="N96" s="23">
        <v>820738681429</v>
      </c>
      <c r="O96" s="25">
        <f t="shared" si="0"/>
        <v>95994248157</v>
      </c>
      <c r="P96" s="23">
        <v>16017212948</v>
      </c>
      <c r="Q96" s="23">
        <f>-86511957520-33817049073</f>
        <v>-120329006593</v>
      </c>
      <c r="R96" s="25">
        <f t="shared" si="1"/>
        <v>941067688022</v>
      </c>
      <c r="S96" s="26">
        <f t="shared" si="2"/>
        <v>0.69860847772577839</v>
      </c>
      <c r="T96" s="27">
        <f t="shared" si="3"/>
        <v>1.2845135668593148</v>
      </c>
      <c r="U96" s="26">
        <f t="shared" si="4"/>
        <v>26.917822976236746</v>
      </c>
      <c r="V96" s="26">
        <f t="shared" si="5"/>
        <v>2.5277759933312307</v>
      </c>
      <c r="W96" s="73" t="s">
        <v>261</v>
      </c>
      <c r="X96" s="29">
        <v>45690</v>
      </c>
      <c r="Y96" s="73">
        <v>0</v>
      </c>
      <c r="Z96" s="30">
        <f t="shared" si="6"/>
        <v>0</v>
      </c>
      <c r="AA96" s="31">
        <f t="shared" si="7"/>
        <v>65</v>
      </c>
      <c r="AB96" s="32">
        <v>3.15E-2</v>
      </c>
      <c r="AC96" s="32">
        <v>8.0199999999999994E-2</v>
      </c>
      <c r="AD96" s="33">
        <f t="shared" si="8"/>
        <v>0.19587690267185032</v>
      </c>
      <c r="AE96" s="34">
        <f t="shared" si="9"/>
        <v>3.2683229692662727E-2</v>
      </c>
      <c r="AF96" s="33">
        <f t="shared" si="10"/>
        <v>1.9202548847804766</v>
      </c>
      <c r="AG96" s="33">
        <f t="shared" si="11"/>
        <v>0</v>
      </c>
      <c r="AH96" s="35">
        <f t="shared" si="12"/>
        <v>2.3972264850061671</v>
      </c>
      <c r="AI96" s="36">
        <f t="shared" si="13"/>
        <v>9.0148764095576883</v>
      </c>
      <c r="AJ96" s="23" t="s">
        <v>259</v>
      </c>
      <c r="AK96" s="76"/>
      <c r="AN96" s="44"/>
      <c r="AO96" s="44"/>
      <c r="AP96" s="44"/>
      <c r="AQ96" s="44"/>
      <c r="AR96" s="44"/>
    </row>
    <row r="97" spans="1:44" ht="16.8">
      <c r="A97" s="74" t="s">
        <v>262</v>
      </c>
      <c r="B97" s="75"/>
      <c r="C97" s="1" t="s">
        <v>256</v>
      </c>
      <c r="D97" s="19" t="s">
        <v>257</v>
      </c>
      <c r="E97" s="20" t="s">
        <v>39</v>
      </c>
      <c r="F97" s="21">
        <v>1957</v>
      </c>
      <c r="G97" s="40">
        <v>2023</v>
      </c>
      <c r="H97" s="23">
        <v>353102010097</v>
      </c>
      <c r="I97" s="23">
        <v>402849578518</v>
      </c>
      <c r="J97" s="23">
        <v>251076208320</v>
      </c>
      <c r="K97" s="23">
        <f>(251076208320+342370104186)/2</f>
        <v>296723156253</v>
      </c>
      <c r="L97" s="23">
        <v>246128061304</v>
      </c>
      <c r="M97" s="23">
        <v>151773370198</v>
      </c>
      <c r="N97" s="23">
        <v>754554847603</v>
      </c>
      <c r="O97" s="25">
        <f t="shared" si="0"/>
        <v>106973948793</v>
      </c>
      <c r="P97" s="23">
        <v>12069112131</v>
      </c>
      <c r="Q97" s="23">
        <f>91895484100+31319545903</f>
        <v>123215030003</v>
      </c>
      <c r="R97" s="25">
        <f t="shared" si="1"/>
        <v>631339817600</v>
      </c>
      <c r="S97" s="26">
        <f t="shared" si="2"/>
        <v>0.62325051758439776</v>
      </c>
      <c r="T97" s="27">
        <f t="shared" si="3"/>
        <v>1.4346271945841775</v>
      </c>
      <c r="U97" s="26">
        <f t="shared" si="4"/>
        <v>26.721829074918602</v>
      </c>
      <c r="V97" s="26">
        <f t="shared" si="5"/>
        <v>2.5429590906603572</v>
      </c>
      <c r="W97" s="73" t="s">
        <v>263</v>
      </c>
      <c r="X97" s="29">
        <v>66290</v>
      </c>
      <c r="Y97" s="73">
        <v>0</v>
      </c>
      <c r="Z97" s="30">
        <f t="shared" si="6"/>
        <v>0</v>
      </c>
      <c r="AA97" s="31">
        <f t="shared" si="7"/>
        <v>66</v>
      </c>
      <c r="AB97" s="32">
        <v>3.2500000000000001E-2</v>
      </c>
      <c r="AC97" s="32">
        <v>5.0500000000000003E-2</v>
      </c>
      <c r="AD97" s="33">
        <f t="shared" si="8"/>
        <v>0.26554315679449125</v>
      </c>
      <c r="AE97" s="34">
        <f t="shared" si="9"/>
        <v>2.9959351516265102E-2</v>
      </c>
      <c r="AF97" s="33">
        <f t="shared" si="10"/>
        <v>1.567185002209927</v>
      </c>
      <c r="AG97" s="33">
        <f t="shared" si="11"/>
        <v>0</v>
      </c>
      <c r="AH97" s="35">
        <f t="shared" si="12"/>
        <v>3.0052821517891877</v>
      </c>
      <c r="AI97" s="36">
        <f t="shared" si="13"/>
        <v>8.5375875393581069</v>
      </c>
      <c r="AJ97" s="23" t="s">
        <v>259</v>
      </c>
      <c r="AK97" s="76"/>
      <c r="AN97" s="44"/>
      <c r="AO97" s="44"/>
      <c r="AP97" s="44"/>
      <c r="AQ97" s="44"/>
      <c r="AR97" s="44"/>
    </row>
    <row r="98" spans="1:44" ht="16.8">
      <c r="A98" s="70" t="s">
        <v>264</v>
      </c>
      <c r="B98" s="71">
        <v>37</v>
      </c>
      <c r="C98" s="1" t="s">
        <v>265</v>
      </c>
      <c r="D98" s="19" t="s">
        <v>266</v>
      </c>
      <c r="E98" s="20" t="s">
        <v>39</v>
      </c>
      <c r="F98" s="21">
        <v>1972</v>
      </c>
      <c r="G98" s="40">
        <v>2021</v>
      </c>
      <c r="H98" s="23">
        <v>100667134097</v>
      </c>
      <c r="I98" s="23">
        <v>152685948977</v>
      </c>
      <c r="J98" s="23">
        <v>33209388286</v>
      </c>
      <c r="K98" s="23">
        <f>(J98+30366852283)/2</f>
        <v>31788120284.5</v>
      </c>
      <c r="L98" s="23">
        <v>33182538286</v>
      </c>
      <c r="M98" s="23">
        <v>119476560691</v>
      </c>
      <c r="N98" s="23">
        <v>519482152543</v>
      </c>
      <c r="O98" s="25">
        <f t="shared" si="0"/>
        <v>67484595811</v>
      </c>
      <c r="P98" s="23">
        <v>57251127630</v>
      </c>
      <c r="Q98" s="23">
        <f>12454302686+17777272058</f>
        <v>30231574744</v>
      </c>
      <c r="R98" s="25">
        <f t="shared" si="1"/>
        <v>489250577799</v>
      </c>
      <c r="S98" s="26">
        <f t="shared" si="2"/>
        <v>0.21750127309358722</v>
      </c>
      <c r="T98" s="27">
        <f t="shared" si="3"/>
        <v>3.0337382037911289</v>
      </c>
      <c r="U98" s="26">
        <f t="shared" si="4"/>
        <v>25.751649027759687</v>
      </c>
      <c r="V98" s="26">
        <f t="shared" si="5"/>
        <v>16.342021733078106</v>
      </c>
      <c r="W98" s="73" t="s">
        <v>267</v>
      </c>
      <c r="X98" s="29">
        <v>26220</v>
      </c>
      <c r="Y98" s="73">
        <v>1300</v>
      </c>
      <c r="Z98" s="30">
        <f t="shared" si="6"/>
        <v>34086000</v>
      </c>
      <c r="AA98" s="31">
        <f t="shared" si="7"/>
        <v>49</v>
      </c>
      <c r="AB98" s="32">
        <v>1.84E-2</v>
      </c>
      <c r="AC98" s="32">
        <v>2.58E-2</v>
      </c>
      <c r="AD98" s="33">
        <f t="shared" si="8"/>
        <v>0.44198301325792333</v>
      </c>
      <c r="AE98" s="34">
        <f t="shared" si="9"/>
        <v>0.37496002751781748</v>
      </c>
      <c r="AF98" s="33">
        <f t="shared" si="10"/>
        <v>3.2042933948866423</v>
      </c>
      <c r="AG98" s="33">
        <f t="shared" si="11"/>
        <v>1.0263965028940189E-3</v>
      </c>
      <c r="AH98" s="35">
        <f t="shared" si="12"/>
        <v>15.642629369418311</v>
      </c>
      <c r="AI98" s="36">
        <f t="shared" si="13"/>
        <v>27.27273706488042</v>
      </c>
      <c r="AJ98" s="23"/>
      <c r="AK98" s="23"/>
      <c r="AL98" s="44"/>
      <c r="AM98" s="44"/>
      <c r="AN98" s="44"/>
      <c r="AO98" s="44"/>
      <c r="AP98" s="44"/>
      <c r="AQ98" s="44"/>
      <c r="AR98" s="44"/>
    </row>
    <row r="99" spans="1:44" ht="16.8">
      <c r="A99" s="74" t="s">
        <v>268</v>
      </c>
      <c r="B99" s="75"/>
      <c r="C99" s="1" t="s">
        <v>265</v>
      </c>
      <c r="D99" s="19" t="s">
        <v>266</v>
      </c>
      <c r="E99" s="20" t="s">
        <v>39</v>
      </c>
      <c r="F99" s="21">
        <v>1972</v>
      </c>
      <c r="G99" s="40">
        <v>2022</v>
      </c>
      <c r="H99" s="23">
        <v>188515183067</v>
      </c>
      <c r="I99" s="23">
        <v>233020523927</v>
      </c>
      <c r="J99" s="23">
        <v>38826273140</v>
      </c>
      <c r="K99" s="23">
        <f>(J99+33209388286)/2</f>
        <v>36017830713</v>
      </c>
      <c r="L99" s="23">
        <v>38799423140</v>
      </c>
      <c r="M99" s="23">
        <v>194194250832</v>
      </c>
      <c r="N99" s="23">
        <v>657022543534</v>
      </c>
      <c r="O99" s="25">
        <f t="shared" si="0"/>
        <v>149715759927</v>
      </c>
      <c r="P99" s="23">
        <v>106050406628</v>
      </c>
      <c r="Q99" s="23">
        <f>30647257188+22357549443</f>
        <v>53004806631</v>
      </c>
      <c r="R99" s="25">
        <f t="shared" si="1"/>
        <v>604017736903</v>
      </c>
      <c r="S99" s="26">
        <f t="shared" si="2"/>
        <v>0.16662168844905431</v>
      </c>
      <c r="T99" s="27">
        <f t="shared" si="3"/>
        <v>4.8587109758508644</v>
      </c>
      <c r="U99" s="26">
        <f t="shared" si="4"/>
        <v>26.174392372156415</v>
      </c>
      <c r="V99" s="26">
        <f t="shared" si="5"/>
        <v>18.241591193243611</v>
      </c>
      <c r="W99" s="73" t="s">
        <v>269</v>
      </c>
      <c r="X99" s="29">
        <v>34260</v>
      </c>
      <c r="Y99" s="73">
        <v>5400</v>
      </c>
      <c r="Z99" s="30">
        <f t="shared" si="6"/>
        <v>185004000</v>
      </c>
      <c r="AA99" s="31">
        <f t="shared" si="7"/>
        <v>50</v>
      </c>
      <c r="AB99" s="32">
        <v>3.15E-2</v>
      </c>
      <c r="AC99" s="32">
        <v>8.0199999999999994E-2</v>
      </c>
      <c r="AD99" s="33">
        <f t="shared" si="8"/>
        <v>0.64250031458131351</v>
      </c>
      <c r="AE99" s="34">
        <f t="shared" si="9"/>
        <v>0.45511187100936723</v>
      </c>
      <c r="AF99" s="33">
        <f t="shared" si="10"/>
        <v>2.5921224736934545</v>
      </c>
      <c r="AG99" s="33">
        <f t="shared" si="11"/>
        <v>4.7649178001945101E-3</v>
      </c>
      <c r="AH99" s="35">
        <f t="shared" si="12"/>
        <v>16.922112023600729</v>
      </c>
      <c r="AI99" s="36">
        <f t="shared" si="13"/>
        <v>26.887132134379936</v>
      </c>
      <c r="AJ99" s="76"/>
      <c r="AK99" s="76"/>
    </row>
    <row r="100" spans="1:44" ht="16.8">
      <c r="A100" s="74" t="s">
        <v>270</v>
      </c>
      <c r="B100" s="75"/>
      <c r="C100" s="1" t="s">
        <v>265</v>
      </c>
      <c r="D100" s="19" t="s">
        <v>266</v>
      </c>
      <c r="E100" s="20" t="s">
        <v>39</v>
      </c>
      <c r="F100" s="21">
        <v>1972</v>
      </c>
      <c r="G100" s="40">
        <v>2023</v>
      </c>
      <c r="H100" s="23">
        <v>256041298361</v>
      </c>
      <c r="I100" s="23">
        <v>292173826555</v>
      </c>
      <c r="J100" s="23">
        <v>27162360422</v>
      </c>
      <c r="K100" s="23">
        <f>(27162360422+38826273140)/2</f>
        <v>32994316781</v>
      </c>
      <c r="L100" s="23">
        <v>27135510422</v>
      </c>
      <c r="M100" s="23">
        <v>265011466133</v>
      </c>
      <c r="N100" s="23">
        <v>612296635735</v>
      </c>
      <c r="O100" s="25">
        <f t="shared" si="0"/>
        <v>228905787939</v>
      </c>
      <c r="P100" s="23">
        <v>114408909365</v>
      </c>
      <c r="Q100" s="23">
        <f>34064689216+23534193568</f>
        <v>57598882784</v>
      </c>
      <c r="R100" s="25">
        <f t="shared" si="1"/>
        <v>554697752951</v>
      </c>
      <c r="S100" s="26">
        <f t="shared" si="2"/>
        <v>9.2966439678288035E-2</v>
      </c>
      <c r="T100" s="27">
        <f t="shared" si="3"/>
        <v>9.4356544018945598</v>
      </c>
      <c r="U100" s="26">
        <f t="shared" si="4"/>
        <v>26.4006147585173</v>
      </c>
      <c r="V100" s="26">
        <f t="shared" si="5"/>
        <v>18.557639480736125</v>
      </c>
      <c r="W100" s="73" t="s">
        <v>271</v>
      </c>
      <c r="X100" s="29">
        <v>49690</v>
      </c>
      <c r="Y100" s="73">
        <v>41959</v>
      </c>
      <c r="Z100" s="30">
        <f t="shared" si="6"/>
        <v>2084942710</v>
      </c>
      <c r="AA100" s="31">
        <f t="shared" si="7"/>
        <v>51</v>
      </c>
      <c r="AB100" s="32">
        <v>3.2500000000000001E-2</v>
      </c>
      <c r="AC100" s="32">
        <v>5.0500000000000003E-2</v>
      </c>
      <c r="AD100" s="33">
        <f t="shared" si="8"/>
        <v>0.78345754182710758</v>
      </c>
      <c r="AE100" s="34">
        <f t="shared" si="9"/>
        <v>0.39157822832382694</v>
      </c>
      <c r="AF100" s="33">
        <f t="shared" si="10"/>
        <v>1.8985196569158853</v>
      </c>
      <c r="AG100" s="33">
        <f t="shared" si="11"/>
        <v>7.6758524576211448E-2</v>
      </c>
      <c r="AH100" s="35">
        <f t="shared" si="12"/>
        <v>22.542099663734444</v>
      </c>
      <c r="AI100" s="36">
        <f t="shared" si="13"/>
        <v>30.341628216148479</v>
      </c>
      <c r="AJ100" s="76"/>
      <c r="AK100" s="76"/>
    </row>
    <row r="101" spans="1:44" ht="16.8">
      <c r="A101" s="70" t="s">
        <v>272</v>
      </c>
      <c r="B101" s="71">
        <v>38</v>
      </c>
      <c r="C101" s="1" t="s">
        <v>273</v>
      </c>
      <c r="D101" s="19" t="s">
        <v>274</v>
      </c>
      <c r="E101" s="20" t="s">
        <v>178</v>
      </c>
      <c r="F101" s="21">
        <v>1986</v>
      </c>
      <c r="G101" s="40">
        <v>2021</v>
      </c>
      <c r="H101" s="23">
        <v>257719257706</v>
      </c>
      <c r="I101" s="23">
        <v>636139039638</v>
      </c>
      <c r="J101" s="23">
        <v>247420262957</v>
      </c>
      <c r="K101" s="23">
        <f>(247420262957+213678932988)/2</f>
        <v>230549597972.5</v>
      </c>
      <c r="L101" s="23">
        <v>100692262957</v>
      </c>
      <c r="M101" s="23">
        <v>388718776681</v>
      </c>
      <c r="N101" s="23">
        <v>971321804099</v>
      </c>
      <c r="O101" s="25">
        <f t="shared" si="0"/>
        <v>157026994749</v>
      </c>
      <c r="P101" s="23">
        <v>47274176479</v>
      </c>
      <c r="Q101" s="23">
        <f>18782840010+11520615595</f>
        <v>30303455605</v>
      </c>
      <c r="R101" s="25">
        <f t="shared" si="1"/>
        <v>941018348494</v>
      </c>
      <c r="S101" s="26">
        <f t="shared" si="2"/>
        <v>0.38894054214593793</v>
      </c>
      <c r="T101" s="27">
        <f t="shared" si="3"/>
        <v>2.5594742846931289</v>
      </c>
      <c r="U101" s="26">
        <f t="shared" si="4"/>
        <v>27.178682992176604</v>
      </c>
      <c r="V101" s="26">
        <f t="shared" si="5"/>
        <v>4.2130709081299695</v>
      </c>
      <c r="W101" s="73" t="s">
        <v>275</v>
      </c>
      <c r="X101" s="29">
        <v>45710</v>
      </c>
      <c r="Y101" s="73">
        <v>537</v>
      </c>
      <c r="Z101" s="30">
        <f t="shared" si="6"/>
        <v>24546270</v>
      </c>
      <c r="AA101" s="31">
        <f t="shared" si="7"/>
        <v>35</v>
      </c>
      <c r="AB101" s="32">
        <v>1.84E-2</v>
      </c>
      <c r="AC101" s="32">
        <v>2.58E-2</v>
      </c>
      <c r="AD101" s="33">
        <f t="shared" si="8"/>
        <v>0.24684382652942896</v>
      </c>
      <c r="AE101" s="34">
        <f t="shared" si="9"/>
        <v>7.4314219900576683E-2</v>
      </c>
      <c r="AF101" s="33">
        <f t="shared" si="10"/>
        <v>1.4792652075393675</v>
      </c>
      <c r="AG101" s="33">
        <f t="shared" si="11"/>
        <v>9.920881057452428E-5</v>
      </c>
      <c r="AH101" s="35">
        <f t="shared" si="12"/>
        <v>3.9257973154276748</v>
      </c>
      <c r="AI101" s="36">
        <f t="shared" si="13"/>
        <v>9.2076845252900537</v>
      </c>
      <c r="AJ101" s="23" t="s">
        <v>259</v>
      </c>
      <c r="AK101" s="23"/>
      <c r="AL101" s="44"/>
      <c r="AM101" s="44"/>
      <c r="AN101" s="44"/>
      <c r="AO101" s="44"/>
      <c r="AP101" s="44"/>
      <c r="AQ101" s="44"/>
      <c r="AR101" s="44"/>
    </row>
    <row r="102" spans="1:44" ht="16.8">
      <c r="A102" s="74" t="s">
        <v>276</v>
      </c>
      <c r="B102" s="75"/>
      <c r="C102" s="1" t="s">
        <v>273</v>
      </c>
      <c r="D102" s="19" t="s">
        <v>274</v>
      </c>
      <c r="E102" s="20" t="s">
        <v>178</v>
      </c>
      <c r="F102" s="21">
        <v>1986</v>
      </c>
      <c r="G102" s="40">
        <v>2022</v>
      </c>
      <c r="H102" s="23">
        <v>315281551050</v>
      </c>
      <c r="I102" s="23">
        <v>732385068677</v>
      </c>
      <c r="J102" s="23">
        <v>309402433414</v>
      </c>
      <c r="K102" s="23">
        <f>(J102+247420262957)/2</f>
        <v>278411348185.5</v>
      </c>
      <c r="L102" s="23">
        <v>116365433414</v>
      </c>
      <c r="M102" s="23">
        <v>422982635263</v>
      </c>
      <c r="N102" s="23">
        <v>1285774611122</v>
      </c>
      <c r="O102" s="25">
        <f t="shared" si="0"/>
        <v>198916117636</v>
      </c>
      <c r="P102" s="23">
        <v>53334424079</v>
      </c>
      <c r="Q102" s="23">
        <f>30845809950+10665739488</f>
        <v>41511549438</v>
      </c>
      <c r="R102" s="25">
        <f t="shared" si="1"/>
        <v>1244263061684</v>
      </c>
      <c r="S102" s="26">
        <f t="shared" si="2"/>
        <v>0.42245868552851962</v>
      </c>
      <c r="T102" s="27">
        <f t="shared" si="3"/>
        <v>2.7094089868449567</v>
      </c>
      <c r="U102" s="26">
        <f t="shared" si="4"/>
        <v>27.319572262697061</v>
      </c>
      <c r="V102" s="26">
        <f t="shared" si="5"/>
        <v>4.6182550370228217</v>
      </c>
      <c r="W102" s="73" t="s">
        <v>277</v>
      </c>
      <c r="X102" s="29">
        <v>50130</v>
      </c>
      <c r="Y102" s="73">
        <v>300</v>
      </c>
      <c r="Z102" s="30">
        <f t="shared" si="6"/>
        <v>15039000</v>
      </c>
      <c r="AA102" s="31">
        <f t="shared" si="7"/>
        <v>36</v>
      </c>
      <c r="AB102" s="32">
        <v>3.15E-2</v>
      </c>
      <c r="AC102" s="32">
        <v>8.0199999999999994E-2</v>
      </c>
      <c r="AD102" s="33">
        <f t="shared" si="8"/>
        <v>0.27160045465608329</v>
      </c>
      <c r="AE102" s="34">
        <f t="shared" si="9"/>
        <v>7.2822926572417332E-2</v>
      </c>
      <c r="AF102" s="33">
        <f t="shared" si="10"/>
        <v>1.6989192091691194</v>
      </c>
      <c r="AG102" s="33">
        <f t="shared" si="11"/>
        <v>4.8606598965809902E-5</v>
      </c>
      <c r="AH102" s="35">
        <f t="shared" si="12"/>
        <v>4.1556706485289734</v>
      </c>
      <c r="AI102" s="36">
        <f t="shared" si="13"/>
        <v>10.190005845535131</v>
      </c>
      <c r="AJ102" s="23" t="s">
        <v>259</v>
      </c>
      <c r="AK102" s="76"/>
    </row>
    <row r="103" spans="1:44" ht="16.8">
      <c r="A103" s="74" t="s">
        <v>278</v>
      </c>
      <c r="B103" s="75"/>
      <c r="C103" s="1" t="s">
        <v>273</v>
      </c>
      <c r="D103" s="19" t="s">
        <v>274</v>
      </c>
      <c r="E103" s="20" t="s">
        <v>178</v>
      </c>
      <c r="F103" s="21">
        <v>1986</v>
      </c>
      <c r="G103" s="40">
        <v>2023</v>
      </c>
      <c r="H103" s="23">
        <v>342607906397</v>
      </c>
      <c r="I103" s="23">
        <v>770485211037</v>
      </c>
      <c r="J103" s="23">
        <v>297173332158</v>
      </c>
      <c r="K103" s="23">
        <f>(297173332158+309402433414)/2</f>
        <v>303287882786</v>
      </c>
      <c r="L103" s="23">
        <v>138061268195</v>
      </c>
      <c r="M103" s="23">
        <v>473311878879</v>
      </c>
      <c r="N103" s="23">
        <v>1112393697365</v>
      </c>
      <c r="O103" s="25">
        <f t="shared" si="0"/>
        <v>204546638202</v>
      </c>
      <c r="P103" s="23">
        <v>67559651661</v>
      </c>
      <c r="Q103" s="23">
        <f>28204947341+13428902778</f>
        <v>41633850119</v>
      </c>
      <c r="R103" s="25">
        <f t="shared" si="1"/>
        <v>1070759847246</v>
      </c>
      <c r="S103" s="26">
        <f t="shared" si="2"/>
        <v>0.38569634809477121</v>
      </c>
      <c r="T103" s="27">
        <f t="shared" si="3"/>
        <v>2.4815642422833242</v>
      </c>
      <c r="U103" s="26">
        <f t="shared" si="4"/>
        <v>27.370286297540545</v>
      </c>
      <c r="V103" s="26">
        <f t="shared" si="5"/>
        <v>3.6677815386047099</v>
      </c>
      <c r="W103" s="73" t="s">
        <v>279</v>
      </c>
      <c r="X103" s="29">
        <v>32110</v>
      </c>
      <c r="Y103" s="73">
        <v>0</v>
      </c>
      <c r="Z103" s="30">
        <f t="shared" si="6"/>
        <v>0</v>
      </c>
      <c r="AA103" s="31">
        <f t="shared" si="7"/>
        <v>37</v>
      </c>
      <c r="AB103" s="32">
        <v>3.2500000000000001E-2</v>
      </c>
      <c r="AC103" s="32">
        <v>5.0500000000000003E-2</v>
      </c>
      <c r="AD103" s="33">
        <f t="shared" si="8"/>
        <v>0.26547769544687255</v>
      </c>
      <c r="AE103" s="34">
        <f t="shared" si="9"/>
        <v>8.7684553438827362E-2</v>
      </c>
      <c r="AF103" s="33">
        <f t="shared" si="10"/>
        <v>1.389721479280386</v>
      </c>
      <c r="AG103" s="33">
        <f t="shared" si="11"/>
        <v>0</v>
      </c>
      <c r="AH103" s="35">
        <f t="shared" si="12"/>
        <v>3.7432487272228272</v>
      </c>
      <c r="AI103" s="36">
        <f t="shared" si="13"/>
        <v>8.7706612181987076</v>
      </c>
      <c r="AJ103" s="23" t="s">
        <v>259</v>
      </c>
      <c r="AK103" s="23"/>
      <c r="AL103" s="23"/>
    </row>
    <row r="104" spans="1:44" ht="16.8">
      <c r="A104" s="70" t="s">
        <v>280</v>
      </c>
      <c r="B104" s="71">
        <v>39</v>
      </c>
      <c r="C104" s="1" t="s">
        <v>281</v>
      </c>
      <c r="D104" s="19" t="s">
        <v>282</v>
      </c>
      <c r="E104" s="20" t="s">
        <v>39</v>
      </c>
      <c r="F104" s="21">
        <v>1993</v>
      </c>
      <c r="G104" s="40">
        <v>2021</v>
      </c>
      <c r="H104" s="23">
        <v>806530813897</v>
      </c>
      <c r="I104" s="23">
        <v>1784100607592</v>
      </c>
      <c r="J104" s="23">
        <v>305892273916</v>
      </c>
      <c r="K104" s="23">
        <f>(305892273916+314408557109)/2</f>
        <v>310150415512.5</v>
      </c>
      <c r="L104" s="23">
        <v>169786251040</v>
      </c>
      <c r="M104" s="23">
        <v>1478208333676</v>
      </c>
      <c r="N104" s="23">
        <v>1078888885510</v>
      </c>
      <c r="O104" s="25">
        <f t="shared" si="0"/>
        <v>636744562857</v>
      </c>
      <c r="P104" s="23">
        <v>238356820393</v>
      </c>
      <c r="Q104" s="23">
        <f>9654547806+91635453840</f>
        <v>101290001646</v>
      </c>
      <c r="R104" s="25">
        <f t="shared" si="1"/>
        <v>977598883864</v>
      </c>
      <c r="S104" s="26">
        <f t="shared" si="2"/>
        <v>0.17145461002272888</v>
      </c>
      <c r="T104" s="27">
        <f t="shared" si="3"/>
        <v>4.7502716442392563</v>
      </c>
      <c r="U104" s="26">
        <f t="shared" si="4"/>
        <v>28.209935542886395</v>
      </c>
      <c r="V104" s="26">
        <f t="shared" si="5"/>
        <v>3.4785988718642149</v>
      </c>
      <c r="W104" s="72">
        <v>45955</v>
      </c>
      <c r="X104" s="42">
        <v>25100</v>
      </c>
      <c r="Y104" s="73">
        <v>9600</v>
      </c>
      <c r="Z104" s="30">
        <f t="shared" si="6"/>
        <v>240960000</v>
      </c>
      <c r="AA104" s="31">
        <f t="shared" si="7"/>
        <v>28</v>
      </c>
      <c r="AB104" s="32">
        <v>1.84E-2</v>
      </c>
      <c r="AC104" s="32">
        <v>2.58E-2</v>
      </c>
      <c r="AD104" s="33">
        <f t="shared" si="8"/>
        <v>0.35689947088601348</v>
      </c>
      <c r="AE104" s="34">
        <f t="shared" si="9"/>
        <v>0.13360054885845823</v>
      </c>
      <c r="AF104" s="33">
        <f t="shared" si="10"/>
        <v>0.54795053580720698</v>
      </c>
      <c r="AG104" s="33">
        <f t="shared" si="11"/>
        <v>7.8772829700879984E-4</v>
      </c>
      <c r="AH104" s="35">
        <f t="shared" si="12"/>
        <v>3.5270223458022674</v>
      </c>
      <c r="AI104" s="36">
        <f t="shared" si="13"/>
        <v>5.9510518844093134</v>
      </c>
      <c r="AJ104" s="23"/>
      <c r="AK104" s="23"/>
      <c r="AL104" s="44"/>
      <c r="AM104" s="44"/>
      <c r="AN104" s="44"/>
      <c r="AO104" s="44"/>
      <c r="AP104" s="44"/>
      <c r="AQ104" s="44"/>
      <c r="AR104" s="44"/>
    </row>
    <row r="105" spans="1:44" ht="16.8">
      <c r="A105" s="74" t="s">
        <v>283</v>
      </c>
      <c r="B105" s="75"/>
      <c r="C105" s="1" t="s">
        <v>281</v>
      </c>
      <c r="D105" s="19" t="s">
        <v>282</v>
      </c>
      <c r="E105" s="20" t="s">
        <v>39</v>
      </c>
      <c r="F105" s="21">
        <v>1993</v>
      </c>
      <c r="G105" s="40">
        <v>2022</v>
      </c>
      <c r="H105" s="23">
        <v>893310769962</v>
      </c>
      <c r="I105" s="23">
        <v>2059406009157</v>
      </c>
      <c r="J105" s="23">
        <v>473270235795</v>
      </c>
      <c r="K105" s="23">
        <f>(473270235795+307007375477)/2</f>
        <v>390138805636</v>
      </c>
      <c r="L105" s="23">
        <v>231484144650</v>
      </c>
      <c r="M105" s="23">
        <v>1586135773362</v>
      </c>
      <c r="N105" s="23">
        <v>1196375008642</v>
      </c>
      <c r="O105" s="25">
        <f t="shared" si="0"/>
        <v>661826625312</v>
      </c>
      <c r="P105" s="23">
        <v>271754310520</v>
      </c>
      <c r="Q105" s="23">
        <f>17087041587+134731130376</f>
        <v>151818171963</v>
      </c>
      <c r="R105" s="25">
        <f t="shared" si="1"/>
        <v>1044556836679</v>
      </c>
      <c r="S105" s="26">
        <f t="shared" si="2"/>
        <v>0.22980909723028781</v>
      </c>
      <c r="T105" s="27">
        <f t="shared" si="3"/>
        <v>3.8590581282042895</v>
      </c>
      <c r="U105" s="26">
        <f t="shared" si="4"/>
        <v>28.353438712081189</v>
      </c>
      <c r="V105" s="26">
        <f t="shared" si="5"/>
        <v>3.0665368103838904</v>
      </c>
      <c r="W105" s="73" t="s">
        <v>284</v>
      </c>
      <c r="X105" s="29">
        <v>25990</v>
      </c>
      <c r="Y105" s="73">
        <v>8900</v>
      </c>
      <c r="Z105" s="30">
        <f t="shared" si="6"/>
        <v>231311000</v>
      </c>
      <c r="AA105" s="31">
        <f t="shared" si="7"/>
        <v>29</v>
      </c>
      <c r="AB105" s="32">
        <v>3.15E-2</v>
      </c>
      <c r="AC105" s="32">
        <v>8.0199999999999994E-2</v>
      </c>
      <c r="AD105" s="33">
        <f t="shared" si="8"/>
        <v>0.32136772563022337</v>
      </c>
      <c r="AE105" s="34">
        <f t="shared" si="9"/>
        <v>0.13195761754198254</v>
      </c>
      <c r="AF105" s="33">
        <f t="shared" si="10"/>
        <v>0.50721267784713331</v>
      </c>
      <c r="AG105" s="33">
        <f t="shared" si="11"/>
        <v>4.8875036396794208E-4</v>
      </c>
      <c r="AH105" s="35">
        <f t="shared" si="12"/>
        <v>2.5278898146474975</v>
      </c>
      <c r="AI105" s="36">
        <f t="shared" si="13"/>
        <v>4.7723668370764614</v>
      </c>
      <c r="AJ105" s="23"/>
      <c r="AK105" s="76"/>
    </row>
    <row r="106" spans="1:44" ht="16.8">
      <c r="A106" s="74" t="s">
        <v>285</v>
      </c>
      <c r="B106" s="75"/>
      <c r="C106" s="1" t="s">
        <v>281</v>
      </c>
      <c r="D106" s="19" t="s">
        <v>282</v>
      </c>
      <c r="E106" s="20" t="s">
        <v>39</v>
      </c>
      <c r="F106" s="21">
        <v>1993</v>
      </c>
      <c r="G106" s="40">
        <v>2023</v>
      </c>
      <c r="H106" s="23">
        <v>1031960299098</v>
      </c>
      <c r="I106" s="23">
        <v>2202279148921</v>
      </c>
      <c r="J106" s="23">
        <v>511696300498</v>
      </c>
      <c r="K106" s="23">
        <f>(511696300498+473270235795)/2</f>
        <v>492483268146.5</v>
      </c>
      <c r="L106" s="23">
        <v>220519728635</v>
      </c>
      <c r="M106" s="23">
        <v>1690582848423</v>
      </c>
      <c r="N106" s="23">
        <v>1235319352961</v>
      </c>
      <c r="O106" s="25">
        <f t="shared" si="0"/>
        <v>811440570463</v>
      </c>
      <c r="P106" s="23">
        <v>275323834153</v>
      </c>
      <c r="Q106" s="23">
        <f>17879288261+131341408264</f>
        <v>149220696525</v>
      </c>
      <c r="R106" s="25">
        <f t="shared" si="1"/>
        <v>1086098656436</v>
      </c>
      <c r="S106" s="26">
        <f t="shared" si="2"/>
        <v>0.23234851982715454</v>
      </c>
      <c r="T106" s="27">
        <f t="shared" si="3"/>
        <v>4.6796733584144787</v>
      </c>
      <c r="U106" s="26">
        <f t="shared" si="4"/>
        <v>28.420513916821477</v>
      </c>
      <c r="V106" s="26">
        <f t="shared" si="5"/>
        <v>2.5083478624770801</v>
      </c>
      <c r="W106" s="73" t="s">
        <v>286</v>
      </c>
      <c r="X106" s="29">
        <v>26440</v>
      </c>
      <c r="Y106" s="73">
        <v>900</v>
      </c>
      <c r="Z106" s="30">
        <f t="shared" si="6"/>
        <v>23796000</v>
      </c>
      <c r="AA106" s="31">
        <f t="shared" si="7"/>
        <v>30</v>
      </c>
      <c r="AB106" s="32">
        <v>3.2500000000000001E-2</v>
      </c>
      <c r="AC106" s="32">
        <v>5.0500000000000003E-2</v>
      </c>
      <c r="AD106" s="33">
        <f t="shared" si="8"/>
        <v>0.36845491220337023</v>
      </c>
      <c r="AE106" s="34">
        <f t="shared" si="9"/>
        <v>0.1250176819264234</v>
      </c>
      <c r="AF106" s="33">
        <f t="shared" si="10"/>
        <v>0.4931702944961045</v>
      </c>
      <c r="AG106" s="33">
        <f t="shared" si="11"/>
        <v>4.65041470435509E-5</v>
      </c>
      <c r="AH106" s="35">
        <f t="shared" si="12"/>
        <v>2.4141651048849595</v>
      </c>
      <c r="AI106" s="36">
        <f t="shared" si="13"/>
        <v>4.6588256285513676</v>
      </c>
      <c r="AJ106" s="23"/>
      <c r="AK106" s="76"/>
    </row>
    <row r="107" spans="1:44" ht="16.8">
      <c r="A107" s="70" t="s">
        <v>287</v>
      </c>
      <c r="B107" s="71">
        <v>40</v>
      </c>
      <c r="C107" s="1" t="s">
        <v>288</v>
      </c>
      <c r="D107" s="19" t="s">
        <v>289</v>
      </c>
      <c r="E107" s="20" t="s">
        <v>39</v>
      </c>
      <c r="F107" s="21">
        <v>2001</v>
      </c>
      <c r="G107" s="40">
        <v>2021</v>
      </c>
      <c r="H107" s="23">
        <v>2564422795753</v>
      </c>
      <c r="I107" s="23">
        <v>7050051693659</v>
      </c>
      <c r="J107" s="23">
        <v>3515699437284</v>
      </c>
      <c r="K107" s="23">
        <f>(3515699437284+3981924727646)/2</f>
        <v>3748812082465</v>
      </c>
      <c r="L107" s="23">
        <v>2192825376722</v>
      </c>
      <c r="M107" s="23">
        <v>3534352256375</v>
      </c>
      <c r="N107" s="23">
        <v>901810533700</v>
      </c>
      <c r="O107" s="25">
        <f t="shared" si="0"/>
        <v>371597419031</v>
      </c>
      <c r="P107" s="23">
        <v>82140071306</v>
      </c>
      <c r="Q107" s="23">
        <f>31169554878+164781994727</f>
        <v>195951549605</v>
      </c>
      <c r="R107" s="25">
        <f t="shared" si="1"/>
        <v>705858984095</v>
      </c>
      <c r="S107" s="26">
        <f t="shared" si="2"/>
        <v>0.49867711472897591</v>
      </c>
      <c r="T107" s="27">
        <f t="shared" si="3"/>
        <v>1.1694605612356108</v>
      </c>
      <c r="U107" s="26">
        <f t="shared" si="4"/>
        <v>29.584056065159743</v>
      </c>
      <c r="V107" s="26">
        <f t="shared" si="5"/>
        <v>0.24055901279186606</v>
      </c>
      <c r="W107" s="73" t="s">
        <v>290</v>
      </c>
      <c r="X107" s="29">
        <v>50490</v>
      </c>
      <c r="Y107" s="73">
        <v>6625330</v>
      </c>
      <c r="Z107" s="30">
        <f t="shared" si="6"/>
        <v>334512911700</v>
      </c>
      <c r="AA107" s="31">
        <f t="shared" si="7"/>
        <v>20</v>
      </c>
      <c r="AB107" s="32">
        <v>1.84E-2</v>
      </c>
      <c r="AC107" s="32">
        <v>2.58E-2</v>
      </c>
      <c r="AD107" s="33">
        <f t="shared" si="8"/>
        <v>5.270846728191006E-2</v>
      </c>
      <c r="AE107" s="34">
        <f t="shared" si="9"/>
        <v>1.1650988514010318E-2</v>
      </c>
      <c r="AF107" s="33">
        <f t="shared" si="10"/>
        <v>0.10012110758419941</v>
      </c>
      <c r="AG107" s="33">
        <f t="shared" si="11"/>
        <v>9.5148324726650371E-2</v>
      </c>
      <c r="AH107" s="35">
        <f t="shared" si="12"/>
        <v>0.25650956510567924</v>
      </c>
      <c r="AI107" s="36">
        <f t="shared" si="13"/>
        <v>0.72355975962743413</v>
      </c>
      <c r="AJ107" s="23" t="s">
        <v>259</v>
      </c>
      <c r="AK107" s="23"/>
      <c r="AL107" s="44"/>
      <c r="AM107" s="44"/>
      <c r="AN107" s="44"/>
      <c r="AO107" s="44"/>
      <c r="AP107" s="44"/>
      <c r="AQ107" s="44"/>
      <c r="AR107" s="44"/>
    </row>
    <row r="108" spans="1:44" ht="16.8">
      <c r="A108" s="74" t="s">
        <v>291</v>
      </c>
      <c r="B108" s="75"/>
      <c r="C108" s="1" t="s">
        <v>288</v>
      </c>
      <c r="D108" s="19" t="s">
        <v>289</v>
      </c>
      <c r="E108" s="20" t="s">
        <v>39</v>
      </c>
      <c r="F108" s="21">
        <v>2001</v>
      </c>
      <c r="G108" s="40">
        <v>2022</v>
      </c>
      <c r="H108" s="23">
        <v>3661094355939</v>
      </c>
      <c r="I108" s="23">
        <v>7060487398145</v>
      </c>
      <c r="J108" s="23">
        <v>3341332518341</v>
      </c>
      <c r="K108" s="23">
        <f t="shared" ref="K108:K109" si="34">(J108+J107)/2</f>
        <v>3428515977812.5</v>
      </c>
      <c r="L108" s="23">
        <v>2429988476500</v>
      </c>
      <c r="M108" s="23">
        <v>3719154879804</v>
      </c>
      <c r="N108" s="23">
        <v>2549015672158</v>
      </c>
      <c r="O108" s="25">
        <f t="shared" si="0"/>
        <v>1231105879439</v>
      </c>
      <c r="P108" s="23">
        <v>310615310502</v>
      </c>
      <c r="Q108" s="23">
        <f>272693690778+97575228385</f>
        <v>370268919163</v>
      </c>
      <c r="R108" s="25">
        <f t="shared" si="1"/>
        <v>2178746752995</v>
      </c>
      <c r="S108" s="26">
        <f t="shared" si="2"/>
        <v>0.47324388953925012</v>
      </c>
      <c r="T108" s="27">
        <f t="shared" si="3"/>
        <v>1.5066303364583054</v>
      </c>
      <c r="U108" s="26">
        <f t="shared" si="4"/>
        <v>29.585535201615233</v>
      </c>
      <c r="V108" s="26">
        <f t="shared" si="5"/>
        <v>0.74347492870205356</v>
      </c>
      <c r="W108" s="73" t="s">
        <v>292</v>
      </c>
      <c r="X108" s="29">
        <v>12680</v>
      </c>
      <c r="Y108" s="73">
        <v>5414011</v>
      </c>
      <c r="Z108" s="30">
        <f t="shared" si="6"/>
        <v>68649659480</v>
      </c>
      <c r="AA108" s="31">
        <f t="shared" si="7"/>
        <v>21</v>
      </c>
      <c r="AB108" s="32">
        <v>3.15E-2</v>
      </c>
      <c r="AC108" s="32">
        <v>8.0199999999999994E-2</v>
      </c>
      <c r="AD108" s="33">
        <f t="shared" si="8"/>
        <v>0.17436556572035639</v>
      </c>
      <c r="AE108" s="34">
        <f t="shared" si="9"/>
        <v>4.3993465746232745E-2</v>
      </c>
      <c r="AF108" s="33">
        <f t="shared" si="10"/>
        <v>0.30858305243451345</v>
      </c>
      <c r="AG108" s="33">
        <f t="shared" si="11"/>
        <v>2.0545593443086933E-2</v>
      </c>
      <c r="AH108" s="35">
        <f t="shared" si="12"/>
        <v>0.76287399059091787</v>
      </c>
      <c r="AI108" s="36">
        <f t="shared" si="13"/>
        <v>2.0643549505998178</v>
      </c>
      <c r="AJ108" s="23"/>
      <c r="AK108" s="76"/>
    </row>
    <row r="109" spans="1:44" ht="16.8">
      <c r="A109" s="74" t="s">
        <v>293</v>
      </c>
      <c r="B109" s="75"/>
      <c r="C109" s="1" t="s">
        <v>288</v>
      </c>
      <c r="D109" s="19" t="s">
        <v>289</v>
      </c>
      <c r="E109" s="20" t="s">
        <v>39</v>
      </c>
      <c r="F109" s="21">
        <v>2001</v>
      </c>
      <c r="G109" s="40">
        <v>2023</v>
      </c>
      <c r="H109" s="23">
        <v>5752390556523</v>
      </c>
      <c r="I109" s="23">
        <v>9424847526584</v>
      </c>
      <c r="J109" s="23">
        <v>3178581694995</v>
      </c>
      <c r="K109" s="23">
        <f t="shared" si="34"/>
        <v>3259957106668</v>
      </c>
      <c r="L109" s="23">
        <v>2091427744147</v>
      </c>
      <c r="M109" s="23">
        <v>6246056011589</v>
      </c>
      <c r="N109" s="23">
        <v>1393477022200</v>
      </c>
      <c r="O109" s="25">
        <f t="shared" si="0"/>
        <v>3660962812376</v>
      </c>
      <c r="P109" s="23">
        <v>121198197396</v>
      </c>
      <c r="Q109" s="23">
        <f>122608818719+101910510304</f>
        <v>224519329023</v>
      </c>
      <c r="R109" s="25">
        <f t="shared" si="1"/>
        <v>1168957693177</v>
      </c>
      <c r="S109" s="26">
        <f t="shared" si="2"/>
        <v>0.33725550318234854</v>
      </c>
      <c r="T109" s="27">
        <f t="shared" si="3"/>
        <v>2.7504610535178413</v>
      </c>
      <c r="U109" s="26">
        <f t="shared" si="4"/>
        <v>29.874370671580994</v>
      </c>
      <c r="V109" s="26">
        <f t="shared" si="5"/>
        <v>0.42745256351678562</v>
      </c>
      <c r="W109" s="73" t="s">
        <v>294</v>
      </c>
      <c r="X109" s="29">
        <v>21620</v>
      </c>
      <c r="Y109" s="73">
        <v>6518709</v>
      </c>
      <c r="Z109" s="30">
        <f t="shared" si="6"/>
        <v>140934488580</v>
      </c>
      <c r="AA109" s="31">
        <f t="shared" si="7"/>
        <v>22</v>
      </c>
      <c r="AB109" s="32">
        <v>3.2500000000000001E-2</v>
      </c>
      <c r="AC109" s="32">
        <v>5.0500000000000003E-2</v>
      </c>
      <c r="AD109" s="33">
        <f t="shared" si="8"/>
        <v>0.38843735159107684</v>
      </c>
      <c r="AE109" s="34">
        <f t="shared" si="9"/>
        <v>1.2859433222038322E-2</v>
      </c>
      <c r="AF109" s="33">
        <f t="shared" si="10"/>
        <v>0.12402934794221379</v>
      </c>
      <c r="AG109" s="33">
        <f t="shared" si="11"/>
        <v>4.4338797018152992E-2</v>
      </c>
      <c r="AH109" s="35">
        <f t="shared" si="12"/>
        <v>0.4383958494425898</v>
      </c>
      <c r="AI109" s="36">
        <f t="shared" si="13"/>
        <v>1.358424004282933</v>
      </c>
      <c r="AJ109" s="23"/>
      <c r="AK109" s="76"/>
    </row>
    <row r="110" spans="1:44" ht="16.8">
      <c r="A110" s="45"/>
      <c r="B110" s="45">
        <v>41</v>
      </c>
      <c r="C110" s="45" t="s">
        <v>295</v>
      </c>
      <c r="D110" s="46" t="s">
        <v>296</v>
      </c>
      <c r="E110" s="47" t="s">
        <v>39</v>
      </c>
      <c r="F110" s="48"/>
      <c r="G110" s="48"/>
      <c r="H110" s="49"/>
      <c r="I110" s="49"/>
      <c r="J110" s="49"/>
      <c r="K110" s="49"/>
      <c r="L110" s="49"/>
      <c r="M110" s="49"/>
      <c r="N110" s="49"/>
      <c r="O110" s="49">
        <f t="shared" si="0"/>
        <v>0</v>
      </c>
      <c r="P110" s="49"/>
      <c r="Q110" s="49"/>
      <c r="R110" s="49">
        <f t="shared" si="1"/>
        <v>0</v>
      </c>
      <c r="S110" s="50" t="e">
        <f t="shared" si="2"/>
        <v>#DIV/0!</v>
      </c>
      <c r="T110" s="51" t="e">
        <f t="shared" si="3"/>
        <v>#DIV/0!</v>
      </c>
      <c r="U110" s="50" t="e">
        <f t="shared" si="4"/>
        <v>#NUM!</v>
      </c>
      <c r="V110" s="50" t="e">
        <f t="shared" si="5"/>
        <v>#DIV/0!</v>
      </c>
      <c r="W110" s="52"/>
      <c r="X110" s="53">
        <v>0</v>
      </c>
      <c r="Y110" s="52"/>
      <c r="Z110" s="55">
        <f t="shared" si="6"/>
        <v>0</v>
      </c>
      <c r="AA110" s="48">
        <f t="shared" si="7"/>
        <v>0</v>
      </c>
      <c r="AB110" s="49"/>
      <c r="AC110" s="49"/>
      <c r="AD110" s="50" t="e">
        <f t="shared" si="8"/>
        <v>#DIV/0!</v>
      </c>
      <c r="AE110" s="56" t="e">
        <f t="shared" si="9"/>
        <v>#DIV/0!</v>
      </c>
      <c r="AF110" s="50" t="e">
        <f t="shared" si="10"/>
        <v>#DIV/0!</v>
      </c>
      <c r="AG110" s="50" t="e">
        <f t="shared" si="11"/>
        <v>#DIV/0!</v>
      </c>
      <c r="AH110" s="57" t="e">
        <f t="shared" si="12"/>
        <v>#DIV/0!</v>
      </c>
      <c r="AI110" s="58" t="e">
        <f t="shared" si="13"/>
        <v>#DIV/0!</v>
      </c>
      <c r="AJ110" s="49"/>
      <c r="AK110" s="49"/>
      <c r="AL110" s="59"/>
      <c r="AM110" s="59"/>
      <c r="AN110" s="59"/>
      <c r="AO110" s="59"/>
      <c r="AP110" s="59"/>
      <c r="AQ110" s="59"/>
      <c r="AR110" s="59"/>
    </row>
    <row r="111" spans="1:44" ht="16.8">
      <c r="A111" s="70" t="s">
        <v>297</v>
      </c>
      <c r="B111" s="71">
        <v>42</v>
      </c>
      <c r="C111" s="1" t="s">
        <v>298</v>
      </c>
      <c r="D111" s="19" t="s">
        <v>299</v>
      </c>
      <c r="E111" s="20" t="s">
        <v>39</v>
      </c>
      <c r="F111" s="21">
        <v>1987</v>
      </c>
      <c r="G111" s="40">
        <v>2021</v>
      </c>
      <c r="H111" s="23">
        <v>110633940837</v>
      </c>
      <c r="I111" s="23">
        <v>127434581563</v>
      </c>
      <c r="J111" s="23">
        <v>87010704501</v>
      </c>
      <c r="K111" s="23">
        <f>AVERAGE(J111,99676020354)</f>
        <v>93343362427.5</v>
      </c>
      <c r="L111" s="23">
        <v>87010704501</v>
      </c>
      <c r="M111" s="23">
        <v>40423877062</v>
      </c>
      <c r="N111" s="23">
        <v>95921122117</v>
      </c>
      <c r="O111" s="25">
        <f t="shared" si="0"/>
        <v>23623236336</v>
      </c>
      <c r="P111" s="23">
        <v>-2466734472</v>
      </c>
      <c r="Q111" s="23">
        <v>11896796022</v>
      </c>
      <c r="R111" s="25">
        <f t="shared" si="1"/>
        <v>84024326095</v>
      </c>
      <c r="S111" s="26">
        <f t="shared" si="2"/>
        <v>0.68278722646399093</v>
      </c>
      <c r="T111" s="27">
        <f t="shared" si="3"/>
        <v>1.2714980469527</v>
      </c>
      <c r="U111" s="26">
        <f t="shared" si="4"/>
        <v>25.57086898409095</v>
      </c>
      <c r="V111" s="26">
        <f t="shared" si="5"/>
        <v>1.027615886362591</v>
      </c>
      <c r="W111" s="72">
        <v>45791</v>
      </c>
      <c r="X111" s="42">
        <v>14500</v>
      </c>
      <c r="Y111" s="73">
        <v>300</v>
      </c>
      <c r="Z111" s="30">
        <f t="shared" si="6"/>
        <v>4350000</v>
      </c>
      <c r="AA111" s="31">
        <f t="shared" si="7"/>
        <v>34</v>
      </c>
      <c r="AB111" s="32">
        <v>1.84E-2</v>
      </c>
      <c r="AC111" s="32">
        <v>2.58E-2</v>
      </c>
      <c r="AD111" s="33">
        <f t="shared" si="8"/>
        <v>0.18537539846922438</v>
      </c>
      <c r="AE111" s="34">
        <f t="shared" si="9"/>
        <v>-1.935686876941262E-2</v>
      </c>
      <c r="AF111" s="33">
        <f t="shared" si="10"/>
        <v>0.65935262677078577</v>
      </c>
      <c r="AG111" s="33">
        <f t="shared" si="11"/>
        <v>4.9993848744782959E-5</v>
      </c>
      <c r="AH111" s="35">
        <f t="shared" si="12"/>
        <v>1.1024059932292307</v>
      </c>
      <c r="AI111" s="36">
        <f t="shared" si="13"/>
        <v>3.4736505197679621</v>
      </c>
      <c r="AJ111" s="23"/>
      <c r="AK111" s="23"/>
      <c r="AL111" s="44"/>
      <c r="AM111" s="44"/>
      <c r="AN111" s="44"/>
      <c r="AO111" s="44"/>
      <c r="AP111" s="44"/>
      <c r="AQ111" s="44"/>
      <c r="AR111" s="44"/>
    </row>
    <row r="112" spans="1:44" ht="16.8">
      <c r="A112" s="74" t="s">
        <v>300</v>
      </c>
      <c r="B112" s="75"/>
      <c r="C112" s="1" t="s">
        <v>298</v>
      </c>
      <c r="D112" s="19" t="s">
        <v>299</v>
      </c>
      <c r="E112" s="20" t="s">
        <v>39</v>
      </c>
      <c r="F112" s="21">
        <v>1987</v>
      </c>
      <c r="G112" s="40">
        <v>2022</v>
      </c>
      <c r="H112" s="23">
        <v>200609804641</v>
      </c>
      <c r="I112" s="23">
        <v>216096515977</v>
      </c>
      <c r="J112" s="23">
        <v>173844023671</v>
      </c>
      <c r="K112" s="23">
        <f t="shared" ref="K112:K113" si="35">AVERAGE(J111:J112)</f>
        <v>130427364086</v>
      </c>
      <c r="L112" s="23">
        <v>173717291269</v>
      </c>
      <c r="M112" s="23">
        <v>42252492306</v>
      </c>
      <c r="N112" s="23">
        <v>240232029321</v>
      </c>
      <c r="O112" s="25">
        <f t="shared" si="0"/>
        <v>26892513372</v>
      </c>
      <c r="P112" s="23">
        <v>1828615244</v>
      </c>
      <c r="Q112" s="23">
        <v>12618416315</v>
      </c>
      <c r="R112" s="25">
        <f t="shared" si="1"/>
        <v>227613613006</v>
      </c>
      <c r="S112" s="26">
        <f t="shared" si="2"/>
        <v>0.80447397721813763</v>
      </c>
      <c r="T112" s="27">
        <f t="shared" si="3"/>
        <v>1.1548061979066733</v>
      </c>
      <c r="U112" s="26">
        <f t="shared" si="4"/>
        <v>26.098990978057191</v>
      </c>
      <c r="V112" s="26">
        <f t="shared" si="5"/>
        <v>1.8418836492210178</v>
      </c>
      <c r="W112" s="73" t="s">
        <v>301</v>
      </c>
      <c r="X112" s="29">
        <v>30000</v>
      </c>
      <c r="Y112" s="73">
        <v>0</v>
      </c>
      <c r="Z112" s="30">
        <f t="shared" si="6"/>
        <v>0</v>
      </c>
      <c r="AA112" s="31">
        <f t="shared" si="7"/>
        <v>35</v>
      </c>
      <c r="AB112" s="32">
        <v>3.15E-2</v>
      </c>
      <c r="AC112" s="32">
        <v>8.0199999999999994E-2</v>
      </c>
      <c r="AD112" s="33">
        <f t="shared" si="8"/>
        <v>0.12444676977051437</v>
      </c>
      <c r="AE112" s="34">
        <f t="shared" si="9"/>
        <v>8.4620301985554765E-3</v>
      </c>
      <c r="AF112" s="33">
        <f t="shared" si="10"/>
        <v>1.0532960791937331</v>
      </c>
      <c r="AG112" s="33">
        <f t="shared" si="11"/>
        <v>0</v>
      </c>
      <c r="AH112" s="35">
        <f t="shared" si="12"/>
        <v>1.3818825878975245</v>
      </c>
      <c r="AI112" s="36">
        <f t="shared" si="13"/>
        <v>5.018942615239439</v>
      </c>
      <c r="AJ112" s="76"/>
      <c r="AK112" s="76"/>
    </row>
    <row r="113" spans="1:44" ht="16.8">
      <c r="A113" s="70" t="s">
        <v>302</v>
      </c>
      <c r="B113" s="71"/>
      <c r="C113" s="1" t="s">
        <v>298</v>
      </c>
      <c r="D113" s="19" t="s">
        <v>299</v>
      </c>
      <c r="E113" s="20" t="s">
        <v>39</v>
      </c>
      <c r="F113" s="21">
        <v>1987</v>
      </c>
      <c r="G113" s="40">
        <v>2023</v>
      </c>
      <c r="H113" s="23">
        <v>205945147496</v>
      </c>
      <c r="I113" s="23">
        <v>220550044937</v>
      </c>
      <c r="J113" s="23">
        <v>134420798620</v>
      </c>
      <c r="K113" s="23">
        <f t="shared" si="35"/>
        <v>154132411145.5</v>
      </c>
      <c r="L113" s="23">
        <v>130347515488</v>
      </c>
      <c r="M113" s="23">
        <v>86129246317</v>
      </c>
      <c r="N113" s="23">
        <v>252387561856</v>
      </c>
      <c r="O113" s="25">
        <f t="shared" si="0"/>
        <v>75597632008</v>
      </c>
      <c r="P113" s="23">
        <v>3996754011</v>
      </c>
      <c r="Q113" s="23">
        <f>4727360425+12981185510</f>
        <v>17708545935</v>
      </c>
      <c r="R113" s="25">
        <f t="shared" si="1"/>
        <v>234679015921</v>
      </c>
      <c r="S113" s="26">
        <f t="shared" si="2"/>
        <v>0.60947980608390817</v>
      </c>
      <c r="T113" s="27">
        <f t="shared" si="3"/>
        <v>1.5799698730349765</v>
      </c>
      <c r="U113" s="26">
        <f t="shared" si="4"/>
        <v>26.119390467247054</v>
      </c>
      <c r="V113" s="26">
        <f t="shared" si="5"/>
        <v>1.6374723523772543</v>
      </c>
      <c r="W113" s="72">
        <v>45894</v>
      </c>
      <c r="X113" s="42">
        <v>25800</v>
      </c>
      <c r="Y113" s="73">
        <v>0</v>
      </c>
      <c r="Z113" s="30">
        <f t="shared" si="6"/>
        <v>0</v>
      </c>
      <c r="AA113" s="31">
        <f t="shared" si="7"/>
        <v>36</v>
      </c>
      <c r="AB113" s="32">
        <v>3.2500000000000001E-2</v>
      </c>
      <c r="AC113" s="32">
        <v>5.0500000000000003E-2</v>
      </c>
      <c r="AD113" s="33">
        <f t="shared" si="8"/>
        <v>0.34276860850150553</v>
      </c>
      <c r="AE113" s="34">
        <f t="shared" si="9"/>
        <v>1.812175559584071E-2</v>
      </c>
      <c r="AF113" s="33">
        <f t="shared" si="10"/>
        <v>1.064062426230908</v>
      </c>
      <c r="AG113" s="33">
        <f t="shared" si="11"/>
        <v>0</v>
      </c>
      <c r="AH113" s="35">
        <f t="shared" si="12"/>
        <v>1.8775930841586901</v>
      </c>
      <c r="AI113" s="36">
        <f t="shared" si="13"/>
        <v>5.8256918787566701</v>
      </c>
      <c r="AJ113" s="23"/>
      <c r="AK113" s="23"/>
      <c r="AL113" s="44"/>
      <c r="AM113" s="44"/>
      <c r="AN113" s="44"/>
      <c r="AO113" s="44"/>
      <c r="AP113" s="44"/>
      <c r="AQ113" s="44"/>
      <c r="AR113" s="44"/>
    </row>
    <row r="114" spans="1:44" ht="16.8">
      <c r="A114" s="70" t="s">
        <v>303</v>
      </c>
      <c r="B114" s="71">
        <v>43</v>
      </c>
      <c r="C114" s="1" t="s">
        <v>304</v>
      </c>
      <c r="D114" s="19" t="s">
        <v>305</v>
      </c>
      <c r="E114" s="20" t="s">
        <v>39</v>
      </c>
      <c r="F114" s="21">
        <v>1990</v>
      </c>
      <c r="G114" s="40">
        <v>2021</v>
      </c>
      <c r="H114" s="23">
        <v>114228430920</v>
      </c>
      <c r="I114" s="23">
        <v>170256995693</v>
      </c>
      <c r="J114" s="23">
        <v>86222682758</v>
      </c>
      <c r="K114" s="23">
        <f>(86222682758+74531599839)/2</f>
        <v>80377141298.5</v>
      </c>
      <c r="L114" s="23">
        <v>86222682758</v>
      </c>
      <c r="M114" s="23">
        <v>84034312935</v>
      </c>
      <c r="N114" s="23">
        <v>482091125467</v>
      </c>
      <c r="O114" s="25">
        <f t="shared" si="0"/>
        <v>28005748162</v>
      </c>
      <c r="P114" s="23">
        <v>4486726521</v>
      </c>
      <c r="Q114" s="23">
        <f>22641818858+4153858794</f>
        <v>26795677652</v>
      </c>
      <c r="R114" s="25">
        <f t="shared" si="1"/>
        <v>455295447815</v>
      </c>
      <c r="S114" s="26">
        <f t="shared" si="2"/>
        <v>0.50642666638775291</v>
      </c>
      <c r="T114" s="27">
        <f t="shared" si="3"/>
        <v>1.324807199987077</v>
      </c>
      <c r="U114" s="26">
        <f t="shared" si="4"/>
        <v>25.860574871839617</v>
      </c>
      <c r="V114" s="26">
        <f t="shared" si="5"/>
        <v>5.9978635427781359</v>
      </c>
      <c r="W114" s="73" t="s">
        <v>306</v>
      </c>
      <c r="X114" s="29">
        <v>11820</v>
      </c>
      <c r="Y114" s="73">
        <v>0</v>
      </c>
      <c r="Z114" s="30">
        <f t="shared" si="6"/>
        <v>0</v>
      </c>
      <c r="AA114" s="31">
        <f t="shared" si="7"/>
        <v>31</v>
      </c>
      <c r="AB114" s="32">
        <v>1.84E-2</v>
      </c>
      <c r="AC114" s="32">
        <v>2.58E-2</v>
      </c>
      <c r="AD114" s="33">
        <f t="shared" si="8"/>
        <v>0.16449102750819558</v>
      </c>
      <c r="AE114" s="34">
        <f t="shared" si="9"/>
        <v>2.6352670577426785E-2</v>
      </c>
      <c r="AF114" s="33">
        <f t="shared" si="10"/>
        <v>2.6741658747225219</v>
      </c>
      <c r="AG114" s="33">
        <f t="shared" si="11"/>
        <v>0</v>
      </c>
      <c r="AH114" s="35">
        <f t="shared" si="12"/>
        <v>5.5912331888359175</v>
      </c>
      <c r="AI114" s="36">
        <f t="shared" si="13"/>
        <v>14.65026354723847</v>
      </c>
      <c r="AJ114" s="23" t="s">
        <v>307</v>
      </c>
      <c r="AK114" s="23"/>
      <c r="AL114" s="44"/>
      <c r="AM114" s="44"/>
      <c r="AN114" s="44"/>
      <c r="AO114" s="44"/>
      <c r="AP114" s="44"/>
      <c r="AQ114" s="44"/>
      <c r="AR114" s="44"/>
    </row>
    <row r="115" spans="1:44" ht="16.8">
      <c r="A115" s="70" t="s">
        <v>308</v>
      </c>
      <c r="B115" s="71"/>
      <c r="C115" s="1" t="s">
        <v>304</v>
      </c>
      <c r="D115" s="19" t="s">
        <v>305</v>
      </c>
      <c r="E115" s="20" t="s">
        <v>39</v>
      </c>
      <c r="F115" s="21">
        <v>1990</v>
      </c>
      <c r="G115" s="40">
        <v>2022</v>
      </c>
      <c r="H115" s="23">
        <v>102339029579</v>
      </c>
      <c r="I115" s="23">
        <v>154406151843</v>
      </c>
      <c r="J115" s="23">
        <v>72954642270</v>
      </c>
      <c r="K115" s="23">
        <f t="shared" ref="K115:K116" si="36">(J115+J114)/2</f>
        <v>79588662514</v>
      </c>
      <c r="L115" s="23">
        <v>72954642270</v>
      </c>
      <c r="M115" s="23">
        <v>81451509573</v>
      </c>
      <c r="N115" s="23">
        <v>555279207586</v>
      </c>
      <c r="O115" s="25">
        <f t="shared" si="0"/>
        <v>29384387309</v>
      </c>
      <c r="P115" s="23">
        <v>2156096638</v>
      </c>
      <c r="Q115" s="23">
        <f>3331548970+27167649979</f>
        <v>30499198949</v>
      </c>
      <c r="R115" s="25">
        <f t="shared" si="1"/>
        <v>524780008637</v>
      </c>
      <c r="S115" s="26">
        <f t="shared" si="2"/>
        <v>0.47248533429017903</v>
      </c>
      <c r="T115" s="27">
        <f t="shared" si="3"/>
        <v>1.4027761139620212</v>
      </c>
      <c r="U115" s="26">
        <f t="shared" si="4"/>
        <v>25.7628523172861</v>
      </c>
      <c r="V115" s="26">
        <f t="shared" si="5"/>
        <v>6.9768631617389465</v>
      </c>
      <c r="W115" s="73" t="s">
        <v>309</v>
      </c>
      <c r="X115" s="29">
        <v>16570</v>
      </c>
      <c r="Y115" s="73">
        <v>0</v>
      </c>
      <c r="Z115" s="30">
        <f t="shared" si="6"/>
        <v>0</v>
      </c>
      <c r="AA115" s="31">
        <f t="shared" si="7"/>
        <v>32</v>
      </c>
      <c r="AB115" s="32">
        <v>3.15E-2</v>
      </c>
      <c r="AC115" s="32">
        <v>8.0199999999999994E-2</v>
      </c>
      <c r="AD115" s="33">
        <f t="shared" si="8"/>
        <v>0.19030580684944479</v>
      </c>
      <c r="AE115" s="34">
        <f t="shared" si="9"/>
        <v>1.3963800096464528E-2</v>
      </c>
      <c r="AF115" s="33">
        <f t="shared" si="10"/>
        <v>3.3986988366279327</v>
      </c>
      <c r="AG115" s="33">
        <f t="shared" si="11"/>
        <v>0</v>
      </c>
      <c r="AH115" s="35">
        <f t="shared" si="12"/>
        <v>7.6112936793103678</v>
      </c>
      <c r="AI115" s="36">
        <f t="shared" si="13"/>
        <v>19.074916128536927</v>
      </c>
      <c r="AJ115" s="23"/>
      <c r="AK115" s="23"/>
      <c r="AL115" s="44"/>
      <c r="AM115" s="44"/>
      <c r="AN115" s="44"/>
      <c r="AO115" s="44"/>
      <c r="AP115" s="44"/>
      <c r="AQ115" s="44"/>
      <c r="AR115" s="44"/>
    </row>
    <row r="116" spans="1:44" ht="16.8">
      <c r="A116" s="70" t="s">
        <v>310</v>
      </c>
      <c r="B116" s="71"/>
      <c r="C116" s="1" t="s">
        <v>304</v>
      </c>
      <c r="D116" s="19" t="s">
        <v>305</v>
      </c>
      <c r="E116" s="20" t="s">
        <v>39</v>
      </c>
      <c r="F116" s="21">
        <v>1990</v>
      </c>
      <c r="G116" s="40">
        <v>2023</v>
      </c>
      <c r="H116" s="23">
        <v>102701526177</v>
      </c>
      <c r="I116" s="23">
        <v>151997439804</v>
      </c>
      <c r="J116" s="23">
        <v>72833300605</v>
      </c>
      <c r="K116" s="23">
        <f t="shared" si="36"/>
        <v>72893971437.5</v>
      </c>
      <c r="L116" s="23">
        <v>72833300605</v>
      </c>
      <c r="M116" s="23">
        <v>79164139199</v>
      </c>
      <c r="N116" s="23">
        <v>810343913079</v>
      </c>
      <c r="O116" s="25">
        <f t="shared" si="0"/>
        <v>29868225572</v>
      </c>
      <c r="P116" s="23">
        <v>2472566626</v>
      </c>
      <c r="Q116" s="23">
        <f>4379794851+34477406381</f>
        <v>38857201232</v>
      </c>
      <c r="R116" s="25">
        <f t="shared" si="1"/>
        <v>771486711847</v>
      </c>
      <c r="S116" s="26">
        <f t="shared" si="2"/>
        <v>0.47917452227431073</v>
      </c>
      <c r="T116" s="27">
        <f t="shared" si="3"/>
        <v>1.4100902378979863</v>
      </c>
      <c r="U116" s="26">
        <f t="shared" si="4"/>
        <v>25.747129514256098</v>
      </c>
      <c r="V116" s="26">
        <f t="shared" si="5"/>
        <v>11.116748025915927</v>
      </c>
      <c r="W116" s="73" t="s">
        <v>311</v>
      </c>
      <c r="X116" s="29">
        <v>12130</v>
      </c>
      <c r="Y116" s="73">
        <v>0</v>
      </c>
      <c r="Z116" s="30">
        <f t="shared" si="6"/>
        <v>0</v>
      </c>
      <c r="AA116" s="31">
        <f t="shared" si="7"/>
        <v>33</v>
      </c>
      <c r="AB116" s="32">
        <v>3.2500000000000001E-2</v>
      </c>
      <c r="AC116" s="32">
        <v>5.0500000000000003E-2</v>
      </c>
      <c r="AD116" s="33">
        <f t="shared" si="8"/>
        <v>0.19650479383412603</v>
      </c>
      <c r="AE116" s="34">
        <f t="shared" si="9"/>
        <v>1.6267159691560354E-2</v>
      </c>
      <c r="AF116" s="33">
        <f t="shared" si="10"/>
        <v>5.0756559639545813</v>
      </c>
      <c r="AG116" s="33">
        <f t="shared" si="11"/>
        <v>0</v>
      </c>
      <c r="AH116" s="35">
        <f t="shared" si="12"/>
        <v>11.126008382810678</v>
      </c>
      <c r="AI116" s="36">
        <f t="shared" si="13"/>
        <v>28.13425284002993</v>
      </c>
      <c r="AJ116" s="23"/>
      <c r="AK116" s="23"/>
      <c r="AL116" s="44"/>
      <c r="AM116" s="44"/>
      <c r="AN116" s="44"/>
      <c r="AO116" s="44"/>
      <c r="AP116" s="44"/>
      <c r="AQ116" s="44"/>
      <c r="AR116" s="44"/>
    </row>
    <row r="117" spans="1:44" ht="16.8">
      <c r="A117" s="70" t="s">
        <v>312</v>
      </c>
      <c r="B117" s="71">
        <v>44</v>
      </c>
      <c r="C117" s="1" t="s">
        <v>313</v>
      </c>
      <c r="D117" s="19" t="s">
        <v>314</v>
      </c>
      <c r="E117" s="20" t="s">
        <v>39</v>
      </c>
      <c r="F117" s="21">
        <v>1994</v>
      </c>
      <c r="G117" s="40">
        <v>2021</v>
      </c>
      <c r="H117" s="23">
        <v>119301233964</v>
      </c>
      <c r="I117" s="23">
        <v>307523965887</v>
      </c>
      <c r="J117" s="23">
        <v>103620659561</v>
      </c>
      <c r="K117" s="23">
        <f>(103620659561+117319152287)/2</f>
        <v>110469905924</v>
      </c>
      <c r="L117" s="23">
        <v>95636124844</v>
      </c>
      <c r="M117" s="23">
        <v>203903306326</v>
      </c>
      <c r="N117" s="23">
        <v>733785505193</v>
      </c>
      <c r="O117" s="25">
        <f t="shared" si="0"/>
        <v>23665109120</v>
      </c>
      <c r="P117" s="23">
        <v>54488142853</v>
      </c>
      <c r="Q117" s="23">
        <f>13099398192+31016212224</f>
        <v>44115610416</v>
      </c>
      <c r="R117" s="25">
        <f t="shared" si="1"/>
        <v>689669894777</v>
      </c>
      <c r="S117" s="26">
        <f t="shared" si="2"/>
        <v>0.33695149339702363</v>
      </c>
      <c r="T117" s="27">
        <f t="shared" si="3"/>
        <v>1.2474494774710092</v>
      </c>
      <c r="U117" s="26">
        <f t="shared" si="4"/>
        <v>26.451818858999889</v>
      </c>
      <c r="V117" s="26">
        <f t="shared" si="5"/>
        <v>6.6424018293074543</v>
      </c>
      <c r="W117" s="73" t="s">
        <v>315</v>
      </c>
      <c r="X117" s="29">
        <v>20220</v>
      </c>
      <c r="Y117" s="73">
        <v>8600</v>
      </c>
      <c r="Z117" s="30">
        <f t="shared" si="6"/>
        <v>173892000</v>
      </c>
      <c r="AA117" s="31">
        <f t="shared" si="7"/>
        <v>27</v>
      </c>
      <c r="AB117" s="32">
        <v>1.84E-2</v>
      </c>
      <c r="AC117" s="32">
        <v>2.58E-2</v>
      </c>
      <c r="AD117" s="33">
        <f t="shared" si="8"/>
        <v>7.6953706849292425E-2</v>
      </c>
      <c r="AE117" s="34">
        <f t="shared" si="9"/>
        <v>0.17718340323765766</v>
      </c>
      <c r="AF117" s="33">
        <f t="shared" si="10"/>
        <v>2.2426541384758933</v>
      </c>
      <c r="AG117" s="33">
        <f t="shared" si="11"/>
        <v>1.6781595556012868E-3</v>
      </c>
      <c r="AH117" s="35">
        <f t="shared" si="12"/>
        <v>7.0814595110836072</v>
      </c>
      <c r="AI117" s="36">
        <f t="shared" si="13"/>
        <v>14.823626276539287</v>
      </c>
      <c r="AJ117" s="23"/>
      <c r="AK117" s="23"/>
      <c r="AL117" s="44"/>
      <c r="AM117" s="44"/>
      <c r="AN117" s="44"/>
      <c r="AO117" s="44"/>
      <c r="AP117" s="44"/>
      <c r="AQ117" s="44"/>
      <c r="AR117" s="44"/>
    </row>
    <row r="118" spans="1:44" ht="16.8">
      <c r="A118" s="70" t="s">
        <v>316</v>
      </c>
      <c r="B118" s="71"/>
      <c r="C118" s="1" t="s">
        <v>313</v>
      </c>
      <c r="D118" s="19" t="s">
        <v>314</v>
      </c>
      <c r="E118" s="20" t="s">
        <v>39</v>
      </c>
      <c r="F118" s="21">
        <v>1994</v>
      </c>
      <c r="G118" s="40">
        <v>2022</v>
      </c>
      <c r="H118" s="23">
        <v>179732653678</v>
      </c>
      <c r="I118" s="23">
        <v>319238155475</v>
      </c>
      <c r="J118" s="23">
        <v>115981695814</v>
      </c>
      <c r="K118" s="23">
        <f t="shared" ref="K118:K119" si="37">(J118+J117)/2</f>
        <v>109801177687.5</v>
      </c>
      <c r="L118" s="23">
        <v>110461029628</v>
      </c>
      <c r="M118" s="23">
        <v>203256459661</v>
      </c>
      <c r="N118" s="23">
        <v>811808649177</v>
      </c>
      <c r="O118" s="25">
        <f t="shared" si="0"/>
        <v>69271624050</v>
      </c>
      <c r="P118" s="23">
        <v>56034838069</v>
      </c>
      <c r="Q118" s="23">
        <f>16315907827
+38511722246</f>
        <v>54827630073</v>
      </c>
      <c r="R118" s="25">
        <f t="shared" si="1"/>
        <v>756981019104</v>
      </c>
      <c r="S118" s="26">
        <f t="shared" si="2"/>
        <v>0.36330774948072486</v>
      </c>
      <c r="T118" s="27">
        <f t="shared" si="3"/>
        <v>1.6271136914374806</v>
      </c>
      <c r="U118" s="26">
        <f t="shared" si="4"/>
        <v>26.489203230074477</v>
      </c>
      <c r="V118" s="26">
        <f t="shared" si="5"/>
        <v>7.393442094832996</v>
      </c>
      <c r="W118" s="73" t="s">
        <v>317</v>
      </c>
      <c r="X118" s="29">
        <v>24170</v>
      </c>
      <c r="Y118" s="73">
        <v>3100</v>
      </c>
      <c r="Z118" s="30">
        <f t="shared" si="6"/>
        <v>74927000</v>
      </c>
      <c r="AA118" s="31">
        <f t="shared" si="7"/>
        <v>28</v>
      </c>
      <c r="AB118" s="32">
        <v>3.15E-2</v>
      </c>
      <c r="AC118" s="32">
        <v>8.0199999999999994E-2</v>
      </c>
      <c r="AD118" s="33">
        <f t="shared" si="8"/>
        <v>0.21699042818653536</v>
      </c>
      <c r="AE118" s="34">
        <f t="shared" si="9"/>
        <v>0.17552675677387244</v>
      </c>
      <c r="AF118" s="33">
        <f t="shared" si="10"/>
        <v>2.3712109787681075</v>
      </c>
      <c r="AG118" s="33">
        <f t="shared" si="11"/>
        <v>6.4602435301653574E-4</v>
      </c>
      <c r="AH118" s="35">
        <f t="shared" si="12"/>
        <v>6.9994549008741744</v>
      </c>
      <c r="AI118" s="36">
        <f t="shared" si="13"/>
        <v>15.330964718728001</v>
      </c>
      <c r="AJ118" s="23"/>
      <c r="AK118" s="23"/>
      <c r="AL118" s="44"/>
      <c r="AM118" s="44"/>
      <c r="AN118" s="44"/>
      <c r="AO118" s="44"/>
      <c r="AP118" s="44"/>
      <c r="AQ118" s="44"/>
      <c r="AR118" s="44"/>
    </row>
    <row r="119" spans="1:44" ht="16.8">
      <c r="A119" s="70" t="s">
        <v>318</v>
      </c>
      <c r="B119" s="71"/>
      <c r="C119" s="1" t="s">
        <v>313</v>
      </c>
      <c r="D119" s="19" t="s">
        <v>314</v>
      </c>
      <c r="E119" s="20" t="s">
        <v>39</v>
      </c>
      <c r="F119" s="21">
        <v>1994</v>
      </c>
      <c r="G119" s="40">
        <v>2023</v>
      </c>
      <c r="H119" s="23">
        <v>195379802787</v>
      </c>
      <c r="I119" s="23">
        <v>303338132786</v>
      </c>
      <c r="J119" s="23">
        <v>106598348289</v>
      </c>
      <c r="K119" s="23">
        <f t="shared" si="37"/>
        <v>111290022051.5</v>
      </c>
      <c r="L119" s="23">
        <v>103543282168</v>
      </c>
      <c r="M119" s="23">
        <v>196739784497</v>
      </c>
      <c r="N119" s="23">
        <v>659208559383</v>
      </c>
      <c r="O119" s="25">
        <f t="shared" si="0"/>
        <v>91836520619</v>
      </c>
      <c r="P119" s="23">
        <v>47118162905</v>
      </c>
      <c r="Q119" s="23">
        <f>12971357743+34421305356</f>
        <v>47392663099</v>
      </c>
      <c r="R119" s="25">
        <f t="shared" si="1"/>
        <v>611815896284</v>
      </c>
      <c r="S119" s="26">
        <f t="shared" si="2"/>
        <v>0.35141756596821727</v>
      </c>
      <c r="T119" s="27">
        <f t="shared" si="3"/>
        <v>1.8869384734201717</v>
      </c>
      <c r="U119" s="26">
        <f t="shared" si="4"/>
        <v>26.438113970035452</v>
      </c>
      <c r="V119" s="26">
        <f t="shared" si="5"/>
        <v>5.9233392826353111</v>
      </c>
      <c r="W119" s="73" t="s">
        <v>319</v>
      </c>
      <c r="X119" s="29">
        <v>23590</v>
      </c>
      <c r="Y119" s="73">
        <v>300</v>
      </c>
      <c r="Z119" s="30">
        <f t="shared" si="6"/>
        <v>7077000</v>
      </c>
      <c r="AA119" s="31">
        <f t="shared" si="7"/>
        <v>29</v>
      </c>
      <c r="AB119" s="32">
        <v>3.2500000000000001E-2</v>
      </c>
      <c r="AC119" s="32">
        <v>5.0500000000000003E-2</v>
      </c>
      <c r="AD119" s="33">
        <f t="shared" si="8"/>
        <v>0.30275297001247492</v>
      </c>
      <c r="AE119" s="34">
        <f t="shared" si="9"/>
        <v>0.15533214526061936</v>
      </c>
      <c r="AF119" s="33">
        <f t="shared" si="10"/>
        <v>2.0169435694246394</v>
      </c>
      <c r="AG119" s="33">
        <f t="shared" si="11"/>
        <v>6.6389396398652107E-5</v>
      </c>
      <c r="AH119" s="35">
        <f t="shared" si="12"/>
        <v>6.1840410284389415</v>
      </c>
      <c r="AI119" s="36">
        <f t="shared" si="13"/>
        <v>13.420763208557927</v>
      </c>
      <c r="AJ119" s="23"/>
      <c r="AK119" s="23"/>
      <c r="AL119" s="44"/>
      <c r="AM119" s="44"/>
      <c r="AN119" s="44"/>
      <c r="AO119" s="44"/>
      <c r="AP119" s="44"/>
      <c r="AQ119" s="44"/>
      <c r="AR119" s="44"/>
    </row>
    <row r="120" spans="1:44" ht="16.8">
      <c r="A120" s="70" t="s">
        <v>320</v>
      </c>
      <c r="B120" s="71">
        <v>45</v>
      </c>
      <c r="C120" s="1" t="s">
        <v>321</v>
      </c>
      <c r="D120" s="19" t="s">
        <v>322</v>
      </c>
      <c r="E120" s="20" t="s">
        <v>39</v>
      </c>
      <c r="F120" s="21">
        <v>1982</v>
      </c>
      <c r="G120" s="40">
        <v>2021</v>
      </c>
      <c r="H120" s="23">
        <v>700665365344</v>
      </c>
      <c r="I120" s="23">
        <v>787348244766</v>
      </c>
      <c r="J120" s="23">
        <v>592448022204</v>
      </c>
      <c r="K120" s="23">
        <f>(592448022204+1011722799066)/2</f>
        <v>802085410635</v>
      </c>
      <c r="L120" s="23">
        <v>588775237447</v>
      </c>
      <c r="M120" s="23">
        <v>194900222562</v>
      </c>
      <c r="N120" s="23">
        <v>2678653426642</v>
      </c>
      <c r="O120" s="25">
        <f t="shared" si="0"/>
        <v>111890127897</v>
      </c>
      <c r="P120" s="23">
        <v>28309759921</v>
      </c>
      <c r="Q120" s="23">
        <f>159055731686+65593314947</f>
        <v>224649046633</v>
      </c>
      <c r="R120" s="25">
        <f t="shared" si="1"/>
        <v>2454004380009</v>
      </c>
      <c r="S120" s="26">
        <f t="shared" si="2"/>
        <v>0.75245995166989366</v>
      </c>
      <c r="T120" s="27">
        <f t="shared" si="3"/>
        <v>1.1900387801330929</v>
      </c>
      <c r="U120" s="26">
        <f t="shared" si="4"/>
        <v>27.391936484017148</v>
      </c>
      <c r="V120" s="26">
        <f t="shared" si="5"/>
        <v>3.3396112073916751</v>
      </c>
      <c r="W120" s="77">
        <v>45864</v>
      </c>
      <c r="X120" s="42">
        <v>26070</v>
      </c>
      <c r="Y120" s="73">
        <v>0</v>
      </c>
      <c r="Z120" s="30">
        <f t="shared" si="6"/>
        <v>0</v>
      </c>
      <c r="AA120" s="31">
        <f t="shared" si="7"/>
        <v>39</v>
      </c>
      <c r="AB120" s="32">
        <v>1.84E-2</v>
      </c>
      <c r="AC120" s="32">
        <v>2.58E-2</v>
      </c>
      <c r="AD120" s="33">
        <f t="shared" si="8"/>
        <v>0.14211008742421691</v>
      </c>
      <c r="AE120" s="34">
        <f t="shared" si="9"/>
        <v>3.5955830357396253E-2</v>
      </c>
      <c r="AF120" s="33">
        <f t="shared" si="10"/>
        <v>3.1167966605911852</v>
      </c>
      <c r="AG120" s="33">
        <f t="shared" si="11"/>
        <v>0</v>
      </c>
      <c r="AH120" s="35">
        <f t="shared" si="12"/>
        <v>4.5213306927365329</v>
      </c>
      <c r="AI120" s="36">
        <f t="shared" si="13"/>
        <v>15.027629940096858</v>
      </c>
      <c r="AJ120" s="23"/>
      <c r="AK120" s="23"/>
      <c r="AL120" s="44"/>
      <c r="AM120" s="44"/>
      <c r="AN120" s="44"/>
      <c r="AO120" s="44"/>
      <c r="AP120" s="44"/>
      <c r="AQ120" s="44"/>
      <c r="AR120" s="44"/>
    </row>
    <row r="121" spans="1:44" ht="16.8">
      <c r="A121" s="70" t="s">
        <v>323</v>
      </c>
      <c r="B121" s="71"/>
      <c r="C121" s="1" t="s">
        <v>321</v>
      </c>
      <c r="D121" s="19" t="s">
        <v>322</v>
      </c>
      <c r="E121" s="20" t="s">
        <v>39</v>
      </c>
      <c r="F121" s="21">
        <v>1982</v>
      </c>
      <c r="G121" s="40">
        <v>2022</v>
      </c>
      <c r="H121" s="23">
        <v>877721871247</v>
      </c>
      <c r="I121" s="23">
        <v>955775738367</v>
      </c>
      <c r="J121" s="23">
        <v>446522928290</v>
      </c>
      <c r="K121" s="23">
        <f t="shared" ref="K121:K122" si="38">(J121+J120)/2</f>
        <v>519485475247</v>
      </c>
      <c r="L121" s="23">
        <v>441467620014</v>
      </c>
      <c r="M121" s="23">
        <v>509252810077</v>
      </c>
      <c r="N121" s="23">
        <v>13227263649453</v>
      </c>
      <c r="O121" s="25">
        <f t="shared" si="0"/>
        <v>436254251233</v>
      </c>
      <c r="P121" s="23">
        <v>338834241090</v>
      </c>
      <c r="Q121" s="23">
        <f>232910966816+101054713070</f>
        <v>333965679886</v>
      </c>
      <c r="R121" s="25">
        <f t="shared" si="1"/>
        <v>12893297969567</v>
      </c>
      <c r="S121" s="26">
        <f t="shared" si="2"/>
        <v>0.46718378628538021</v>
      </c>
      <c r="T121" s="27">
        <f t="shared" si="3"/>
        <v>1.9881908240952424</v>
      </c>
      <c r="U121" s="26">
        <f t="shared" si="4"/>
        <v>27.585789139180729</v>
      </c>
      <c r="V121" s="26">
        <f t="shared" si="5"/>
        <v>25.4622396192383</v>
      </c>
      <c r="W121" s="73">
        <v>45</v>
      </c>
      <c r="X121" s="29">
        <v>45000</v>
      </c>
      <c r="Y121" s="73">
        <v>200</v>
      </c>
      <c r="Z121" s="30">
        <f t="shared" si="6"/>
        <v>9000000</v>
      </c>
      <c r="AA121" s="31">
        <f t="shared" si="7"/>
        <v>40</v>
      </c>
      <c r="AB121" s="32">
        <v>3.15E-2</v>
      </c>
      <c r="AC121" s="32">
        <v>8.0199999999999994E-2</v>
      </c>
      <c r="AD121" s="33">
        <f t="shared" si="8"/>
        <v>0.45643997197330671</v>
      </c>
      <c r="AE121" s="34">
        <f t="shared" si="9"/>
        <v>0.35451228514015071</v>
      </c>
      <c r="AF121" s="33">
        <f t="shared" si="10"/>
        <v>13.489877857326626</v>
      </c>
      <c r="AG121" s="33">
        <f t="shared" si="11"/>
        <v>2.0155739895521861E-5</v>
      </c>
      <c r="AH121" s="35">
        <f t="shared" si="12"/>
        <v>29.622809516429548</v>
      </c>
      <c r="AI121" s="36">
        <f t="shared" si="13"/>
        <v>75.183463704615519</v>
      </c>
      <c r="AJ121" s="23"/>
      <c r="AK121" s="23"/>
      <c r="AL121" s="44"/>
      <c r="AM121" s="44"/>
      <c r="AN121" s="44"/>
      <c r="AO121" s="44"/>
      <c r="AP121" s="44"/>
      <c r="AQ121" s="44"/>
      <c r="AR121" s="44"/>
    </row>
    <row r="122" spans="1:44" ht="16.8">
      <c r="A122" s="70" t="s">
        <v>324</v>
      </c>
      <c r="B122" s="71"/>
      <c r="C122" s="1" t="s">
        <v>321</v>
      </c>
      <c r="D122" s="19" t="s">
        <v>322</v>
      </c>
      <c r="E122" s="20" t="s">
        <v>39</v>
      </c>
      <c r="F122" s="21">
        <v>1982</v>
      </c>
      <c r="G122" s="40">
        <v>2023</v>
      </c>
      <c r="H122" s="23">
        <v>2322440058688</v>
      </c>
      <c r="I122" s="23">
        <v>2405106060024</v>
      </c>
      <c r="J122" s="23">
        <v>1760524705442</v>
      </c>
      <c r="K122" s="23">
        <f t="shared" si="38"/>
        <v>1103523816866</v>
      </c>
      <c r="L122" s="23">
        <v>1755332298669</v>
      </c>
      <c r="M122" s="23">
        <v>644581354582</v>
      </c>
      <c r="N122" s="23">
        <v>17924551562822</v>
      </c>
      <c r="O122" s="25">
        <f t="shared" si="0"/>
        <v>567107760019</v>
      </c>
      <c r="P122" s="23">
        <v>179309544505</v>
      </c>
      <c r="Q122" s="23">
        <f>198750100263+88432894732</f>
        <v>287182994995</v>
      </c>
      <c r="R122" s="25">
        <f t="shared" si="1"/>
        <v>17637368567827</v>
      </c>
      <c r="S122" s="26">
        <f t="shared" si="2"/>
        <v>0.73199462373165869</v>
      </c>
      <c r="T122" s="27">
        <f t="shared" si="3"/>
        <v>1.323077152086255</v>
      </c>
      <c r="U122" s="26">
        <f t="shared" si="4"/>
        <v>28.508615118315983</v>
      </c>
      <c r="V122" s="26">
        <f t="shared" si="5"/>
        <v>16.243012872823716</v>
      </c>
      <c r="W122" s="73" t="s">
        <v>325</v>
      </c>
      <c r="X122" s="29">
        <v>56760</v>
      </c>
      <c r="Y122" s="73">
        <v>0</v>
      </c>
      <c r="Z122" s="30">
        <f t="shared" si="6"/>
        <v>0</v>
      </c>
      <c r="AA122" s="31">
        <f t="shared" si="7"/>
        <v>41</v>
      </c>
      <c r="AB122" s="32">
        <v>3.2500000000000001E-2</v>
      </c>
      <c r="AC122" s="32">
        <v>5.0500000000000003E-2</v>
      </c>
      <c r="AD122" s="33">
        <f t="shared" si="8"/>
        <v>0.23579324398415136</v>
      </c>
      <c r="AE122" s="34">
        <f t="shared" si="9"/>
        <v>7.4553695358952579E-2</v>
      </c>
      <c r="AF122" s="33">
        <f t="shared" si="10"/>
        <v>7.3333017869702601</v>
      </c>
      <c r="AG122" s="33">
        <f t="shared" si="11"/>
        <v>0</v>
      </c>
      <c r="AH122" s="35">
        <f t="shared" si="12"/>
        <v>10.181368944959983</v>
      </c>
      <c r="AI122" s="36">
        <f t="shared" si="13"/>
        <v>34.768591908245355</v>
      </c>
      <c r="AJ122" s="23"/>
      <c r="AK122" s="23"/>
      <c r="AL122" s="44"/>
      <c r="AM122" s="44"/>
      <c r="AN122" s="44"/>
      <c r="AO122" s="44"/>
      <c r="AP122" s="44"/>
      <c r="AQ122" s="44"/>
      <c r="AR122" s="44"/>
    </row>
    <row r="123" spans="1:44" ht="16.8">
      <c r="A123" s="78" t="s">
        <v>326</v>
      </c>
      <c r="B123" s="79">
        <v>46</v>
      </c>
      <c r="C123" s="1" t="s">
        <v>327</v>
      </c>
      <c r="D123" s="19" t="s">
        <v>328</v>
      </c>
      <c r="E123" s="20" t="s">
        <v>39</v>
      </c>
      <c r="F123" s="21">
        <v>1993</v>
      </c>
      <c r="G123" s="40">
        <v>2021</v>
      </c>
      <c r="H123" s="23">
        <v>79938235942</v>
      </c>
      <c r="I123" s="23">
        <v>137346660872</v>
      </c>
      <c r="J123" s="23">
        <v>75597466039</v>
      </c>
      <c r="K123" s="23">
        <v>78578200841</v>
      </c>
      <c r="L123" s="23">
        <v>66174716039</v>
      </c>
      <c r="M123" s="23">
        <v>61749194833</v>
      </c>
      <c r="N123" s="23">
        <v>36732938182</v>
      </c>
      <c r="O123" s="25">
        <f t="shared" si="0"/>
        <v>13763519903</v>
      </c>
      <c r="P123" s="23">
        <v>3468788848</v>
      </c>
      <c r="Q123" s="23">
        <v>3556765263</v>
      </c>
      <c r="R123" s="25">
        <f t="shared" si="1"/>
        <v>33176172919</v>
      </c>
      <c r="S123" s="26">
        <f t="shared" si="2"/>
        <v>0.55041357073436925</v>
      </c>
      <c r="T123" s="27">
        <f t="shared" si="3"/>
        <v>1.2079875929484682</v>
      </c>
      <c r="U123" s="26">
        <f t="shared" si="4"/>
        <v>25.645773938103716</v>
      </c>
      <c r="V123" s="26">
        <f t="shared" si="5"/>
        <v>0.46746982991284952</v>
      </c>
      <c r="W123" s="72">
        <v>45913</v>
      </c>
      <c r="X123" s="42">
        <v>13900</v>
      </c>
      <c r="Y123" s="73">
        <v>9600</v>
      </c>
      <c r="Z123" s="30">
        <f t="shared" si="6"/>
        <v>133440000</v>
      </c>
      <c r="AA123" s="31">
        <f t="shared" si="7"/>
        <v>28</v>
      </c>
      <c r="AB123" s="32">
        <v>1.84E-2</v>
      </c>
      <c r="AC123" s="32">
        <v>2.58E-2</v>
      </c>
      <c r="AD123" s="33">
        <f t="shared" si="8"/>
        <v>0.1002100802132124</v>
      </c>
      <c r="AE123" s="34">
        <f t="shared" si="9"/>
        <v>2.5255720277267839E-2</v>
      </c>
      <c r="AF123" s="33">
        <f t="shared" si="10"/>
        <v>0.24155063332714349</v>
      </c>
      <c r="AG123" s="33">
        <f t="shared" si="11"/>
        <v>1.7651385289972497E-3</v>
      </c>
      <c r="AH123" s="35">
        <f t="shared" si="12"/>
        <v>0.48590171214270372</v>
      </c>
      <c r="AI123" s="36">
        <f t="shared" si="13"/>
        <v>1.4396879898837054</v>
      </c>
      <c r="AJ123" s="23"/>
      <c r="AK123" s="23"/>
      <c r="AL123" s="44"/>
      <c r="AM123" s="44"/>
      <c r="AN123" s="44"/>
      <c r="AO123" s="44"/>
      <c r="AP123" s="44"/>
      <c r="AQ123" s="44"/>
      <c r="AR123" s="44"/>
    </row>
    <row r="124" spans="1:44" ht="16.8">
      <c r="A124" s="78" t="s">
        <v>329</v>
      </c>
      <c r="B124" s="79"/>
      <c r="C124" s="1" t="s">
        <v>327</v>
      </c>
      <c r="D124" s="19" t="s">
        <v>328</v>
      </c>
      <c r="E124" s="20" t="s">
        <v>39</v>
      </c>
      <c r="F124" s="21">
        <v>1993</v>
      </c>
      <c r="G124" s="40">
        <v>2022</v>
      </c>
      <c r="H124" s="23">
        <v>60463143416</v>
      </c>
      <c r="I124" s="23">
        <v>158498450224</v>
      </c>
      <c r="J124" s="23">
        <v>98501368993</v>
      </c>
      <c r="K124" s="23">
        <v>87049417516</v>
      </c>
      <c r="L124" s="23">
        <v>88784618993</v>
      </c>
      <c r="M124" s="23">
        <v>59997081231</v>
      </c>
      <c r="N124" s="23">
        <v>49304198513</v>
      </c>
      <c r="O124" s="25">
        <f t="shared" si="0"/>
        <v>-28321475577</v>
      </c>
      <c r="P124" s="23">
        <v>-1752113602</v>
      </c>
      <c r="Q124" s="23">
        <v>3450109719</v>
      </c>
      <c r="R124" s="25">
        <f t="shared" si="1"/>
        <v>45854088794</v>
      </c>
      <c r="S124" s="26">
        <f t="shared" si="2"/>
        <v>0.62146581782844978</v>
      </c>
      <c r="T124" s="27">
        <f t="shared" si="3"/>
        <v>0.68100921197586106</v>
      </c>
      <c r="U124" s="26">
        <f t="shared" si="4"/>
        <v>25.789010652449381</v>
      </c>
      <c r="V124" s="26">
        <f t="shared" si="5"/>
        <v>0.56639320422721617</v>
      </c>
      <c r="W124" s="72">
        <v>45752</v>
      </c>
      <c r="X124" s="42">
        <v>5400</v>
      </c>
      <c r="Y124" s="73">
        <v>1600</v>
      </c>
      <c r="Z124" s="30">
        <f t="shared" si="6"/>
        <v>8640000</v>
      </c>
      <c r="AA124" s="31">
        <f t="shared" si="7"/>
        <v>29</v>
      </c>
      <c r="AB124" s="32">
        <v>3.15E-2</v>
      </c>
      <c r="AC124" s="32">
        <v>8.0199999999999994E-2</v>
      </c>
      <c r="AD124" s="33">
        <f t="shared" si="8"/>
        <v>-0.17868613564974486</v>
      </c>
      <c r="AE124" s="34">
        <f t="shared" si="9"/>
        <v>-1.1054452579970358E-2</v>
      </c>
      <c r="AF124" s="33">
        <f t="shared" si="10"/>
        <v>0.28930307349501594</v>
      </c>
      <c r="AG124" s="33">
        <f t="shared" si="11"/>
        <v>8.7714516948632481E-5</v>
      </c>
      <c r="AH124" s="35">
        <f t="shared" si="12"/>
        <v>0.50054328195686093</v>
      </c>
      <c r="AI124" s="36">
        <f t="shared" si="13"/>
        <v>1.2253964568089302</v>
      </c>
      <c r="AJ124" s="23"/>
      <c r="AK124" s="23"/>
      <c r="AL124" s="44"/>
      <c r="AM124" s="44"/>
      <c r="AN124" s="44"/>
      <c r="AO124" s="44"/>
      <c r="AP124" s="44"/>
      <c r="AQ124" s="44"/>
      <c r="AR124" s="44"/>
    </row>
    <row r="125" spans="1:44" ht="16.8">
      <c r="A125" s="78" t="s">
        <v>330</v>
      </c>
      <c r="B125" s="79"/>
      <c r="C125" s="1" t="s">
        <v>327</v>
      </c>
      <c r="D125" s="19" t="s">
        <v>328</v>
      </c>
      <c r="E125" s="20" t="s">
        <v>39</v>
      </c>
      <c r="F125" s="21">
        <v>1993</v>
      </c>
      <c r="G125" s="40">
        <v>2023</v>
      </c>
      <c r="H125" s="23">
        <v>86439143326</v>
      </c>
      <c r="I125" s="23">
        <v>146629314109</v>
      </c>
      <c r="J125" s="23">
        <v>85934987787</v>
      </c>
      <c r="K125" s="23">
        <v>92218178390</v>
      </c>
      <c r="L125" s="23">
        <v>76302237787</v>
      </c>
      <c r="M125" s="23">
        <v>60694326322</v>
      </c>
      <c r="N125" s="23">
        <v>50737981178</v>
      </c>
      <c r="O125" s="25">
        <f t="shared" si="0"/>
        <v>10136905539</v>
      </c>
      <c r="P125" s="23">
        <v>679245091</v>
      </c>
      <c r="Q125" s="23">
        <v>3742084616</v>
      </c>
      <c r="R125" s="25">
        <f t="shared" si="1"/>
        <v>46995896562</v>
      </c>
      <c r="S125" s="26">
        <f t="shared" si="2"/>
        <v>0.58606962945430141</v>
      </c>
      <c r="T125" s="27">
        <f t="shared" si="3"/>
        <v>1.1328520084469538</v>
      </c>
      <c r="U125" s="26">
        <f t="shared" si="4"/>
        <v>25.71117356622549</v>
      </c>
      <c r="V125" s="26">
        <f t="shared" si="5"/>
        <v>0.55019500562485579</v>
      </c>
      <c r="W125" s="72">
        <v>45905</v>
      </c>
      <c r="X125" s="42">
        <v>5900</v>
      </c>
      <c r="Y125" s="73">
        <v>0</v>
      </c>
      <c r="Z125" s="30">
        <f t="shared" si="6"/>
        <v>0</v>
      </c>
      <c r="AA125" s="31">
        <f t="shared" si="7"/>
        <v>30</v>
      </c>
      <c r="AB125" s="32">
        <v>3.2500000000000001E-2</v>
      </c>
      <c r="AC125" s="32">
        <v>5.0500000000000003E-2</v>
      </c>
      <c r="AD125" s="33">
        <f t="shared" si="8"/>
        <v>6.9132871558442374E-2</v>
      </c>
      <c r="AE125" s="34">
        <f t="shared" si="9"/>
        <v>4.6323962921566205E-3</v>
      </c>
      <c r="AF125" s="33">
        <f t="shared" si="10"/>
        <v>0.32050819338256337</v>
      </c>
      <c r="AG125" s="33">
        <f t="shared" si="11"/>
        <v>0</v>
      </c>
      <c r="AH125" s="35">
        <f t="shared" si="12"/>
        <v>0.59042285900778935</v>
      </c>
      <c r="AI125" s="36">
        <f t="shared" si="13"/>
        <v>1.7375446978493985</v>
      </c>
      <c r="AJ125" s="23"/>
      <c r="AK125" s="23"/>
      <c r="AL125" s="44"/>
      <c r="AM125" s="44"/>
      <c r="AN125" s="44"/>
      <c r="AO125" s="44"/>
      <c r="AP125" s="44"/>
      <c r="AQ125" s="44"/>
      <c r="AR125" s="44"/>
    </row>
    <row r="126" spans="1:44" ht="16.8">
      <c r="A126" s="78" t="s">
        <v>331</v>
      </c>
      <c r="B126" s="79">
        <v>47</v>
      </c>
      <c r="C126" s="1" t="s">
        <v>332</v>
      </c>
      <c r="D126" s="19" t="s">
        <v>333</v>
      </c>
      <c r="E126" s="20" t="s">
        <v>178</v>
      </c>
      <c r="F126" s="21">
        <v>2007</v>
      </c>
      <c r="G126" s="40">
        <v>2021</v>
      </c>
      <c r="H126" s="23">
        <v>84347285489</v>
      </c>
      <c r="I126" s="23">
        <v>179205222368</v>
      </c>
      <c r="J126" s="23">
        <v>289568985278</v>
      </c>
      <c r="K126" s="23">
        <v>300143581581</v>
      </c>
      <c r="L126" s="23">
        <v>219115612677</v>
      </c>
      <c r="M126" s="23">
        <v>110363762910</v>
      </c>
      <c r="N126" s="23">
        <v>38583725671</v>
      </c>
      <c r="O126" s="25">
        <f t="shared" si="0"/>
        <v>-134768327188</v>
      </c>
      <c r="P126" s="23">
        <v>1988102046</v>
      </c>
      <c r="Q126" s="23">
        <v>-32431225162</v>
      </c>
      <c r="R126" s="25">
        <f t="shared" si="1"/>
        <v>71014950833</v>
      </c>
      <c r="S126" s="26">
        <f t="shared" si="2"/>
        <v>1.6158512651119437</v>
      </c>
      <c r="T126" s="27">
        <f t="shared" si="3"/>
        <v>0.38494420574830046</v>
      </c>
      <c r="U126" s="26">
        <f t="shared" si="4"/>
        <v>25.911797479741175</v>
      </c>
      <c r="V126" s="26">
        <f t="shared" si="5"/>
        <v>0.12855089376811271</v>
      </c>
      <c r="W126" s="73">
        <v>3</v>
      </c>
      <c r="X126" s="29">
        <v>3000</v>
      </c>
      <c r="Y126" s="73">
        <v>41300</v>
      </c>
      <c r="Z126" s="30">
        <f t="shared" si="6"/>
        <v>123900000</v>
      </c>
      <c r="AA126" s="31">
        <f t="shared" si="7"/>
        <v>14</v>
      </c>
      <c r="AB126" s="32">
        <v>1.84E-2</v>
      </c>
      <c r="AC126" s="32">
        <v>2.58E-2</v>
      </c>
      <c r="AD126" s="33">
        <f t="shared" si="8"/>
        <v>-0.752033480984453</v>
      </c>
      <c r="AE126" s="34">
        <f t="shared" si="9"/>
        <v>1.1093996144361292E-2</v>
      </c>
      <c r="AF126" s="33">
        <f t="shared" si="10"/>
        <v>0.39627723955036298</v>
      </c>
      <c r="AG126" s="33">
        <f t="shared" si="11"/>
        <v>4.278773152485585E-4</v>
      </c>
      <c r="AH126" s="35">
        <f t="shared" si="12"/>
        <v>0.13324536684741214</v>
      </c>
      <c r="AI126" s="36">
        <f t="shared" si="13"/>
        <v>0.55430840117352131</v>
      </c>
      <c r="AJ126" s="23"/>
      <c r="AK126" s="23"/>
      <c r="AL126" s="44"/>
      <c r="AM126" s="44"/>
      <c r="AN126" s="44"/>
      <c r="AO126" s="44"/>
      <c r="AP126" s="44"/>
      <c r="AQ126" s="44"/>
      <c r="AR126" s="44"/>
    </row>
    <row r="127" spans="1:44" ht="16.8">
      <c r="A127" s="78" t="s">
        <v>334</v>
      </c>
      <c r="B127" s="79"/>
      <c r="C127" s="1" t="s">
        <v>332</v>
      </c>
      <c r="D127" s="19" t="s">
        <v>333</v>
      </c>
      <c r="E127" s="20" t="s">
        <v>178</v>
      </c>
      <c r="F127" s="21">
        <v>2007</v>
      </c>
      <c r="G127" s="40">
        <v>2022</v>
      </c>
      <c r="H127" s="23">
        <v>137716729961</v>
      </c>
      <c r="I127" s="23">
        <v>255167000768</v>
      </c>
      <c r="J127" s="23">
        <v>305352068649</v>
      </c>
      <c r="K127" s="23">
        <v>297460526964</v>
      </c>
      <c r="L127" s="23">
        <v>237139182692</v>
      </c>
      <c r="M127" s="23">
        <v>80185067971</v>
      </c>
      <c r="N127" s="23">
        <v>27185381978</v>
      </c>
      <c r="O127" s="25">
        <f t="shared" si="0"/>
        <v>-99422452731</v>
      </c>
      <c r="P127" s="23">
        <v>30178694939</v>
      </c>
      <c r="Q127" s="23">
        <v>-53998305138</v>
      </c>
      <c r="R127" s="25">
        <f t="shared" si="1"/>
        <v>81183687116</v>
      </c>
      <c r="S127" s="26">
        <f t="shared" si="2"/>
        <v>1.1966753840816144</v>
      </c>
      <c r="T127" s="27">
        <f t="shared" si="3"/>
        <v>0.58074219704075047</v>
      </c>
      <c r="U127" s="26">
        <f t="shared" si="4"/>
        <v>26.265184072720707</v>
      </c>
      <c r="V127" s="26">
        <f t="shared" si="5"/>
        <v>9.1391561278616626E-2</v>
      </c>
      <c r="W127" s="72">
        <v>45779</v>
      </c>
      <c r="X127" s="42">
        <v>2500</v>
      </c>
      <c r="Y127" s="73">
        <v>6200</v>
      </c>
      <c r="Z127" s="30">
        <f t="shared" si="6"/>
        <v>15500000</v>
      </c>
      <c r="AA127" s="31">
        <f t="shared" si="7"/>
        <v>15</v>
      </c>
      <c r="AB127" s="32">
        <v>3.15E-2</v>
      </c>
      <c r="AC127" s="32">
        <v>8.0199999999999994E-2</v>
      </c>
      <c r="AD127" s="33">
        <f t="shared" si="8"/>
        <v>-0.38963679641865501</v>
      </c>
      <c r="AE127" s="34">
        <f t="shared" si="9"/>
        <v>0.11827036743845544</v>
      </c>
      <c r="AF127" s="33">
        <f t="shared" si="10"/>
        <v>0.31815903651982375</v>
      </c>
      <c r="AG127" s="33">
        <f t="shared" si="11"/>
        <v>5.0761077429664111E-5</v>
      </c>
      <c r="AH127" s="35">
        <f t="shared" si="12"/>
        <v>8.9029630938080861E-2</v>
      </c>
      <c r="AI127" s="36">
        <f t="shared" si="13"/>
        <v>0.83699926681140879</v>
      </c>
      <c r="AJ127" s="23"/>
      <c r="AK127" s="23"/>
      <c r="AL127" s="44"/>
      <c r="AM127" s="44"/>
      <c r="AN127" s="44"/>
      <c r="AO127" s="44"/>
      <c r="AP127" s="44"/>
      <c r="AQ127" s="44"/>
      <c r="AR127" s="44"/>
    </row>
    <row r="128" spans="1:44" ht="16.8">
      <c r="A128" s="78" t="s">
        <v>335</v>
      </c>
      <c r="B128" s="79"/>
      <c r="C128" s="1" t="s">
        <v>332</v>
      </c>
      <c r="D128" s="19" t="s">
        <v>333</v>
      </c>
      <c r="E128" s="20" t="s">
        <v>178</v>
      </c>
      <c r="F128" s="21">
        <v>2007</v>
      </c>
      <c r="G128" s="40">
        <v>2023</v>
      </c>
      <c r="H128" s="23">
        <v>151993940622</v>
      </c>
      <c r="I128" s="23">
        <v>231898119905</v>
      </c>
      <c r="J128" s="23">
        <v>322176976486</v>
      </c>
      <c r="K128" s="23">
        <v>313764522567.5</v>
      </c>
      <c r="L128" s="23">
        <v>257414090529</v>
      </c>
      <c r="M128" s="23">
        <v>90278856581</v>
      </c>
      <c r="N128" s="23">
        <v>14557982931</v>
      </c>
      <c r="O128" s="25">
        <f t="shared" si="0"/>
        <v>-105420149907</v>
      </c>
      <c r="P128" s="23">
        <v>-10093788610</v>
      </c>
      <c r="Q128" s="23">
        <v>-12817012159</v>
      </c>
      <c r="R128" s="25">
        <f t="shared" si="1"/>
        <v>27374995090</v>
      </c>
      <c r="S128" s="26">
        <f t="shared" si="2"/>
        <v>1.3893039607996127</v>
      </c>
      <c r="T128" s="27">
        <f t="shared" si="3"/>
        <v>0.59046472673521544</v>
      </c>
      <c r="U128" s="26">
        <f t="shared" si="4"/>
        <v>26.169563973822726</v>
      </c>
      <c r="V128" s="26">
        <f t="shared" si="5"/>
        <v>4.6397797978795223E-2</v>
      </c>
      <c r="W128" s="72">
        <v>45717</v>
      </c>
      <c r="X128" s="42">
        <v>1300</v>
      </c>
      <c r="Y128" s="73">
        <v>9800</v>
      </c>
      <c r="Z128" s="30">
        <f t="shared" si="6"/>
        <v>12740000</v>
      </c>
      <c r="AA128" s="31">
        <f t="shared" si="7"/>
        <v>16</v>
      </c>
      <c r="AB128" s="32">
        <v>3.2500000000000001E-2</v>
      </c>
      <c r="AC128" s="32">
        <v>5.0500000000000003E-2</v>
      </c>
      <c r="AD128" s="33">
        <f t="shared" si="8"/>
        <v>-0.45459682877199131</v>
      </c>
      <c r="AE128" s="34">
        <f t="shared" si="9"/>
        <v>-4.3526823823043709E-2</v>
      </c>
      <c r="AF128" s="33">
        <f t="shared" si="10"/>
        <v>0.11804750767800322</v>
      </c>
      <c r="AG128" s="33">
        <f t="shared" si="11"/>
        <v>3.9543483643542137E-5</v>
      </c>
      <c r="AH128" s="35">
        <f t="shared" si="12"/>
        <v>4.5186291987045844E-2</v>
      </c>
      <c r="AI128" s="36">
        <f t="shared" si="13"/>
        <v>-0.17168695446400808</v>
      </c>
      <c r="AJ128" s="23"/>
      <c r="AK128" s="23"/>
      <c r="AL128" s="44"/>
      <c r="AM128" s="44"/>
      <c r="AN128" s="44"/>
      <c r="AO128" s="44"/>
      <c r="AP128" s="44"/>
      <c r="AQ128" s="44"/>
      <c r="AR128" s="44"/>
    </row>
    <row r="129" spans="1:44" ht="16.8">
      <c r="A129" s="78" t="s">
        <v>336</v>
      </c>
      <c r="B129" s="79">
        <v>48</v>
      </c>
      <c r="C129" s="1" t="s">
        <v>337</v>
      </c>
      <c r="D129" s="19" t="s">
        <v>338</v>
      </c>
      <c r="E129" s="20" t="s">
        <v>39</v>
      </c>
      <c r="F129" s="21">
        <v>2007</v>
      </c>
      <c r="G129" s="40">
        <v>2021</v>
      </c>
      <c r="H129" s="23">
        <v>321747374348</v>
      </c>
      <c r="I129" s="23">
        <v>379952726637</v>
      </c>
      <c r="J129" s="23">
        <v>149969965565</v>
      </c>
      <c r="K129" s="23">
        <v>156653698557</v>
      </c>
      <c r="L129" s="23">
        <v>132830658704</v>
      </c>
      <c r="M129" s="23">
        <v>229982761072</v>
      </c>
      <c r="N129" s="23">
        <v>187443869163</v>
      </c>
      <c r="O129" s="25">
        <f t="shared" si="0"/>
        <v>188916715644</v>
      </c>
      <c r="P129" s="23">
        <v>14614865975</v>
      </c>
      <c r="Q129" s="23">
        <v>13397248210</v>
      </c>
      <c r="R129" s="25">
        <f t="shared" si="1"/>
        <v>174046620953</v>
      </c>
      <c r="S129" s="26">
        <f t="shared" si="2"/>
        <v>0.39470690707341233</v>
      </c>
      <c r="T129" s="27">
        <f t="shared" si="3"/>
        <v>2.4222372868373876</v>
      </c>
      <c r="U129" s="26">
        <f t="shared" si="4"/>
        <v>26.663312678341232</v>
      </c>
      <c r="V129" s="26">
        <f t="shared" si="5"/>
        <v>1.1965492732672167</v>
      </c>
      <c r="W129" s="80">
        <v>45808</v>
      </c>
      <c r="X129" s="42">
        <v>31500</v>
      </c>
      <c r="Y129" s="73">
        <v>48279</v>
      </c>
      <c r="Z129" s="30">
        <f t="shared" si="6"/>
        <v>1520788500</v>
      </c>
      <c r="AA129" s="31">
        <f t="shared" si="7"/>
        <v>14</v>
      </c>
      <c r="AB129" s="32">
        <v>1.84E-2</v>
      </c>
      <c r="AC129" s="32">
        <v>2.58E-2</v>
      </c>
      <c r="AD129" s="33">
        <f t="shared" si="8"/>
        <v>0.4972111065398081</v>
      </c>
      <c r="AE129" s="34">
        <f t="shared" si="9"/>
        <v>3.8464958797263166E-2</v>
      </c>
      <c r="AF129" s="33">
        <f t="shared" si="10"/>
        <v>0.45807440966012863</v>
      </c>
      <c r="AG129" s="33">
        <f t="shared" si="11"/>
        <v>1.0140620452038843E-2</v>
      </c>
      <c r="AH129" s="35">
        <f t="shared" si="12"/>
        <v>1.2498760565611924</v>
      </c>
      <c r="AI129" s="36">
        <f t="shared" si="13"/>
        <v>3.4181102508747783</v>
      </c>
      <c r="AJ129" s="23"/>
      <c r="AK129" s="23"/>
      <c r="AL129" s="44"/>
      <c r="AM129" s="44"/>
      <c r="AN129" s="44"/>
      <c r="AO129" s="44"/>
      <c r="AP129" s="44"/>
      <c r="AQ129" s="44"/>
      <c r="AR129" s="44"/>
    </row>
    <row r="130" spans="1:44" ht="16.8">
      <c r="A130" s="78" t="s">
        <v>339</v>
      </c>
      <c r="B130" s="79"/>
      <c r="C130" s="1" t="s">
        <v>337</v>
      </c>
      <c r="D130" s="19" t="s">
        <v>338</v>
      </c>
      <c r="E130" s="20" t="s">
        <v>39</v>
      </c>
      <c r="F130" s="21">
        <v>2007</v>
      </c>
      <c r="G130" s="40">
        <v>2022</v>
      </c>
      <c r="H130" s="23">
        <v>432233561286</v>
      </c>
      <c r="I130" s="23">
        <v>498045289668</v>
      </c>
      <c r="J130" s="23">
        <v>189279213157</v>
      </c>
      <c r="K130" s="23">
        <v>170618928610</v>
      </c>
      <c r="L130" s="23">
        <v>173283607577</v>
      </c>
      <c r="M130" s="23">
        <v>308766076511</v>
      </c>
      <c r="N130" s="23">
        <v>160239540091</v>
      </c>
      <c r="O130" s="25">
        <f t="shared" si="0"/>
        <v>258949953709</v>
      </c>
      <c r="P130" s="23">
        <v>34217944</v>
      </c>
      <c r="Q130" s="23">
        <v>17899471306</v>
      </c>
      <c r="R130" s="25">
        <f t="shared" si="1"/>
        <v>142340068785</v>
      </c>
      <c r="S130" s="26">
        <f t="shared" si="2"/>
        <v>0.38004417888014697</v>
      </c>
      <c r="T130" s="27">
        <f t="shared" si="3"/>
        <v>2.4943707447568775</v>
      </c>
      <c r="U130" s="26">
        <f t="shared" si="4"/>
        <v>26.933956852944423</v>
      </c>
      <c r="V130" s="26">
        <f t="shared" si="5"/>
        <v>0.93916625427460532</v>
      </c>
      <c r="W130" s="72">
        <v>45814</v>
      </c>
      <c r="X130" s="42">
        <v>6600</v>
      </c>
      <c r="Y130" s="73">
        <v>2900</v>
      </c>
      <c r="Z130" s="30">
        <f t="shared" si="6"/>
        <v>19140000</v>
      </c>
      <c r="AA130" s="31">
        <f t="shared" si="7"/>
        <v>15</v>
      </c>
      <c r="AB130" s="32">
        <v>3.15E-2</v>
      </c>
      <c r="AC130" s="32">
        <v>8.0199999999999994E-2</v>
      </c>
      <c r="AD130" s="33">
        <f t="shared" si="8"/>
        <v>0.51993254244331399</v>
      </c>
      <c r="AE130" s="34">
        <f t="shared" si="9"/>
        <v>6.8704482724472481E-5</v>
      </c>
      <c r="AF130" s="33">
        <f t="shared" si="10"/>
        <v>0.28579743998760587</v>
      </c>
      <c r="AG130" s="33">
        <f t="shared" si="11"/>
        <v>1.011204541732963E-4</v>
      </c>
      <c r="AH130" s="35">
        <f t="shared" si="12"/>
        <v>0.84657758989143361</v>
      </c>
      <c r="AI130" s="36">
        <f t="shared" si="13"/>
        <v>2.4137850513308283</v>
      </c>
      <c r="AJ130" s="23"/>
      <c r="AK130" s="23"/>
      <c r="AL130" s="44"/>
      <c r="AM130" s="44"/>
      <c r="AN130" s="44"/>
      <c r="AO130" s="44"/>
      <c r="AP130" s="44"/>
      <c r="AQ130" s="44"/>
      <c r="AR130" s="44"/>
    </row>
    <row r="131" spans="1:44" ht="16.8">
      <c r="A131" s="78" t="s">
        <v>340</v>
      </c>
      <c r="B131" s="79"/>
      <c r="C131" s="1" t="s">
        <v>337</v>
      </c>
      <c r="D131" s="19" t="s">
        <v>338</v>
      </c>
      <c r="E131" s="20" t="s">
        <v>39</v>
      </c>
      <c r="F131" s="21">
        <v>2007</v>
      </c>
      <c r="G131" s="40">
        <v>2023</v>
      </c>
      <c r="H131" s="23">
        <v>385782868165</v>
      </c>
      <c r="I131" s="23">
        <v>427758991344</v>
      </c>
      <c r="J131" s="23">
        <v>150635577661</v>
      </c>
      <c r="K131" s="23">
        <v>170227779918</v>
      </c>
      <c r="L131" s="23">
        <v>130422519812</v>
      </c>
      <c r="M131" s="23">
        <v>277123413683</v>
      </c>
      <c r="N131" s="23">
        <v>98101923040</v>
      </c>
      <c r="O131" s="25">
        <f t="shared" si="0"/>
        <v>255360348353</v>
      </c>
      <c r="P131" s="23">
        <v>1726204681</v>
      </c>
      <c r="Q131" s="23">
        <v>13474953744</v>
      </c>
      <c r="R131" s="25">
        <f t="shared" si="1"/>
        <v>84626969296</v>
      </c>
      <c r="S131" s="26">
        <f t="shared" si="2"/>
        <v>0.35215058177435293</v>
      </c>
      <c r="T131" s="27">
        <f t="shared" si="3"/>
        <v>2.9579467466285267</v>
      </c>
      <c r="U131" s="26">
        <f t="shared" si="4"/>
        <v>26.78182576958897</v>
      </c>
      <c r="V131" s="26">
        <f t="shared" si="5"/>
        <v>0.57629796433494251</v>
      </c>
      <c r="W131" s="72">
        <v>45676</v>
      </c>
      <c r="X131" s="42">
        <v>19100</v>
      </c>
      <c r="Y131" s="73">
        <v>159600</v>
      </c>
      <c r="Z131" s="30">
        <f t="shared" si="6"/>
        <v>3048360000</v>
      </c>
      <c r="AA131" s="31">
        <f t="shared" si="7"/>
        <v>16</v>
      </c>
      <c r="AB131" s="32">
        <v>3.2500000000000001E-2</v>
      </c>
      <c r="AC131" s="32">
        <v>5.0500000000000003E-2</v>
      </c>
      <c r="AD131" s="33">
        <f t="shared" si="8"/>
        <v>0.5969724857230212</v>
      </c>
      <c r="AE131" s="34">
        <f t="shared" si="9"/>
        <v>4.0354608925375025E-3</v>
      </c>
      <c r="AF131" s="33">
        <f t="shared" si="10"/>
        <v>0.19783796719294144</v>
      </c>
      <c r="AG131" s="33">
        <f t="shared" si="11"/>
        <v>2.0236653567062526E-2</v>
      </c>
      <c r="AH131" s="35">
        <f t="shared" si="12"/>
        <v>0.65125333977060107</v>
      </c>
      <c r="AI131" s="36">
        <f t="shared" si="13"/>
        <v>2.0382772517647232</v>
      </c>
      <c r="AJ131" s="23"/>
      <c r="AK131" s="23"/>
      <c r="AL131" s="44"/>
      <c r="AM131" s="44"/>
      <c r="AN131" s="44"/>
      <c r="AO131" s="44"/>
      <c r="AP131" s="44"/>
      <c r="AQ131" s="44"/>
      <c r="AR131" s="44"/>
    </row>
    <row r="132" spans="1:44" ht="16.8">
      <c r="A132" s="78" t="s">
        <v>341</v>
      </c>
      <c r="B132" s="79">
        <v>49</v>
      </c>
      <c r="C132" s="1" t="s">
        <v>342</v>
      </c>
      <c r="D132" s="19" t="s">
        <v>343</v>
      </c>
      <c r="E132" s="20" t="s">
        <v>39</v>
      </c>
      <c r="F132" s="21">
        <v>2002</v>
      </c>
      <c r="G132" s="40">
        <v>2021</v>
      </c>
      <c r="H132" s="23">
        <v>106093465914</v>
      </c>
      <c r="I132" s="23">
        <v>121595544128</v>
      </c>
      <c r="J132" s="23">
        <v>38336167497</v>
      </c>
      <c r="K132" s="23">
        <v>42294963292</v>
      </c>
      <c r="L132" s="23">
        <v>38336167497</v>
      </c>
      <c r="M132" s="23">
        <v>83259376631</v>
      </c>
      <c r="N132" s="23">
        <v>190205071088</v>
      </c>
      <c r="O132" s="25">
        <f t="shared" si="0"/>
        <v>67757298417</v>
      </c>
      <c r="P132" s="23">
        <v>10041437124</v>
      </c>
      <c r="Q132" s="23">
        <v>28320863316</v>
      </c>
      <c r="R132" s="25">
        <f t="shared" si="1"/>
        <v>161884207772</v>
      </c>
      <c r="S132" s="26">
        <f t="shared" si="2"/>
        <v>0.31527608821458669</v>
      </c>
      <c r="T132" s="27">
        <f t="shared" si="3"/>
        <v>2.7674510218660315</v>
      </c>
      <c r="U132" s="26">
        <f t="shared" si="4"/>
        <v>25.523966162122871</v>
      </c>
      <c r="V132" s="26">
        <f t="shared" si="5"/>
        <v>4.4971092603827101</v>
      </c>
      <c r="W132" s="73" t="s">
        <v>344</v>
      </c>
      <c r="X132" s="29">
        <v>18700</v>
      </c>
      <c r="Y132" s="73">
        <v>1124</v>
      </c>
      <c r="Z132" s="30">
        <f t="shared" si="6"/>
        <v>21018800</v>
      </c>
      <c r="AA132" s="31">
        <f t="shared" si="7"/>
        <v>19</v>
      </c>
      <c r="AB132" s="32">
        <v>1.84E-2</v>
      </c>
      <c r="AC132" s="32">
        <v>2.58E-2</v>
      </c>
      <c r="AD132" s="33">
        <f t="shared" si="8"/>
        <v>0.55723504428479642</v>
      </c>
      <c r="AE132" s="34">
        <f t="shared" si="9"/>
        <v>8.2580633986305274E-2</v>
      </c>
      <c r="AF132" s="33">
        <f t="shared" si="10"/>
        <v>1.3313333883484195</v>
      </c>
      <c r="AG132" s="33">
        <f t="shared" si="11"/>
        <v>5.4827598511626989E-4</v>
      </c>
      <c r="AH132" s="35">
        <f t="shared" si="12"/>
        <v>4.9615045923118037</v>
      </c>
      <c r="AI132" s="36">
        <f t="shared" si="13"/>
        <v>10.139528680175239</v>
      </c>
      <c r="AJ132" s="23"/>
      <c r="AK132" s="23"/>
      <c r="AL132" s="44"/>
      <c r="AM132" s="44"/>
      <c r="AN132" s="44"/>
      <c r="AO132" s="44"/>
      <c r="AP132" s="44"/>
      <c r="AQ132" s="44"/>
      <c r="AR132" s="44"/>
    </row>
    <row r="133" spans="1:44" ht="16.8">
      <c r="A133" s="78" t="s">
        <v>345</v>
      </c>
      <c r="B133" s="79"/>
      <c r="C133" s="1" t="s">
        <v>342</v>
      </c>
      <c r="D133" s="19" t="s">
        <v>343</v>
      </c>
      <c r="E133" s="20" t="s">
        <v>39</v>
      </c>
      <c r="F133" s="21">
        <v>2002</v>
      </c>
      <c r="G133" s="40">
        <v>2022</v>
      </c>
      <c r="H133" s="23">
        <v>105911679876</v>
      </c>
      <c r="I133" s="23">
        <v>123750792248</v>
      </c>
      <c r="J133" s="23">
        <v>40395268593</v>
      </c>
      <c r="K133" s="23">
        <v>39365718045</v>
      </c>
      <c r="L133" s="23">
        <v>40395268593</v>
      </c>
      <c r="M133" s="23">
        <v>83355523655</v>
      </c>
      <c r="N133" s="23">
        <v>188606084368</v>
      </c>
      <c r="O133" s="25">
        <f t="shared" si="0"/>
        <v>65516411283</v>
      </c>
      <c r="P133" s="23">
        <v>9560043460</v>
      </c>
      <c r="Q133" s="23">
        <v>21406855901</v>
      </c>
      <c r="R133" s="25">
        <f t="shared" si="1"/>
        <v>167199228467</v>
      </c>
      <c r="S133" s="26">
        <f t="shared" si="2"/>
        <v>0.32642432310289188</v>
      </c>
      <c r="T133" s="27">
        <f t="shared" si="3"/>
        <v>2.6218832938853929</v>
      </c>
      <c r="U133" s="26">
        <f t="shared" si="4"/>
        <v>25.541535640378758</v>
      </c>
      <c r="V133" s="26">
        <f t="shared" si="5"/>
        <v>4.7911252159150095</v>
      </c>
      <c r="W133" s="73" t="s">
        <v>346</v>
      </c>
      <c r="X133" s="29">
        <v>12550</v>
      </c>
      <c r="Y133" s="73">
        <v>1849</v>
      </c>
      <c r="Z133" s="30">
        <f t="shared" si="6"/>
        <v>23204950</v>
      </c>
      <c r="AA133" s="31">
        <f t="shared" si="7"/>
        <v>20</v>
      </c>
      <c r="AB133" s="32">
        <v>3.15E-2</v>
      </c>
      <c r="AC133" s="32">
        <v>8.0199999999999994E-2</v>
      </c>
      <c r="AD133" s="33">
        <f t="shared" si="8"/>
        <v>0.52942215635842804</v>
      </c>
      <c r="AE133" s="34">
        <f t="shared" si="9"/>
        <v>7.7252381874383561E-2</v>
      </c>
      <c r="AF133" s="33">
        <f t="shared" si="10"/>
        <v>1.3510962267775073</v>
      </c>
      <c r="AG133" s="33">
        <f t="shared" si="11"/>
        <v>5.744472263274202E-4</v>
      </c>
      <c r="AH133" s="35">
        <f t="shared" si="12"/>
        <v>4.669014241947214</v>
      </c>
      <c r="AI133" s="36">
        <f t="shared" si="13"/>
        <v>9.8714363809030345</v>
      </c>
      <c r="AJ133" s="23"/>
      <c r="AK133" s="23"/>
      <c r="AL133" s="44"/>
      <c r="AM133" s="44"/>
      <c r="AN133" s="44"/>
      <c r="AO133" s="44"/>
      <c r="AP133" s="44"/>
      <c r="AQ133" s="44"/>
      <c r="AR133" s="44"/>
    </row>
    <row r="134" spans="1:44" ht="16.8">
      <c r="A134" s="78" t="s">
        <v>347</v>
      </c>
      <c r="B134" s="79"/>
      <c r="C134" s="1" t="s">
        <v>342</v>
      </c>
      <c r="D134" s="19" t="s">
        <v>343</v>
      </c>
      <c r="E134" s="20" t="s">
        <v>39</v>
      </c>
      <c r="F134" s="21">
        <v>2002</v>
      </c>
      <c r="G134" s="40">
        <v>2023</v>
      </c>
      <c r="H134" s="23">
        <v>115971893387</v>
      </c>
      <c r="I134" s="23">
        <v>133689293940</v>
      </c>
      <c r="J134" s="23">
        <v>48186352765</v>
      </c>
      <c r="K134" s="23">
        <v>44290810679</v>
      </c>
      <c r="L134" s="23">
        <v>48186352765</v>
      </c>
      <c r="M134" s="23">
        <v>85502941175</v>
      </c>
      <c r="N134" s="23">
        <v>189364226621</v>
      </c>
      <c r="O134" s="25">
        <f t="shared" si="0"/>
        <v>67785540622</v>
      </c>
      <c r="P134" s="23">
        <v>10207460980</v>
      </c>
      <c r="Q134" s="23">
        <v>30592180660</v>
      </c>
      <c r="R134" s="25">
        <f t="shared" si="1"/>
        <v>158772045961</v>
      </c>
      <c r="S134" s="26">
        <f t="shared" si="2"/>
        <v>0.36043538973753669</v>
      </c>
      <c r="T134" s="27">
        <f t="shared" si="3"/>
        <v>2.4067373173600264</v>
      </c>
      <c r="U134" s="26">
        <f t="shared" si="4"/>
        <v>25.618784242605035</v>
      </c>
      <c r="V134" s="26">
        <f t="shared" si="5"/>
        <v>4.2754743866267715</v>
      </c>
      <c r="W134" s="73" t="s">
        <v>348</v>
      </c>
      <c r="X134" s="29">
        <v>15430</v>
      </c>
      <c r="Y134" s="73">
        <v>100</v>
      </c>
      <c r="Z134" s="30">
        <f t="shared" si="6"/>
        <v>1543000</v>
      </c>
      <c r="AA134" s="31">
        <f t="shared" si="7"/>
        <v>21</v>
      </c>
      <c r="AB134" s="32">
        <v>3.2500000000000001E-2</v>
      </c>
      <c r="AC134" s="32">
        <v>5.0500000000000003E-2</v>
      </c>
      <c r="AD134" s="33">
        <f t="shared" si="8"/>
        <v>0.50703791324099801</v>
      </c>
      <c r="AE134" s="34">
        <f t="shared" si="9"/>
        <v>7.6352119748505268E-2</v>
      </c>
      <c r="AF134" s="33">
        <f t="shared" si="10"/>
        <v>1.1876197508549726</v>
      </c>
      <c r="AG134" s="33">
        <f t="shared" si="11"/>
        <v>3.2021514629361055E-5</v>
      </c>
      <c r="AH134" s="35">
        <f t="shared" si="12"/>
        <v>3.9298310777848307</v>
      </c>
      <c r="AI134" s="36">
        <f t="shared" si="13"/>
        <v>8.5643339320521221</v>
      </c>
      <c r="AJ134" s="23"/>
      <c r="AK134" s="23"/>
      <c r="AL134" s="44"/>
      <c r="AM134" s="44"/>
      <c r="AN134" s="44"/>
      <c r="AO134" s="44"/>
      <c r="AP134" s="44"/>
      <c r="AQ134" s="44"/>
      <c r="AR134" s="44"/>
    </row>
    <row r="135" spans="1:44" ht="16.8">
      <c r="A135" s="78" t="s">
        <v>349</v>
      </c>
      <c r="B135" s="79">
        <v>50</v>
      </c>
      <c r="C135" s="1" t="s">
        <v>350</v>
      </c>
      <c r="D135" s="19" t="s">
        <v>351</v>
      </c>
      <c r="E135" s="20" t="s">
        <v>39</v>
      </c>
      <c r="F135" s="21">
        <v>1993</v>
      </c>
      <c r="G135" s="40">
        <v>2021</v>
      </c>
      <c r="H135" s="23">
        <v>878173575193</v>
      </c>
      <c r="I135" s="23">
        <v>1124822321892</v>
      </c>
      <c r="J135" s="23">
        <v>553007853532</v>
      </c>
      <c r="K135" s="23">
        <v>523978583026</v>
      </c>
      <c r="L135" s="23">
        <v>437707358532</v>
      </c>
      <c r="M135" s="23">
        <v>571814963360</v>
      </c>
      <c r="N135" s="23">
        <v>1905792806244</v>
      </c>
      <c r="O135" s="25">
        <f t="shared" si="0"/>
        <v>440466216661</v>
      </c>
      <c r="P135" s="23">
        <v>16269677119</v>
      </c>
      <c r="Q135" s="23">
        <v>6115669669</v>
      </c>
      <c r="R135" s="25">
        <f t="shared" si="1"/>
        <v>1899677136575</v>
      </c>
      <c r="S135" s="26">
        <f t="shared" si="2"/>
        <v>0.49164018420421884</v>
      </c>
      <c r="T135" s="27">
        <f t="shared" si="3"/>
        <v>2.0063029740652585</v>
      </c>
      <c r="U135" s="26">
        <f t="shared" si="4"/>
        <v>27.748646203015713</v>
      </c>
      <c r="V135" s="26">
        <f t="shared" si="5"/>
        <v>3.637157830455513</v>
      </c>
      <c r="W135" s="73" t="s">
        <v>352</v>
      </c>
      <c r="X135" s="29">
        <v>76790</v>
      </c>
      <c r="Y135" s="73">
        <v>21320</v>
      </c>
      <c r="Z135" s="30">
        <f t="shared" si="6"/>
        <v>1637162800</v>
      </c>
      <c r="AA135" s="31">
        <f t="shared" si="7"/>
        <v>28</v>
      </c>
      <c r="AB135" s="32">
        <v>1.84E-2</v>
      </c>
      <c r="AC135" s="32">
        <v>2.58E-2</v>
      </c>
      <c r="AD135" s="33">
        <f t="shared" si="8"/>
        <v>0.39158737170161834</v>
      </c>
      <c r="AE135" s="34">
        <f t="shared" si="9"/>
        <v>1.4464219639270403E-2</v>
      </c>
      <c r="AF135" s="33">
        <f t="shared" si="10"/>
        <v>1.6888686324962512</v>
      </c>
      <c r="AG135" s="33">
        <f t="shared" si="11"/>
        <v>2.9604693487508761E-3</v>
      </c>
      <c r="AH135" s="35">
        <f t="shared" si="12"/>
        <v>3.4462309966701414</v>
      </c>
      <c r="AI135" s="36">
        <f t="shared" si="13"/>
        <v>9.5114285190539398</v>
      </c>
      <c r="AJ135" s="23"/>
      <c r="AK135" s="23"/>
      <c r="AL135" s="44"/>
      <c r="AM135" s="44"/>
      <c r="AN135" s="44"/>
      <c r="AO135" s="44"/>
      <c r="AP135" s="44"/>
      <c r="AQ135" s="44"/>
      <c r="AR135" s="44"/>
    </row>
    <row r="136" spans="1:44" ht="16.8">
      <c r="A136" s="78" t="s">
        <v>353</v>
      </c>
      <c r="B136" s="79"/>
      <c r="C136" s="1" t="s">
        <v>350</v>
      </c>
      <c r="D136" s="19" t="s">
        <v>351</v>
      </c>
      <c r="E136" s="20" t="s">
        <v>39</v>
      </c>
      <c r="F136" s="21">
        <v>1993</v>
      </c>
      <c r="G136" s="40">
        <v>2022</v>
      </c>
      <c r="H136" s="23">
        <v>616843295292</v>
      </c>
      <c r="I136" s="23">
        <v>935660487481</v>
      </c>
      <c r="J136" s="23">
        <v>404372318898</v>
      </c>
      <c r="K136" s="23">
        <v>478689838715</v>
      </c>
      <c r="L136" s="23">
        <v>338529649161</v>
      </c>
      <c r="M136" s="23">
        <v>531288168583</v>
      </c>
      <c r="N136" s="23">
        <v>1710499476186</v>
      </c>
      <c r="O136" s="25">
        <f t="shared" si="0"/>
        <v>278313646131</v>
      </c>
      <c r="P136" s="23">
        <v>2805177087</v>
      </c>
      <c r="Q136" s="23">
        <v>76404756914</v>
      </c>
      <c r="R136" s="25">
        <f t="shared" si="1"/>
        <v>1634094719272</v>
      </c>
      <c r="S136" s="26">
        <f t="shared" si="2"/>
        <v>0.43217847104632745</v>
      </c>
      <c r="T136" s="27">
        <f t="shared" si="3"/>
        <v>1.8221248768631131</v>
      </c>
      <c r="U136" s="26">
        <f t="shared" si="4"/>
        <v>27.56451852057242</v>
      </c>
      <c r="V136" s="26">
        <f t="shared" si="5"/>
        <v>3.5732938906279745</v>
      </c>
      <c r="W136" s="73" t="s">
        <v>354</v>
      </c>
      <c r="X136" s="29">
        <v>24930</v>
      </c>
      <c r="Y136" s="73">
        <v>47050</v>
      </c>
      <c r="Z136" s="30">
        <f t="shared" si="6"/>
        <v>1172956500</v>
      </c>
      <c r="AA136" s="31">
        <f t="shared" si="7"/>
        <v>29</v>
      </c>
      <c r="AB136" s="32">
        <v>3.15E-2</v>
      </c>
      <c r="AC136" s="32">
        <v>8.0199999999999994E-2</v>
      </c>
      <c r="AD136" s="33">
        <f t="shared" si="8"/>
        <v>0.29745153274590064</v>
      </c>
      <c r="AE136" s="34">
        <f t="shared" si="9"/>
        <v>2.9980715489569751E-3</v>
      </c>
      <c r="AF136" s="33">
        <f t="shared" si="10"/>
        <v>1.7464611802421364</v>
      </c>
      <c r="AG136" s="33">
        <f t="shared" si="11"/>
        <v>2.9006844563360672E-3</v>
      </c>
      <c r="AH136" s="35">
        <f t="shared" si="12"/>
        <v>4.2300112946590227</v>
      </c>
      <c r="AI136" s="36">
        <f t="shared" si="13"/>
        <v>10.356212739595495</v>
      </c>
      <c r="AJ136" s="23"/>
      <c r="AK136" s="23"/>
      <c r="AL136" s="44"/>
      <c r="AM136" s="44"/>
      <c r="AN136" s="44"/>
      <c r="AO136" s="44"/>
      <c r="AP136" s="44"/>
      <c r="AQ136" s="44"/>
      <c r="AR136" s="44"/>
    </row>
    <row r="137" spans="1:44" ht="16.8">
      <c r="A137" s="78" t="s">
        <v>355</v>
      </c>
      <c r="B137" s="79"/>
      <c r="C137" s="1" t="s">
        <v>350</v>
      </c>
      <c r="D137" s="19" t="s">
        <v>351</v>
      </c>
      <c r="E137" s="20" t="s">
        <v>39</v>
      </c>
      <c r="F137" s="21">
        <v>1993</v>
      </c>
      <c r="G137" s="40">
        <v>2023</v>
      </c>
      <c r="H137" s="23">
        <v>600317245795</v>
      </c>
      <c r="I137" s="23">
        <v>904406175973</v>
      </c>
      <c r="J137" s="23">
        <v>373003574394</v>
      </c>
      <c r="K137" s="23">
        <v>388687946646</v>
      </c>
      <c r="L137" s="23">
        <v>346416657813</v>
      </c>
      <c r="M137" s="23">
        <v>531402601579</v>
      </c>
      <c r="N137" s="23">
        <v>761387124989</v>
      </c>
      <c r="O137" s="25">
        <f t="shared" si="0"/>
        <v>253900587982</v>
      </c>
      <c r="P137" s="23">
        <v>478172346</v>
      </c>
      <c r="Q137" s="23">
        <v>23467636704</v>
      </c>
      <c r="R137" s="25">
        <f t="shared" si="1"/>
        <v>737919488285</v>
      </c>
      <c r="S137" s="26">
        <f t="shared" si="2"/>
        <v>0.41242926497345767</v>
      </c>
      <c r="T137" s="27">
        <f t="shared" si="3"/>
        <v>1.7329341192335463</v>
      </c>
      <c r="U137" s="26">
        <f t="shared" si="4"/>
        <v>27.530544406133853</v>
      </c>
      <c r="V137" s="26">
        <f t="shared" si="5"/>
        <v>1.9588647694353079</v>
      </c>
      <c r="W137" s="73" t="s">
        <v>356</v>
      </c>
      <c r="X137" s="29">
        <v>23670</v>
      </c>
      <c r="Y137" s="73">
        <v>14967</v>
      </c>
      <c r="Z137" s="30">
        <f t="shared" si="6"/>
        <v>354268890</v>
      </c>
      <c r="AA137" s="31">
        <f t="shared" si="7"/>
        <v>30</v>
      </c>
      <c r="AB137" s="32">
        <v>3.2500000000000001E-2</v>
      </c>
      <c r="AC137" s="32">
        <v>5.0500000000000003E-2</v>
      </c>
      <c r="AD137" s="33">
        <f t="shared" si="8"/>
        <v>0.28073734426773739</v>
      </c>
      <c r="AE137" s="34">
        <f t="shared" si="9"/>
        <v>5.2871415377671554E-4</v>
      </c>
      <c r="AF137" s="33">
        <f t="shared" si="10"/>
        <v>0.81591602079797132</v>
      </c>
      <c r="AG137" s="33">
        <f t="shared" si="11"/>
        <v>9.4977344540347289E-4</v>
      </c>
      <c r="AH137" s="35">
        <f t="shared" si="12"/>
        <v>2.0412327850369452</v>
      </c>
      <c r="AI137" s="36">
        <f t="shared" si="13"/>
        <v>5.0719505306740649</v>
      </c>
      <c r="AJ137" s="23"/>
      <c r="AK137" s="23"/>
      <c r="AL137" s="44"/>
      <c r="AM137" s="44"/>
      <c r="AN137" s="44"/>
      <c r="AO137" s="44"/>
      <c r="AP137" s="44"/>
      <c r="AQ137" s="44"/>
      <c r="AR137" s="44"/>
    </row>
    <row r="138" spans="1:44" ht="16.8">
      <c r="A138" s="78" t="s">
        <v>357</v>
      </c>
      <c r="B138" s="79">
        <v>51</v>
      </c>
      <c r="C138" s="1" t="s">
        <v>358</v>
      </c>
      <c r="D138" s="19" t="s">
        <v>359</v>
      </c>
      <c r="E138" s="20" t="s">
        <v>39</v>
      </c>
      <c r="F138" s="21">
        <v>1956</v>
      </c>
      <c r="G138" s="40">
        <v>2021</v>
      </c>
      <c r="H138" s="23">
        <v>132145556076</v>
      </c>
      <c r="I138" s="23">
        <v>156588367340</v>
      </c>
      <c r="J138" s="23">
        <v>108100963319</v>
      </c>
      <c r="K138" s="23">
        <v>112523451643</v>
      </c>
      <c r="L138" s="23">
        <v>104745791734</v>
      </c>
      <c r="M138" s="23">
        <v>48487404021</v>
      </c>
      <c r="N138" s="23">
        <v>175295069410</v>
      </c>
      <c r="O138" s="25">
        <f t="shared" si="0"/>
        <v>27399764342</v>
      </c>
      <c r="P138" s="23">
        <v>10326783203</v>
      </c>
      <c r="Q138" s="23">
        <v>9229454935</v>
      </c>
      <c r="R138" s="25">
        <f t="shared" si="1"/>
        <v>166065614475</v>
      </c>
      <c r="S138" s="26">
        <f t="shared" si="2"/>
        <v>0.69035117458170181</v>
      </c>
      <c r="T138" s="27">
        <f t="shared" si="3"/>
        <v>1.2615834382309239</v>
      </c>
      <c r="U138" s="26">
        <f t="shared" si="4"/>
        <v>25.776886335113115</v>
      </c>
      <c r="V138" s="26">
        <f t="shared" si="5"/>
        <v>1.5578536460661885</v>
      </c>
      <c r="W138" s="72">
        <v>45696</v>
      </c>
      <c r="X138" s="42">
        <v>8200</v>
      </c>
      <c r="Y138" s="73">
        <v>200</v>
      </c>
      <c r="Z138" s="30">
        <f t="shared" si="6"/>
        <v>1640000</v>
      </c>
      <c r="AA138" s="31">
        <f t="shared" si="7"/>
        <v>65</v>
      </c>
      <c r="AB138" s="32">
        <v>1.84E-2</v>
      </c>
      <c r="AC138" s="32">
        <v>2.58E-2</v>
      </c>
      <c r="AD138" s="33">
        <f t="shared" si="8"/>
        <v>0.1749795646218531</v>
      </c>
      <c r="AE138" s="34">
        <f t="shared" si="9"/>
        <v>6.5948597449627125E-2</v>
      </c>
      <c r="AF138" s="33">
        <f t="shared" si="10"/>
        <v>1.060523315339396</v>
      </c>
      <c r="AG138" s="33">
        <f t="shared" si="11"/>
        <v>1.5171002640933459E-5</v>
      </c>
      <c r="AH138" s="35">
        <f t="shared" si="12"/>
        <v>1.6215865615620269</v>
      </c>
      <c r="AI138" s="36">
        <f t="shared" si="13"/>
        <v>5.4236261187593193</v>
      </c>
      <c r="AJ138" s="23"/>
      <c r="AK138" s="23"/>
      <c r="AL138" s="44"/>
      <c r="AM138" s="44"/>
      <c r="AN138" s="44"/>
      <c r="AO138" s="44"/>
      <c r="AP138" s="44"/>
      <c r="AQ138" s="44"/>
      <c r="AR138" s="44"/>
    </row>
    <row r="139" spans="1:44" ht="16.8">
      <c r="A139" s="79"/>
      <c r="B139" s="79"/>
      <c r="C139" s="1" t="s">
        <v>358</v>
      </c>
      <c r="D139" s="19" t="s">
        <v>359</v>
      </c>
      <c r="E139" s="20" t="s">
        <v>39</v>
      </c>
      <c r="F139" s="21">
        <v>1956</v>
      </c>
      <c r="G139" s="40">
        <v>2022</v>
      </c>
      <c r="H139" s="23">
        <v>127544226477</v>
      </c>
      <c r="I139" s="23">
        <v>148078390475</v>
      </c>
      <c r="J139" s="23">
        <v>94119197252</v>
      </c>
      <c r="K139" s="23">
        <v>101110080285.5</v>
      </c>
      <c r="L139" s="23">
        <v>91119197252</v>
      </c>
      <c r="M139" s="23">
        <v>53959193223</v>
      </c>
      <c r="N139" s="23">
        <v>83859972805</v>
      </c>
      <c r="O139" s="25">
        <f t="shared" si="0"/>
        <v>36425029225</v>
      </c>
      <c r="P139" s="23">
        <v>5836014936</v>
      </c>
      <c r="Q139" s="23">
        <v>6798342504</v>
      </c>
      <c r="R139" s="25">
        <f t="shared" si="1"/>
        <v>77061630301</v>
      </c>
      <c r="S139" s="26">
        <f t="shared" si="2"/>
        <v>0.63560386461581708</v>
      </c>
      <c r="T139" s="27">
        <f t="shared" si="3"/>
        <v>1.3997514280581582</v>
      </c>
      <c r="U139" s="26">
        <f t="shared" si="4"/>
        <v>25.721007635858957</v>
      </c>
      <c r="V139" s="26">
        <f t="shared" si="5"/>
        <v>0.82939280206492128</v>
      </c>
      <c r="W139" s="72">
        <v>45693</v>
      </c>
      <c r="X139" s="42">
        <v>5200</v>
      </c>
      <c r="Y139" s="73">
        <v>0</v>
      </c>
      <c r="Z139" s="30">
        <f t="shared" si="6"/>
        <v>0</v>
      </c>
      <c r="AA139" s="31">
        <f t="shared" si="7"/>
        <v>66</v>
      </c>
      <c r="AB139" s="32">
        <v>3.15E-2</v>
      </c>
      <c r="AC139" s="32">
        <v>8.0199999999999994E-2</v>
      </c>
      <c r="AD139" s="33">
        <f t="shared" si="8"/>
        <v>0.24598477271502772</v>
      </c>
      <c r="AE139" s="34">
        <f t="shared" si="9"/>
        <v>3.9411658360679516E-2</v>
      </c>
      <c r="AF139" s="33">
        <f t="shared" si="10"/>
        <v>0.52041104751209644</v>
      </c>
      <c r="AG139" s="33">
        <f t="shared" si="11"/>
        <v>0</v>
      </c>
      <c r="AH139" s="35">
        <f t="shared" si="12"/>
        <v>0.890997535608688</v>
      </c>
      <c r="AI139" s="36">
        <f t="shared" si="13"/>
        <v>2.9587120413615908</v>
      </c>
      <c r="AJ139" s="81"/>
      <c r="AK139" s="23"/>
      <c r="AL139" s="44"/>
      <c r="AM139" s="44"/>
      <c r="AN139" s="44"/>
      <c r="AO139" s="44"/>
      <c r="AP139" s="44"/>
      <c r="AQ139" s="44"/>
      <c r="AR139" s="44"/>
    </row>
    <row r="140" spans="1:44" ht="16.8">
      <c r="A140" s="78" t="s">
        <v>360</v>
      </c>
      <c r="B140" s="79"/>
      <c r="C140" s="1" t="s">
        <v>358</v>
      </c>
      <c r="D140" s="19" t="s">
        <v>359</v>
      </c>
      <c r="E140" s="20" t="s">
        <v>39</v>
      </c>
      <c r="F140" s="21">
        <v>1956</v>
      </c>
      <c r="G140" s="40">
        <v>2023</v>
      </c>
      <c r="H140" s="23">
        <v>164484039004</v>
      </c>
      <c r="I140" s="23">
        <v>183541737851</v>
      </c>
      <c r="J140" s="23">
        <v>120465646144</v>
      </c>
      <c r="K140" s="23">
        <v>107292421698</v>
      </c>
      <c r="L140" s="23">
        <v>117909844144</v>
      </c>
      <c r="M140" s="23">
        <v>63076091707</v>
      </c>
      <c r="N140" s="23">
        <v>210142813547</v>
      </c>
      <c r="O140" s="25">
        <f t="shared" si="0"/>
        <v>46574194860</v>
      </c>
      <c r="P140" s="23">
        <v>116898484</v>
      </c>
      <c r="Q140" s="23">
        <v>11126474941</v>
      </c>
      <c r="R140" s="25">
        <f t="shared" si="1"/>
        <v>199016338606</v>
      </c>
      <c r="S140" s="26">
        <f t="shared" si="2"/>
        <v>0.65633924770721386</v>
      </c>
      <c r="T140" s="27">
        <f t="shared" si="3"/>
        <v>1.3949983582636258</v>
      </c>
      <c r="U140" s="26">
        <f t="shared" si="4"/>
        <v>25.935707932806128</v>
      </c>
      <c r="V140" s="26">
        <f t="shared" si="5"/>
        <v>1.9585988480947596</v>
      </c>
      <c r="W140" s="73" t="s">
        <v>361</v>
      </c>
      <c r="X140" s="29">
        <v>6000</v>
      </c>
      <c r="Y140" s="73">
        <v>0</v>
      </c>
      <c r="Z140" s="30">
        <f t="shared" si="6"/>
        <v>0</v>
      </c>
      <c r="AA140" s="31">
        <f t="shared" si="7"/>
        <v>67</v>
      </c>
      <c r="AB140" s="32">
        <v>3.2500000000000001E-2</v>
      </c>
      <c r="AC140" s="32">
        <v>5.0500000000000003E-2</v>
      </c>
      <c r="AD140" s="33">
        <f t="shared" si="8"/>
        <v>0.25375260910850228</v>
      </c>
      <c r="AE140" s="34">
        <f t="shared" si="9"/>
        <v>6.3690409259881098E-4</v>
      </c>
      <c r="AF140" s="33">
        <f t="shared" si="10"/>
        <v>1.0843110724360818</v>
      </c>
      <c r="AG140" s="33">
        <f t="shared" si="11"/>
        <v>0</v>
      </c>
      <c r="AH140" s="35">
        <f t="shared" si="12"/>
        <v>1.7444210882810802</v>
      </c>
      <c r="AI140" s="36">
        <f t="shared" si="13"/>
        <v>5.6280424239799913</v>
      </c>
      <c r="AJ140" s="23"/>
      <c r="AK140" s="23"/>
      <c r="AL140" s="44"/>
      <c r="AM140" s="44"/>
      <c r="AN140" s="44"/>
      <c r="AO140" s="44"/>
      <c r="AP140" s="44"/>
      <c r="AQ140" s="44"/>
      <c r="AR140" s="44"/>
    </row>
    <row r="141" spans="1:44" ht="16.8">
      <c r="A141" s="45"/>
      <c r="B141" s="45">
        <v>52</v>
      </c>
      <c r="C141" s="45" t="s">
        <v>362</v>
      </c>
      <c r="D141" s="46" t="s">
        <v>363</v>
      </c>
      <c r="E141" s="47" t="s">
        <v>39</v>
      </c>
      <c r="F141" s="48"/>
      <c r="G141" s="48"/>
      <c r="H141" s="49"/>
      <c r="I141" s="49"/>
      <c r="J141" s="49"/>
      <c r="K141" s="49"/>
      <c r="L141" s="49"/>
      <c r="M141" s="49"/>
      <c r="N141" s="49"/>
      <c r="O141" s="49">
        <f t="shared" si="0"/>
        <v>0</v>
      </c>
      <c r="P141" s="49"/>
      <c r="Q141" s="49"/>
      <c r="R141" s="49">
        <f t="shared" si="1"/>
        <v>0</v>
      </c>
      <c r="S141" s="50" t="e">
        <f t="shared" si="2"/>
        <v>#DIV/0!</v>
      </c>
      <c r="T141" s="51" t="e">
        <f t="shared" si="3"/>
        <v>#DIV/0!</v>
      </c>
      <c r="U141" s="50" t="e">
        <f t="shared" si="4"/>
        <v>#NUM!</v>
      </c>
      <c r="V141" s="50" t="e">
        <f t="shared" si="5"/>
        <v>#DIV/0!</v>
      </c>
      <c r="W141" s="52"/>
      <c r="X141" s="53">
        <v>0</v>
      </c>
      <c r="Y141" s="52"/>
      <c r="Z141" s="55">
        <f t="shared" si="6"/>
        <v>0</v>
      </c>
      <c r="AA141" s="48">
        <f t="shared" si="7"/>
        <v>0</v>
      </c>
      <c r="AB141" s="49"/>
      <c r="AC141" s="49"/>
      <c r="AD141" s="50" t="e">
        <f t="shared" si="8"/>
        <v>#DIV/0!</v>
      </c>
      <c r="AE141" s="56" t="e">
        <f t="shared" si="9"/>
        <v>#DIV/0!</v>
      </c>
      <c r="AF141" s="50" t="e">
        <f t="shared" si="10"/>
        <v>#DIV/0!</v>
      </c>
      <c r="AG141" s="50" t="e">
        <f t="shared" si="11"/>
        <v>#DIV/0!</v>
      </c>
      <c r="AH141" s="57" t="e">
        <f t="shared" si="12"/>
        <v>#DIV/0!</v>
      </c>
      <c r="AI141" s="58" t="e">
        <f t="shared" si="13"/>
        <v>#DIV/0!</v>
      </c>
      <c r="AJ141" s="49" t="s">
        <v>364</v>
      </c>
      <c r="AK141" s="49"/>
      <c r="AL141" s="59"/>
      <c r="AM141" s="59"/>
      <c r="AN141" s="59"/>
      <c r="AO141" s="59"/>
      <c r="AP141" s="59"/>
      <c r="AQ141" s="59"/>
      <c r="AR141" s="59"/>
    </row>
    <row r="142" spans="1:44" ht="16.8">
      <c r="A142" s="78" t="s">
        <v>365</v>
      </c>
      <c r="B142" s="79">
        <v>53</v>
      </c>
      <c r="C142" s="1" t="s">
        <v>366</v>
      </c>
      <c r="D142" s="19" t="s">
        <v>367</v>
      </c>
      <c r="E142" s="20" t="s">
        <v>39</v>
      </c>
      <c r="F142" s="21">
        <v>2004</v>
      </c>
      <c r="G142" s="40">
        <v>2021</v>
      </c>
      <c r="H142" s="23">
        <v>619309025887</v>
      </c>
      <c r="I142" s="23">
        <v>727894405422</v>
      </c>
      <c r="J142" s="23">
        <v>495132049082</v>
      </c>
      <c r="K142" s="23">
        <v>415024124586</v>
      </c>
      <c r="L142" s="23">
        <v>306246550122</v>
      </c>
      <c r="M142" s="23">
        <v>232762356340</v>
      </c>
      <c r="N142" s="23">
        <v>610346054119</v>
      </c>
      <c r="O142" s="25">
        <f t="shared" si="0"/>
        <v>313062475765</v>
      </c>
      <c r="P142" s="23">
        <v>25731813754</v>
      </c>
      <c r="Q142" s="23">
        <v>41799614128</v>
      </c>
      <c r="R142" s="25">
        <f t="shared" si="1"/>
        <v>568546439991</v>
      </c>
      <c r="S142" s="26">
        <f t="shared" si="2"/>
        <v>0.68022510599589647</v>
      </c>
      <c r="T142" s="27">
        <f t="shared" si="3"/>
        <v>2.0222563344477993</v>
      </c>
      <c r="U142" s="26">
        <f t="shared" si="4"/>
        <v>27.313421827125438</v>
      </c>
      <c r="V142" s="26">
        <f t="shared" si="5"/>
        <v>1.4706278935660426</v>
      </c>
      <c r="W142" s="77">
        <v>45709</v>
      </c>
      <c r="X142" s="42">
        <v>21020</v>
      </c>
      <c r="Y142" s="73">
        <v>800</v>
      </c>
      <c r="Z142" s="30">
        <f t="shared" si="6"/>
        <v>16816000</v>
      </c>
      <c r="AA142" s="31">
        <f t="shared" si="7"/>
        <v>17</v>
      </c>
      <c r="AB142" s="32">
        <v>1.84E-2</v>
      </c>
      <c r="AC142" s="32">
        <v>2.58E-2</v>
      </c>
      <c r="AD142" s="33">
        <f t="shared" si="8"/>
        <v>0.4300932572541214</v>
      </c>
      <c r="AE142" s="34">
        <f t="shared" si="9"/>
        <v>3.535102559152363E-2</v>
      </c>
      <c r="AF142" s="33">
        <f t="shared" si="10"/>
        <v>0.78108367883578211</v>
      </c>
      <c r="AG142" s="33">
        <f t="shared" si="11"/>
        <v>3.396265709557222E-5</v>
      </c>
      <c r="AH142" s="35">
        <f t="shared" si="12"/>
        <v>1.2326934910608445</v>
      </c>
      <c r="AI142" s="36">
        <f t="shared" si="13"/>
        <v>4.3758933533462612</v>
      </c>
      <c r="AJ142" s="23"/>
      <c r="AK142" s="23"/>
      <c r="AL142" s="44"/>
      <c r="AM142" s="44"/>
      <c r="AN142" s="44"/>
      <c r="AO142" s="44"/>
      <c r="AP142" s="44"/>
      <c r="AQ142" s="44"/>
      <c r="AR142" s="44"/>
    </row>
    <row r="143" spans="1:44" ht="16.8">
      <c r="A143" s="78" t="s">
        <v>368</v>
      </c>
      <c r="B143" s="79"/>
      <c r="C143" s="1" t="s">
        <v>366</v>
      </c>
      <c r="D143" s="19" t="s">
        <v>367</v>
      </c>
      <c r="E143" s="20" t="s">
        <v>39</v>
      </c>
      <c r="F143" s="21">
        <v>2004</v>
      </c>
      <c r="G143" s="40">
        <v>2022</v>
      </c>
      <c r="H143" s="23">
        <v>577707067141</v>
      </c>
      <c r="I143" s="23">
        <v>880789581952</v>
      </c>
      <c r="J143" s="23">
        <v>621505201617</v>
      </c>
      <c r="K143" s="23">
        <v>558318625349.5</v>
      </c>
      <c r="L143" s="23">
        <v>523870650215</v>
      </c>
      <c r="M143" s="23">
        <v>259284380335</v>
      </c>
      <c r="N143" s="23">
        <v>1020989319711</v>
      </c>
      <c r="O143" s="25">
        <f t="shared" si="0"/>
        <v>53836416926</v>
      </c>
      <c r="P143" s="23">
        <v>49788062320</v>
      </c>
      <c r="Q143" s="23">
        <v>72036905316</v>
      </c>
      <c r="R143" s="25">
        <f t="shared" si="1"/>
        <v>948952414395</v>
      </c>
      <c r="S143" s="26">
        <f t="shared" si="2"/>
        <v>0.70562278931549616</v>
      </c>
      <c r="T143" s="27">
        <f t="shared" si="3"/>
        <v>1.1027666216916432</v>
      </c>
      <c r="U143" s="26">
        <f t="shared" si="4"/>
        <v>27.504084594346693</v>
      </c>
      <c r="V143" s="26">
        <f t="shared" si="5"/>
        <v>1.8286857599849446</v>
      </c>
      <c r="W143" s="73" t="s">
        <v>369</v>
      </c>
      <c r="X143" s="29">
        <v>11970</v>
      </c>
      <c r="Y143" s="73">
        <v>0</v>
      </c>
      <c r="Z143" s="30">
        <f t="shared" si="6"/>
        <v>0</v>
      </c>
      <c r="AA143" s="31">
        <f t="shared" si="7"/>
        <v>18</v>
      </c>
      <c r="AB143" s="32">
        <v>3.15E-2</v>
      </c>
      <c r="AC143" s="32">
        <v>8.0199999999999994E-2</v>
      </c>
      <c r="AD143" s="33">
        <f t="shared" si="8"/>
        <v>6.1122903845760856E-2</v>
      </c>
      <c r="AE143" s="34">
        <f t="shared" si="9"/>
        <v>5.6526624905871424E-2</v>
      </c>
      <c r="AF143" s="33">
        <f t="shared" si="10"/>
        <v>1.0773883272914491</v>
      </c>
      <c r="AG143" s="33">
        <f t="shared" si="11"/>
        <v>0</v>
      </c>
      <c r="AH143" s="35">
        <f t="shared" si="12"/>
        <v>1.6427687444202284</v>
      </c>
      <c r="AI143" s="36">
        <f t="shared" si="13"/>
        <v>5.3506349839651435</v>
      </c>
      <c r="AJ143" s="23"/>
      <c r="AK143" s="23"/>
      <c r="AL143" s="44"/>
      <c r="AM143" s="44"/>
      <c r="AN143" s="44"/>
      <c r="AO143" s="44"/>
      <c r="AP143" s="44"/>
      <c r="AQ143" s="44"/>
      <c r="AR143" s="44"/>
    </row>
    <row r="144" spans="1:44" ht="16.8">
      <c r="A144" s="78" t="s">
        <v>370</v>
      </c>
      <c r="B144" s="79"/>
      <c r="C144" s="1" t="s">
        <v>366</v>
      </c>
      <c r="D144" s="19" t="s">
        <v>367</v>
      </c>
      <c r="E144" s="20" t="s">
        <v>39</v>
      </c>
      <c r="F144" s="21">
        <v>2004</v>
      </c>
      <c r="G144" s="40">
        <v>2023</v>
      </c>
      <c r="H144" s="23">
        <v>362096033366</v>
      </c>
      <c r="I144" s="23">
        <v>582070673620</v>
      </c>
      <c r="J144" s="23">
        <v>295665851293</v>
      </c>
      <c r="K144" s="23">
        <v>458585526455</v>
      </c>
      <c r="L144" s="23">
        <v>283846958891</v>
      </c>
      <c r="M144" s="23">
        <v>286404822327</v>
      </c>
      <c r="N144" s="23">
        <v>991302588796</v>
      </c>
      <c r="O144" s="25">
        <f t="shared" si="0"/>
        <v>78249074475</v>
      </c>
      <c r="P144" s="23">
        <v>50797873492</v>
      </c>
      <c r="Q144" s="23">
        <v>69109077733</v>
      </c>
      <c r="R144" s="25">
        <f t="shared" si="1"/>
        <v>922193511063</v>
      </c>
      <c r="S144" s="26">
        <f t="shared" si="2"/>
        <v>0.50795524442796958</v>
      </c>
      <c r="T144" s="27">
        <f t="shared" si="3"/>
        <v>1.2756734642524332</v>
      </c>
      <c r="U144" s="26">
        <f t="shared" si="4"/>
        <v>27.08985770964231</v>
      </c>
      <c r="V144" s="26">
        <f t="shared" si="5"/>
        <v>2.1616525851983566</v>
      </c>
      <c r="W144" s="73" t="s">
        <v>371</v>
      </c>
      <c r="X144" s="29">
        <v>16910</v>
      </c>
      <c r="Y144" s="73">
        <v>4800</v>
      </c>
      <c r="Z144" s="30">
        <f t="shared" si="6"/>
        <v>81168000</v>
      </c>
      <c r="AA144" s="31">
        <f t="shared" si="7"/>
        <v>19</v>
      </c>
      <c r="AB144" s="32">
        <v>3.2500000000000001E-2</v>
      </c>
      <c r="AC144" s="32">
        <v>5.0500000000000003E-2</v>
      </c>
      <c r="AD144" s="33">
        <f t="shared" si="8"/>
        <v>0.13443225714904211</v>
      </c>
      <c r="AE144" s="34">
        <f t="shared" si="9"/>
        <v>8.7270972055814258E-2</v>
      </c>
      <c r="AF144" s="33">
        <f t="shared" si="10"/>
        <v>1.5843325438949125</v>
      </c>
      <c r="AG144" s="33">
        <f t="shared" si="11"/>
        <v>2.7452612347701879E-4</v>
      </c>
      <c r="AH144" s="35">
        <f t="shared" si="12"/>
        <v>3.3527801214136002</v>
      </c>
      <c r="AI144" s="36">
        <f t="shared" si="13"/>
        <v>8.8647403013978874</v>
      </c>
      <c r="AJ144" s="23"/>
      <c r="AK144" s="23"/>
      <c r="AL144" s="44"/>
      <c r="AM144" s="44"/>
      <c r="AN144" s="44"/>
      <c r="AO144" s="44"/>
      <c r="AP144" s="44"/>
      <c r="AQ144" s="44"/>
      <c r="AR144" s="44"/>
    </row>
    <row r="145" spans="1:44" ht="16.8">
      <c r="A145" s="78" t="s">
        <v>372</v>
      </c>
      <c r="B145" s="79">
        <v>54</v>
      </c>
      <c r="C145" s="1" t="s">
        <v>373</v>
      </c>
      <c r="D145" s="19" t="s">
        <v>374</v>
      </c>
      <c r="E145" s="20" t="s">
        <v>39</v>
      </c>
      <c r="F145" s="21">
        <v>1975</v>
      </c>
      <c r="G145" s="40">
        <v>2021</v>
      </c>
      <c r="H145" s="23">
        <v>127354128071</v>
      </c>
      <c r="I145" s="23">
        <v>313375420179</v>
      </c>
      <c r="J145" s="23">
        <v>180112051638</v>
      </c>
      <c r="K145" s="23">
        <v>180509919141</v>
      </c>
      <c r="L145" s="23">
        <v>161014061818</v>
      </c>
      <c r="M145" s="23">
        <v>133263368541</v>
      </c>
      <c r="N145" s="23">
        <v>154081504763</v>
      </c>
      <c r="O145" s="25">
        <f t="shared" si="0"/>
        <v>-33659933747</v>
      </c>
      <c r="P145" s="23">
        <v>13833564894</v>
      </c>
      <c r="Q145" s="23">
        <v>-7456030082</v>
      </c>
      <c r="R145" s="25">
        <f t="shared" si="1"/>
        <v>161537534845</v>
      </c>
      <c r="S145" s="26">
        <f t="shared" si="2"/>
        <v>0.57474849665975725</v>
      </c>
      <c r="T145" s="27">
        <f t="shared" si="3"/>
        <v>0.79095034702591982</v>
      </c>
      <c r="U145" s="26">
        <f t="shared" si="4"/>
        <v>26.470667734242479</v>
      </c>
      <c r="V145" s="26">
        <f t="shared" si="5"/>
        <v>0.85359023756829544</v>
      </c>
      <c r="W145" s="72">
        <v>45697</v>
      </c>
      <c r="X145" s="42">
        <v>9200</v>
      </c>
      <c r="Y145" s="73">
        <v>1487173</v>
      </c>
      <c r="Z145" s="30">
        <f t="shared" si="6"/>
        <v>13681991600</v>
      </c>
      <c r="AA145" s="31">
        <f t="shared" si="7"/>
        <v>46</v>
      </c>
      <c r="AB145" s="32">
        <v>1.84E-2</v>
      </c>
      <c r="AC145" s="32">
        <v>2.58E-2</v>
      </c>
      <c r="AD145" s="33">
        <f t="shared" si="8"/>
        <v>-0.10741089306804423</v>
      </c>
      <c r="AE145" s="34">
        <f t="shared" si="9"/>
        <v>4.4143745818029601E-2</v>
      </c>
      <c r="AF145" s="33">
        <f t="shared" si="10"/>
        <v>0.51547608536984102</v>
      </c>
      <c r="AG145" s="33">
        <f t="shared" si="11"/>
        <v>7.5963776302425817E-2</v>
      </c>
      <c r="AH145" s="35">
        <f t="shared" si="12"/>
        <v>0.8554758183127148</v>
      </c>
      <c r="AI145" s="36">
        <f t="shared" si="13"/>
        <v>2.5350333382782337</v>
      </c>
      <c r="AJ145" s="23"/>
      <c r="AK145" s="23"/>
      <c r="AL145" s="44"/>
      <c r="AM145" s="44"/>
      <c r="AN145" s="44"/>
      <c r="AO145" s="44"/>
      <c r="AP145" s="44"/>
      <c r="AQ145" s="44"/>
      <c r="AR145" s="44"/>
    </row>
    <row r="146" spans="1:44" ht="16.8">
      <c r="A146" s="78" t="s">
        <v>375</v>
      </c>
      <c r="B146" s="79"/>
      <c r="C146" s="1" t="s">
        <v>373</v>
      </c>
      <c r="D146" s="19" t="s">
        <v>374</v>
      </c>
      <c r="E146" s="20" t="s">
        <v>39</v>
      </c>
      <c r="F146" s="21">
        <v>1975</v>
      </c>
      <c r="G146" s="40">
        <v>2022</v>
      </c>
      <c r="H146" s="23">
        <v>116677569468</v>
      </c>
      <c r="I146" s="23">
        <v>307803000905</v>
      </c>
      <c r="J146" s="23">
        <v>183678104519</v>
      </c>
      <c r="K146" s="23">
        <v>181895078078.5</v>
      </c>
      <c r="L146" s="23">
        <v>167428114699</v>
      </c>
      <c r="M146" s="23">
        <v>124124896386</v>
      </c>
      <c r="N146" s="23">
        <v>39310386046</v>
      </c>
      <c r="O146" s="25">
        <f t="shared" si="0"/>
        <v>-50750545231</v>
      </c>
      <c r="P146" s="23">
        <v>-9138472155</v>
      </c>
      <c r="Q146" s="23">
        <v>2408927956</v>
      </c>
      <c r="R146" s="25">
        <f t="shared" si="1"/>
        <v>36901458090</v>
      </c>
      <c r="S146" s="26">
        <f t="shared" si="2"/>
        <v>0.59673916101841462</v>
      </c>
      <c r="T146" s="27">
        <f t="shared" si="3"/>
        <v>0.69688158215101059</v>
      </c>
      <c r="U146" s="26">
        <f t="shared" si="4"/>
        <v>26.452725807832579</v>
      </c>
      <c r="V146" s="26">
        <f t="shared" si="5"/>
        <v>0.21611572155369105</v>
      </c>
      <c r="W146" s="73" t="s">
        <v>376</v>
      </c>
      <c r="X146" s="29">
        <v>2000</v>
      </c>
      <c r="Y146" s="73">
        <v>28700</v>
      </c>
      <c r="Z146" s="30">
        <f t="shared" si="6"/>
        <v>57400000</v>
      </c>
      <c r="AA146" s="31">
        <f t="shared" si="7"/>
        <v>47</v>
      </c>
      <c r="AB146" s="32">
        <v>3.15E-2</v>
      </c>
      <c r="AC146" s="32">
        <v>8.0199999999999994E-2</v>
      </c>
      <c r="AD146" s="33">
        <f t="shared" si="8"/>
        <v>-0.16487995595164323</v>
      </c>
      <c r="AE146" s="34">
        <f t="shared" si="9"/>
        <v>-2.9689353671442886E-2</v>
      </c>
      <c r="AF146" s="33">
        <f t="shared" si="10"/>
        <v>0.11988660923221223</v>
      </c>
      <c r="AG146" s="33">
        <f t="shared" si="11"/>
        <v>3.125032248689306E-4</v>
      </c>
      <c r="AH146" s="35">
        <f t="shared" si="12"/>
        <v>0.21401781202469705</v>
      </c>
      <c r="AI146" s="36">
        <f t="shared" si="13"/>
        <v>0.37041008214392684</v>
      </c>
      <c r="AJ146" s="23"/>
      <c r="AK146" s="23"/>
      <c r="AL146" s="44"/>
      <c r="AM146" s="44"/>
      <c r="AN146" s="44"/>
      <c r="AO146" s="44"/>
      <c r="AP146" s="44"/>
      <c r="AQ146" s="44"/>
      <c r="AR146" s="44"/>
    </row>
    <row r="147" spans="1:44" ht="16.8">
      <c r="A147" s="78" t="s">
        <v>377</v>
      </c>
      <c r="B147" s="79"/>
      <c r="C147" s="1" t="s">
        <v>373</v>
      </c>
      <c r="D147" s="19" t="s">
        <v>374</v>
      </c>
      <c r="E147" s="20" t="s">
        <v>39</v>
      </c>
      <c r="F147" s="21">
        <v>1975</v>
      </c>
      <c r="G147" s="40">
        <v>2023</v>
      </c>
      <c r="H147" s="23">
        <v>137905485282</v>
      </c>
      <c r="I147" s="23">
        <v>224306546748</v>
      </c>
      <c r="J147" s="23">
        <v>116485058898</v>
      </c>
      <c r="K147" s="23">
        <v>150081581708.5</v>
      </c>
      <c r="L147" s="23">
        <v>115067795689</v>
      </c>
      <c r="M147" s="23">
        <v>107821487850</v>
      </c>
      <c r="N147" s="23">
        <v>9588171862</v>
      </c>
      <c r="O147" s="25">
        <f t="shared" si="0"/>
        <v>22837689593</v>
      </c>
      <c r="P147" s="23">
        <v>-16303408536</v>
      </c>
      <c r="Q147" s="23">
        <v>2459706805</v>
      </c>
      <c r="R147" s="25">
        <f t="shared" si="1"/>
        <v>7128465057</v>
      </c>
      <c r="S147" s="26">
        <f t="shared" si="2"/>
        <v>0.51931189966054181</v>
      </c>
      <c r="T147" s="27">
        <f t="shared" si="3"/>
        <v>1.1984716006442382</v>
      </c>
      <c r="U147" s="26">
        <f t="shared" si="4"/>
        <v>26.136279465509848</v>
      </c>
      <c r="V147" s="26">
        <f t="shared" si="5"/>
        <v>6.3886399335948404E-2</v>
      </c>
      <c r="W147" s="72">
        <v>45717</v>
      </c>
      <c r="X147" s="42">
        <v>1300</v>
      </c>
      <c r="Y147" s="73">
        <v>0</v>
      </c>
      <c r="Z147" s="30">
        <f t="shared" si="6"/>
        <v>0</v>
      </c>
      <c r="AA147" s="31">
        <f t="shared" si="7"/>
        <v>48</v>
      </c>
      <c r="AB147" s="32">
        <v>3.2500000000000001E-2</v>
      </c>
      <c r="AC147" s="32">
        <v>5.0500000000000003E-2</v>
      </c>
      <c r="AD147" s="33">
        <f t="shared" si="8"/>
        <v>0.10181463681778886</v>
      </c>
      <c r="AE147" s="34">
        <f t="shared" si="9"/>
        <v>-7.2683605415745034E-2</v>
      </c>
      <c r="AF147" s="33">
        <f t="shared" si="10"/>
        <v>3.1780013380566033E-2</v>
      </c>
      <c r="AG147" s="33">
        <f t="shared" si="11"/>
        <v>0</v>
      </c>
      <c r="AH147" s="35">
        <f t="shared" si="12"/>
        <v>8.2312460951716321E-2</v>
      </c>
      <c r="AI147" s="36">
        <f t="shared" si="13"/>
        <v>0.2076070217068878</v>
      </c>
      <c r="AJ147" s="23"/>
      <c r="AK147" s="23"/>
      <c r="AL147" s="44"/>
      <c r="AM147" s="44"/>
      <c r="AN147" s="44"/>
      <c r="AO147" s="44"/>
      <c r="AP147" s="44"/>
      <c r="AQ147" s="44"/>
      <c r="AR147" s="44"/>
    </row>
    <row r="148" spans="1:44" ht="16.8">
      <c r="A148" s="45"/>
      <c r="B148" s="45">
        <v>55</v>
      </c>
      <c r="C148" s="45" t="s">
        <v>378</v>
      </c>
      <c r="D148" s="46" t="s">
        <v>379</v>
      </c>
      <c r="E148" s="47" t="s">
        <v>39</v>
      </c>
      <c r="F148" s="48"/>
      <c r="G148" s="48"/>
      <c r="H148" s="49"/>
      <c r="I148" s="49"/>
      <c r="J148" s="49"/>
      <c r="K148" s="49"/>
      <c r="L148" s="49"/>
      <c r="M148" s="49"/>
      <c r="N148" s="49"/>
      <c r="O148" s="49">
        <f t="shared" si="0"/>
        <v>0</v>
      </c>
      <c r="P148" s="49"/>
      <c r="Q148" s="49"/>
      <c r="R148" s="49">
        <f t="shared" si="1"/>
        <v>0</v>
      </c>
      <c r="S148" s="50" t="e">
        <f t="shared" si="2"/>
        <v>#DIV/0!</v>
      </c>
      <c r="T148" s="51" t="e">
        <f t="shared" si="3"/>
        <v>#DIV/0!</v>
      </c>
      <c r="U148" s="50" t="e">
        <f t="shared" si="4"/>
        <v>#NUM!</v>
      </c>
      <c r="V148" s="50" t="e">
        <f t="shared" si="5"/>
        <v>#DIV/0!</v>
      </c>
      <c r="W148" s="52"/>
      <c r="X148" s="53">
        <v>0</v>
      </c>
      <c r="Y148" s="52"/>
      <c r="Z148" s="55">
        <f t="shared" si="6"/>
        <v>0</v>
      </c>
      <c r="AA148" s="48">
        <f t="shared" si="7"/>
        <v>0</v>
      </c>
      <c r="AB148" s="49"/>
      <c r="AC148" s="49"/>
      <c r="AD148" s="50" t="e">
        <f t="shared" si="8"/>
        <v>#DIV/0!</v>
      </c>
      <c r="AE148" s="56" t="e">
        <f t="shared" si="9"/>
        <v>#DIV/0!</v>
      </c>
      <c r="AF148" s="50" t="e">
        <f t="shared" si="10"/>
        <v>#DIV/0!</v>
      </c>
      <c r="AG148" s="50" t="e">
        <f t="shared" si="11"/>
        <v>#DIV/0!</v>
      </c>
      <c r="AH148" s="57" t="e">
        <f t="shared" si="12"/>
        <v>#DIV/0!</v>
      </c>
      <c r="AI148" s="58" t="e">
        <f t="shared" si="13"/>
        <v>#DIV/0!</v>
      </c>
      <c r="AJ148" s="49"/>
      <c r="AK148" s="49"/>
      <c r="AL148" s="59"/>
      <c r="AM148" s="59"/>
      <c r="AN148" s="59"/>
      <c r="AO148" s="59"/>
      <c r="AP148" s="59"/>
      <c r="AQ148" s="59"/>
      <c r="AR148" s="59"/>
    </row>
    <row r="149" spans="1:44" ht="16.8">
      <c r="A149" s="78" t="s">
        <v>380</v>
      </c>
      <c r="B149" s="79">
        <v>56</v>
      </c>
      <c r="C149" s="1" t="s">
        <v>381</v>
      </c>
      <c r="D149" s="19" t="s">
        <v>382</v>
      </c>
      <c r="E149" s="20" t="s">
        <v>39</v>
      </c>
      <c r="F149" s="21">
        <v>2010</v>
      </c>
      <c r="G149" s="40">
        <v>2021</v>
      </c>
      <c r="H149" s="23">
        <v>164127082127</v>
      </c>
      <c r="I149" s="23">
        <v>167050817122</v>
      </c>
      <c r="J149" s="23">
        <v>16845148215</v>
      </c>
      <c r="K149" s="23">
        <v>44609919241</v>
      </c>
      <c r="L149" s="23">
        <v>16845148215</v>
      </c>
      <c r="M149" s="23">
        <v>150205668907</v>
      </c>
      <c r="N149" s="23">
        <v>74873416300</v>
      </c>
      <c r="O149" s="25">
        <f t="shared" si="0"/>
        <v>147281933912</v>
      </c>
      <c r="P149" s="23">
        <v>1038793417</v>
      </c>
      <c r="Q149" s="23">
        <v>1141545728</v>
      </c>
      <c r="R149" s="25">
        <f t="shared" si="1"/>
        <v>73731870572</v>
      </c>
      <c r="S149" s="26">
        <f t="shared" si="2"/>
        <v>0.10083846643322736</v>
      </c>
      <c r="T149" s="27">
        <f t="shared" si="3"/>
        <v>9.7432851306615831</v>
      </c>
      <c r="U149" s="26">
        <f t="shared" si="4"/>
        <v>25.841563897218805</v>
      </c>
      <c r="V149" s="26">
        <f t="shared" si="5"/>
        <v>1.6784028658627448</v>
      </c>
      <c r="W149" s="72">
        <v>45698</v>
      </c>
      <c r="X149" s="42">
        <v>10200</v>
      </c>
      <c r="Y149" s="73">
        <v>183900</v>
      </c>
      <c r="Z149" s="30">
        <f t="shared" si="6"/>
        <v>1875780000</v>
      </c>
      <c r="AA149" s="31">
        <f t="shared" si="7"/>
        <v>11</v>
      </c>
      <c r="AB149" s="32">
        <v>1.84E-2</v>
      </c>
      <c r="AC149" s="32">
        <v>2.58E-2</v>
      </c>
      <c r="AD149" s="33">
        <f t="shared" si="8"/>
        <v>0.88165946416435392</v>
      </c>
      <c r="AE149" s="34">
        <f t="shared" si="9"/>
        <v>6.2184276311641855E-3</v>
      </c>
      <c r="AF149" s="33">
        <f t="shared" si="10"/>
        <v>0.44137389952515099</v>
      </c>
      <c r="AG149" s="33">
        <f t="shared" si="11"/>
        <v>0.11135431852892129</v>
      </c>
      <c r="AH149" s="35">
        <f t="shared" si="12"/>
        <v>4.4448060263030458</v>
      </c>
      <c r="AI149" s="36">
        <f t="shared" si="13"/>
        <v>7.034849641534251</v>
      </c>
      <c r="AJ149" s="23"/>
      <c r="AK149" s="23"/>
      <c r="AL149" s="44"/>
      <c r="AM149" s="44"/>
      <c r="AN149" s="44"/>
      <c r="AO149" s="44"/>
      <c r="AP149" s="44"/>
      <c r="AQ149" s="44"/>
      <c r="AR149" s="44"/>
    </row>
    <row r="150" spans="1:44" ht="16.8">
      <c r="A150" s="78" t="s">
        <v>383</v>
      </c>
      <c r="B150" s="79"/>
      <c r="C150" s="1" t="s">
        <v>381</v>
      </c>
      <c r="D150" s="19" t="s">
        <v>382</v>
      </c>
      <c r="E150" s="20" t="s">
        <v>39</v>
      </c>
      <c r="F150" s="21">
        <v>2010</v>
      </c>
      <c r="G150" s="40">
        <v>2022</v>
      </c>
      <c r="H150" s="23">
        <v>175105843954</v>
      </c>
      <c r="I150" s="23">
        <v>175120252288</v>
      </c>
      <c r="J150" s="23">
        <v>27124543640</v>
      </c>
      <c r="K150" s="23">
        <v>21984845927.5</v>
      </c>
      <c r="L150" s="23">
        <v>27124543640</v>
      </c>
      <c r="M150" s="23">
        <v>147995708648</v>
      </c>
      <c r="N150" s="23">
        <v>117727247775</v>
      </c>
      <c r="O150" s="25">
        <f t="shared" si="0"/>
        <v>147981300314</v>
      </c>
      <c r="P150" s="23">
        <v>713774736</v>
      </c>
      <c r="Q150" s="23">
        <v>1075079814</v>
      </c>
      <c r="R150" s="25">
        <f t="shared" si="1"/>
        <v>116652167961</v>
      </c>
      <c r="S150" s="26">
        <f t="shared" si="2"/>
        <v>0.15489095798806526</v>
      </c>
      <c r="T150" s="27">
        <f t="shared" si="3"/>
        <v>6.4556235960326003</v>
      </c>
      <c r="U150" s="26">
        <f t="shared" si="4"/>
        <v>25.888738730817817</v>
      </c>
      <c r="V150" s="26">
        <f t="shared" si="5"/>
        <v>5.3549271240395413</v>
      </c>
      <c r="W150" s="72">
        <v>45903</v>
      </c>
      <c r="X150" s="42">
        <v>3900</v>
      </c>
      <c r="Y150" s="73">
        <v>3100</v>
      </c>
      <c r="Z150" s="30">
        <f t="shared" si="6"/>
        <v>12090000</v>
      </c>
      <c r="AA150" s="31">
        <f t="shared" si="7"/>
        <v>12</v>
      </c>
      <c r="AB150" s="32">
        <v>3.15E-2</v>
      </c>
      <c r="AC150" s="32">
        <v>8.0199999999999994E-2</v>
      </c>
      <c r="AD150" s="33">
        <f t="shared" si="8"/>
        <v>0.8450267652117831</v>
      </c>
      <c r="AE150" s="34">
        <f t="shared" si="9"/>
        <v>4.0759119900429181E-3</v>
      </c>
      <c r="AF150" s="33">
        <f t="shared" si="10"/>
        <v>0.66612608443000465</v>
      </c>
      <c r="AG150" s="33">
        <f t="shared" si="11"/>
        <v>4.4572178468548054E-4</v>
      </c>
      <c r="AH150" s="35">
        <f t="shared" si="12"/>
        <v>4.340248054953082</v>
      </c>
      <c r="AI150" s="36">
        <f t="shared" si="13"/>
        <v>7.5584699616831079</v>
      </c>
      <c r="AJ150" s="23"/>
      <c r="AK150" s="23"/>
      <c r="AL150" s="44"/>
      <c r="AM150" s="44"/>
      <c r="AN150" s="44"/>
      <c r="AO150" s="44"/>
      <c r="AP150" s="44"/>
      <c r="AQ150" s="44"/>
      <c r="AR150" s="44"/>
    </row>
    <row r="151" spans="1:44" ht="16.8">
      <c r="A151" s="78" t="s">
        <v>384</v>
      </c>
      <c r="B151" s="79"/>
      <c r="C151" s="1" t="s">
        <v>381</v>
      </c>
      <c r="D151" s="19" t="s">
        <v>382</v>
      </c>
      <c r="E151" s="20" t="s">
        <v>39</v>
      </c>
      <c r="F151" s="21">
        <v>2010</v>
      </c>
      <c r="G151" s="40">
        <v>2023</v>
      </c>
      <c r="H151" s="23">
        <v>193276633139</v>
      </c>
      <c r="I151" s="23">
        <v>193285802081</v>
      </c>
      <c r="J151" s="23">
        <v>45179296161</v>
      </c>
      <c r="K151" s="23">
        <v>36151919900.5</v>
      </c>
      <c r="L151" s="23">
        <v>45179296161</v>
      </c>
      <c r="M151" s="23">
        <v>148106505920</v>
      </c>
      <c r="N151" s="23">
        <v>88209672562</v>
      </c>
      <c r="O151" s="25">
        <f t="shared" si="0"/>
        <v>148097336978</v>
      </c>
      <c r="P151" s="23">
        <v>110797272</v>
      </c>
      <c r="Q151" s="23">
        <v>1310654717</v>
      </c>
      <c r="R151" s="25">
        <f t="shared" si="1"/>
        <v>86899017845</v>
      </c>
      <c r="S151" s="26">
        <f t="shared" si="2"/>
        <v>0.23374348076568385</v>
      </c>
      <c r="T151" s="27">
        <f t="shared" si="3"/>
        <v>4.2779912385142831</v>
      </c>
      <c r="U151" s="26">
        <f t="shared" si="4"/>
        <v>25.987435770287206</v>
      </c>
      <c r="V151" s="26">
        <f t="shared" si="5"/>
        <v>2.4399720071514102</v>
      </c>
      <c r="W151" s="72">
        <v>45781</v>
      </c>
      <c r="X151" s="42">
        <v>4500</v>
      </c>
      <c r="Y151" s="73">
        <v>101700</v>
      </c>
      <c r="Z151" s="30">
        <f t="shared" si="6"/>
        <v>457650000</v>
      </c>
      <c r="AA151" s="31">
        <f t="shared" si="7"/>
        <v>13</v>
      </c>
      <c r="AB151" s="32">
        <v>3.2500000000000001E-2</v>
      </c>
      <c r="AC151" s="32">
        <v>5.0500000000000003E-2</v>
      </c>
      <c r="AD151" s="33">
        <f t="shared" si="8"/>
        <v>0.76620908200974358</v>
      </c>
      <c r="AE151" s="34">
        <f t="shared" si="9"/>
        <v>5.7323026734042441E-4</v>
      </c>
      <c r="AF151" s="33">
        <f t="shared" si="10"/>
        <v>0.44958821035692709</v>
      </c>
      <c r="AG151" s="33">
        <f t="shared" si="11"/>
        <v>1.0129639876839338E-2</v>
      </c>
      <c r="AH151" s="35">
        <f t="shared" si="12"/>
        <v>1.9524357406467301</v>
      </c>
      <c r="AI151" s="36">
        <f t="shared" si="13"/>
        <v>4.3624080395366622</v>
      </c>
      <c r="AJ151" s="23"/>
      <c r="AK151" s="23"/>
      <c r="AL151" s="44"/>
      <c r="AM151" s="44"/>
      <c r="AN151" s="44"/>
      <c r="AO151" s="44"/>
      <c r="AP151" s="44"/>
      <c r="AQ151" s="44"/>
      <c r="AR151" s="44"/>
    </row>
    <row r="152" spans="1:44" ht="16.8">
      <c r="A152" s="78" t="s">
        <v>385</v>
      </c>
      <c r="B152" s="79">
        <v>57</v>
      </c>
      <c r="C152" s="1" t="s">
        <v>386</v>
      </c>
      <c r="D152" s="19" t="s">
        <v>387</v>
      </c>
      <c r="E152" s="20" t="s">
        <v>39</v>
      </c>
      <c r="F152" s="21">
        <v>2000</v>
      </c>
      <c r="G152" s="40">
        <v>2021</v>
      </c>
      <c r="H152" s="23">
        <v>6610378958756</v>
      </c>
      <c r="I152" s="23">
        <v>6685686401841</v>
      </c>
      <c r="J152" s="23">
        <v>4873877661077</v>
      </c>
      <c r="K152" s="23">
        <v>3855072136999</v>
      </c>
      <c r="L152" s="23">
        <v>4796207530558</v>
      </c>
      <c r="M152" s="23">
        <v>1811808740764</v>
      </c>
      <c r="N152" s="23">
        <v>1064553362036</v>
      </c>
      <c r="O152" s="25">
        <f t="shared" si="0"/>
        <v>1814171428198</v>
      </c>
      <c r="P152" s="23">
        <v>385503773570</v>
      </c>
      <c r="Q152" s="23">
        <v>348729706790</v>
      </c>
      <c r="R152" s="25">
        <f t="shared" si="1"/>
        <v>715823655246</v>
      </c>
      <c r="S152" s="26">
        <f t="shared" si="2"/>
        <v>0.72900183588253675</v>
      </c>
      <c r="T152" s="27">
        <f t="shared" si="3"/>
        <v>1.3782512363444239</v>
      </c>
      <c r="U152" s="26">
        <f t="shared" si="4"/>
        <v>29.530989999123332</v>
      </c>
      <c r="V152" s="26">
        <f t="shared" si="5"/>
        <v>0.27614356468688722</v>
      </c>
      <c r="W152" s="73" t="s">
        <v>388</v>
      </c>
      <c r="X152" s="29">
        <v>33160</v>
      </c>
      <c r="Y152" s="73">
        <v>2228400</v>
      </c>
      <c r="Z152" s="30">
        <f t="shared" si="6"/>
        <v>73893744000</v>
      </c>
      <c r="AA152" s="31">
        <f t="shared" si="7"/>
        <v>21</v>
      </c>
      <c r="AB152" s="32">
        <v>1.84E-2</v>
      </c>
      <c r="AC152" s="32">
        <v>2.58E-2</v>
      </c>
      <c r="AD152" s="33">
        <f t="shared" si="8"/>
        <v>0.27135155901097036</v>
      </c>
      <c r="AE152" s="34">
        <f t="shared" si="9"/>
        <v>5.7661061318078868E-2</v>
      </c>
      <c r="AF152" s="33">
        <f t="shared" si="10"/>
        <v>0.10706808728702676</v>
      </c>
      <c r="AG152" s="33">
        <f t="shared" si="11"/>
        <v>1.5161181535211413E-2</v>
      </c>
      <c r="AH152" s="35">
        <f t="shared" si="12"/>
        <v>0.21842020585325103</v>
      </c>
      <c r="AI152" s="36">
        <f t="shared" si="13"/>
        <v>0.98718895948004093</v>
      </c>
      <c r="AJ152" s="23"/>
      <c r="AK152" s="23"/>
      <c r="AL152" s="44"/>
      <c r="AM152" s="44"/>
      <c r="AN152" s="44"/>
      <c r="AO152" s="44"/>
      <c r="AP152" s="44"/>
      <c r="AQ152" s="44"/>
      <c r="AR152" s="44"/>
    </row>
    <row r="153" spans="1:44" ht="16.8">
      <c r="A153" s="78" t="s">
        <v>389</v>
      </c>
      <c r="B153" s="79"/>
      <c r="C153" s="1" t="s">
        <v>386</v>
      </c>
      <c r="D153" s="19" t="s">
        <v>387</v>
      </c>
      <c r="E153" s="20" t="s">
        <v>39</v>
      </c>
      <c r="F153" s="21">
        <v>2000</v>
      </c>
      <c r="G153" s="40">
        <v>2022</v>
      </c>
      <c r="H153" s="23">
        <v>491835550792</v>
      </c>
      <c r="I153" s="23">
        <v>5036970412985</v>
      </c>
      <c r="J153" s="23">
        <v>3182650568889</v>
      </c>
      <c r="K153" s="23">
        <v>4028264114983</v>
      </c>
      <c r="L153" s="23">
        <v>3136567154743</v>
      </c>
      <c r="M153" s="23">
        <v>1854319884096</v>
      </c>
      <c r="N153" s="23">
        <v>872155112633</v>
      </c>
      <c r="O153" s="25">
        <f t="shared" si="0"/>
        <v>-2644731603951</v>
      </c>
      <c r="P153" s="23">
        <v>71067936264</v>
      </c>
      <c r="Q153" s="23">
        <v>476268170412</v>
      </c>
      <c r="R153" s="25">
        <f t="shared" si="1"/>
        <v>395886942221</v>
      </c>
      <c r="S153" s="26">
        <f t="shared" si="2"/>
        <v>0.6318581027762884</v>
      </c>
      <c r="T153" s="27">
        <f t="shared" si="3"/>
        <v>0.15680695694599256</v>
      </c>
      <c r="U153" s="26">
        <f t="shared" si="4"/>
        <v>29.247825908738935</v>
      </c>
      <c r="V153" s="26">
        <f t="shared" si="5"/>
        <v>0.21650891990647952</v>
      </c>
      <c r="W153" s="73" t="s">
        <v>390</v>
      </c>
      <c r="X153" s="29">
        <v>12650</v>
      </c>
      <c r="Y153" s="73">
        <v>738109</v>
      </c>
      <c r="Z153" s="30">
        <f t="shared" si="6"/>
        <v>9337078850</v>
      </c>
      <c r="AA153" s="31">
        <f t="shared" si="7"/>
        <v>22</v>
      </c>
      <c r="AB153" s="32">
        <v>3.15E-2</v>
      </c>
      <c r="AC153" s="32">
        <v>8.0199999999999994E-2</v>
      </c>
      <c r="AD153" s="33">
        <f t="shared" si="8"/>
        <v>-0.52506395454161192</v>
      </c>
      <c r="AE153" s="34">
        <f t="shared" si="9"/>
        <v>1.4109262202690575E-2</v>
      </c>
      <c r="AF153" s="33">
        <f t="shared" si="10"/>
        <v>7.8596241343889539E-2</v>
      </c>
      <c r="AG153" s="33">
        <f t="shared" si="11"/>
        <v>2.9337430069363186E-3</v>
      </c>
      <c r="AH153" s="35">
        <f t="shared" si="12"/>
        <v>0.27403420317595595</v>
      </c>
      <c r="AI153" s="36">
        <f t="shared" si="13"/>
        <v>-7.5161732951214255E-2</v>
      </c>
      <c r="AJ153" s="23"/>
      <c r="AK153" s="23"/>
      <c r="AL153" s="44"/>
      <c r="AM153" s="44"/>
      <c r="AN153" s="44"/>
      <c r="AO153" s="44"/>
      <c r="AP153" s="44"/>
      <c r="AQ153" s="44"/>
      <c r="AR153" s="44"/>
    </row>
    <row r="154" spans="1:44" ht="16.8">
      <c r="A154" s="78" t="s">
        <v>391</v>
      </c>
      <c r="B154" s="79"/>
      <c r="C154" s="1" t="s">
        <v>386</v>
      </c>
      <c r="D154" s="19" t="s">
        <v>387</v>
      </c>
      <c r="E154" s="20" t="s">
        <v>39</v>
      </c>
      <c r="F154" s="21">
        <v>2000</v>
      </c>
      <c r="G154" s="40">
        <v>2023</v>
      </c>
      <c r="H154" s="23">
        <v>8346416002003</v>
      </c>
      <c r="I154" s="23">
        <v>8457052562089</v>
      </c>
      <c r="J154" s="23">
        <v>6419118005133</v>
      </c>
      <c r="K154" s="23">
        <v>4800884287011</v>
      </c>
      <c r="L154" s="23">
        <v>6393046412863</v>
      </c>
      <c r="M154" s="23">
        <v>2037934556956</v>
      </c>
      <c r="N154" s="23">
        <v>1144231385757</v>
      </c>
      <c r="O154" s="25">
        <f t="shared" si="0"/>
        <v>1953369589140</v>
      </c>
      <c r="P154" s="23">
        <v>187499623843</v>
      </c>
      <c r="Q154" s="23">
        <v>453767228836</v>
      </c>
      <c r="R154" s="25">
        <f t="shared" si="1"/>
        <v>690464156921</v>
      </c>
      <c r="S154" s="26">
        <f t="shared" si="2"/>
        <v>0.75902543563562719</v>
      </c>
      <c r="T154" s="27">
        <f t="shared" si="3"/>
        <v>1.3055459733891126</v>
      </c>
      <c r="U154" s="26">
        <f t="shared" si="4"/>
        <v>29.766021831926182</v>
      </c>
      <c r="V154" s="26">
        <f t="shared" si="5"/>
        <v>0.2383376306012556</v>
      </c>
      <c r="W154" s="73" t="s">
        <v>392</v>
      </c>
      <c r="X154" s="29">
        <v>28300</v>
      </c>
      <c r="Y154" s="73">
        <v>674686</v>
      </c>
      <c r="Z154" s="30">
        <f t="shared" si="6"/>
        <v>19093613800</v>
      </c>
      <c r="AA154" s="31">
        <f t="shared" si="7"/>
        <v>23</v>
      </c>
      <c r="AB154" s="32">
        <v>3.2500000000000001E-2</v>
      </c>
      <c r="AC154" s="32">
        <v>5.0500000000000003E-2</v>
      </c>
      <c r="AD154" s="33">
        <f t="shared" si="8"/>
        <v>0.23097522154426492</v>
      </c>
      <c r="AE154" s="34">
        <f t="shared" si="9"/>
        <v>2.2170800342842519E-2</v>
      </c>
      <c r="AF154" s="33">
        <f t="shared" si="10"/>
        <v>8.1643592948232369E-2</v>
      </c>
      <c r="AG154" s="33">
        <f t="shared" si="11"/>
        <v>2.9744917891728947E-3</v>
      </c>
      <c r="AH154" s="35">
        <f t="shared" si="12"/>
        <v>0.17825367672661943</v>
      </c>
      <c r="AI154" s="36">
        <f t="shared" si="13"/>
        <v>0.75767161486238732</v>
      </c>
      <c r="AJ154" s="23"/>
      <c r="AK154" s="23"/>
      <c r="AL154" s="44"/>
      <c r="AM154" s="44"/>
      <c r="AN154" s="44"/>
      <c r="AO154" s="44"/>
      <c r="AP154" s="44"/>
      <c r="AQ154" s="44"/>
      <c r="AR154" s="44"/>
    </row>
    <row r="155" spans="1:44" ht="16.8">
      <c r="A155" s="78" t="s">
        <v>393</v>
      </c>
      <c r="B155" s="79">
        <v>58</v>
      </c>
      <c r="C155" s="1" t="s">
        <v>394</v>
      </c>
      <c r="D155" s="19" t="s">
        <v>395</v>
      </c>
      <c r="E155" s="20" t="s">
        <v>39</v>
      </c>
      <c r="F155" s="21">
        <v>2010</v>
      </c>
      <c r="G155" s="40">
        <v>2021</v>
      </c>
      <c r="H155" s="23">
        <v>371056521309</v>
      </c>
      <c r="I155" s="23">
        <v>547345306461</v>
      </c>
      <c r="J155" s="23">
        <v>482784119407</v>
      </c>
      <c r="K155" s="23">
        <v>484112987913</v>
      </c>
      <c r="L155" s="23">
        <v>459735228032</v>
      </c>
      <c r="M155" s="23">
        <v>64361187054</v>
      </c>
      <c r="N155" s="23">
        <v>2069283929275</v>
      </c>
      <c r="O155" s="25">
        <f t="shared" si="0"/>
        <v>-88678706723</v>
      </c>
      <c r="P155" s="23">
        <v>10146481169</v>
      </c>
      <c r="Q155" s="23">
        <v>80420073026</v>
      </c>
      <c r="R155" s="25">
        <f t="shared" si="1"/>
        <v>1988863856249</v>
      </c>
      <c r="S155" s="26">
        <f t="shared" si="2"/>
        <v>0.88204669649688472</v>
      </c>
      <c r="T155" s="27">
        <f t="shared" si="3"/>
        <v>0.80710917650881542</v>
      </c>
      <c r="U155" s="26">
        <f t="shared" si="4"/>
        <v>27.028345713436916</v>
      </c>
      <c r="V155" s="26">
        <f t="shared" si="5"/>
        <v>4.2743821813077885</v>
      </c>
      <c r="W155" s="73" t="s">
        <v>396</v>
      </c>
      <c r="X155" s="29">
        <v>11350</v>
      </c>
      <c r="Y155" s="73">
        <v>0</v>
      </c>
      <c r="Z155" s="30">
        <f t="shared" si="6"/>
        <v>0</v>
      </c>
      <c r="AA155" s="31">
        <f t="shared" si="7"/>
        <v>11</v>
      </c>
      <c r="AB155" s="32">
        <v>1.84E-2</v>
      </c>
      <c r="AC155" s="32">
        <v>2.58E-2</v>
      </c>
      <c r="AD155" s="33">
        <f t="shared" si="8"/>
        <v>-0.1620160174504367</v>
      </c>
      <c r="AE155" s="34">
        <f t="shared" si="9"/>
        <v>1.853762341474096E-2</v>
      </c>
      <c r="AF155" s="33">
        <f t="shared" si="10"/>
        <v>3.6336547199216964</v>
      </c>
      <c r="AG155" s="33">
        <f t="shared" si="11"/>
        <v>0</v>
      </c>
      <c r="AH155" s="35">
        <f t="shared" si="12"/>
        <v>4.2861474644540616</v>
      </c>
      <c r="AI155" s="36">
        <f t="shared" si="13"/>
        <v>16.108741492035772</v>
      </c>
      <c r="AJ155" s="23"/>
      <c r="AK155" s="23"/>
      <c r="AL155" s="44"/>
      <c r="AM155" s="44"/>
      <c r="AN155" s="44"/>
      <c r="AO155" s="44"/>
      <c r="AP155" s="44"/>
      <c r="AQ155" s="44"/>
      <c r="AR155" s="44"/>
    </row>
    <row r="156" spans="1:44" ht="16.8">
      <c r="A156" s="78" t="s">
        <v>397</v>
      </c>
      <c r="B156" s="79"/>
      <c r="C156" s="1" t="s">
        <v>394</v>
      </c>
      <c r="D156" s="19" t="s">
        <v>395</v>
      </c>
      <c r="E156" s="20" t="s">
        <v>39</v>
      </c>
      <c r="F156" s="21">
        <v>2010</v>
      </c>
      <c r="G156" s="40">
        <v>2022</v>
      </c>
      <c r="H156" s="23">
        <v>515441250018</v>
      </c>
      <c r="I156" s="23">
        <v>667599214995</v>
      </c>
      <c r="J156" s="23">
        <v>602850939496</v>
      </c>
      <c r="K156" s="23">
        <v>542817529451.5</v>
      </c>
      <c r="L156" s="23">
        <v>584229614249</v>
      </c>
      <c r="M156" s="23">
        <v>64448017499</v>
      </c>
      <c r="N156" s="23">
        <v>2260356590915</v>
      </c>
      <c r="O156" s="25">
        <f t="shared" si="0"/>
        <v>-68788364231</v>
      </c>
      <c r="P156" s="23">
        <v>10608021267</v>
      </c>
      <c r="Q156" s="23">
        <v>81558924098</v>
      </c>
      <c r="R156" s="25">
        <f t="shared" si="1"/>
        <v>2178797666817</v>
      </c>
      <c r="S156" s="26">
        <f t="shared" si="2"/>
        <v>0.90301325399328858</v>
      </c>
      <c r="T156" s="27">
        <f t="shared" si="3"/>
        <v>0.8822579983052995</v>
      </c>
      <c r="U156" s="26">
        <f t="shared" si="4"/>
        <v>27.226953852872107</v>
      </c>
      <c r="V156" s="26">
        <f t="shared" si="5"/>
        <v>4.1641186370657906</v>
      </c>
      <c r="W156" s="73" t="s">
        <v>398</v>
      </c>
      <c r="X156" s="29">
        <v>13470</v>
      </c>
      <c r="Y156" s="73">
        <v>100</v>
      </c>
      <c r="Z156" s="30">
        <f t="shared" si="6"/>
        <v>1347000</v>
      </c>
      <c r="AA156" s="31">
        <f t="shared" si="7"/>
        <v>12</v>
      </c>
      <c r="AB156" s="32">
        <v>3.15E-2</v>
      </c>
      <c r="AC156" s="32">
        <v>8.0199999999999994E-2</v>
      </c>
      <c r="AD156" s="33">
        <f t="shared" si="8"/>
        <v>-0.10303841389555138</v>
      </c>
      <c r="AE156" s="34">
        <f t="shared" si="9"/>
        <v>1.5889804884026786E-2</v>
      </c>
      <c r="AF156" s="33">
        <f t="shared" si="10"/>
        <v>3.2636312594126076</v>
      </c>
      <c r="AG156" s="33">
        <f t="shared" si="11"/>
        <v>2.2343831812323776E-6</v>
      </c>
      <c r="AH156" s="35">
        <f t="shared" si="12"/>
        <v>3.7494452489444909</v>
      </c>
      <c r="AI156" s="36">
        <f t="shared" si="13"/>
        <v>14.41802937579898</v>
      </c>
      <c r="AJ156" s="23"/>
      <c r="AK156" s="23"/>
      <c r="AL156" s="44"/>
      <c r="AM156" s="44"/>
      <c r="AN156" s="44"/>
      <c r="AO156" s="44"/>
      <c r="AP156" s="44"/>
      <c r="AQ156" s="44"/>
      <c r="AR156" s="44"/>
    </row>
    <row r="157" spans="1:44" ht="16.8">
      <c r="A157" s="78" t="s">
        <v>399</v>
      </c>
      <c r="B157" s="79"/>
      <c r="C157" s="1" t="s">
        <v>394</v>
      </c>
      <c r="D157" s="19" t="s">
        <v>395</v>
      </c>
      <c r="E157" s="20" t="s">
        <v>39</v>
      </c>
      <c r="F157" s="21">
        <v>2010</v>
      </c>
      <c r="G157" s="40">
        <v>2023</v>
      </c>
      <c r="H157" s="23">
        <v>538525318762</v>
      </c>
      <c r="I157" s="23">
        <v>686268526779</v>
      </c>
      <c r="J157" s="23">
        <v>619693748309</v>
      </c>
      <c r="K157" s="23">
        <v>611272343902.5</v>
      </c>
      <c r="L157" s="23">
        <v>594416285338</v>
      </c>
      <c r="M157" s="23">
        <v>66570778470</v>
      </c>
      <c r="N157" s="23">
        <v>2276830496719</v>
      </c>
      <c r="O157" s="25">
        <f t="shared" si="0"/>
        <v>-55890966576</v>
      </c>
      <c r="P157" s="23">
        <v>12051495253</v>
      </c>
      <c r="Q157" s="23">
        <v>83192282101</v>
      </c>
      <c r="R157" s="25">
        <f t="shared" si="1"/>
        <v>2193638214618</v>
      </c>
      <c r="S157" s="26">
        <f t="shared" si="2"/>
        <v>0.90299019134322156</v>
      </c>
      <c r="T157" s="27">
        <f t="shared" si="3"/>
        <v>0.90597335915145893</v>
      </c>
      <c r="U157" s="26">
        <f t="shared" si="4"/>
        <v>27.254534826533604</v>
      </c>
      <c r="V157" s="26">
        <f t="shared" si="5"/>
        <v>3.7247399124638987</v>
      </c>
      <c r="W157" s="73" t="s">
        <v>400</v>
      </c>
      <c r="X157" s="29">
        <v>15940</v>
      </c>
      <c r="Y157" s="73">
        <v>0</v>
      </c>
      <c r="Z157" s="30">
        <f t="shared" si="6"/>
        <v>0</v>
      </c>
      <c r="AA157" s="31">
        <f t="shared" si="7"/>
        <v>13</v>
      </c>
      <c r="AB157" s="32">
        <v>3.2500000000000001E-2</v>
      </c>
      <c r="AC157" s="32">
        <v>5.0500000000000003E-2</v>
      </c>
      <c r="AD157" s="33">
        <f t="shared" si="8"/>
        <v>-8.1441832744864676E-2</v>
      </c>
      <c r="AE157" s="34">
        <f t="shared" si="9"/>
        <v>1.7560903323898109E-2</v>
      </c>
      <c r="AF157" s="33">
        <f t="shared" si="10"/>
        <v>3.1964721228202562</v>
      </c>
      <c r="AG157" s="33">
        <f t="shared" si="11"/>
        <v>0</v>
      </c>
      <c r="AH157" s="35">
        <f t="shared" si="12"/>
        <v>3.6741221013314083</v>
      </c>
      <c r="AI157" s="36">
        <f t="shared" si="13"/>
        <v>14.149335171997873</v>
      </c>
      <c r="AJ157" s="23"/>
      <c r="AK157" s="23"/>
      <c r="AL157" s="44"/>
      <c r="AM157" s="44"/>
      <c r="AN157" s="44"/>
      <c r="AO157" s="44"/>
      <c r="AP157" s="44"/>
      <c r="AQ157" s="44"/>
      <c r="AR157" s="44"/>
    </row>
    <row r="158" spans="1:44" ht="16.8">
      <c r="A158" s="45"/>
      <c r="B158" s="45">
        <v>59</v>
      </c>
      <c r="C158" s="45" t="s">
        <v>401</v>
      </c>
      <c r="D158" s="46" t="s">
        <v>402</v>
      </c>
      <c r="E158" s="47" t="s">
        <v>39</v>
      </c>
      <c r="F158" s="48"/>
      <c r="G158" s="48"/>
      <c r="H158" s="49"/>
      <c r="I158" s="49"/>
      <c r="J158" s="49"/>
      <c r="K158" s="49"/>
      <c r="L158" s="49"/>
      <c r="M158" s="49"/>
      <c r="N158" s="49"/>
      <c r="O158" s="49">
        <f t="shared" si="0"/>
        <v>0</v>
      </c>
      <c r="P158" s="49"/>
      <c r="Q158" s="49"/>
      <c r="R158" s="49">
        <f t="shared" si="1"/>
        <v>0</v>
      </c>
      <c r="S158" s="50" t="e">
        <f t="shared" si="2"/>
        <v>#DIV/0!</v>
      </c>
      <c r="T158" s="51" t="e">
        <f t="shared" si="3"/>
        <v>#DIV/0!</v>
      </c>
      <c r="U158" s="50" t="e">
        <f t="shared" si="4"/>
        <v>#NUM!</v>
      </c>
      <c r="V158" s="50" t="e">
        <f t="shared" si="5"/>
        <v>#DIV/0!</v>
      </c>
      <c r="W158" s="52"/>
      <c r="X158" s="53">
        <v>0</v>
      </c>
      <c r="Y158" s="52"/>
      <c r="Z158" s="55">
        <f t="shared" si="6"/>
        <v>0</v>
      </c>
      <c r="AA158" s="48">
        <f t="shared" si="7"/>
        <v>0</v>
      </c>
      <c r="AB158" s="49"/>
      <c r="AC158" s="49"/>
      <c r="AD158" s="50" t="e">
        <f t="shared" si="8"/>
        <v>#DIV/0!</v>
      </c>
      <c r="AE158" s="56" t="e">
        <f t="shared" si="9"/>
        <v>#DIV/0!</v>
      </c>
      <c r="AF158" s="50" t="e">
        <f t="shared" si="10"/>
        <v>#DIV/0!</v>
      </c>
      <c r="AG158" s="50" t="e">
        <f t="shared" si="11"/>
        <v>#DIV/0!</v>
      </c>
      <c r="AH158" s="57" t="e">
        <f t="shared" si="12"/>
        <v>#DIV/0!</v>
      </c>
      <c r="AI158" s="58" t="e">
        <f t="shared" si="13"/>
        <v>#DIV/0!</v>
      </c>
      <c r="AJ158" s="49" t="s">
        <v>403</v>
      </c>
      <c r="AK158" s="49"/>
      <c r="AL158" s="59"/>
      <c r="AM158" s="59"/>
      <c r="AN158" s="59"/>
      <c r="AO158" s="59"/>
      <c r="AP158" s="59"/>
      <c r="AQ158" s="59"/>
      <c r="AR158" s="59"/>
    </row>
    <row r="159" spans="1:44" ht="16.8">
      <c r="A159" s="78" t="s">
        <v>404</v>
      </c>
      <c r="B159" s="79">
        <v>60</v>
      </c>
      <c r="C159" s="1" t="s">
        <v>405</v>
      </c>
      <c r="D159" s="19" t="s">
        <v>406</v>
      </c>
      <c r="E159" s="20" t="s">
        <v>39</v>
      </c>
      <c r="F159" s="21">
        <v>1982</v>
      </c>
      <c r="G159" s="40">
        <v>2021</v>
      </c>
      <c r="H159" s="23">
        <v>867602958359</v>
      </c>
      <c r="I159" s="23">
        <v>2320811850494</v>
      </c>
      <c r="J159" s="23">
        <v>1343822537512</v>
      </c>
      <c r="K159" s="23">
        <v>1349151938184</v>
      </c>
      <c r="L159" s="23">
        <v>1153203490116</v>
      </c>
      <c r="M159" s="23">
        <v>976989312982</v>
      </c>
      <c r="N159" s="23">
        <v>90888904251</v>
      </c>
      <c r="O159" s="25">
        <f t="shared" si="0"/>
        <v>-285600531757</v>
      </c>
      <c r="P159" s="23">
        <v>-8614959517</v>
      </c>
      <c r="Q159" s="23">
        <v>21426236496</v>
      </c>
      <c r="R159" s="25">
        <f t="shared" si="1"/>
        <v>69462667755</v>
      </c>
      <c r="S159" s="26">
        <f t="shared" si="2"/>
        <v>0.57903122875986635</v>
      </c>
      <c r="T159" s="27">
        <f t="shared" si="3"/>
        <v>0.75234159954868707</v>
      </c>
      <c r="U159" s="26">
        <f t="shared" si="4"/>
        <v>28.472938175951359</v>
      </c>
      <c r="V159" s="26">
        <f t="shared" si="5"/>
        <v>6.7367434073688739E-2</v>
      </c>
      <c r="W159" s="72">
        <v>45880</v>
      </c>
      <c r="X159" s="42">
        <v>11800</v>
      </c>
      <c r="Y159" s="73">
        <v>38050</v>
      </c>
      <c r="Z159" s="30">
        <f t="shared" si="6"/>
        <v>448990000</v>
      </c>
      <c r="AA159" s="31">
        <f t="shared" si="7"/>
        <v>39</v>
      </c>
      <c r="AB159" s="32">
        <v>1.84E-2</v>
      </c>
      <c r="AC159" s="32">
        <v>2.58E-2</v>
      </c>
      <c r="AD159" s="33">
        <f t="shared" si="8"/>
        <v>-0.12306061419679844</v>
      </c>
      <c r="AE159" s="34">
        <f t="shared" si="9"/>
        <v>-3.7120456426341709E-3</v>
      </c>
      <c r="AF159" s="33">
        <f t="shared" si="10"/>
        <v>2.9930331379605123E-2</v>
      </c>
      <c r="AG159" s="33">
        <f t="shared" si="11"/>
        <v>3.3411405707726538E-4</v>
      </c>
      <c r="AH159" s="35">
        <f t="shared" si="12"/>
        <v>6.7634603315460756E-2</v>
      </c>
      <c r="AI159" s="36">
        <f t="shared" si="13"/>
        <v>1.373556436655804E-2</v>
      </c>
      <c r="AJ159" s="23"/>
      <c r="AK159" s="23"/>
      <c r="AL159" s="44"/>
      <c r="AM159" s="44"/>
      <c r="AN159" s="44"/>
      <c r="AO159" s="44"/>
      <c r="AP159" s="44"/>
      <c r="AQ159" s="44"/>
      <c r="AR159" s="44"/>
    </row>
    <row r="160" spans="1:44" ht="16.8">
      <c r="A160" s="78" t="s">
        <v>407</v>
      </c>
      <c r="B160" s="79"/>
      <c r="C160" s="1" t="s">
        <v>405</v>
      </c>
      <c r="D160" s="19" t="s">
        <v>406</v>
      </c>
      <c r="E160" s="20" t="s">
        <v>39</v>
      </c>
      <c r="F160" s="21">
        <v>1982</v>
      </c>
      <c r="G160" s="40">
        <v>2022</v>
      </c>
      <c r="H160" s="23">
        <v>768931510031</v>
      </c>
      <c r="I160" s="23">
        <v>2230856071427</v>
      </c>
      <c r="J160" s="23">
        <v>1249381778288</v>
      </c>
      <c r="K160" s="23">
        <v>1296602157900</v>
      </c>
      <c r="L160" s="23">
        <v>1056130867296</v>
      </c>
      <c r="M160" s="23">
        <v>981474293139</v>
      </c>
      <c r="N160" s="23">
        <v>183933333337</v>
      </c>
      <c r="O160" s="25">
        <f t="shared" si="0"/>
        <v>-287199357265</v>
      </c>
      <c r="P160" s="23">
        <v>5672627745</v>
      </c>
      <c r="Q160" s="23">
        <v>35089742987</v>
      </c>
      <c r="R160" s="25">
        <f t="shared" si="1"/>
        <v>148843590350</v>
      </c>
      <c r="S160" s="26">
        <f t="shared" si="2"/>
        <v>0.56004589192919763</v>
      </c>
      <c r="T160" s="27">
        <f t="shared" si="3"/>
        <v>0.72806461191659577</v>
      </c>
      <c r="U160" s="26">
        <f t="shared" si="4"/>
        <v>28.433406516266512</v>
      </c>
      <c r="V160" s="26">
        <f t="shared" si="5"/>
        <v>0.14185795713536503</v>
      </c>
      <c r="W160" s="72">
        <v>45815</v>
      </c>
      <c r="X160" s="42">
        <v>7600</v>
      </c>
      <c r="Y160" s="73">
        <v>0</v>
      </c>
      <c r="Z160" s="30">
        <f t="shared" si="6"/>
        <v>0</v>
      </c>
      <c r="AA160" s="31">
        <f t="shared" si="7"/>
        <v>40</v>
      </c>
      <c r="AB160" s="32">
        <v>3.15E-2</v>
      </c>
      <c r="AC160" s="32">
        <v>8.0199999999999994E-2</v>
      </c>
      <c r="AD160" s="33">
        <f t="shared" si="8"/>
        <v>-0.12873952781780704</v>
      </c>
      <c r="AE160" s="34">
        <f t="shared" si="9"/>
        <v>2.5428031048957004E-3</v>
      </c>
      <c r="AF160" s="33">
        <f t="shared" si="10"/>
        <v>6.672039144810897E-2</v>
      </c>
      <c r="AG160" s="33">
        <f t="shared" si="11"/>
        <v>0</v>
      </c>
      <c r="AH160" s="35">
        <f t="shared" si="12"/>
        <v>0.14721947809182853</v>
      </c>
      <c r="AI160" s="36">
        <f t="shared" si="13"/>
        <v>0.21646926083607365</v>
      </c>
      <c r="AJ160" s="23"/>
      <c r="AK160" s="23"/>
      <c r="AL160" s="44"/>
      <c r="AM160" s="44"/>
      <c r="AN160" s="44"/>
      <c r="AO160" s="44"/>
      <c r="AP160" s="44"/>
      <c r="AQ160" s="44"/>
      <c r="AR160" s="44"/>
    </row>
    <row r="161" spans="1:44" ht="16.8">
      <c r="A161" s="78" t="s">
        <v>408</v>
      </c>
      <c r="B161" s="79"/>
      <c r="C161" s="1" t="s">
        <v>405</v>
      </c>
      <c r="D161" s="19" t="s">
        <v>406</v>
      </c>
      <c r="E161" s="20" t="s">
        <v>39</v>
      </c>
      <c r="F161" s="21">
        <v>1982</v>
      </c>
      <c r="G161" s="40">
        <v>2023</v>
      </c>
      <c r="H161" s="23">
        <v>589604145785</v>
      </c>
      <c r="I161" s="23">
        <v>1966142082248</v>
      </c>
      <c r="J161" s="23">
        <v>948938522688</v>
      </c>
      <c r="K161" s="23">
        <v>1099160150488</v>
      </c>
      <c r="L161" s="23">
        <v>775025105829</v>
      </c>
      <c r="M161" s="23">
        <v>1017203559560</v>
      </c>
      <c r="N161" s="23">
        <v>336593140856</v>
      </c>
      <c r="O161" s="25">
        <f t="shared" si="0"/>
        <v>-185420960044</v>
      </c>
      <c r="P161" s="23">
        <v>35779266421</v>
      </c>
      <c r="Q161" s="23">
        <v>69288208697</v>
      </c>
      <c r="R161" s="25">
        <f t="shared" si="1"/>
        <v>267304932159</v>
      </c>
      <c r="S161" s="26">
        <f t="shared" si="2"/>
        <v>0.48263985154268485</v>
      </c>
      <c r="T161" s="27">
        <f t="shared" si="3"/>
        <v>0.7607548985840068</v>
      </c>
      <c r="U161" s="26">
        <f t="shared" si="4"/>
        <v>28.307094404751247</v>
      </c>
      <c r="V161" s="26">
        <f t="shared" si="5"/>
        <v>0.30622756902764436</v>
      </c>
      <c r="W161" s="72">
        <v>45815</v>
      </c>
      <c r="X161" s="42">
        <v>7600</v>
      </c>
      <c r="Y161" s="73">
        <v>0</v>
      </c>
      <c r="Z161" s="30">
        <f t="shared" si="6"/>
        <v>0</v>
      </c>
      <c r="AA161" s="31">
        <f t="shared" si="7"/>
        <v>41</v>
      </c>
      <c r="AB161" s="32">
        <v>3.2500000000000001E-2</v>
      </c>
      <c r="AC161" s="32">
        <v>5.0500000000000003E-2</v>
      </c>
      <c r="AD161" s="33">
        <f t="shared" si="8"/>
        <v>-9.4306999335469113E-2</v>
      </c>
      <c r="AE161" s="34">
        <f t="shared" si="9"/>
        <v>1.8197701348262464E-2</v>
      </c>
      <c r="AF161" s="33">
        <f t="shared" si="10"/>
        <v>0.13595402619803312</v>
      </c>
      <c r="AG161" s="33">
        <f t="shared" si="11"/>
        <v>0</v>
      </c>
      <c r="AH161" s="35">
        <f t="shared" si="12"/>
        <v>0.35470489690159618</v>
      </c>
      <c r="AI161" s="36">
        <f t="shared" si="13"/>
        <v>0.71566156604011</v>
      </c>
      <c r="AJ161" s="23"/>
      <c r="AK161" s="23"/>
      <c r="AL161" s="44"/>
      <c r="AM161" s="44"/>
      <c r="AN161" s="44"/>
      <c r="AO161" s="44"/>
      <c r="AP161" s="44"/>
      <c r="AQ161" s="44"/>
      <c r="AR161" s="44"/>
    </row>
    <row r="162" spans="1:44" ht="16.8">
      <c r="A162" s="45"/>
      <c r="B162" s="45">
        <v>61</v>
      </c>
      <c r="C162" s="45" t="s">
        <v>409</v>
      </c>
      <c r="D162" s="46" t="s">
        <v>410</v>
      </c>
      <c r="E162" s="47" t="s">
        <v>39</v>
      </c>
      <c r="F162" s="48"/>
      <c r="G162" s="48"/>
      <c r="H162" s="49"/>
      <c r="I162" s="49"/>
      <c r="J162" s="49"/>
      <c r="K162" s="49"/>
      <c r="L162" s="49"/>
      <c r="M162" s="49"/>
      <c r="N162" s="49"/>
      <c r="O162" s="49">
        <f t="shared" si="0"/>
        <v>0</v>
      </c>
      <c r="P162" s="49"/>
      <c r="Q162" s="49"/>
      <c r="R162" s="49">
        <f t="shared" si="1"/>
        <v>0</v>
      </c>
      <c r="S162" s="50" t="e">
        <f t="shared" si="2"/>
        <v>#DIV/0!</v>
      </c>
      <c r="T162" s="51" t="e">
        <f t="shared" si="3"/>
        <v>#DIV/0!</v>
      </c>
      <c r="U162" s="50" t="e">
        <f t="shared" si="4"/>
        <v>#NUM!</v>
      </c>
      <c r="V162" s="50" t="e">
        <f t="shared" si="5"/>
        <v>#DIV/0!</v>
      </c>
      <c r="W162" s="52"/>
      <c r="X162" s="53">
        <v>0</v>
      </c>
      <c r="Y162" s="52"/>
      <c r="Z162" s="55">
        <f t="shared" si="6"/>
        <v>0</v>
      </c>
      <c r="AA162" s="48">
        <f t="shared" si="7"/>
        <v>0</v>
      </c>
      <c r="AB162" s="49"/>
      <c r="AC162" s="49"/>
      <c r="AD162" s="50" t="e">
        <f t="shared" si="8"/>
        <v>#DIV/0!</v>
      </c>
      <c r="AE162" s="56" t="e">
        <f t="shared" si="9"/>
        <v>#DIV/0!</v>
      </c>
      <c r="AF162" s="50" t="e">
        <f t="shared" si="10"/>
        <v>#DIV/0!</v>
      </c>
      <c r="AG162" s="50" t="e">
        <f t="shared" si="11"/>
        <v>#DIV/0!</v>
      </c>
      <c r="AH162" s="57" t="e">
        <f t="shared" si="12"/>
        <v>#DIV/0!</v>
      </c>
      <c r="AI162" s="58" t="e">
        <f t="shared" si="13"/>
        <v>#DIV/0!</v>
      </c>
      <c r="AJ162" s="49"/>
      <c r="AK162" s="49"/>
      <c r="AL162" s="59"/>
      <c r="AM162" s="59"/>
      <c r="AN162" s="59"/>
      <c r="AO162" s="59"/>
      <c r="AP162" s="59"/>
      <c r="AQ162" s="59"/>
      <c r="AR162" s="59"/>
    </row>
    <row r="163" spans="1:44" ht="16.8">
      <c r="A163" s="17" t="s">
        <v>411</v>
      </c>
      <c r="B163" s="18">
        <v>62</v>
      </c>
      <c r="C163" s="1" t="s">
        <v>412</v>
      </c>
      <c r="D163" s="19" t="s">
        <v>413</v>
      </c>
      <c r="E163" s="20" t="s">
        <v>414</v>
      </c>
      <c r="F163" s="21">
        <v>1958</v>
      </c>
      <c r="G163" s="40">
        <v>2021</v>
      </c>
      <c r="H163" s="23">
        <v>1662548985962</v>
      </c>
      <c r="I163" s="23">
        <v>2427738320582</v>
      </c>
      <c r="J163" s="23">
        <v>1650188457833</v>
      </c>
      <c r="K163" s="23">
        <f>(J163+630298302005)/2</f>
        <v>1140243379919</v>
      </c>
      <c r="L163" s="23">
        <v>937601996499</v>
      </c>
      <c r="M163" s="23">
        <v>777549862749</v>
      </c>
      <c r="N163" s="23">
        <v>1519086060089</v>
      </c>
      <c r="O163" s="25">
        <f t="shared" si="0"/>
        <v>724946989463</v>
      </c>
      <c r="P163" s="23">
        <v>94195469045</v>
      </c>
      <c r="Q163" s="23">
        <f>27679801413+52935042107</f>
        <v>80614843520</v>
      </c>
      <c r="R163" s="25">
        <f t="shared" si="1"/>
        <v>1438471216569</v>
      </c>
      <c r="S163" s="26">
        <f t="shared" si="2"/>
        <v>0.67972254004599697</v>
      </c>
      <c r="T163" s="27">
        <f t="shared" si="3"/>
        <v>1.7731926682856345</v>
      </c>
      <c r="U163" s="26">
        <f t="shared" si="4"/>
        <v>28.517981207610003</v>
      </c>
      <c r="V163" s="26">
        <f t="shared" si="5"/>
        <v>1.3322472086590076</v>
      </c>
      <c r="W163" s="73" t="s">
        <v>415</v>
      </c>
      <c r="X163" s="29">
        <v>45500</v>
      </c>
      <c r="Y163" s="73">
        <v>7400</v>
      </c>
      <c r="Z163" s="30">
        <f t="shared" si="6"/>
        <v>336700000</v>
      </c>
      <c r="AA163" s="31">
        <f t="shared" si="7"/>
        <v>63</v>
      </c>
      <c r="AB163" s="32">
        <v>1.84E-2</v>
      </c>
      <c r="AC163" s="32">
        <v>2.58E-2</v>
      </c>
      <c r="AD163" s="33">
        <f t="shared" si="8"/>
        <v>0.29861002041159401</v>
      </c>
      <c r="AE163" s="34">
        <f t="shared" si="9"/>
        <v>3.8799679622150786E-2</v>
      </c>
      <c r="AF163" s="33">
        <f t="shared" si="10"/>
        <v>0.59251493638085195</v>
      </c>
      <c r="AG163" s="33">
        <f t="shared" si="11"/>
        <v>2.0403730155896789E-4</v>
      </c>
      <c r="AH163" s="35">
        <f t="shared" si="12"/>
        <v>0.92055307554619459</v>
      </c>
      <c r="AI163" s="36">
        <f t="shared" si="13"/>
        <v>3.2886263639488651</v>
      </c>
      <c r="AJ163" s="23"/>
      <c r="AK163" s="23"/>
      <c r="AL163" s="44"/>
      <c r="AM163" s="44"/>
      <c r="AN163" s="44"/>
      <c r="AO163" s="44"/>
      <c r="AP163" s="44"/>
      <c r="AQ163" s="44"/>
      <c r="AR163" s="44"/>
    </row>
    <row r="164" spans="1:44" ht="16.8">
      <c r="A164" s="17" t="s">
        <v>416</v>
      </c>
      <c r="B164" s="18"/>
      <c r="C164" s="1" t="s">
        <v>412</v>
      </c>
      <c r="D164" s="19" t="s">
        <v>413</v>
      </c>
      <c r="E164" s="20" t="s">
        <v>414</v>
      </c>
      <c r="F164" s="21">
        <v>1958</v>
      </c>
      <c r="G164" s="40">
        <v>2022</v>
      </c>
      <c r="H164" s="23">
        <v>2337160179693</v>
      </c>
      <c r="I164" s="23">
        <v>3372478210996</v>
      </c>
      <c r="J164" s="23">
        <v>2500760097868</v>
      </c>
      <c r="K164" s="23">
        <f t="shared" ref="K164:K165" si="39">(J164+J163)/2</f>
        <v>2075474277850.5</v>
      </c>
      <c r="L164" s="23">
        <v>1318754778696</v>
      </c>
      <c r="M164" s="23">
        <v>871718113128</v>
      </c>
      <c r="N164" s="23">
        <v>2065191370532</v>
      </c>
      <c r="O164" s="25">
        <f t="shared" si="0"/>
        <v>1018405400997</v>
      </c>
      <c r="P164" s="23">
        <v>94946367014</v>
      </c>
      <c r="Q164" s="23">
        <f>75182114824+60093678531</f>
        <v>135275793355</v>
      </c>
      <c r="R164" s="25">
        <f t="shared" si="1"/>
        <v>1929915577177</v>
      </c>
      <c r="S164" s="26">
        <f t="shared" si="2"/>
        <v>0.74152001626407726</v>
      </c>
      <c r="T164" s="27">
        <f t="shared" si="3"/>
        <v>1.772247742680418</v>
      </c>
      <c r="U164" s="26">
        <f t="shared" si="4"/>
        <v>28.846668964220498</v>
      </c>
      <c r="V164" s="26">
        <f t="shared" si="5"/>
        <v>0.99504551445024425</v>
      </c>
      <c r="W164" s="73" t="s">
        <v>417</v>
      </c>
      <c r="X164" s="29">
        <v>41450</v>
      </c>
      <c r="Y164" s="73">
        <v>100</v>
      </c>
      <c r="Z164" s="30">
        <f t="shared" si="6"/>
        <v>4145000</v>
      </c>
      <c r="AA164" s="31">
        <f t="shared" si="7"/>
        <v>64</v>
      </c>
      <c r="AB164" s="32">
        <v>3.15E-2</v>
      </c>
      <c r="AC164" s="32">
        <v>8.0199999999999994E-2</v>
      </c>
      <c r="AD164" s="33">
        <f t="shared" si="8"/>
        <v>0.30197538346622332</v>
      </c>
      <c r="AE164" s="34">
        <f t="shared" si="9"/>
        <v>2.8153292941797633E-2</v>
      </c>
      <c r="AF164" s="33">
        <f t="shared" si="10"/>
        <v>0.57225442432348128</v>
      </c>
      <c r="AG164" s="33">
        <f t="shared" si="11"/>
        <v>1.6574960563125515E-6</v>
      </c>
      <c r="AH164" s="35">
        <f t="shared" si="12"/>
        <v>0.82582546494270281</v>
      </c>
      <c r="AI164" s="36">
        <f t="shared" si="13"/>
        <v>3.1160511299858094</v>
      </c>
      <c r="AJ164" s="23"/>
      <c r="AK164" s="23"/>
      <c r="AL164" s="44"/>
      <c r="AM164" s="44"/>
      <c r="AN164" s="44"/>
      <c r="AO164" s="44"/>
      <c r="AP164" s="44"/>
      <c r="AQ164" s="44"/>
      <c r="AR164" s="44"/>
    </row>
    <row r="165" spans="1:44" ht="16.8">
      <c r="A165" s="17" t="s">
        <v>418</v>
      </c>
      <c r="B165" s="18"/>
      <c r="C165" s="1" t="s">
        <v>412</v>
      </c>
      <c r="D165" s="19" t="s">
        <v>413</v>
      </c>
      <c r="E165" s="20" t="s">
        <v>414</v>
      </c>
      <c r="F165" s="21">
        <v>1958</v>
      </c>
      <c r="G165" s="40">
        <v>2023</v>
      </c>
      <c r="H165" s="23">
        <v>2371405966150</v>
      </c>
      <c r="I165" s="23">
        <v>3311682742724</v>
      </c>
      <c r="J165" s="23">
        <v>2400165710598</v>
      </c>
      <c r="K165" s="23">
        <f t="shared" si="39"/>
        <v>2450462904233</v>
      </c>
      <c r="L165" s="23">
        <v>1381842265456</v>
      </c>
      <c r="M165" s="23">
        <v>911517032126</v>
      </c>
      <c r="N165" s="23">
        <v>2002486096252</v>
      </c>
      <c r="O165" s="25">
        <f t="shared" si="0"/>
        <v>989563700694</v>
      </c>
      <c r="P165" s="23">
        <v>40619518535</v>
      </c>
      <c r="Q165" s="23">
        <f>83165589950+75456321651</f>
        <v>158621911601</v>
      </c>
      <c r="R165" s="25">
        <f t="shared" si="1"/>
        <v>1843864184651</v>
      </c>
      <c r="S165" s="26">
        <f t="shared" si="2"/>
        <v>0.72475713921308826</v>
      </c>
      <c r="T165" s="27">
        <f t="shared" si="3"/>
        <v>1.7161191442986075</v>
      </c>
      <c r="U165" s="26">
        <f t="shared" si="4"/>
        <v>28.828477557623046</v>
      </c>
      <c r="V165" s="26">
        <f t="shared" si="5"/>
        <v>0.81718686407896568</v>
      </c>
      <c r="W165" s="73" t="s">
        <v>419</v>
      </c>
      <c r="X165" s="29">
        <v>30800</v>
      </c>
      <c r="Y165" s="73">
        <v>3912</v>
      </c>
      <c r="Z165" s="30">
        <f t="shared" si="6"/>
        <v>120489600</v>
      </c>
      <c r="AA165" s="31">
        <f t="shared" si="7"/>
        <v>65</v>
      </c>
      <c r="AB165" s="32">
        <v>3.2500000000000001E-2</v>
      </c>
      <c r="AC165" s="32">
        <v>5.0500000000000003E-2</v>
      </c>
      <c r="AD165" s="33">
        <f t="shared" si="8"/>
        <v>0.29880993367137632</v>
      </c>
      <c r="AE165" s="34">
        <f t="shared" si="9"/>
        <v>1.2265522301085133E-2</v>
      </c>
      <c r="AF165" s="33">
        <f t="shared" si="10"/>
        <v>0.55677561164398959</v>
      </c>
      <c r="AG165" s="33">
        <f t="shared" si="11"/>
        <v>5.0200533849798264E-5</v>
      </c>
      <c r="AH165" s="35">
        <f t="shared" si="12"/>
        <v>0.83431160082404543</v>
      </c>
      <c r="AI165" s="36">
        <f t="shared" si="13"/>
        <v>3.047444891196692</v>
      </c>
      <c r="AJ165" s="23"/>
      <c r="AK165" s="23"/>
      <c r="AL165" s="44"/>
      <c r="AM165" s="44"/>
      <c r="AN165" s="44"/>
      <c r="AO165" s="44"/>
      <c r="AP165" s="44"/>
      <c r="AQ165" s="44"/>
      <c r="AR165" s="44"/>
    </row>
    <row r="166" spans="1:44" ht="16.8">
      <c r="A166" s="17" t="s">
        <v>420</v>
      </c>
      <c r="B166" s="18">
        <v>63</v>
      </c>
      <c r="C166" s="1" t="s">
        <v>421</v>
      </c>
      <c r="D166" s="19" t="s">
        <v>422</v>
      </c>
      <c r="E166" s="20" t="s">
        <v>39</v>
      </c>
      <c r="F166" s="21">
        <v>2005</v>
      </c>
      <c r="G166" s="40">
        <v>2021</v>
      </c>
      <c r="H166" s="23">
        <v>73086031249</v>
      </c>
      <c r="I166" s="23">
        <v>79947568470</v>
      </c>
      <c r="J166" s="23">
        <v>52363487876</v>
      </c>
      <c r="K166" s="23">
        <f>(J166+65392221347)/2</f>
        <v>58877854611.5</v>
      </c>
      <c r="L166" s="23">
        <v>51366674328</v>
      </c>
      <c r="M166" s="23">
        <v>27584080594</v>
      </c>
      <c r="N166" s="23">
        <v>70513648994</v>
      </c>
      <c r="O166" s="25">
        <f t="shared" si="0"/>
        <v>21719356921</v>
      </c>
      <c r="P166" s="23">
        <v>47306660</v>
      </c>
      <c r="Q166" s="23">
        <v>3173159561</v>
      </c>
      <c r="R166" s="25">
        <f t="shared" si="1"/>
        <v>67340489433</v>
      </c>
      <c r="S166" s="26">
        <f t="shared" si="2"/>
        <v>0.65497286381698006</v>
      </c>
      <c r="T166" s="27">
        <f t="shared" si="3"/>
        <v>1.4228297277396595</v>
      </c>
      <c r="U166" s="26">
        <f t="shared" si="4"/>
        <v>25.104636862630677</v>
      </c>
      <c r="V166" s="26">
        <f t="shared" si="5"/>
        <v>1.1976259912878569</v>
      </c>
      <c r="W166" s="73" t="s">
        <v>423</v>
      </c>
      <c r="X166" s="29">
        <v>6520</v>
      </c>
      <c r="Y166" s="73">
        <v>0</v>
      </c>
      <c r="Z166" s="30">
        <f t="shared" si="6"/>
        <v>0</v>
      </c>
      <c r="AA166" s="31">
        <f t="shared" si="7"/>
        <v>16</v>
      </c>
      <c r="AB166" s="32">
        <v>1.84E-2</v>
      </c>
      <c r="AC166" s="32">
        <v>2.58E-2</v>
      </c>
      <c r="AD166" s="33">
        <f t="shared" si="8"/>
        <v>0.27167001244259353</v>
      </c>
      <c r="AE166" s="34">
        <f t="shared" si="9"/>
        <v>5.9172106050669484E-4</v>
      </c>
      <c r="AF166" s="33">
        <f t="shared" si="10"/>
        <v>0.84230816173313949</v>
      </c>
      <c r="AG166" s="33">
        <f t="shared" si="11"/>
        <v>0</v>
      </c>
      <c r="AH166" s="35">
        <f t="shared" si="12"/>
        <v>1.3466186431465512</v>
      </c>
      <c r="AI166" s="36">
        <f t="shared" si="13"/>
        <v>4.453068001281733</v>
      </c>
      <c r="AJ166" s="23" t="s">
        <v>85</v>
      </c>
      <c r="AK166" s="23"/>
      <c r="AL166" s="44"/>
      <c r="AM166" s="44"/>
      <c r="AN166" s="44"/>
      <c r="AO166" s="44"/>
      <c r="AP166" s="44"/>
      <c r="AQ166" s="44"/>
      <c r="AR166" s="44"/>
    </row>
    <row r="167" spans="1:44" ht="16.8">
      <c r="A167" s="82" t="s">
        <v>424</v>
      </c>
      <c r="B167" s="18"/>
      <c r="C167" s="1" t="s">
        <v>421</v>
      </c>
      <c r="D167" s="19" t="s">
        <v>422</v>
      </c>
      <c r="E167" s="20" t="s">
        <v>39</v>
      </c>
      <c r="F167" s="21">
        <v>2005</v>
      </c>
      <c r="G167" s="40">
        <v>2022</v>
      </c>
      <c r="H167" s="23">
        <v>106334231955</v>
      </c>
      <c r="I167" s="23">
        <v>111379967906</v>
      </c>
      <c r="J167" s="23">
        <v>83326361012</v>
      </c>
      <c r="K167" s="23">
        <f t="shared" ref="K167:K168" si="40">(J167+J166)/2</f>
        <v>67844924444</v>
      </c>
      <c r="L167" s="23">
        <v>81626814432</v>
      </c>
      <c r="M167" s="23">
        <v>28053606894</v>
      </c>
      <c r="N167" s="23">
        <v>92571504437</v>
      </c>
      <c r="O167" s="25">
        <f t="shared" si="0"/>
        <v>24707417523</v>
      </c>
      <c r="P167" s="23">
        <v>469526300</v>
      </c>
      <c r="Q167" s="23">
        <v>3599338814</v>
      </c>
      <c r="R167" s="25">
        <f t="shared" si="1"/>
        <v>88972165623</v>
      </c>
      <c r="S167" s="26">
        <f t="shared" si="2"/>
        <v>0.74812699786665349</v>
      </c>
      <c r="T167" s="27">
        <f t="shared" si="3"/>
        <v>1.3026875138387612</v>
      </c>
      <c r="U167" s="26">
        <f t="shared" si="4"/>
        <v>25.436213326959212</v>
      </c>
      <c r="V167" s="26">
        <f t="shared" si="5"/>
        <v>1.3644573296475495</v>
      </c>
      <c r="W167" s="73" t="s">
        <v>425</v>
      </c>
      <c r="X167" s="29">
        <v>5330</v>
      </c>
      <c r="Y167" s="73">
        <v>3100</v>
      </c>
      <c r="Z167" s="30">
        <f t="shared" si="6"/>
        <v>16523000</v>
      </c>
      <c r="AA167" s="31">
        <f t="shared" si="7"/>
        <v>17</v>
      </c>
      <c r="AB167" s="32">
        <v>3.15E-2</v>
      </c>
      <c r="AC167" s="32">
        <v>8.0199999999999994E-2</v>
      </c>
      <c r="AD167" s="33">
        <f t="shared" si="8"/>
        <v>0.22182999319816665</v>
      </c>
      <c r="AE167" s="34">
        <f t="shared" si="9"/>
        <v>4.215536319747016E-3</v>
      </c>
      <c r="AF167" s="33">
        <f t="shared" si="10"/>
        <v>0.79881658520577736</v>
      </c>
      <c r="AG167" s="33">
        <f t="shared" si="11"/>
        <v>1.9829259071592589E-4</v>
      </c>
      <c r="AH167" s="35">
        <f t="shared" si="12"/>
        <v>1.1109510041326369</v>
      </c>
      <c r="AI167" s="36">
        <f t="shared" si="13"/>
        <v>4.019262453551578</v>
      </c>
      <c r="AJ167" s="23" t="s">
        <v>85</v>
      </c>
      <c r="AK167" s="23"/>
      <c r="AL167" s="44"/>
      <c r="AM167" s="44"/>
      <c r="AN167" s="44"/>
      <c r="AO167" s="44"/>
      <c r="AP167" s="44"/>
      <c r="AQ167" s="44"/>
      <c r="AR167" s="44"/>
    </row>
    <row r="168" spans="1:44" ht="16.8">
      <c r="A168" s="17" t="s">
        <v>426</v>
      </c>
      <c r="B168" s="18"/>
      <c r="C168" s="1" t="s">
        <v>421</v>
      </c>
      <c r="D168" s="19" t="s">
        <v>422</v>
      </c>
      <c r="E168" s="20" t="s">
        <v>39</v>
      </c>
      <c r="F168" s="21">
        <v>2005</v>
      </c>
      <c r="G168" s="40">
        <v>2023</v>
      </c>
      <c r="H168" s="23">
        <v>103070301774</v>
      </c>
      <c r="I168" s="23">
        <v>107436395625</v>
      </c>
      <c r="J168" s="23">
        <v>79489845557</v>
      </c>
      <c r="K168" s="23">
        <f t="shared" si="40"/>
        <v>81408103284.5</v>
      </c>
      <c r="L168" s="23">
        <v>76681936719</v>
      </c>
      <c r="M168" s="23">
        <v>27946550068</v>
      </c>
      <c r="N168" s="23">
        <v>88020789065</v>
      </c>
      <c r="O168" s="25">
        <f t="shared" si="0"/>
        <v>26388365055</v>
      </c>
      <c r="P168" s="23">
        <v>317065201</v>
      </c>
      <c r="Q168" s="23">
        <v>3185336299</v>
      </c>
      <c r="R168" s="25">
        <f t="shared" si="1"/>
        <v>84835452766</v>
      </c>
      <c r="S168" s="26">
        <f t="shared" si="2"/>
        <v>0.73987818648025316</v>
      </c>
      <c r="T168" s="27">
        <f t="shared" si="3"/>
        <v>1.3441275244742428</v>
      </c>
      <c r="U168" s="26">
        <f t="shared" si="4"/>
        <v>25.400164840804536</v>
      </c>
      <c r="V168" s="26">
        <f t="shared" si="5"/>
        <v>1.0812288398046863</v>
      </c>
      <c r="W168" s="73" t="s">
        <v>427</v>
      </c>
      <c r="X168" s="29">
        <v>7210</v>
      </c>
      <c r="Y168" s="73">
        <v>800</v>
      </c>
      <c r="Z168" s="30">
        <f t="shared" si="6"/>
        <v>5768000</v>
      </c>
      <c r="AA168" s="31">
        <f t="shared" si="7"/>
        <v>18</v>
      </c>
      <c r="AB168" s="32">
        <v>3.2500000000000001E-2</v>
      </c>
      <c r="AC168" s="32">
        <v>5.0500000000000003E-2</v>
      </c>
      <c r="AD168" s="33">
        <f t="shared" si="8"/>
        <v>0.24561848805042691</v>
      </c>
      <c r="AE168" s="34">
        <f t="shared" si="9"/>
        <v>2.9511898566170836E-3</v>
      </c>
      <c r="AF168" s="33">
        <f t="shared" si="10"/>
        <v>0.78963420424222741</v>
      </c>
      <c r="AG168" s="33">
        <f t="shared" si="11"/>
        <v>7.2562727472704988E-5</v>
      </c>
      <c r="AH168" s="35">
        <f t="shared" si="12"/>
        <v>1.1073211735187318</v>
      </c>
      <c r="AI168" s="36">
        <f t="shared" si="13"/>
        <v>4.0120314366143424</v>
      </c>
      <c r="AJ168" s="23" t="s">
        <v>85</v>
      </c>
      <c r="AK168" s="23"/>
      <c r="AL168" s="44"/>
      <c r="AM168" s="44"/>
      <c r="AN168" s="44"/>
      <c r="AO168" s="44"/>
      <c r="AP168" s="44"/>
      <c r="AQ168" s="44"/>
      <c r="AR168" s="44"/>
    </row>
    <row r="169" spans="1:44" ht="16.8">
      <c r="A169" s="17" t="s">
        <v>428</v>
      </c>
      <c r="B169" s="18">
        <v>64</v>
      </c>
      <c r="C169" s="1" t="s">
        <v>429</v>
      </c>
      <c r="D169" s="19" t="s">
        <v>430</v>
      </c>
      <c r="E169" s="20" t="s">
        <v>39</v>
      </c>
      <c r="F169" s="21">
        <v>1989</v>
      </c>
      <c r="G169" s="40">
        <v>2021</v>
      </c>
      <c r="H169" s="23">
        <v>254063557077</v>
      </c>
      <c r="I169" s="23">
        <v>365719594089</v>
      </c>
      <c r="J169" s="23">
        <v>199390120920</v>
      </c>
      <c r="K169" s="23">
        <f>(J169+523645552033)/2</f>
        <v>361517836476.5</v>
      </c>
      <c r="L169" s="23">
        <v>178115644103</v>
      </c>
      <c r="M169" s="23">
        <v>166329473169</v>
      </c>
      <c r="N169" s="23">
        <v>298505534233</v>
      </c>
      <c r="O169" s="25">
        <f t="shared" si="0"/>
        <v>75947912974</v>
      </c>
      <c r="P169" s="23">
        <v>45431391085</v>
      </c>
      <c r="Q169" s="23">
        <f>1967536377+16250423176</f>
        <v>18217959553</v>
      </c>
      <c r="R169" s="25">
        <f t="shared" si="1"/>
        <v>280287574680</v>
      </c>
      <c r="S169" s="26">
        <f t="shared" si="2"/>
        <v>0.54519944827314137</v>
      </c>
      <c r="T169" s="27">
        <f t="shared" si="3"/>
        <v>1.4263966444748735</v>
      </c>
      <c r="U169" s="26">
        <f t="shared" si="4"/>
        <v>26.625132740346473</v>
      </c>
      <c r="V169" s="26">
        <f t="shared" si="5"/>
        <v>0.82570070993552203</v>
      </c>
      <c r="W169" s="83" t="s">
        <v>431</v>
      </c>
      <c r="X169" s="29">
        <v>30890</v>
      </c>
      <c r="Y169" s="83">
        <v>34560</v>
      </c>
      <c r="Z169" s="30">
        <f t="shared" si="6"/>
        <v>1067558400</v>
      </c>
      <c r="AA169" s="31">
        <f t="shared" si="7"/>
        <v>32</v>
      </c>
      <c r="AB169" s="32">
        <v>1.84E-2</v>
      </c>
      <c r="AC169" s="32">
        <v>2.58E-2</v>
      </c>
      <c r="AD169" s="33">
        <f t="shared" si="8"/>
        <v>0.20766706023281223</v>
      </c>
      <c r="AE169" s="34">
        <f t="shared" si="9"/>
        <v>0.12422465686633133</v>
      </c>
      <c r="AF169" s="33">
        <f t="shared" si="10"/>
        <v>0.76640021264977776</v>
      </c>
      <c r="AG169" s="33">
        <f t="shared" si="11"/>
        <v>5.3541188253169751E-3</v>
      </c>
      <c r="AH169" s="35">
        <f t="shared" si="12"/>
        <v>1.4970928993656984</v>
      </c>
      <c r="AI169" s="36">
        <f t="shared" si="13"/>
        <v>4.4525410642973933</v>
      </c>
      <c r="AJ169" s="23"/>
      <c r="AK169" s="23"/>
      <c r="AL169" s="44"/>
      <c r="AM169" s="44"/>
      <c r="AN169" s="44"/>
      <c r="AO169" s="44"/>
      <c r="AP169" s="44"/>
      <c r="AQ169" s="44"/>
      <c r="AR169" s="44"/>
    </row>
    <row r="170" spans="1:44" ht="16.8">
      <c r="A170" s="17" t="s">
        <v>432</v>
      </c>
      <c r="B170" s="18"/>
      <c r="C170" s="1" t="s">
        <v>429</v>
      </c>
      <c r="D170" s="19" t="s">
        <v>430</v>
      </c>
      <c r="E170" s="20" t="s">
        <v>39</v>
      </c>
      <c r="F170" s="21">
        <v>1989</v>
      </c>
      <c r="G170" s="40">
        <v>2022</v>
      </c>
      <c r="H170" s="23">
        <v>237582861528</v>
      </c>
      <c r="I170" s="23">
        <v>344972502285</v>
      </c>
      <c r="J170" s="23">
        <v>161612715476</v>
      </c>
      <c r="K170" s="23">
        <f t="shared" ref="K170:K171" si="41">(J170+J169)/2</f>
        <v>180501418198</v>
      </c>
      <c r="L170" s="23">
        <v>136227745</v>
      </c>
      <c r="M170" s="23">
        <v>183359786809</v>
      </c>
      <c r="N170" s="23">
        <v>133912266117</v>
      </c>
      <c r="O170" s="25">
        <f t="shared" si="0"/>
        <v>237446633783</v>
      </c>
      <c r="P170" s="23">
        <v>21812721930</v>
      </c>
      <c r="Q170" s="23">
        <f>2191669768+12476530475</f>
        <v>14668200243</v>
      </c>
      <c r="R170" s="25">
        <f t="shared" si="1"/>
        <v>119244065874</v>
      </c>
      <c r="S170" s="26">
        <f t="shared" si="2"/>
        <v>0.46847999305893429</v>
      </c>
      <c r="T170" s="27">
        <f t="shared" si="3"/>
        <v>1744.0122900661681</v>
      </c>
      <c r="U170" s="26">
        <f t="shared" si="4"/>
        <v>26.566730547279537</v>
      </c>
      <c r="V170" s="26">
        <f t="shared" si="5"/>
        <v>0.74189038210273617</v>
      </c>
      <c r="W170" s="83" t="s">
        <v>433</v>
      </c>
      <c r="X170" s="29">
        <v>11000</v>
      </c>
      <c r="Y170" s="83">
        <v>4603</v>
      </c>
      <c r="Z170" s="30">
        <f t="shared" si="6"/>
        <v>50633000</v>
      </c>
      <c r="AA170" s="31">
        <f t="shared" si="7"/>
        <v>33</v>
      </c>
      <c r="AB170" s="32">
        <v>3.15E-2</v>
      </c>
      <c r="AC170" s="32">
        <v>8.0199999999999994E-2</v>
      </c>
      <c r="AD170" s="33">
        <f t="shared" si="8"/>
        <v>0.68830597282456096</v>
      </c>
      <c r="AE170" s="34">
        <f t="shared" si="9"/>
        <v>6.3230320635757106E-2</v>
      </c>
      <c r="AF170" s="33">
        <f t="shared" si="10"/>
        <v>0.34566252406832759</v>
      </c>
      <c r="AG170" s="33">
        <f t="shared" si="11"/>
        <v>3.1329836795867194E-4</v>
      </c>
      <c r="AH170" s="35">
        <f t="shared" si="12"/>
        <v>0.82859981482636735</v>
      </c>
      <c r="AI170" s="36">
        <f t="shared" si="13"/>
        <v>2.8839637395521565</v>
      </c>
      <c r="AJ170" s="23"/>
      <c r="AK170" s="23"/>
      <c r="AL170" s="44"/>
      <c r="AM170" s="44"/>
      <c r="AN170" s="44"/>
      <c r="AO170" s="44"/>
      <c r="AP170" s="44"/>
      <c r="AQ170" s="44"/>
      <c r="AR170" s="44"/>
    </row>
    <row r="171" spans="1:44" ht="16.8">
      <c r="A171" s="17" t="s">
        <v>434</v>
      </c>
      <c r="B171" s="18"/>
      <c r="C171" s="1" t="s">
        <v>429</v>
      </c>
      <c r="D171" s="19" t="s">
        <v>430</v>
      </c>
      <c r="E171" s="20" t="s">
        <v>39</v>
      </c>
      <c r="F171" s="21">
        <v>1989</v>
      </c>
      <c r="G171" s="40">
        <v>2023</v>
      </c>
      <c r="H171" s="23">
        <v>253332285931</v>
      </c>
      <c r="I171" s="23">
        <v>351003026772</v>
      </c>
      <c r="J171" s="23">
        <v>164928349540</v>
      </c>
      <c r="K171" s="23">
        <f t="shared" si="41"/>
        <v>163270532508</v>
      </c>
      <c r="L171" s="23">
        <v>144978229489</v>
      </c>
      <c r="M171" s="23">
        <v>186074677232</v>
      </c>
      <c r="N171" s="23">
        <v>34876498058</v>
      </c>
      <c r="O171" s="25">
        <f t="shared" si="0"/>
        <v>108354056442</v>
      </c>
      <c r="P171" s="23">
        <v>4740118144</v>
      </c>
      <c r="Q171" s="23">
        <f>1001022553+9995279956</f>
        <v>10996302509</v>
      </c>
      <c r="R171" s="25">
        <f t="shared" si="1"/>
        <v>23880195549</v>
      </c>
      <c r="S171" s="26">
        <f t="shared" si="2"/>
        <v>0.46987728583643246</v>
      </c>
      <c r="T171" s="27">
        <f t="shared" si="3"/>
        <v>1.7473815677285616</v>
      </c>
      <c r="U171" s="26">
        <f t="shared" si="4"/>
        <v>26.58406068365715</v>
      </c>
      <c r="V171" s="26">
        <f t="shared" si="5"/>
        <v>0.21361171255009601</v>
      </c>
      <c r="W171" s="83" t="s">
        <v>435</v>
      </c>
      <c r="X171" s="29">
        <v>12900</v>
      </c>
      <c r="Y171" s="83">
        <v>1300</v>
      </c>
      <c r="Z171" s="30">
        <f t="shared" si="6"/>
        <v>16770000</v>
      </c>
      <c r="AA171" s="31">
        <f t="shared" si="7"/>
        <v>34</v>
      </c>
      <c r="AB171" s="32">
        <v>3.2500000000000001E-2</v>
      </c>
      <c r="AC171" s="32">
        <v>5.0500000000000003E-2</v>
      </c>
      <c r="AD171" s="33">
        <f t="shared" si="8"/>
        <v>0.30869835351130243</v>
      </c>
      <c r="AE171" s="34">
        <f t="shared" si="9"/>
        <v>1.3504493643808447E-2</v>
      </c>
      <c r="AF171" s="33">
        <f t="shared" si="10"/>
        <v>6.8034158476108497E-2</v>
      </c>
      <c r="AG171" s="33">
        <f t="shared" si="11"/>
        <v>1.0168051791443398E-4</v>
      </c>
      <c r="AH171" s="35">
        <f t="shared" si="12"/>
        <v>0.21146454296834771</v>
      </c>
      <c r="AI171" s="36">
        <f t="shared" si="13"/>
        <v>0.82538258956514921</v>
      </c>
      <c r="AJ171" s="23"/>
      <c r="AK171" s="23"/>
      <c r="AL171" s="44"/>
      <c r="AM171" s="44"/>
      <c r="AN171" s="44"/>
      <c r="AO171" s="44"/>
      <c r="AP171" s="44"/>
      <c r="AQ171" s="44"/>
      <c r="AR171" s="44"/>
    </row>
    <row r="172" spans="1:44" ht="16.8">
      <c r="A172" s="64" t="s">
        <v>436</v>
      </c>
      <c r="B172" s="62">
        <v>65</v>
      </c>
      <c r="C172" s="1" t="s">
        <v>437</v>
      </c>
      <c r="D172" s="19" t="s">
        <v>438</v>
      </c>
      <c r="E172" s="20" t="s">
        <v>39</v>
      </c>
      <c r="F172" s="21">
        <v>2007</v>
      </c>
      <c r="G172" s="40">
        <v>2021</v>
      </c>
      <c r="H172" s="23">
        <v>103934994447</v>
      </c>
      <c r="I172" s="23">
        <v>129601565900</v>
      </c>
      <c r="J172" s="23">
        <v>38311630918</v>
      </c>
      <c r="K172" s="23">
        <f>(J172+26598590664)/2</f>
        <v>32455110791</v>
      </c>
      <c r="L172" s="23">
        <v>38311630918</v>
      </c>
      <c r="M172" s="23">
        <v>91289934982</v>
      </c>
      <c r="N172" s="23">
        <v>270645387098</v>
      </c>
      <c r="O172" s="25">
        <f t="shared" si="0"/>
        <v>65623363529</v>
      </c>
      <c r="P172" s="23">
        <v>13825136957</v>
      </c>
      <c r="Q172" s="23">
        <f>30070012842+15957867033</f>
        <v>46027879875</v>
      </c>
      <c r="R172" s="25">
        <f t="shared" si="1"/>
        <v>224617507223</v>
      </c>
      <c r="S172" s="26">
        <f t="shared" si="2"/>
        <v>0.29561086435916278</v>
      </c>
      <c r="T172" s="27">
        <f t="shared" si="3"/>
        <v>2.7128835801706392</v>
      </c>
      <c r="U172" s="26">
        <f t="shared" si="4"/>
        <v>25.587730703353319</v>
      </c>
      <c r="V172" s="26">
        <f t="shared" si="5"/>
        <v>8.3390683470737557</v>
      </c>
      <c r="W172" s="83" t="s">
        <v>439</v>
      </c>
      <c r="X172" s="29">
        <v>20490</v>
      </c>
      <c r="Y172" s="83">
        <v>5300</v>
      </c>
      <c r="Z172" s="30">
        <f t="shared" si="6"/>
        <v>108597000</v>
      </c>
      <c r="AA172" s="31">
        <f t="shared" si="7"/>
        <v>14</v>
      </c>
      <c r="AB172" s="32">
        <v>1.84E-2</v>
      </c>
      <c r="AC172" s="32">
        <v>2.58E-2</v>
      </c>
      <c r="AD172" s="33">
        <f t="shared" si="8"/>
        <v>0.50634699568086006</v>
      </c>
      <c r="AE172" s="34">
        <f t="shared" si="9"/>
        <v>0.10667415058601541</v>
      </c>
      <c r="AF172" s="33">
        <f t="shared" si="10"/>
        <v>1.7331388371982626</v>
      </c>
      <c r="AG172" s="33">
        <f t="shared" si="11"/>
        <v>2.8345700091033646E-3</v>
      </c>
      <c r="AH172" s="35">
        <f t="shared" si="12"/>
        <v>7.064313907107576</v>
      </c>
      <c r="AI172" s="36">
        <f t="shared" si="13"/>
        <v>13.542333017504758</v>
      </c>
      <c r="AJ172" s="23"/>
      <c r="AK172" s="23"/>
      <c r="AL172" s="44"/>
      <c r="AM172" s="44"/>
      <c r="AN172" s="44"/>
      <c r="AO172" s="44"/>
      <c r="AP172" s="44"/>
      <c r="AQ172" s="44"/>
      <c r="AR172" s="44"/>
    </row>
    <row r="173" spans="1:44" ht="16.8">
      <c r="A173" s="64" t="s">
        <v>440</v>
      </c>
      <c r="B173" s="84"/>
      <c r="C173" s="1" t="s">
        <v>437</v>
      </c>
      <c r="D173" s="19" t="s">
        <v>438</v>
      </c>
      <c r="E173" s="20" t="s">
        <v>39</v>
      </c>
      <c r="F173" s="21">
        <v>2007</v>
      </c>
      <c r="G173" s="40">
        <v>2022</v>
      </c>
      <c r="H173" s="23">
        <v>140650881538</v>
      </c>
      <c r="I173" s="23">
        <v>167445201576</v>
      </c>
      <c r="J173" s="23">
        <v>72989761413</v>
      </c>
      <c r="K173" s="23">
        <f t="shared" ref="K173:K174" si="42">SUM(J172:J173)/2</f>
        <v>55650696165.5</v>
      </c>
      <c r="L173" s="23">
        <v>72989761413</v>
      </c>
      <c r="M173" s="23">
        <v>94455440163</v>
      </c>
      <c r="N173" s="23">
        <v>402975025821</v>
      </c>
      <c r="O173" s="25">
        <f t="shared" si="0"/>
        <v>67661120125</v>
      </c>
      <c r="P173" s="23">
        <v>14460749372</v>
      </c>
      <c r="Q173" s="23">
        <f>40406184276+23081601236</f>
        <v>63487785512</v>
      </c>
      <c r="R173" s="25">
        <f t="shared" si="1"/>
        <v>339487240309</v>
      </c>
      <c r="S173" s="26">
        <f t="shared" si="2"/>
        <v>0.43590237717186192</v>
      </c>
      <c r="T173" s="27">
        <f t="shared" si="3"/>
        <v>1.9269946745290918</v>
      </c>
      <c r="U173" s="26">
        <f t="shared" si="4"/>
        <v>25.843921979914587</v>
      </c>
      <c r="V173" s="26">
        <f t="shared" si="5"/>
        <v>7.2411497714707771</v>
      </c>
      <c r="W173" s="85">
        <v>45914</v>
      </c>
      <c r="X173" s="42">
        <v>14090</v>
      </c>
      <c r="Y173" s="83">
        <v>800</v>
      </c>
      <c r="Z173" s="30">
        <f t="shared" si="6"/>
        <v>11272000</v>
      </c>
      <c r="AA173" s="31">
        <f t="shared" si="7"/>
        <v>15</v>
      </c>
      <c r="AB173" s="32">
        <v>3.15E-2</v>
      </c>
      <c r="AC173" s="32">
        <v>8.0199999999999994E-2</v>
      </c>
      <c r="AD173" s="33">
        <f t="shared" si="8"/>
        <v>0.40407918225288758</v>
      </c>
      <c r="AE173" s="34">
        <f t="shared" si="9"/>
        <v>8.6361085512722549E-2</v>
      </c>
      <c r="AF173" s="33">
        <f t="shared" si="10"/>
        <v>2.0274527852320308</v>
      </c>
      <c r="AG173" s="33">
        <f t="shared" si="11"/>
        <v>1.544326187918238E-4</v>
      </c>
      <c r="AH173" s="35">
        <f t="shared" si="12"/>
        <v>5.5209801761213493</v>
      </c>
      <c r="AI173" s="36">
        <f t="shared" si="13"/>
        <v>12.817467565379602</v>
      </c>
      <c r="AJ173" s="23"/>
      <c r="AK173" s="23"/>
      <c r="AL173" s="44"/>
      <c r="AM173" s="44"/>
      <c r="AN173" s="44"/>
      <c r="AO173" s="44"/>
      <c r="AP173" s="44"/>
      <c r="AQ173" s="44"/>
      <c r="AR173" s="44"/>
    </row>
    <row r="174" spans="1:44" ht="16.8">
      <c r="A174" s="64" t="s">
        <v>441</v>
      </c>
      <c r="B174" s="62"/>
      <c r="C174" s="1" t="s">
        <v>437</v>
      </c>
      <c r="D174" s="19" t="s">
        <v>438</v>
      </c>
      <c r="E174" s="20" t="s">
        <v>39</v>
      </c>
      <c r="F174" s="21">
        <v>2007</v>
      </c>
      <c r="G174" s="40">
        <v>2023</v>
      </c>
      <c r="H174" s="23">
        <v>141313121479</v>
      </c>
      <c r="I174" s="23">
        <v>166402922349</v>
      </c>
      <c r="J174" s="23">
        <v>68349328053</v>
      </c>
      <c r="K174" s="23">
        <f t="shared" si="42"/>
        <v>70669544733</v>
      </c>
      <c r="L174" s="23">
        <v>68349328053</v>
      </c>
      <c r="M174" s="23">
        <v>98053594296</v>
      </c>
      <c r="N174" s="23">
        <v>472121629007</v>
      </c>
      <c r="O174" s="25">
        <f t="shared" si="0"/>
        <v>72963793426</v>
      </c>
      <c r="P174" s="23">
        <v>14115938843</v>
      </c>
      <c r="Q174" s="23">
        <f>40149696145+24127564351</f>
        <v>64277260496</v>
      </c>
      <c r="R174" s="25">
        <f t="shared" si="1"/>
        <v>407844368511</v>
      </c>
      <c r="S174" s="26">
        <f t="shared" si="2"/>
        <v>0.41074595979540346</v>
      </c>
      <c r="T174" s="27">
        <f t="shared" si="3"/>
        <v>2.0675129588607195</v>
      </c>
      <c r="U174" s="26">
        <f t="shared" si="4"/>
        <v>25.837677927372816</v>
      </c>
      <c r="V174" s="26">
        <f t="shared" si="5"/>
        <v>6.6806943612095617</v>
      </c>
      <c r="W174" s="83" t="s">
        <v>442</v>
      </c>
      <c r="X174" s="29">
        <v>18520</v>
      </c>
      <c r="Y174" s="83">
        <v>2701</v>
      </c>
      <c r="Z174" s="30">
        <f t="shared" si="6"/>
        <v>50022520</v>
      </c>
      <c r="AA174" s="31">
        <f t="shared" si="7"/>
        <v>16</v>
      </c>
      <c r="AB174" s="32">
        <v>3.2500000000000001E-2</v>
      </c>
      <c r="AC174" s="32">
        <v>5.0500000000000003E-2</v>
      </c>
      <c r="AD174" s="33">
        <f t="shared" si="8"/>
        <v>0.43847663488127725</v>
      </c>
      <c r="AE174" s="34">
        <f t="shared" si="9"/>
        <v>8.4829873440529932E-2</v>
      </c>
      <c r="AF174" s="33">
        <f t="shared" si="10"/>
        <v>2.4509447475665138</v>
      </c>
      <c r="AG174" s="33">
        <f t="shared" si="11"/>
        <v>7.3186557095647118E-4</v>
      </c>
      <c r="AH174" s="35">
        <f t="shared" si="12"/>
        <v>6.9074801824079906</v>
      </c>
      <c r="AI174" s="36">
        <f t="shared" si="13"/>
        <v>15.640970753394333</v>
      </c>
      <c r="AJ174" s="23"/>
      <c r="AK174" s="23"/>
      <c r="AL174" s="44"/>
      <c r="AM174" s="44"/>
      <c r="AN174" s="44"/>
      <c r="AO174" s="44"/>
      <c r="AP174" s="44"/>
      <c r="AQ174" s="44"/>
      <c r="AR174" s="44"/>
    </row>
    <row r="175" spans="1:44" ht="16.8">
      <c r="A175" s="17" t="s">
        <v>443</v>
      </c>
      <c r="B175" s="18">
        <v>66</v>
      </c>
      <c r="C175" s="1" t="s">
        <v>444</v>
      </c>
      <c r="D175" s="19" t="s">
        <v>445</v>
      </c>
      <c r="E175" s="20" t="s">
        <v>39</v>
      </c>
      <c r="F175" s="21">
        <v>2004</v>
      </c>
      <c r="G175" s="40">
        <v>2021</v>
      </c>
      <c r="H175" s="23">
        <v>34276356238</v>
      </c>
      <c r="I175" s="23">
        <v>46826842442</v>
      </c>
      <c r="J175" s="23">
        <v>8203359959</v>
      </c>
      <c r="K175" s="23">
        <f>(J175+13680423212)/2</f>
        <v>10941891585.5</v>
      </c>
      <c r="L175" s="23">
        <v>8194359959</v>
      </c>
      <c r="M175" s="23">
        <v>38623482483</v>
      </c>
      <c r="N175" s="23">
        <v>60397607191</v>
      </c>
      <c r="O175" s="25">
        <f t="shared" si="0"/>
        <v>26081996279</v>
      </c>
      <c r="P175" s="23">
        <v>4955852956</v>
      </c>
      <c r="Q175" s="23">
        <f>5543147568+7457010574</f>
        <v>13000158142</v>
      </c>
      <c r="R175" s="25">
        <f t="shared" si="1"/>
        <v>47397449049</v>
      </c>
      <c r="S175" s="26">
        <f t="shared" si="2"/>
        <v>0.17518499072750271</v>
      </c>
      <c r="T175" s="27">
        <f t="shared" si="3"/>
        <v>4.1829204976959442</v>
      </c>
      <c r="U175" s="26">
        <f t="shared" si="4"/>
        <v>24.569722431902367</v>
      </c>
      <c r="V175" s="26">
        <f t="shared" si="5"/>
        <v>5.5198506326856531</v>
      </c>
      <c r="W175" s="83" t="s">
        <v>446</v>
      </c>
      <c r="X175" s="29">
        <v>15690</v>
      </c>
      <c r="Y175" s="83">
        <v>100</v>
      </c>
      <c r="Z175" s="30">
        <f t="shared" si="6"/>
        <v>1569000</v>
      </c>
      <c r="AA175" s="31">
        <f t="shared" si="7"/>
        <v>17</v>
      </c>
      <c r="AB175" s="32">
        <v>1.84E-2</v>
      </c>
      <c r="AC175" s="32">
        <v>2.58E-2</v>
      </c>
      <c r="AD175" s="33">
        <f t="shared" si="8"/>
        <v>0.556988148652246</v>
      </c>
      <c r="AE175" s="34">
        <f t="shared" si="9"/>
        <v>0.10583359239176436</v>
      </c>
      <c r="AF175" s="33">
        <f t="shared" si="10"/>
        <v>1.0121854598184099</v>
      </c>
      <c r="AG175" s="33">
        <f t="shared" si="11"/>
        <v>1.9126309315229209E-4</v>
      </c>
      <c r="AH175" s="35">
        <f t="shared" si="12"/>
        <v>7.3625450416493177</v>
      </c>
      <c r="AI175" s="36">
        <f t="shared" si="13"/>
        <v>11.519424624637127</v>
      </c>
      <c r="AJ175" s="23"/>
      <c r="AK175" s="23"/>
      <c r="AL175" s="44"/>
      <c r="AM175" s="44"/>
      <c r="AN175" s="44"/>
      <c r="AO175" s="44"/>
      <c r="AP175" s="44"/>
      <c r="AQ175" s="44"/>
      <c r="AR175" s="44"/>
    </row>
    <row r="176" spans="1:44" ht="16.8">
      <c r="A176" s="17" t="s">
        <v>447</v>
      </c>
      <c r="B176" s="18"/>
      <c r="C176" s="1" t="s">
        <v>444</v>
      </c>
      <c r="D176" s="19" t="s">
        <v>445</v>
      </c>
      <c r="E176" s="20" t="s">
        <v>39</v>
      </c>
      <c r="F176" s="21">
        <v>2004</v>
      </c>
      <c r="G176" s="40">
        <v>2022</v>
      </c>
      <c r="H176" s="23">
        <v>34874787750</v>
      </c>
      <c r="I176" s="23">
        <v>47178366033</v>
      </c>
      <c r="J176" s="23">
        <v>8058836950</v>
      </c>
      <c r="K176" s="23">
        <f t="shared" ref="K176:K177" si="43">(J176+J175)/2</f>
        <v>8131098454.5</v>
      </c>
      <c r="L176" s="23">
        <v>8049836950</v>
      </c>
      <c r="M176" s="23">
        <v>39119529083</v>
      </c>
      <c r="N176" s="23">
        <v>66397946242</v>
      </c>
      <c r="O176" s="25">
        <f t="shared" si="0"/>
        <v>26824950800</v>
      </c>
      <c r="P176" s="23">
        <v>2868078249</v>
      </c>
      <c r="Q176" s="23">
        <f>5447891570+7797603575</f>
        <v>13245495145</v>
      </c>
      <c r="R176" s="25">
        <f t="shared" si="1"/>
        <v>53152451097</v>
      </c>
      <c r="S176" s="26">
        <f t="shared" si="2"/>
        <v>0.17081636410135653</v>
      </c>
      <c r="T176" s="27">
        <f t="shared" si="3"/>
        <v>4.3323595206484278</v>
      </c>
      <c r="U176" s="26">
        <f t="shared" si="4"/>
        <v>24.577201277706465</v>
      </c>
      <c r="V176" s="26">
        <f t="shared" si="5"/>
        <v>8.1659257495834812</v>
      </c>
      <c r="W176" s="83" t="s">
        <v>448</v>
      </c>
      <c r="X176" s="29">
        <v>14190</v>
      </c>
      <c r="Y176" s="83">
        <v>0</v>
      </c>
      <c r="Z176" s="30">
        <f t="shared" si="6"/>
        <v>0</v>
      </c>
      <c r="AA176" s="31">
        <f t="shared" si="7"/>
        <v>18</v>
      </c>
      <c r="AB176" s="32">
        <v>3.15E-2</v>
      </c>
      <c r="AC176" s="32">
        <v>8.0199999999999994E-2</v>
      </c>
      <c r="AD176" s="33">
        <f t="shared" si="8"/>
        <v>0.56858583828945386</v>
      </c>
      <c r="AE176" s="34">
        <f t="shared" si="9"/>
        <v>6.0792233605416864E-2</v>
      </c>
      <c r="AF176" s="33">
        <f t="shared" si="10"/>
        <v>1.1266276381810529</v>
      </c>
      <c r="AG176" s="33">
        <f t="shared" si="11"/>
        <v>0</v>
      </c>
      <c r="AH176" s="35">
        <f t="shared" si="12"/>
        <v>8.2391474916240863</v>
      </c>
      <c r="AI176" s="36">
        <f t="shared" si="13"/>
        <v>12.724430830616489</v>
      </c>
      <c r="AJ176" s="23"/>
      <c r="AK176" s="23"/>
      <c r="AL176" s="44"/>
      <c r="AM176" s="44"/>
      <c r="AN176" s="44"/>
      <c r="AO176" s="44"/>
      <c r="AP176" s="44"/>
      <c r="AQ176" s="44"/>
      <c r="AR176" s="44"/>
    </row>
    <row r="177" spans="1:44" ht="16.8">
      <c r="A177" s="17" t="s">
        <v>449</v>
      </c>
      <c r="B177" s="18"/>
      <c r="C177" s="1" t="s">
        <v>444</v>
      </c>
      <c r="D177" s="19" t="s">
        <v>445</v>
      </c>
      <c r="E177" s="20" t="s">
        <v>39</v>
      </c>
      <c r="F177" s="21">
        <v>2004</v>
      </c>
      <c r="G177" s="40">
        <v>2023</v>
      </c>
      <c r="H177" s="23">
        <v>36105445867</v>
      </c>
      <c r="I177" s="23">
        <v>49216581155</v>
      </c>
      <c r="J177" s="23">
        <v>7546163399</v>
      </c>
      <c r="K177" s="23">
        <f t="shared" si="43"/>
        <v>7802500174.5</v>
      </c>
      <c r="L177" s="23">
        <v>7537163399</v>
      </c>
      <c r="M177" s="23">
        <v>41670417756</v>
      </c>
      <c r="N177" s="23">
        <v>58256071367</v>
      </c>
      <c r="O177" s="25">
        <f t="shared" si="0"/>
        <v>28568282468</v>
      </c>
      <c r="P177" s="23">
        <v>3188610741</v>
      </c>
      <c r="Q177" s="23">
        <f>5753050074+8199803893</f>
        <v>13952853967</v>
      </c>
      <c r="R177" s="25">
        <f t="shared" si="1"/>
        <v>44303217400</v>
      </c>
      <c r="S177" s="26">
        <f t="shared" si="2"/>
        <v>0.15332563176695527</v>
      </c>
      <c r="T177" s="27">
        <f t="shared" si="3"/>
        <v>4.7903228251347612</v>
      </c>
      <c r="U177" s="26">
        <f t="shared" si="4"/>
        <v>24.619496419013288</v>
      </c>
      <c r="V177" s="26">
        <f t="shared" si="5"/>
        <v>7.4663338755686945</v>
      </c>
      <c r="W177" s="83" t="s">
        <v>450</v>
      </c>
      <c r="X177" s="29">
        <v>13260</v>
      </c>
      <c r="Y177" s="83">
        <v>0</v>
      </c>
      <c r="Z177" s="30">
        <f t="shared" si="6"/>
        <v>0</v>
      </c>
      <c r="AA177" s="31">
        <f t="shared" si="7"/>
        <v>19</v>
      </c>
      <c r="AB177" s="32">
        <v>3.2500000000000001E-2</v>
      </c>
      <c r="AC177" s="32">
        <v>5.0500000000000003E-2</v>
      </c>
      <c r="AD177" s="33">
        <f t="shared" si="8"/>
        <v>0.58046052361964395</v>
      </c>
      <c r="AE177" s="34">
        <f t="shared" si="9"/>
        <v>6.4787327079017618E-2</v>
      </c>
      <c r="AF177" s="33">
        <f t="shared" si="10"/>
        <v>0.90016852776656464</v>
      </c>
      <c r="AG177" s="33">
        <f t="shared" si="11"/>
        <v>0</v>
      </c>
      <c r="AH177" s="35">
        <f t="shared" si="12"/>
        <v>7.7199589098110382</v>
      </c>
      <c r="AI177" s="36">
        <f t="shared" si="13"/>
        <v>11.477769937694898</v>
      </c>
      <c r="AJ177" s="23"/>
      <c r="AK177" s="23"/>
      <c r="AL177" s="44"/>
      <c r="AM177" s="44"/>
      <c r="AN177" s="44"/>
      <c r="AO177" s="44"/>
      <c r="AP177" s="44"/>
      <c r="AQ177" s="44"/>
      <c r="AR177" s="44"/>
    </row>
    <row r="178" spans="1:44" ht="16.8">
      <c r="A178" s="17" t="s">
        <v>451</v>
      </c>
      <c r="B178" s="18">
        <v>67</v>
      </c>
      <c r="C178" s="1" t="s">
        <v>452</v>
      </c>
      <c r="D178" s="19" t="s">
        <v>453</v>
      </c>
      <c r="E178" s="20" t="s">
        <v>39</v>
      </c>
      <c r="F178" s="21">
        <v>1996</v>
      </c>
      <c r="G178" s="40">
        <v>2021</v>
      </c>
      <c r="H178" s="23">
        <v>5637467418086</v>
      </c>
      <c r="I178" s="23">
        <v>10862554292155</v>
      </c>
      <c r="J178" s="23">
        <v>6176631172021</v>
      </c>
      <c r="K178" s="23">
        <f>(J178+5894311104553)/2</f>
        <v>6035471138287</v>
      </c>
      <c r="L178" s="23">
        <v>5171698802616</v>
      </c>
      <c r="M178" s="23">
        <v>4685923120134</v>
      </c>
      <c r="N178" s="23">
        <v>10961929700091</v>
      </c>
      <c r="O178" s="25">
        <f t="shared" si="0"/>
        <v>465768615470</v>
      </c>
      <c r="P178" s="23">
        <v>829557934446</v>
      </c>
      <c r="Q178" s="23">
        <f>405236274419+344480753443</f>
        <v>749717027862</v>
      </c>
      <c r="R178" s="25">
        <f t="shared" si="1"/>
        <v>10212212672229</v>
      </c>
      <c r="S178" s="26">
        <f t="shared" si="2"/>
        <v>0.56861682859268181</v>
      </c>
      <c r="T178" s="27">
        <f t="shared" si="3"/>
        <v>1.0900610482641411</v>
      </c>
      <c r="U178" s="26">
        <f t="shared" si="4"/>
        <v>30.016342604634609</v>
      </c>
      <c r="V178" s="26">
        <f t="shared" si="5"/>
        <v>1.8162508690584573</v>
      </c>
      <c r="W178" s="83" t="s">
        <v>454</v>
      </c>
      <c r="X178" s="29">
        <v>29910</v>
      </c>
      <c r="Y178" s="83">
        <v>641000</v>
      </c>
      <c r="Z178" s="30">
        <f t="shared" si="6"/>
        <v>19172310000</v>
      </c>
      <c r="AA178" s="31">
        <f t="shared" si="7"/>
        <v>25</v>
      </c>
      <c r="AB178" s="32">
        <v>1.84E-2</v>
      </c>
      <c r="AC178" s="32">
        <v>2.58E-2</v>
      </c>
      <c r="AD178" s="33">
        <f t="shared" si="8"/>
        <v>4.2878369391109124E-2</v>
      </c>
      <c r="AE178" s="34">
        <f t="shared" si="9"/>
        <v>7.6368588099496232E-2</v>
      </c>
      <c r="AF178" s="33">
        <f t="shared" si="10"/>
        <v>0.94012995448080927</v>
      </c>
      <c r="AG178" s="33">
        <f t="shared" si="11"/>
        <v>3.1040075837532647E-3</v>
      </c>
      <c r="AH178" s="35">
        <f t="shared" si="12"/>
        <v>1.7747424760841346</v>
      </c>
      <c r="AI178" s="36">
        <f t="shared" si="13"/>
        <v>5.0374037970296826</v>
      </c>
      <c r="AJ178" s="23"/>
      <c r="AK178" s="23"/>
      <c r="AL178" s="44"/>
      <c r="AM178" s="44"/>
      <c r="AN178" s="44"/>
      <c r="AO178" s="44"/>
      <c r="AP178" s="44"/>
      <c r="AQ178" s="44"/>
      <c r="AR178" s="44"/>
    </row>
    <row r="179" spans="1:44" ht="16.8">
      <c r="A179" s="17" t="s">
        <v>455</v>
      </c>
      <c r="B179" s="18"/>
      <c r="C179" s="1" t="s">
        <v>452</v>
      </c>
      <c r="D179" s="19" t="s">
        <v>453</v>
      </c>
      <c r="E179" s="20" t="s">
        <v>39</v>
      </c>
      <c r="F179" s="21">
        <v>1996</v>
      </c>
      <c r="G179" s="40">
        <v>2022</v>
      </c>
      <c r="H179" s="23">
        <v>7065129967455</v>
      </c>
      <c r="I179" s="23">
        <v>12974103921350</v>
      </c>
      <c r="J179" s="23">
        <v>8332876258119</v>
      </c>
      <c r="K179" s="23">
        <f t="shared" ref="K179:K180" si="44">(J179+J178)/2</f>
        <v>7254753715070</v>
      </c>
      <c r="L179" s="23">
        <v>7213028754790</v>
      </c>
      <c r="M179" s="23">
        <v>4641227663231</v>
      </c>
      <c r="N179" s="23">
        <v>11687827152346</v>
      </c>
      <c r="O179" s="25">
        <f t="shared" si="0"/>
        <v>-147898787335</v>
      </c>
      <c r="P179" s="23">
        <v>5194587097</v>
      </c>
      <c r="Q179" s="23">
        <f>403169934750+343520530816</f>
        <v>746690465566</v>
      </c>
      <c r="R179" s="25">
        <f t="shared" si="1"/>
        <v>10941136686780</v>
      </c>
      <c r="S179" s="26">
        <f t="shared" si="2"/>
        <v>0.64226988689419529</v>
      </c>
      <c r="T179" s="27">
        <f t="shared" si="3"/>
        <v>0.97949560547130998</v>
      </c>
      <c r="U179" s="26">
        <f t="shared" si="4"/>
        <v>30.193976480657273</v>
      </c>
      <c r="V179" s="26">
        <f t="shared" si="5"/>
        <v>1.6110577438441998</v>
      </c>
      <c r="W179" s="83" t="s">
        <v>311</v>
      </c>
      <c r="X179" s="29">
        <v>12130</v>
      </c>
      <c r="Y179" s="83">
        <v>2021559</v>
      </c>
      <c r="Z179" s="30">
        <f t="shared" si="6"/>
        <v>24521510670</v>
      </c>
      <c r="AA179" s="31">
        <f t="shared" si="7"/>
        <v>26</v>
      </c>
      <c r="AB179" s="32">
        <v>3.15E-2</v>
      </c>
      <c r="AC179" s="32">
        <v>8.0199999999999994E-2</v>
      </c>
      <c r="AD179" s="33">
        <f t="shared" si="8"/>
        <v>-1.1399537743151561E-2</v>
      </c>
      <c r="AE179" s="34">
        <f t="shared" si="9"/>
        <v>4.0038118458815965E-4</v>
      </c>
      <c r="AF179" s="33">
        <f t="shared" si="10"/>
        <v>0.84330576917727795</v>
      </c>
      <c r="AG179" s="33">
        <f t="shared" si="11"/>
        <v>2.9427426869693251E-3</v>
      </c>
      <c r="AH179" s="35">
        <f t="shared" si="12"/>
        <v>1.4026161904130232</v>
      </c>
      <c r="AI179" s="36">
        <f t="shared" si="13"/>
        <v>4.1741719626768639</v>
      </c>
      <c r="AJ179" s="23"/>
      <c r="AK179" s="23"/>
      <c r="AL179" s="44"/>
      <c r="AM179" s="44"/>
      <c r="AN179" s="44"/>
      <c r="AO179" s="44"/>
      <c r="AP179" s="44"/>
      <c r="AQ179" s="44"/>
      <c r="AR179" s="44"/>
    </row>
    <row r="180" spans="1:44" ht="16.8">
      <c r="A180" s="17" t="s">
        <v>456</v>
      </c>
      <c r="B180" s="18"/>
      <c r="C180" s="1" t="s">
        <v>452</v>
      </c>
      <c r="D180" s="19" t="s">
        <v>453</v>
      </c>
      <c r="E180" s="20" t="s">
        <v>39</v>
      </c>
      <c r="F180" s="21">
        <v>1996</v>
      </c>
      <c r="G180" s="40">
        <v>2023</v>
      </c>
      <c r="H180" s="23">
        <v>7101240626454</v>
      </c>
      <c r="I180" s="23">
        <v>13011704257872</v>
      </c>
      <c r="J180" s="23">
        <v>8345469400426</v>
      </c>
      <c r="K180" s="23">
        <f t="shared" si="44"/>
        <v>8339172829272.5</v>
      </c>
      <c r="L180" s="23">
        <v>7141605465752</v>
      </c>
      <c r="M180" s="23">
        <v>4666234857446</v>
      </c>
      <c r="N180" s="23">
        <v>11241164150311</v>
      </c>
      <c r="O180" s="25">
        <f t="shared" si="0"/>
        <v>-40364839298</v>
      </c>
      <c r="P180" s="23">
        <v>25007194215</v>
      </c>
      <c r="Q180" s="23">
        <f>432440161015+356355906770</f>
        <v>788796067785</v>
      </c>
      <c r="R180" s="25">
        <f t="shared" si="1"/>
        <v>10452368082526</v>
      </c>
      <c r="S180" s="26">
        <f t="shared" si="2"/>
        <v>0.64138173101936613</v>
      </c>
      <c r="T180" s="27">
        <f t="shared" si="3"/>
        <v>0.99434793205931471</v>
      </c>
      <c r="U180" s="26">
        <f t="shared" si="4"/>
        <v>30.196870395866974</v>
      </c>
      <c r="V180" s="26">
        <f t="shared" si="5"/>
        <v>1.3479951046045975</v>
      </c>
      <c r="W180" s="83" t="s">
        <v>457</v>
      </c>
      <c r="X180" s="29">
        <v>23570</v>
      </c>
      <c r="Y180" s="83">
        <v>12239935</v>
      </c>
      <c r="Z180" s="30">
        <f t="shared" si="6"/>
        <v>288495267950</v>
      </c>
      <c r="AA180" s="31">
        <f t="shared" si="7"/>
        <v>27</v>
      </c>
      <c r="AB180" s="32">
        <v>3.2500000000000001E-2</v>
      </c>
      <c r="AC180" s="32">
        <v>5.0500000000000003E-2</v>
      </c>
      <c r="AD180" s="33">
        <f t="shared" si="8"/>
        <v>-3.1021946470678138E-3</v>
      </c>
      <c r="AE180" s="34">
        <f t="shared" si="9"/>
        <v>1.9218999847672377E-3</v>
      </c>
      <c r="AF180" s="33">
        <f t="shared" si="10"/>
        <v>0.80330507636633242</v>
      </c>
      <c r="AG180" s="33">
        <f t="shared" si="11"/>
        <v>3.4569088221121938E-2</v>
      </c>
      <c r="AH180" s="35">
        <f t="shared" si="12"/>
        <v>1.346978056109964</v>
      </c>
      <c r="AI180" s="36">
        <f t="shared" si="13"/>
        <v>4.0175942874537274</v>
      </c>
      <c r="AJ180" s="23"/>
      <c r="AK180" s="23"/>
      <c r="AL180" s="44"/>
      <c r="AM180" s="44"/>
      <c r="AN180" s="44"/>
      <c r="AO180" s="44"/>
      <c r="AP180" s="44"/>
      <c r="AQ180" s="44"/>
      <c r="AR180" s="44"/>
    </row>
    <row r="181" spans="1:44" ht="16.8">
      <c r="A181" s="17" t="s">
        <v>458</v>
      </c>
      <c r="B181" s="18">
        <v>68</v>
      </c>
      <c r="C181" s="1" t="s">
        <v>459</v>
      </c>
      <c r="D181" s="19" t="s">
        <v>460</v>
      </c>
      <c r="E181" s="20" t="s">
        <v>414</v>
      </c>
      <c r="F181" s="21">
        <v>1983</v>
      </c>
      <c r="G181" s="40">
        <v>2021</v>
      </c>
      <c r="H181" s="23">
        <v>613423111892</v>
      </c>
      <c r="I181" s="23">
        <v>786991797262</v>
      </c>
      <c r="J181" s="23">
        <v>587435154059</v>
      </c>
      <c r="K181" s="23">
        <f>(J181+650380951274)/2</f>
        <v>618908052666.5</v>
      </c>
      <c r="L181" s="23">
        <v>568540681308</v>
      </c>
      <c r="M181" s="23">
        <v>199556643203</v>
      </c>
      <c r="N181" s="23">
        <v>633963024056</v>
      </c>
      <c r="O181" s="25">
        <f t="shared" si="0"/>
        <v>44882430584</v>
      </c>
      <c r="P181" s="23">
        <v>12745322645</v>
      </c>
      <c r="Q181" s="23">
        <f>137102508913+36269792456</f>
        <v>173372301369</v>
      </c>
      <c r="R181" s="25">
        <f t="shared" si="1"/>
        <v>460590722687</v>
      </c>
      <c r="S181" s="26">
        <f t="shared" si="2"/>
        <v>0.7464311014456928</v>
      </c>
      <c r="T181" s="27">
        <f t="shared" si="3"/>
        <v>1.0789432173626385</v>
      </c>
      <c r="U181" s="26">
        <f t="shared" si="4"/>
        <v>27.391483662516613</v>
      </c>
      <c r="V181" s="26">
        <f t="shared" si="5"/>
        <v>1.0243250533332653</v>
      </c>
      <c r="W181" s="83" t="s">
        <v>461</v>
      </c>
      <c r="X181" s="29">
        <v>12680</v>
      </c>
      <c r="Y181" s="83">
        <v>48800</v>
      </c>
      <c r="Z181" s="30">
        <f t="shared" si="6"/>
        <v>618784000</v>
      </c>
      <c r="AA181" s="31">
        <f t="shared" si="7"/>
        <v>38</v>
      </c>
      <c r="AB181" s="32">
        <v>1.84E-2</v>
      </c>
      <c r="AC181" s="32">
        <v>2.58E-2</v>
      </c>
      <c r="AD181" s="33">
        <f t="shared" si="8"/>
        <v>5.7030366441110494E-2</v>
      </c>
      <c r="AE181" s="34">
        <f t="shared" si="9"/>
        <v>1.6194987913904411E-2</v>
      </c>
      <c r="AF181" s="33">
        <f t="shared" si="10"/>
        <v>0.58525479463626895</v>
      </c>
      <c r="AG181" s="33">
        <f t="shared" si="11"/>
        <v>1.0533656280602018E-3</v>
      </c>
      <c r="AH181" s="35">
        <f t="shared" si="12"/>
        <v>1.0792051168124794</v>
      </c>
      <c r="AI181" s="36">
        <f t="shared" si="13"/>
        <v>3.1022873812978018</v>
      </c>
      <c r="AJ181" s="23"/>
      <c r="AK181" s="23"/>
      <c r="AL181" s="44"/>
      <c r="AM181" s="44"/>
      <c r="AN181" s="44"/>
      <c r="AO181" s="44"/>
      <c r="AP181" s="44"/>
      <c r="AQ181" s="44"/>
      <c r="AR181" s="44"/>
    </row>
    <row r="182" spans="1:44" ht="16.8">
      <c r="A182" s="17" t="s">
        <v>462</v>
      </c>
      <c r="B182" s="18"/>
      <c r="C182" s="1" t="s">
        <v>459</v>
      </c>
      <c r="D182" s="19" t="s">
        <v>460</v>
      </c>
      <c r="E182" s="20" t="s">
        <v>414</v>
      </c>
      <c r="F182" s="21">
        <v>1983</v>
      </c>
      <c r="G182" s="40">
        <v>2022</v>
      </c>
      <c r="H182" s="23">
        <v>661295874392</v>
      </c>
      <c r="I182" s="23">
        <v>840719747340</v>
      </c>
      <c r="J182" s="23">
        <v>616426857523</v>
      </c>
      <c r="K182" s="23">
        <f t="shared" ref="K182:K183" si="45">(J181+J182)/2</f>
        <v>601931005791</v>
      </c>
      <c r="L182" s="23">
        <v>600017617474</v>
      </c>
      <c r="M182" s="23">
        <v>224242889817</v>
      </c>
      <c r="N182" s="23">
        <v>755855570573</v>
      </c>
      <c r="O182" s="25">
        <f t="shared" si="0"/>
        <v>61278256918</v>
      </c>
      <c r="P182" s="23">
        <v>40500398144</v>
      </c>
      <c r="Q182" s="23">
        <f>162002259065+53030795687</f>
        <v>215033054752</v>
      </c>
      <c r="R182" s="25">
        <f t="shared" si="1"/>
        <v>540822515821</v>
      </c>
      <c r="S182" s="26">
        <f t="shared" si="2"/>
        <v>0.73321324909203955</v>
      </c>
      <c r="T182" s="27">
        <f t="shared" si="3"/>
        <v>1.1021274294844439</v>
      </c>
      <c r="U182" s="26">
        <f t="shared" si="4"/>
        <v>27.457524203975588</v>
      </c>
      <c r="V182" s="26">
        <f t="shared" si="5"/>
        <v>1.2557179532224414</v>
      </c>
      <c r="W182" s="83" t="s">
        <v>463</v>
      </c>
      <c r="X182" s="29">
        <v>8970</v>
      </c>
      <c r="Y182" s="83">
        <v>101</v>
      </c>
      <c r="Z182" s="30">
        <f t="shared" si="6"/>
        <v>905970</v>
      </c>
      <c r="AA182" s="31">
        <f t="shared" si="7"/>
        <v>39</v>
      </c>
      <c r="AB182" s="32">
        <v>3.15E-2</v>
      </c>
      <c r="AC182" s="32">
        <v>8.0199999999999994E-2</v>
      </c>
      <c r="AD182" s="33">
        <f t="shared" si="8"/>
        <v>7.2887852476264156E-2</v>
      </c>
      <c r="AE182" s="34">
        <f t="shared" si="9"/>
        <v>4.817348262859468E-2</v>
      </c>
      <c r="AF182" s="33">
        <f t="shared" si="10"/>
        <v>0.64328513459109105</v>
      </c>
      <c r="AG182" s="33">
        <f t="shared" si="11"/>
        <v>1.4697120817228452E-6</v>
      </c>
      <c r="AH182" s="35">
        <f t="shared" si="12"/>
        <v>1.2261885759005846</v>
      </c>
      <c r="AI182" s="36">
        <f t="shared" si="13"/>
        <v>3.5039387005299836</v>
      </c>
      <c r="AJ182" s="23"/>
      <c r="AK182" s="23"/>
      <c r="AL182" s="44"/>
      <c r="AM182" s="44"/>
      <c r="AN182" s="44"/>
      <c r="AO182" s="44"/>
      <c r="AP182" s="44"/>
      <c r="AQ182" s="44"/>
      <c r="AR182" s="44"/>
    </row>
    <row r="183" spans="1:44" ht="16.8">
      <c r="A183" s="17" t="s">
        <v>464</v>
      </c>
      <c r="B183" s="18"/>
      <c r="C183" s="1" t="s">
        <v>459</v>
      </c>
      <c r="D183" s="19" t="s">
        <v>460</v>
      </c>
      <c r="E183" s="20" t="s">
        <v>414</v>
      </c>
      <c r="F183" s="21">
        <v>1983</v>
      </c>
      <c r="G183" s="40">
        <v>2023</v>
      </c>
      <c r="H183" s="23">
        <v>688911819374</v>
      </c>
      <c r="I183" s="23">
        <v>855608264278</v>
      </c>
      <c r="J183" s="23">
        <v>607723197090</v>
      </c>
      <c r="K183" s="23">
        <f t="shared" si="45"/>
        <v>612075027306.5</v>
      </c>
      <c r="L183" s="23">
        <v>596351753451</v>
      </c>
      <c r="M183" s="23">
        <v>247885067188</v>
      </c>
      <c r="N183" s="23">
        <v>812608883536</v>
      </c>
      <c r="O183" s="25">
        <f t="shared" si="0"/>
        <v>92560065923</v>
      </c>
      <c r="P183" s="23">
        <v>17466188133</v>
      </c>
      <c r="Q183" s="23">
        <f>192202575281+50318978225</f>
        <v>242521553506</v>
      </c>
      <c r="R183" s="25">
        <f t="shared" si="1"/>
        <v>570087330030</v>
      </c>
      <c r="S183" s="26">
        <f t="shared" si="2"/>
        <v>0.7102820560093861</v>
      </c>
      <c r="T183" s="27">
        <f t="shared" si="3"/>
        <v>1.1552105202799665</v>
      </c>
      <c r="U183" s="26">
        <f t="shared" si="4"/>
        <v>27.47507847315196</v>
      </c>
      <c r="V183" s="26">
        <f t="shared" si="5"/>
        <v>1.3276295344248403</v>
      </c>
      <c r="W183" s="83" t="s">
        <v>465</v>
      </c>
      <c r="X183" s="29">
        <v>10700</v>
      </c>
      <c r="Y183" s="83">
        <v>3258</v>
      </c>
      <c r="Z183" s="30">
        <f t="shared" si="6"/>
        <v>34860600</v>
      </c>
      <c r="AA183" s="31">
        <f t="shared" si="7"/>
        <v>40</v>
      </c>
      <c r="AB183" s="32">
        <v>3.2500000000000001E-2</v>
      </c>
      <c r="AC183" s="32">
        <v>5.0500000000000003E-2</v>
      </c>
      <c r="AD183" s="33">
        <f t="shared" si="8"/>
        <v>0.10818042530375307</v>
      </c>
      <c r="AE183" s="34">
        <f t="shared" si="9"/>
        <v>2.0413767447347811E-2</v>
      </c>
      <c r="AF183" s="33">
        <f t="shared" si="10"/>
        <v>0.66629479147336756</v>
      </c>
      <c r="AG183" s="33">
        <f t="shared" si="11"/>
        <v>5.7362628523849758E-5</v>
      </c>
      <c r="AH183" s="35">
        <f t="shared" si="12"/>
        <v>1.337136524370087</v>
      </c>
      <c r="AI183" s="36">
        <f t="shared" si="13"/>
        <v>3.6943395386001052</v>
      </c>
      <c r="AJ183" s="23"/>
      <c r="AK183" s="23"/>
      <c r="AL183" s="44"/>
      <c r="AM183" s="44"/>
      <c r="AN183" s="44"/>
      <c r="AO183" s="44"/>
      <c r="AP183" s="44"/>
      <c r="AQ183" s="44"/>
      <c r="AR183" s="44"/>
    </row>
    <row r="184" spans="1:44" ht="16.8">
      <c r="A184" s="17" t="s">
        <v>466</v>
      </c>
      <c r="B184" s="18">
        <v>69</v>
      </c>
      <c r="C184" s="1" t="s">
        <v>467</v>
      </c>
      <c r="D184" s="19" t="s">
        <v>468</v>
      </c>
      <c r="E184" s="20" t="s">
        <v>39</v>
      </c>
      <c r="F184" s="21">
        <v>2005</v>
      </c>
      <c r="G184" s="40">
        <v>2021</v>
      </c>
      <c r="H184" s="23">
        <v>225152683546</v>
      </c>
      <c r="I184" s="23">
        <v>260485600455</v>
      </c>
      <c r="J184" s="23">
        <v>186144453637</v>
      </c>
      <c r="K184" s="23">
        <f>(J184+179119178358)/2</f>
        <v>182631815997.5</v>
      </c>
      <c r="L184" s="23">
        <v>185738378637</v>
      </c>
      <c r="M184" s="23">
        <v>74341146818</v>
      </c>
      <c r="N184" s="23">
        <v>322559949844</v>
      </c>
      <c r="O184" s="25">
        <f t="shared" si="0"/>
        <v>39414304909</v>
      </c>
      <c r="P184" s="23">
        <v>6876274131</v>
      </c>
      <c r="Q184" s="23">
        <v>13979857226</v>
      </c>
      <c r="R184" s="25">
        <f t="shared" si="1"/>
        <v>308580092618</v>
      </c>
      <c r="S184" s="26">
        <f t="shared" si="2"/>
        <v>0.71460554177219193</v>
      </c>
      <c r="T184" s="27">
        <f t="shared" si="3"/>
        <v>1.2122033432090511</v>
      </c>
      <c r="U184" s="26">
        <f t="shared" si="4"/>
        <v>26.285813420047727</v>
      </c>
      <c r="V184" s="26">
        <f t="shared" si="5"/>
        <v>1.7661761072803188</v>
      </c>
      <c r="W184" s="83" t="s">
        <v>469</v>
      </c>
      <c r="X184" s="29">
        <v>12810</v>
      </c>
      <c r="Y184" s="83">
        <v>6600</v>
      </c>
      <c r="Z184" s="30">
        <f t="shared" si="6"/>
        <v>84546000</v>
      </c>
      <c r="AA184" s="31">
        <f t="shared" si="7"/>
        <v>16</v>
      </c>
      <c r="AB184" s="32">
        <v>1.84E-2</v>
      </c>
      <c r="AC184" s="32">
        <v>2.58E-2</v>
      </c>
      <c r="AD184" s="33">
        <f t="shared" si="8"/>
        <v>0.15131087799154175</v>
      </c>
      <c r="AE184" s="34">
        <f t="shared" si="9"/>
        <v>2.63979049858762E-2</v>
      </c>
      <c r="AF184" s="33">
        <f t="shared" si="10"/>
        <v>1.1846339762312832</v>
      </c>
      <c r="AG184" s="33">
        <f t="shared" si="11"/>
        <v>4.5419564401780681E-4</v>
      </c>
      <c r="AH184" s="35">
        <f t="shared" si="12"/>
        <v>1.7328474931250095</v>
      </c>
      <c r="AI184" s="36">
        <f t="shared" si="13"/>
        <v>5.8609422526447315</v>
      </c>
      <c r="AJ184" s="23" t="s">
        <v>85</v>
      </c>
      <c r="AK184" s="23"/>
      <c r="AL184" s="44"/>
      <c r="AM184" s="44"/>
      <c r="AN184" s="44"/>
      <c r="AO184" s="44"/>
      <c r="AP184" s="44"/>
      <c r="AQ184" s="44"/>
      <c r="AR184" s="44"/>
    </row>
    <row r="185" spans="1:44" ht="16.8">
      <c r="A185" s="17" t="s">
        <v>470</v>
      </c>
      <c r="B185" s="18"/>
      <c r="C185" s="1" t="s">
        <v>467</v>
      </c>
      <c r="D185" s="19" t="s">
        <v>468</v>
      </c>
      <c r="E185" s="20" t="s">
        <v>39</v>
      </c>
      <c r="F185" s="21">
        <v>2005</v>
      </c>
      <c r="G185" s="40">
        <v>2022</v>
      </c>
      <c r="H185" s="23">
        <v>382333195043</v>
      </c>
      <c r="I185" s="23">
        <v>442456959283</v>
      </c>
      <c r="J185" s="23">
        <v>362750639170</v>
      </c>
      <c r="K185" s="23">
        <f t="shared" ref="K185:K186" si="46">(J185+J184)/2</f>
        <v>274447546403.5</v>
      </c>
      <c r="L185" s="23">
        <v>352325639170</v>
      </c>
      <c r="M185" s="23">
        <v>79706320113</v>
      </c>
      <c r="N185" s="23">
        <v>333088545644</v>
      </c>
      <c r="O185" s="25">
        <f t="shared" si="0"/>
        <v>30007555873</v>
      </c>
      <c r="P185" s="23">
        <v>3491614415</v>
      </c>
      <c r="Q185" s="23">
        <v>18662979703</v>
      </c>
      <c r="R185" s="25">
        <f t="shared" si="1"/>
        <v>314425565941</v>
      </c>
      <c r="S185" s="26">
        <f t="shared" si="2"/>
        <v>0.81985520073599061</v>
      </c>
      <c r="T185" s="27">
        <f t="shared" si="3"/>
        <v>1.0851699465973894</v>
      </c>
      <c r="U185" s="26">
        <f t="shared" si="4"/>
        <v>26.815609029506575</v>
      </c>
      <c r="V185" s="26">
        <f t="shared" si="5"/>
        <v>1.2136692421155206</v>
      </c>
      <c r="W185" s="83" t="s">
        <v>471</v>
      </c>
      <c r="X185" s="29">
        <v>5520</v>
      </c>
      <c r="Y185" s="83">
        <v>0</v>
      </c>
      <c r="Z185" s="30">
        <f t="shared" si="6"/>
        <v>0</v>
      </c>
      <c r="AA185" s="31">
        <f t="shared" si="7"/>
        <v>17</v>
      </c>
      <c r="AB185" s="32">
        <v>3.15E-2</v>
      </c>
      <c r="AC185" s="32">
        <v>8.0199999999999994E-2</v>
      </c>
      <c r="AD185" s="33">
        <f t="shared" si="8"/>
        <v>6.7820282274748581E-2</v>
      </c>
      <c r="AE185" s="34">
        <f t="shared" si="9"/>
        <v>7.8914216213440275E-3</v>
      </c>
      <c r="AF185" s="33">
        <f t="shared" si="10"/>
        <v>0.71063537219648565</v>
      </c>
      <c r="AG185" s="33">
        <f t="shared" si="11"/>
        <v>0</v>
      </c>
      <c r="AH185" s="35">
        <f t="shared" si="12"/>
        <v>0.91823007233324516</v>
      </c>
      <c r="AI185" s="36">
        <f t="shared" si="13"/>
        <v>3.3557591295812275</v>
      </c>
      <c r="AJ185" s="23" t="s">
        <v>85</v>
      </c>
      <c r="AK185" s="23"/>
      <c r="AL185" s="44"/>
      <c r="AM185" s="44"/>
      <c r="AN185" s="44"/>
      <c r="AO185" s="44"/>
      <c r="AP185" s="44"/>
      <c r="AQ185" s="44"/>
      <c r="AR185" s="44"/>
    </row>
    <row r="186" spans="1:44" ht="16.8">
      <c r="A186" s="17" t="s">
        <v>472</v>
      </c>
      <c r="B186" s="18"/>
      <c r="C186" s="1" t="s">
        <v>467</v>
      </c>
      <c r="D186" s="19" t="s">
        <v>468</v>
      </c>
      <c r="E186" s="20" t="s">
        <v>39</v>
      </c>
      <c r="F186" s="21">
        <v>2005</v>
      </c>
      <c r="G186" s="40">
        <v>2023</v>
      </c>
      <c r="H186" s="23">
        <v>328118634007</v>
      </c>
      <c r="I186" s="23">
        <v>395958901950</v>
      </c>
      <c r="J186" s="23">
        <v>315757778420</v>
      </c>
      <c r="K186" s="23">
        <f t="shared" si="46"/>
        <v>339254208795</v>
      </c>
      <c r="L186" s="23">
        <v>309132778420</v>
      </c>
      <c r="M186" s="23">
        <v>80201123530</v>
      </c>
      <c r="N186" s="23">
        <v>209968415995</v>
      </c>
      <c r="O186" s="25">
        <f t="shared" si="0"/>
        <v>18985855587</v>
      </c>
      <c r="P186" s="23">
        <v>1018545579</v>
      </c>
      <c r="Q186" s="23">
        <v>13059044680</v>
      </c>
      <c r="R186" s="25">
        <f t="shared" si="1"/>
        <v>196909371315</v>
      </c>
      <c r="S186" s="26">
        <f t="shared" si="2"/>
        <v>0.79745088913261142</v>
      </c>
      <c r="T186" s="27">
        <f t="shared" si="3"/>
        <v>1.0614165074439472</v>
      </c>
      <c r="U186" s="26">
        <f t="shared" si="4"/>
        <v>26.704576259860524</v>
      </c>
      <c r="V186" s="26">
        <f t="shared" si="5"/>
        <v>0.61891174980787611</v>
      </c>
      <c r="W186" s="83" t="s">
        <v>473</v>
      </c>
      <c r="X186" s="29">
        <v>4600</v>
      </c>
      <c r="Y186" s="83">
        <v>10101</v>
      </c>
      <c r="Z186" s="30">
        <f t="shared" si="6"/>
        <v>46464600</v>
      </c>
      <c r="AA186" s="31">
        <f t="shared" si="7"/>
        <v>18</v>
      </c>
      <c r="AB186" s="32">
        <v>3.2500000000000001E-2</v>
      </c>
      <c r="AC186" s="32">
        <v>5.0500000000000003E-2</v>
      </c>
      <c r="AD186" s="33">
        <f t="shared" si="8"/>
        <v>4.7949056059857074E-2</v>
      </c>
      <c r="AE186" s="34">
        <f t="shared" si="9"/>
        <v>2.572351761720507E-3</v>
      </c>
      <c r="AF186" s="33">
        <f t="shared" si="10"/>
        <v>0.49729749816273833</v>
      </c>
      <c r="AG186" s="33">
        <f t="shared" si="11"/>
        <v>1.4715266946867063E-4</v>
      </c>
      <c r="AH186" s="35">
        <f t="shared" si="12"/>
        <v>0.66496672558835268</v>
      </c>
      <c r="AI186" s="36">
        <f t="shared" si="13"/>
        <v>2.3672769208653075</v>
      </c>
      <c r="AJ186" s="23" t="s">
        <v>85</v>
      </c>
      <c r="AK186" s="23"/>
      <c r="AL186" s="44"/>
      <c r="AM186" s="44"/>
      <c r="AN186" s="44"/>
      <c r="AO186" s="44"/>
      <c r="AP186" s="44"/>
      <c r="AQ186" s="44"/>
      <c r="AR186" s="44"/>
    </row>
    <row r="187" spans="1:44" ht="16.8">
      <c r="A187" s="17" t="s">
        <v>474</v>
      </c>
      <c r="B187" s="18">
        <v>70</v>
      </c>
      <c r="C187" s="1" t="s">
        <v>475</v>
      </c>
      <c r="D187" s="19" t="s">
        <v>476</v>
      </c>
      <c r="E187" s="20" t="s">
        <v>39</v>
      </c>
      <c r="F187" s="21">
        <v>1994</v>
      </c>
      <c r="G187" s="40">
        <v>2021</v>
      </c>
      <c r="H187" s="23">
        <v>885272586715</v>
      </c>
      <c r="I187" s="23">
        <v>981693091222</v>
      </c>
      <c r="J187" s="23">
        <v>379731794632</v>
      </c>
      <c r="K187" s="23">
        <f>(J187+252843051747)/2</f>
        <v>316287423189.5</v>
      </c>
      <c r="L187" s="23">
        <v>367888036887</v>
      </c>
      <c r="M187" s="23">
        <v>601961296590</v>
      </c>
      <c r="N187" s="23">
        <v>614226154267</v>
      </c>
      <c r="O187" s="25">
        <f t="shared" si="0"/>
        <v>517384549828</v>
      </c>
      <c r="P187" s="23">
        <v>42466338764</v>
      </c>
      <c r="Q187" s="23">
        <f>6831853779+34096543571</f>
        <v>40928397350</v>
      </c>
      <c r="R187" s="25">
        <f t="shared" si="1"/>
        <v>573297756917</v>
      </c>
      <c r="S187" s="26">
        <f t="shared" si="2"/>
        <v>0.3868131476399761</v>
      </c>
      <c r="T187" s="27">
        <f t="shared" si="3"/>
        <v>2.4063641596122873</v>
      </c>
      <c r="U187" s="26">
        <f t="shared" si="4"/>
        <v>27.612544562054676</v>
      </c>
      <c r="V187" s="26">
        <f t="shared" si="5"/>
        <v>1.9419872850871893</v>
      </c>
      <c r="W187" s="83" t="s">
        <v>477</v>
      </c>
      <c r="X187" s="29">
        <v>18830</v>
      </c>
      <c r="Y187" s="83">
        <v>110100</v>
      </c>
      <c r="Z187" s="30">
        <f t="shared" si="6"/>
        <v>2073183000</v>
      </c>
      <c r="AA187" s="31">
        <f t="shared" si="7"/>
        <v>27</v>
      </c>
      <c r="AB187" s="32">
        <v>1.84E-2</v>
      </c>
      <c r="AC187" s="32">
        <v>2.58E-2</v>
      </c>
      <c r="AD187" s="33">
        <f t="shared" si="8"/>
        <v>0.52703289292172339</v>
      </c>
      <c r="AE187" s="34">
        <f t="shared" si="9"/>
        <v>4.3258263854274864E-2</v>
      </c>
      <c r="AF187" s="33">
        <f t="shared" si="10"/>
        <v>0.58398878635619789</v>
      </c>
      <c r="AG187" s="33">
        <f t="shared" si="11"/>
        <v>5.4595981408644811E-3</v>
      </c>
      <c r="AH187" s="35">
        <f t="shared" si="12"/>
        <v>1.6175262723582302</v>
      </c>
      <c r="AI187" s="36">
        <f t="shared" si="13"/>
        <v>4.2409660671202545</v>
      </c>
      <c r="AJ187" s="23"/>
      <c r="AK187" s="23"/>
      <c r="AL187" s="44"/>
      <c r="AM187" s="44"/>
      <c r="AN187" s="44"/>
      <c r="AO187" s="44"/>
      <c r="AP187" s="44"/>
      <c r="AQ187" s="44"/>
      <c r="AR187" s="44"/>
    </row>
    <row r="188" spans="1:44" ht="16.8">
      <c r="A188" s="17" t="s">
        <v>478</v>
      </c>
      <c r="B188" s="18"/>
      <c r="C188" s="1" t="s">
        <v>475</v>
      </c>
      <c r="D188" s="19" t="s">
        <v>476</v>
      </c>
      <c r="E188" s="20" t="s">
        <v>39</v>
      </c>
      <c r="F188" s="21">
        <v>1994</v>
      </c>
      <c r="G188" s="40">
        <v>2022</v>
      </c>
      <c r="H188" s="23">
        <v>858240351248</v>
      </c>
      <c r="I188" s="23">
        <v>1177607414479</v>
      </c>
      <c r="J188" s="23">
        <v>582642977213</v>
      </c>
      <c r="K188" s="23">
        <f t="shared" ref="K188:K189" si="47">(J188+J187)/2</f>
        <v>481187385922.5</v>
      </c>
      <c r="L188" s="23">
        <v>574472870621</v>
      </c>
      <c r="M188" s="23">
        <v>594964437266</v>
      </c>
      <c r="N188" s="23">
        <v>264514410891</v>
      </c>
      <c r="O188" s="25">
        <f t="shared" si="0"/>
        <v>283767480627</v>
      </c>
      <c r="P188" s="23">
        <v>-2054154180</v>
      </c>
      <c r="Q188" s="23">
        <f>8584218171+34331373714</f>
        <v>42915591885</v>
      </c>
      <c r="R188" s="25">
        <f t="shared" si="1"/>
        <v>221598819006</v>
      </c>
      <c r="S188" s="26">
        <f t="shared" si="2"/>
        <v>0.49476843475104509</v>
      </c>
      <c r="T188" s="27">
        <f t="shared" si="3"/>
        <v>1.4939614995574115</v>
      </c>
      <c r="U188" s="26">
        <f t="shared" si="4"/>
        <v>27.794505881163939</v>
      </c>
      <c r="V188" s="26">
        <f t="shared" si="5"/>
        <v>0.54971185577504456</v>
      </c>
      <c r="W188" s="83" t="s">
        <v>479</v>
      </c>
      <c r="X188" s="29">
        <v>5710</v>
      </c>
      <c r="Y188" s="83">
        <v>14200</v>
      </c>
      <c r="Z188" s="30">
        <f t="shared" si="6"/>
        <v>81082000</v>
      </c>
      <c r="AA188" s="31">
        <f t="shared" si="7"/>
        <v>28</v>
      </c>
      <c r="AB188" s="32">
        <v>3.15E-2</v>
      </c>
      <c r="AC188" s="32">
        <v>8.0199999999999994E-2</v>
      </c>
      <c r="AD188" s="33">
        <f t="shared" si="8"/>
        <v>0.2409695091403149</v>
      </c>
      <c r="AE188" s="34">
        <f t="shared" si="9"/>
        <v>-1.744345487930546E-3</v>
      </c>
      <c r="AF188" s="33">
        <f t="shared" si="10"/>
        <v>0.18817716013111238</v>
      </c>
      <c r="AG188" s="33">
        <f t="shared" si="11"/>
        <v>1.3916240849215351E-4</v>
      </c>
      <c r="AH188" s="35">
        <f t="shared" si="12"/>
        <v>0.4539905589461864</v>
      </c>
      <c r="AI188" s="36">
        <f t="shared" si="13"/>
        <v>1.3617800121092276</v>
      </c>
      <c r="AJ188" s="23"/>
      <c r="AK188" s="23"/>
      <c r="AL188" s="44"/>
      <c r="AM188" s="44"/>
      <c r="AN188" s="44"/>
      <c r="AO188" s="44"/>
      <c r="AP188" s="44"/>
      <c r="AQ188" s="44"/>
      <c r="AR188" s="44"/>
    </row>
    <row r="189" spans="1:44" ht="16.8">
      <c r="A189" s="17" t="s">
        <v>480</v>
      </c>
      <c r="B189" s="18"/>
      <c r="C189" s="1" t="s">
        <v>475</v>
      </c>
      <c r="D189" s="19" t="s">
        <v>476</v>
      </c>
      <c r="E189" s="20" t="s">
        <v>39</v>
      </c>
      <c r="F189" s="21">
        <v>1994</v>
      </c>
      <c r="G189" s="40">
        <v>2023</v>
      </c>
      <c r="H189" s="23">
        <v>1308697117341</v>
      </c>
      <c r="I189" s="23">
        <v>1677874342728</v>
      </c>
      <c r="J189" s="23">
        <v>975842808328</v>
      </c>
      <c r="K189" s="23">
        <f t="shared" si="47"/>
        <v>779242892770.5</v>
      </c>
      <c r="L189" s="23">
        <v>963190003435</v>
      </c>
      <c r="M189" s="23">
        <v>702031534400</v>
      </c>
      <c r="N189" s="23">
        <v>577971520153</v>
      </c>
      <c r="O189" s="25">
        <f t="shared" si="0"/>
        <v>345507113906</v>
      </c>
      <c r="P189" s="23">
        <v>107067097134</v>
      </c>
      <c r="Q189" s="23">
        <f>1492508614+61176856366</f>
        <v>62669364980</v>
      </c>
      <c r="R189" s="25">
        <f t="shared" si="1"/>
        <v>515302155173</v>
      </c>
      <c r="S189" s="26">
        <f t="shared" si="2"/>
        <v>0.58159469006565157</v>
      </c>
      <c r="T189" s="27">
        <f t="shared" si="3"/>
        <v>1.3587112746953631</v>
      </c>
      <c r="U189" s="26">
        <f t="shared" si="4"/>
        <v>28.148548836025309</v>
      </c>
      <c r="V189" s="26">
        <f t="shared" si="5"/>
        <v>0.74170906852688134</v>
      </c>
      <c r="W189" s="83" t="s">
        <v>481</v>
      </c>
      <c r="X189" s="29">
        <v>8800</v>
      </c>
      <c r="Y189" s="83">
        <v>1446616</v>
      </c>
      <c r="Z189" s="30">
        <f t="shared" si="6"/>
        <v>12730220800</v>
      </c>
      <c r="AA189" s="31">
        <f t="shared" si="7"/>
        <v>29</v>
      </c>
      <c r="AB189" s="32">
        <v>3.2500000000000001E-2</v>
      </c>
      <c r="AC189" s="32">
        <v>5.0500000000000003E-2</v>
      </c>
      <c r="AD189" s="33">
        <f t="shared" si="8"/>
        <v>0.20591954063988577</v>
      </c>
      <c r="AE189" s="34">
        <f t="shared" si="9"/>
        <v>6.3811153438298115E-2</v>
      </c>
      <c r="AF189" s="33">
        <f t="shared" si="10"/>
        <v>0.30711605872415176</v>
      </c>
      <c r="AG189" s="33">
        <f t="shared" si="11"/>
        <v>1.3045360063483833E-2</v>
      </c>
      <c r="AH189" s="35">
        <f t="shared" si="12"/>
        <v>0.59227932533856664</v>
      </c>
      <c r="AI189" s="36">
        <f t="shared" si="13"/>
        <v>1.9500285987478381</v>
      </c>
      <c r="AJ189" s="23"/>
      <c r="AK189" s="23"/>
      <c r="AL189" s="44"/>
      <c r="AM189" s="44"/>
      <c r="AN189" s="44"/>
      <c r="AO189" s="44"/>
      <c r="AP189" s="44"/>
      <c r="AQ189" s="44"/>
      <c r="AR189" s="44"/>
    </row>
    <row r="190" spans="1:44" ht="16.8">
      <c r="A190" s="45"/>
      <c r="B190" s="45">
        <v>71</v>
      </c>
      <c r="C190" s="45" t="s">
        <v>482</v>
      </c>
      <c r="D190" s="46" t="s">
        <v>483</v>
      </c>
      <c r="E190" s="47" t="s">
        <v>39</v>
      </c>
      <c r="F190" s="48"/>
      <c r="G190" s="48"/>
      <c r="H190" s="49"/>
      <c r="I190" s="49"/>
      <c r="J190" s="49"/>
      <c r="K190" s="49"/>
      <c r="L190" s="49"/>
      <c r="M190" s="49"/>
      <c r="N190" s="49"/>
      <c r="O190" s="49">
        <f t="shared" si="0"/>
        <v>0</v>
      </c>
      <c r="P190" s="49"/>
      <c r="Q190" s="49"/>
      <c r="R190" s="49">
        <f t="shared" si="1"/>
        <v>0</v>
      </c>
      <c r="S190" s="50" t="e">
        <f t="shared" si="2"/>
        <v>#DIV/0!</v>
      </c>
      <c r="T190" s="51" t="e">
        <f t="shared" si="3"/>
        <v>#DIV/0!</v>
      </c>
      <c r="U190" s="50" t="e">
        <f t="shared" si="4"/>
        <v>#NUM!</v>
      </c>
      <c r="V190" s="50" t="e">
        <f t="shared" si="5"/>
        <v>#DIV/0!</v>
      </c>
      <c r="W190" s="52"/>
      <c r="X190" s="53">
        <v>0</v>
      </c>
      <c r="Y190" s="52"/>
      <c r="Z190" s="55">
        <f t="shared" si="6"/>
        <v>0</v>
      </c>
      <c r="AA190" s="48">
        <f t="shared" si="7"/>
        <v>0</v>
      </c>
      <c r="AB190" s="49"/>
      <c r="AC190" s="49"/>
      <c r="AD190" s="50" t="e">
        <f t="shared" si="8"/>
        <v>#DIV/0!</v>
      </c>
      <c r="AE190" s="56" t="e">
        <f t="shared" si="9"/>
        <v>#DIV/0!</v>
      </c>
      <c r="AF190" s="50" t="e">
        <f t="shared" si="10"/>
        <v>#DIV/0!</v>
      </c>
      <c r="AG190" s="50" t="e">
        <f t="shared" si="11"/>
        <v>#DIV/0!</v>
      </c>
      <c r="AH190" s="57" t="e">
        <f t="shared" si="12"/>
        <v>#DIV/0!</v>
      </c>
      <c r="AI190" s="58" t="e">
        <f t="shared" si="13"/>
        <v>#DIV/0!</v>
      </c>
      <c r="AJ190" s="49"/>
      <c r="AK190" s="49"/>
      <c r="AL190" s="59"/>
      <c r="AM190" s="59"/>
      <c r="AN190" s="59"/>
      <c r="AO190" s="59"/>
      <c r="AP190" s="59"/>
      <c r="AQ190" s="59"/>
      <c r="AR190" s="59"/>
    </row>
    <row r="191" spans="1:44" ht="16.8">
      <c r="A191" s="17" t="s">
        <v>484</v>
      </c>
      <c r="B191" s="18">
        <v>72</v>
      </c>
      <c r="C191" s="1" t="s">
        <v>485</v>
      </c>
      <c r="D191" s="19" t="s">
        <v>486</v>
      </c>
      <c r="E191" s="20" t="s">
        <v>39</v>
      </c>
      <c r="F191" s="21">
        <v>1963</v>
      </c>
      <c r="G191" s="40">
        <v>2021</v>
      </c>
      <c r="H191" s="23">
        <v>5997347534355</v>
      </c>
      <c r="I191" s="23">
        <v>8520393116371</v>
      </c>
      <c r="J191" s="23">
        <v>2188391014861</v>
      </c>
      <c r="K191" s="23">
        <f>(J191+1808718873158)/2</f>
        <v>1998554944009.5</v>
      </c>
      <c r="L191" s="23">
        <v>2188291014861</v>
      </c>
      <c r="M191" s="23">
        <v>6332002101510</v>
      </c>
      <c r="N191" s="23">
        <v>9550582124429</v>
      </c>
      <c r="O191" s="25">
        <f t="shared" si="0"/>
        <v>3809056519494</v>
      </c>
      <c r="P191" s="23">
        <v>2513776233600</v>
      </c>
      <c r="Q191" s="23">
        <f>503818242221+136602168446</f>
        <v>640420410667</v>
      </c>
      <c r="R191" s="25">
        <f t="shared" si="1"/>
        <v>8910161713762</v>
      </c>
      <c r="S191" s="26">
        <f t="shared" si="2"/>
        <v>0.25684155472313208</v>
      </c>
      <c r="T191" s="27">
        <f t="shared" si="3"/>
        <v>2.740653548191784</v>
      </c>
      <c r="U191" s="26">
        <f t="shared" si="4"/>
        <v>29.773483596124468</v>
      </c>
      <c r="V191" s="26">
        <f t="shared" si="5"/>
        <v>4.7787438384198868</v>
      </c>
      <c r="W191" s="83" t="s">
        <v>487</v>
      </c>
      <c r="X191" s="29">
        <v>65120</v>
      </c>
      <c r="Y191" s="83">
        <v>529000</v>
      </c>
      <c r="Z191" s="30">
        <f t="shared" si="6"/>
        <v>34448480000</v>
      </c>
      <c r="AA191" s="31">
        <f t="shared" si="7"/>
        <v>58</v>
      </c>
      <c r="AB191" s="32">
        <v>1.84E-2</v>
      </c>
      <c r="AC191" s="32">
        <v>2.58E-2</v>
      </c>
      <c r="AD191" s="33">
        <f t="shared" si="8"/>
        <v>0.44705173428856421</v>
      </c>
      <c r="AE191" s="34">
        <f t="shared" si="9"/>
        <v>0.29503054604018858</v>
      </c>
      <c r="AF191" s="33">
        <f t="shared" si="10"/>
        <v>1.0457453772458107</v>
      </c>
      <c r="AG191" s="33">
        <f t="shared" si="11"/>
        <v>1.574146474102027E-2</v>
      </c>
      <c r="AH191" s="35">
        <f t="shared" si="12"/>
        <v>4.3642027679571811</v>
      </c>
      <c r="AI191" s="36">
        <f t="shared" si="13"/>
        <v>8.77411223731551</v>
      </c>
      <c r="AJ191" s="23"/>
      <c r="AK191" s="23"/>
      <c r="AL191" s="44"/>
      <c r="AM191" s="44"/>
      <c r="AN191" s="44"/>
      <c r="AO191" s="44"/>
      <c r="AP191" s="44"/>
      <c r="AQ191" s="44"/>
      <c r="AR191" s="44"/>
    </row>
    <row r="192" spans="1:44" ht="16.8">
      <c r="A192" s="17" t="s">
        <v>488</v>
      </c>
      <c r="B192" s="18"/>
      <c r="C192" s="1" t="s">
        <v>485</v>
      </c>
      <c r="D192" s="19" t="s">
        <v>486</v>
      </c>
      <c r="E192" s="20" t="s">
        <v>39</v>
      </c>
      <c r="F192" s="21">
        <v>1963</v>
      </c>
      <c r="G192" s="40">
        <v>2022</v>
      </c>
      <c r="H192" s="23">
        <v>10985294291433</v>
      </c>
      <c r="I192" s="23">
        <v>13405182747367</v>
      </c>
      <c r="J192" s="23">
        <v>2571528808329</v>
      </c>
      <c r="K192" s="23">
        <f t="shared" ref="K192:K193" si="48">(J192+J191)/2</f>
        <v>2379959911595</v>
      </c>
      <c r="L192" s="23">
        <v>2571428808329</v>
      </c>
      <c r="M192" s="23">
        <v>10833653939038</v>
      </c>
      <c r="N192" s="23">
        <v>14444995604730</v>
      </c>
      <c r="O192" s="25">
        <f t="shared" si="0"/>
        <v>8413865483104</v>
      </c>
      <c r="P192" s="23">
        <v>6036982866996</v>
      </c>
      <c r="Q192" s="23">
        <f>600386940046+151827512501</f>
        <v>752214452547</v>
      </c>
      <c r="R192" s="25">
        <f t="shared" si="1"/>
        <v>13692781152183</v>
      </c>
      <c r="S192" s="26">
        <f t="shared" si="2"/>
        <v>0.19183094007682147</v>
      </c>
      <c r="T192" s="27">
        <f t="shared" si="3"/>
        <v>4.2720584975368654</v>
      </c>
      <c r="U192" s="26">
        <f t="shared" si="4"/>
        <v>30.226662520299897</v>
      </c>
      <c r="V192" s="26">
        <f t="shared" si="5"/>
        <v>6.0694281169842323</v>
      </c>
      <c r="W192" s="83" t="s">
        <v>489</v>
      </c>
      <c r="X192" s="29">
        <v>54460</v>
      </c>
      <c r="Y192" s="83">
        <v>1390842</v>
      </c>
      <c r="Z192" s="30">
        <f t="shared" si="6"/>
        <v>75745255320</v>
      </c>
      <c r="AA192" s="31">
        <f t="shared" si="7"/>
        <v>59</v>
      </c>
      <c r="AB192" s="32">
        <v>3.15E-2</v>
      </c>
      <c r="AC192" s="32">
        <v>8.0199999999999994E-2</v>
      </c>
      <c r="AD192" s="33">
        <f t="shared" si="8"/>
        <v>0.62765764866253859</v>
      </c>
      <c r="AE192" s="34">
        <f t="shared" si="9"/>
        <v>0.4503469278090792</v>
      </c>
      <c r="AF192" s="33">
        <f t="shared" si="10"/>
        <v>1.021454269608707</v>
      </c>
      <c r="AG192" s="33">
        <f t="shared" si="11"/>
        <v>2.9455339980896372E-2</v>
      </c>
      <c r="AH192" s="35">
        <f t="shared" si="12"/>
        <v>5.6172793234684679</v>
      </c>
      <c r="AI192" s="36">
        <f t="shared" si="13"/>
        <v>10.389426494493495</v>
      </c>
      <c r="AJ192" s="23"/>
      <c r="AK192" s="23"/>
      <c r="AL192" s="44"/>
      <c r="AM192" s="44"/>
      <c r="AN192" s="44"/>
      <c r="AO192" s="44"/>
      <c r="AP192" s="44"/>
      <c r="AQ192" s="44"/>
      <c r="AR192" s="44"/>
    </row>
    <row r="193" spans="1:44" ht="16.8">
      <c r="A193" s="17" t="s">
        <v>490</v>
      </c>
      <c r="B193" s="18"/>
      <c r="C193" s="1" t="s">
        <v>485</v>
      </c>
      <c r="D193" s="19" t="s">
        <v>486</v>
      </c>
      <c r="E193" s="20" t="s">
        <v>39</v>
      </c>
      <c r="F193" s="21">
        <v>1963</v>
      </c>
      <c r="G193" s="40">
        <v>2023</v>
      </c>
      <c r="H193" s="23">
        <v>12466646825746</v>
      </c>
      <c r="I193" s="23">
        <v>15535906274595</v>
      </c>
      <c r="J193" s="23">
        <v>3508967832597</v>
      </c>
      <c r="K193" s="23">
        <f t="shared" si="48"/>
        <v>3040248320463</v>
      </c>
      <c r="L193" s="23">
        <v>3492906503052</v>
      </c>
      <c r="M193" s="23">
        <v>12026938441998</v>
      </c>
      <c r="N193" s="23">
        <v>9761057850158</v>
      </c>
      <c r="O193" s="25">
        <f t="shared" si="0"/>
        <v>8973740322694</v>
      </c>
      <c r="P193" s="23">
        <v>3241661075841</v>
      </c>
      <c r="Q193" s="23">
        <f>435691263950+158572657070</f>
        <v>594263921020</v>
      </c>
      <c r="R193" s="25">
        <f t="shared" si="1"/>
        <v>9166793929138</v>
      </c>
      <c r="S193" s="26">
        <f t="shared" si="2"/>
        <v>0.22586180494246538</v>
      </c>
      <c r="T193" s="27">
        <f t="shared" si="3"/>
        <v>3.5691327021931469</v>
      </c>
      <c r="U193" s="26">
        <f t="shared" si="4"/>
        <v>30.374174994670636</v>
      </c>
      <c r="V193" s="26">
        <f t="shared" si="5"/>
        <v>3.2106120360166788</v>
      </c>
      <c r="W193" s="83" t="s">
        <v>491</v>
      </c>
      <c r="X193" s="29">
        <v>91900</v>
      </c>
      <c r="Y193" s="83">
        <v>1297620</v>
      </c>
      <c r="Z193" s="30">
        <f t="shared" si="6"/>
        <v>119251278000</v>
      </c>
      <c r="AA193" s="31">
        <f t="shared" si="7"/>
        <v>60</v>
      </c>
      <c r="AB193" s="32">
        <v>3.2500000000000001E-2</v>
      </c>
      <c r="AC193" s="32">
        <v>5.0500000000000003E-2</v>
      </c>
      <c r="AD193" s="33">
        <f t="shared" si="8"/>
        <v>0.57761292866244029</v>
      </c>
      <c r="AE193" s="34">
        <f t="shared" si="9"/>
        <v>0.2086560654103525</v>
      </c>
      <c r="AF193" s="33">
        <f t="shared" si="10"/>
        <v>0.59003921413506122</v>
      </c>
      <c r="AG193" s="33">
        <f t="shared" si="11"/>
        <v>3.398471678543194E-2</v>
      </c>
      <c r="AH193" s="35">
        <f t="shared" si="12"/>
        <v>2.7817461760354196</v>
      </c>
      <c r="AI193" s="36">
        <f t="shared" si="13"/>
        <v>5.7345204187218028</v>
      </c>
      <c r="AJ193" s="23"/>
      <c r="AK193" s="23"/>
      <c r="AL193" s="44"/>
      <c r="AM193" s="44"/>
      <c r="AN193" s="44"/>
      <c r="AO193" s="44"/>
      <c r="AP193" s="44"/>
      <c r="AQ193" s="44"/>
      <c r="AR193" s="44"/>
    </row>
    <row r="194" spans="1:44" ht="16.8">
      <c r="A194" s="45"/>
      <c r="B194" s="45">
        <v>73</v>
      </c>
      <c r="C194" s="45" t="s">
        <v>492</v>
      </c>
      <c r="D194" s="46" t="s">
        <v>493</v>
      </c>
      <c r="E194" s="47" t="s">
        <v>39</v>
      </c>
      <c r="F194" s="48"/>
      <c r="G194" s="48"/>
      <c r="H194" s="49"/>
      <c r="I194" s="49"/>
      <c r="J194" s="49"/>
      <c r="K194" s="49"/>
      <c r="L194" s="49"/>
      <c r="M194" s="49"/>
      <c r="N194" s="49"/>
      <c r="O194" s="49">
        <f t="shared" si="0"/>
        <v>0</v>
      </c>
      <c r="P194" s="49"/>
      <c r="Q194" s="49"/>
      <c r="R194" s="49">
        <f t="shared" si="1"/>
        <v>0</v>
      </c>
      <c r="S194" s="50" t="e">
        <f t="shared" si="2"/>
        <v>#DIV/0!</v>
      </c>
      <c r="T194" s="51" t="e">
        <f t="shared" si="3"/>
        <v>#DIV/0!</v>
      </c>
      <c r="U194" s="50" t="e">
        <f t="shared" si="4"/>
        <v>#NUM!</v>
      </c>
      <c r="V194" s="50" t="e">
        <f t="shared" si="5"/>
        <v>#DIV/0!</v>
      </c>
      <c r="W194" s="52"/>
      <c r="X194" s="53">
        <v>0</v>
      </c>
      <c r="Y194" s="52"/>
      <c r="Z194" s="55">
        <f t="shared" si="6"/>
        <v>0</v>
      </c>
      <c r="AA194" s="48">
        <f t="shared" si="7"/>
        <v>0</v>
      </c>
      <c r="AB194" s="49"/>
      <c r="AC194" s="49"/>
      <c r="AD194" s="50" t="e">
        <f t="shared" si="8"/>
        <v>#DIV/0!</v>
      </c>
      <c r="AE194" s="56" t="e">
        <f t="shared" si="9"/>
        <v>#DIV/0!</v>
      </c>
      <c r="AF194" s="50" t="e">
        <f t="shared" si="10"/>
        <v>#DIV/0!</v>
      </c>
      <c r="AG194" s="50" t="e">
        <f t="shared" si="11"/>
        <v>#DIV/0!</v>
      </c>
      <c r="AH194" s="57" t="e">
        <f t="shared" si="12"/>
        <v>#DIV/0!</v>
      </c>
      <c r="AI194" s="58" t="e">
        <f t="shared" si="13"/>
        <v>#DIV/0!</v>
      </c>
      <c r="AJ194" s="49"/>
      <c r="AK194" s="49"/>
      <c r="AL194" s="59"/>
      <c r="AM194" s="59"/>
      <c r="AN194" s="59"/>
      <c r="AO194" s="59"/>
      <c r="AP194" s="59"/>
      <c r="AQ194" s="59"/>
      <c r="AR194" s="59"/>
    </row>
    <row r="195" spans="1:44" ht="16.8">
      <c r="A195" s="45"/>
      <c r="B195" s="45">
        <v>74</v>
      </c>
      <c r="C195" s="45" t="s">
        <v>494</v>
      </c>
      <c r="D195" s="46" t="s">
        <v>495</v>
      </c>
      <c r="E195" s="47" t="s">
        <v>39</v>
      </c>
      <c r="F195" s="48"/>
      <c r="G195" s="48"/>
      <c r="H195" s="49"/>
      <c r="I195" s="49"/>
      <c r="J195" s="49"/>
      <c r="K195" s="49"/>
      <c r="L195" s="49"/>
      <c r="M195" s="49"/>
      <c r="N195" s="49"/>
      <c r="O195" s="49">
        <f t="shared" si="0"/>
        <v>0</v>
      </c>
      <c r="P195" s="49"/>
      <c r="Q195" s="49"/>
      <c r="R195" s="49">
        <f t="shared" si="1"/>
        <v>0</v>
      </c>
      <c r="S195" s="50" t="e">
        <f t="shared" si="2"/>
        <v>#DIV/0!</v>
      </c>
      <c r="T195" s="51" t="e">
        <f t="shared" si="3"/>
        <v>#DIV/0!</v>
      </c>
      <c r="U195" s="50" t="e">
        <f t="shared" si="4"/>
        <v>#NUM!</v>
      </c>
      <c r="V195" s="50" t="e">
        <f t="shared" si="5"/>
        <v>#DIV/0!</v>
      </c>
      <c r="W195" s="52"/>
      <c r="X195" s="53">
        <v>0</v>
      </c>
      <c r="Y195" s="52"/>
      <c r="Z195" s="55">
        <f t="shared" si="6"/>
        <v>0</v>
      </c>
      <c r="AA195" s="48">
        <f t="shared" si="7"/>
        <v>0</v>
      </c>
      <c r="AB195" s="49"/>
      <c r="AC195" s="49"/>
      <c r="AD195" s="50" t="e">
        <f t="shared" si="8"/>
        <v>#DIV/0!</v>
      </c>
      <c r="AE195" s="56" t="e">
        <f t="shared" si="9"/>
        <v>#DIV/0!</v>
      </c>
      <c r="AF195" s="50" t="e">
        <f t="shared" si="10"/>
        <v>#DIV/0!</v>
      </c>
      <c r="AG195" s="50" t="e">
        <f t="shared" si="11"/>
        <v>#DIV/0!</v>
      </c>
      <c r="AH195" s="57" t="e">
        <f t="shared" si="12"/>
        <v>#DIV/0!</v>
      </c>
      <c r="AI195" s="58" t="e">
        <f t="shared" si="13"/>
        <v>#DIV/0!</v>
      </c>
      <c r="AJ195" s="49"/>
      <c r="AK195" s="49"/>
      <c r="AL195" s="59"/>
      <c r="AM195" s="59"/>
      <c r="AN195" s="59"/>
      <c r="AO195" s="59"/>
      <c r="AP195" s="59"/>
      <c r="AQ195" s="59"/>
      <c r="AR195" s="59"/>
    </row>
    <row r="196" spans="1:44" ht="16.8">
      <c r="A196" s="17" t="s">
        <v>496</v>
      </c>
      <c r="B196" s="18">
        <v>75</v>
      </c>
      <c r="C196" s="1" t="s">
        <v>497</v>
      </c>
      <c r="D196" s="19" t="s">
        <v>498</v>
      </c>
      <c r="E196" s="20" t="s">
        <v>39</v>
      </c>
      <c r="F196" s="21">
        <v>1961</v>
      </c>
      <c r="G196" s="40">
        <v>2021</v>
      </c>
      <c r="H196" s="23">
        <v>143988172229</v>
      </c>
      <c r="I196" s="23">
        <v>214496997064</v>
      </c>
      <c r="J196" s="23">
        <v>49756308238</v>
      </c>
      <c r="K196" s="23">
        <f>(J196+33491299498)/2</f>
        <v>41623803868</v>
      </c>
      <c r="L196" s="23">
        <v>49656308238</v>
      </c>
      <c r="M196" s="23">
        <v>167740688826</v>
      </c>
      <c r="N196" s="23">
        <v>264393246319</v>
      </c>
      <c r="O196" s="25">
        <f t="shared" si="0"/>
        <v>94331863991</v>
      </c>
      <c r="P196" s="23">
        <v>12375738586</v>
      </c>
      <c r="Q196" s="23">
        <f>4964924493+13814864092</f>
        <v>18779788585</v>
      </c>
      <c r="R196" s="25">
        <f t="shared" si="1"/>
        <v>245613457734</v>
      </c>
      <c r="S196" s="26">
        <f t="shared" si="2"/>
        <v>0.23196738844392348</v>
      </c>
      <c r="T196" s="27">
        <f t="shared" si="3"/>
        <v>2.8996954735110889</v>
      </c>
      <c r="U196" s="26">
        <f t="shared" si="4"/>
        <v>26.091561575514856</v>
      </c>
      <c r="V196" s="26">
        <f t="shared" si="5"/>
        <v>6.3519722310209881</v>
      </c>
      <c r="W196" s="83" t="s">
        <v>499</v>
      </c>
      <c r="X196" s="29">
        <v>10130</v>
      </c>
      <c r="Y196" s="83">
        <v>4300</v>
      </c>
      <c r="Z196" s="30">
        <f t="shared" si="6"/>
        <v>43559000</v>
      </c>
      <c r="AA196" s="31">
        <f t="shared" si="7"/>
        <v>60</v>
      </c>
      <c r="AB196" s="32">
        <v>1.84E-2</v>
      </c>
      <c r="AC196" s="32">
        <v>2.58E-2</v>
      </c>
      <c r="AD196" s="33">
        <f t="shared" si="8"/>
        <v>0.43978174651486596</v>
      </c>
      <c r="AE196" s="34">
        <f t="shared" si="9"/>
        <v>5.7696558718290214E-2</v>
      </c>
      <c r="AF196" s="33">
        <f t="shared" si="10"/>
        <v>1.1450671156049597</v>
      </c>
      <c r="AG196" s="33">
        <f t="shared" si="11"/>
        <v>8.7544678338359963E-4</v>
      </c>
      <c r="AH196" s="35">
        <f t="shared" si="12"/>
        <v>5.3137633333712042</v>
      </c>
      <c r="AI196" s="36">
        <f t="shared" si="13"/>
        <v>9.7015233609610458</v>
      </c>
      <c r="AJ196" s="23"/>
      <c r="AK196" s="23"/>
      <c r="AL196" s="44"/>
      <c r="AM196" s="44"/>
      <c r="AN196" s="44"/>
      <c r="AO196" s="44"/>
      <c r="AP196" s="44"/>
      <c r="AQ196" s="44"/>
      <c r="AR196" s="44"/>
    </row>
    <row r="197" spans="1:44" ht="16.8">
      <c r="A197" s="17" t="s">
        <v>500</v>
      </c>
      <c r="B197" s="18"/>
      <c r="C197" s="1" t="s">
        <v>497</v>
      </c>
      <c r="D197" s="19" t="s">
        <v>498</v>
      </c>
      <c r="E197" s="20" t="s">
        <v>39</v>
      </c>
      <c r="F197" s="21">
        <v>1961</v>
      </c>
      <c r="G197" s="40">
        <v>2022</v>
      </c>
      <c r="H197" s="23">
        <v>162352183929</v>
      </c>
      <c r="I197" s="23">
        <v>231500034490</v>
      </c>
      <c r="J197" s="23">
        <v>62902092069</v>
      </c>
      <c r="K197" s="23">
        <f t="shared" ref="K197:K198" si="49">(J197+J196)/2</f>
        <v>56329200153.5</v>
      </c>
      <c r="L197" s="23">
        <v>62902092069</v>
      </c>
      <c r="M197" s="23">
        <v>168597942421</v>
      </c>
      <c r="N197" s="23">
        <v>264612370772</v>
      </c>
      <c r="O197" s="25">
        <f t="shared" si="0"/>
        <v>99450091860</v>
      </c>
      <c r="P197" s="23">
        <v>13892763960</v>
      </c>
      <c r="Q197" s="23">
        <f>5909885943+15203265302</f>
        <v>21113151245</v>
      </c>
      <c r="R197" s="25">
        <f t="shared" si="1"/>
        <v>243499219527</v>
      </c>
      <c r="S197" s="26">
        <f t="shared" si="2"/>
        <v>0.27171526003257312</v>
      </c>
      <c r="T197" s="27">
        <f t="shared" si="3"/>
        <v>2.5810299560610628</v>
      </c>
      <c r="U197" s="26">
        <f t="shared" si="4"/>
        <v>26.167845859457572</v>
      </c>
      <c r="V197" s="26">
        <f t="shared" si="5"/>
        <v>4.6976056832143458</v>
      </c>
      <c r="W197" s="83" t="s">
        <v>501</v>
      </c>
      <c r="X197" s="29">
        <v>10210</v>
      </c>
      <c r="Y197" s="83">
        <v>0</v>
      </c>
      <c r="Z197" s="30">
        <f t="shared" si="6"/>
        <v>0</v>
      </c>
      <c r="AA197" s="31">
        <f t="shared" si="7"/>
        <v>61</v>
      </c>
      <c r="AB197" s="32">
        <v>3.15E-2</v>
      </c>
      <c r="AC197" s="32">
        <v>8.0199999999999994E-2</v>
      </c>
      <c r="AD197" s="33">
        <f t="shared" si="8"/>
        <v>0.4295899656304194</v>
      </c>
      <c r="AE197" s="34">
        <f t="shared" si="9"/>
        <v>6.0011930411181511E-2</v>
      </c>
      <c r="AF197" s="33">
        <f t="shared" si="10"/>
        <v>1.0518323250509853</v>
      </c>
      <c r="AG197" s="33">
        <f t="shared" si="11"/>
        <v>0</v>
      </c>
      <c r="AH197" s="35">
        <f t="shared" si="12"/>
        <v>4.2067340221647216</v>
      </c>
      <c r="AI197" s="36">
        <f t="shared" si="13"/>
        <v>8.2773053561651295</v>
      </c>
      <c r="AJ197" s="23"/>
      <c r="AK197" s="23"/>
      <c r="AL197" s="44"/>
      <c r="AM197" s="44"/>
      <c r="AN197" s="44"/>
      <c r="AO197" s="44"/>
      <c r="AP197" s="44"/>
      <c r="AQ197" s="44"/>
      <c r="AR197" s="44"/>
    </row>
    <row r="198" spans="1:44" ht="16.8">
      <c r="A198" s="17" t="s">
        <v>502</v>
      </c>
      <c r="B198" s="18"/>
      <c r="C198" s="1" t="s">
        <v>497</v>
      </c>
      <c r="D198" s="19" t="s">
        <v>498</v>
      </c>
      <c r="E198" s="20" t="s">
        <v>39</v>
      </c>
      <c r="F198" s="21">
        <v>1961</v>
      </c>
      <c r="G198" s="40">
        <v>2023</v>
      </c>
      <c r="H198" s="23">
        <v>145512234467</v>
      </c>
      <c r="I198" s="23">
        <v>211970689844</v>
      </c>
      <c r="J198" s="23">
        <v>40695441822</v>
      </c>
      <c r="K198" s="23">
        <f t="shared" si="49"/>
        <v>51798766945.5</v>
      </c>
      <c r="L198" s="23">
        <v>40695441822</v>
      </c>
      <c r="M198" s="23">
        <v>171275248022</v>
      </c>
      <c r="N198" s="23">
        <v>230021128555</v>
      </c>
      <c r="O198" s="25">
        <f t="shared" si="0"/>
        <v>104816792645</v>
      </c>
      <c r="P198" s="23">
        <v>12756634159</v>
      </c>
      <c r="Q198" s="23">
        <f>4602355803+14901481321</f>
        <v>19503837124</v>
      </c>
      <c r="R198" s="25">
        <f t="shared" si="1"/>
        <v>210517291431</v>
      </c>
      <c r="S198" s="26">
        <f t="shared" si="2"/>
        <v>0.1919861743713239</v>
      </c>
      <c r="T198" s="27">
        <f t="shared" si="3"/>
        <v>3.5756396282282386</v>
      </c>
      <c r="U198" s="26">
        <f t="shared" si="4"/>
        <v>26.079713846607426</v>
      </c>
      <c r="V198" s="26">
        <f t="shared" si="5"/>
        <v>4.4406680336042825</v>
      </c>
      <c r="W198" s="83" t="s">
        <v>503</v>
      </c>
      <c r="X198" s="29">
        <v>9850</v>
      </c>
      <c r="Y198" s="83">
        <v>0</v>
      </c>
      <c r="Z198" s="30">
        <f t="shared" si="6"/>
        <v>0</v>
      </c>
      <c r="AA198" s="31">
        <f t="shared" si="7"/>
        <v>62</v>
      </c>
      <c r="AB198" s="32">
        <v>3.2500000000000001E-2</v>
      </c>
      <c r="AC198" s="32">
        <v>5.0500000000000003E-2</v>
      </c>
      <c r="AD198" s="33">
        <f t="shared" si="8"/>
        <v>0.49448719878271852</v>
      </c>
      <c r="AE198" s="34">
        <f t="shared" si="9"/>
        <v>6.0181123005205367E-2</v>
      </c>
      <c r="AF198" s="33">
        <f t="shared" si="10"/>
        <v>0.99314339914603467</v>
      </c>
      <c r="AG198" s="33">
        <f t="shared" si="11"/>
        <v>0</v>
      </c>
      <c r="AH198" s="35">
        <f t="shared" si="12"/>
        <v>5.6522578022644865</v>
      </c>
      <c r="AI198" s="36">
        <f t="shared" si="13"/>
        <v>9.6072692301929496</v>
      </c>
      <c r="AJ198" s="23"/>
      <c r="AK198" s="23"/>
      <c r="AL198" s="44"/>
      <c r="AM198" s="44"/>
      <c r="AN198" s="44"/>
      <c r="AO198" s="44"/>
      <c r="AP198" s="44"/>
      <c r="AQ198" s="44"/>
      <c r="AR198" s="44"/>
    </row>
    <row r="199" spans="1:44" ht="16.8">
      <c r="A199" s="17" t="s">
        <v>504</v>
      </c>
      <c r="B199" s="18">
        <v>76</v>
      </c>
      <c r="C199" s="1" t="s">
        <v>505</v>
      </c>
      <c r="D199" s="19" t="s">
        <v>506</v>
      </c>
      <c r="E199" s="20" t="s">
        <v>39</v>
      </c>
      <c r="F199" s="21">
        <v>1965</v>
      </c>
      <c r="G199" s="40">
        <v>2021</v>
      </c>
      <c r="H199" s="23">
        <v>1007286825845</v>
      </c>
      <c r="I199" s="23">
        <v>1237590720142</v>
      </c>
      <c r="J199" s="23">
        <v>484245450773</v>
      </c>
      <c r="K199" s="23">
        <f>(J199+570433329711)/2</f>
        <v>527339390242</v>
      </c>
      <c r="L199" s="23">
        <v>479078850773</v>
      </c>
      <c r="M199" s="23">
        <v>753345269369</v>
      </c>
      <c r="N199" s="23">
        <v>1609495349224</v>
      </c>
      <c r="O199" s="25">
        <f t="shared" si="0"/>
        <v>528207975072</v>
      </c>
      <c r="P199" s="23">
        <v>71390002060</v>
      </c>
      <c r="Q199" s="23">
        <f>25876254960+66076396117</f>
        <v>91952651077</v>
      </c>
      <c r="R199" s="25">
        <f t="shared" si="1"/>
        <v>1517542698147</v>
      </c>
      <c r="S199" s="26">
        <f t="shared" si="2"/>
        <v>0.39128077068761319</v>
      </c>
      <c r="T199" s="27">
        <f t="shared" si="3"/>
        <v>2.1025491403340588</v>
      </c>
      <c r="U199" s="26">
        <f t="shared" si="4"/>
        <v>27.844187637907925</v>
      </c>
      <c r="V199" s="26">
        <f t="shared" si="5"/>
        <v>3.052105302593441</v>
      </c>
      <c r="W199" s="83" t="s">
        <v>507</v>
      </c>
      <c r="X199" s="29">
        <v>14890</v>
      </c>
      <c r="Y199" s="83">
        <v>7642</v>
      </c>
      <c r="Z199" s="30">
        <f t="shared" si="6"/>
        <v>113789380</v>
      </c>
      <c r="AA199" s="31">
        <f t="shared" si="7"/>
        <v>56</v>
      </c>
      <c r="AB199" s="32">
        <v>1.84E-2</v>
      </c>
      <c r="AC199" s="32">
        <v>2.58E-2</v>
      </c>
      <c r="AD199" s="33">
        <f t="shared" si="8"/>
        <v>0.42680343870984577</v>
      </c>
      <c r="AE199" s="34">
        <f t="shared" si="9"/>
        <v>5.7684661736804858E-2</v>
      </c>
      <c r="AF199" s="33">
        <f t="shared" si="10"/>
        <v>1.2262072375372033</v>
      </c>
      <c r="AG199" s="33">
        <f t="shared" si="11"/>
        <v>2.349828580079756E-4</v>
      </c>
      <c r="AH199" s="35">
        <f t="shared" si="12"/>
        <v>3.3237180579699115</v>
      </c>
      <c r="AI199" s="36">
        <f t="shared" si="13"/>
        <v>7.963265584440828</v>
      </c>
      <c r="AJ199" s="23"/>
      <c r="AK199" s="23"/>
      <c r="AL199" s="44"/>
      <c r="AM199" s="44"/>
      <c r="AN199" s="44"/>
      <c r="AO199" s="44"/>
      <c r="AP199" s="44"/>
      <c r="AQ199" s="44"/>
      <c r="AR199" s="44"/>
    </row>
    <row r="200" spans="1:44" ht="16.8">
      <c r="A200" s="17" t="s">
        <v>508</v>
      </c>
      <c r="B200" s="18"/>
      <c r="C200" s="1" t="s">
        <v>505</v>
      </c>
      <c r="D200" s="19" t="s">
        <v>506</v>
      </c>
      <c r="E200" s="20" t="s">
        <v>39</v>
      </c>
      <c r="F200" s="21">
        <v>1965</v>
      </c>
      <c r="G200" s="40">
        <v>2022</v>
      </c>
      <c r="H200" s="23">
        <v>1010937094412</v>
      </c>
      <c r="I200" s="23">
        <v>1469502270857</v>
      </c>
      <c r="J200" s="23">
        <v>670661661901</v>
      </c>
      <c r="K200" s="23">
        <f t="shared" ref="K200:K201" si="50">(J200+J199)/2</f>
        <v>577453556337</v>
      </c>
      <c r="L200" s="23">
        <v>563142547244</v>
      </c>
      <c r="M200" s="23">
        <v>798840658956</v>
      </c>
      <c r="N200" s="23">
        <v>1837469503390</v>
      </c>
      <c r="O200" s="25">
        <f t="shared" si="0"/>
        <v>447794547168</v>
      </c>
      <c r="P200" s="23">
        <v>98964494295</v>
      </c>
      <c r="Q200" s="23">
        <f>23611608588+61194688833</f>
        <v>84806297421</v>
      </c>
      <c r="R200" s="25">
        <f t="shared" si="1"/>
        <v>1752663205969</v>
      </c>
      <c r="S200" s="26">
        <f t="shared" si="2"/>
        <v>0.45638695169206944</v>
      </c>
      <c r="T200" s="27">
        <f t="shared" si="3"/>
        <v>1.7951708663454589</v>
      </c>
      <c r="U200" s="26">
        <f t="shared" si="4"/>
        <v>28.015944868130489</v>
      </c>
      <c r="V200" s="26">
        <f t="shared" si="5"/>
        <v>3.1820212781193069</v>
      </c>
      <c r="W200" s="83" t="s">
        <v>509</v>
      </c>
      <c r="X200" s="29">
        <v>13510</v>
      </c>
      <c r="Y200" s="83">
        <v>3500</v>
      </c>
      <c r="Z200" s="30">
        <f t="shared" si="6"/>
        <v>47285000</v>
      </c>
      <c r="AA200" s="31">
        <f t="shared" si="7"/>
        <v>57</v>
      </c>
      <c r="AB200" s="32">
        <v>3.15E-2</v>
      </c>
      <c r="AC200" s="32">
        <v>8.0199999999999994E-2</v>
      </c>
      <c r="AD200" s="33">
        <f t="shared" si="8"/>
        <v>0.30472531825816807</v>
      </c>
      <c r="AE200" s="34">
        <f t="shared" si="9"/>
        <v>6.7345587861721942E-2</v>
      </c>
      <c r="AF200" s="33">
        <f t="shared" si="10"/>
        <v>1.1926917302052642</v>
      </c>
      <c r="AG200" s="33">
        <f t="shared" si="11"/>
        <v>7.0504999295725352E-5</v>
      </c>
      <c r="AH200" s="35">
        <f t="shared" si="12"/>
        <v>2.7397861064275935</v>
      </c>
      <c r="AI200" s="36">
        <f t="shared" si="13"/>
        <v>7.1356653240207546</v>
      </c>
      <c r="AJ200" s="23"/>
      <c r="AK200" s="23"/>
      <c r="AL200" s="44"/>
      <c r="AM200" s="44"/>
      <c r="AN200" s="44"/>
      <c r="AO200" s="44"/>
      <c r="AP200" s="44"/>
      <c r="AQ200" s="44"/>
      <c r="AR200" s="44"/>
    </row>
    <row r="201" spans="1:44" ht="16.8">
      <c r="A201" s="17" t="s">
        <v>510</v>
      </c>
      <c r="B201" s="18"/>
      <c r="C201" s="1" t="s">
        <v>505</v>
      </c>
      <c r="D201" s="19" t="s">
        <v>506</v>
      </c>
      <c r="E201" s="20" t="s">
        <v>39</v>
      </c>
      <c r="F201" s="21">
        <v>1965</v>
      </c>
      <c r="G201" s="40">
        <v>2023</v>
      </c>
      <c r="H201" s="23">
        <v>1008672591705</v>
      </c>
      <c r="I201" s="23">
        <v>1838264228175</v>
      </c>
      <c r="J201" s="23">
        <v>771114283113</v>
      </c>
      <c r="K201" s="23">
        <f t="shared" si="50"/>
        <v>720887972507</v>
      </c>
      <c r="L201" s="23">
        <v>595988193054</v>
      </c>
      <c r="M201" s="23">
        <v>1067149945062</v>
      </c>
      <c r="N201" s="23">
        <v>2000599327142</v>
      </c>
      <c r="O201" s="25">
        <f t="shared" si="0"/>
        <v>412684398651</v>
      </c>
      <c r="P201" s="23">
        <v>88961099592</v>
      </c>
      <c r="Q201" s="23">
        <f>27171762848+76943526555</f>
        <v>104115289403</v>
      </c>
      <c r="R201" s="25">
        <f t="shared" si="1"/>
        <v>1896484037739</v>
      </c>
      <c r="S201" s="26">
        <f t="shared" si="2"/>
        <v>0.41947956735172409</v>
      </c>
      <c r="T201" s="27">
        <f t="shared" si="3"/>
        <v>1.6924372050665917</v>
      </c>
      <c r="U201" s="26">
        <f t="shared" si="4"/>
        <v>28.239842888058067</v>
      </c>
      <c r="V201" s="26">
        <f t="shared" si="5"/>
        <v>2.7751875512426776</v>
      </c>
      <c r="W201" s="83" t="s">
        <v>511</v>
      </c>
      <c r="X201" s="29">
        <v>22370</v>
      </c>
      <c r="Y201" s="83">
        <v>131908</v>
      </c>
      <c r="Z201" s="30">
        <f t="shared" si="6"/>
        <v>2950781960</v>
      </c>
      <c r="AA201" s="31">
        <f t="shared" si="7"/>
        <v>58</v>
      </c>
      <c r="AB201" s="32">
        <v>3.2500000000000001E-2</v>
      </c>
      <c r="AC201" s="32">
        <v>5.0500000000000003E-2</v>
      </c>
      <c r="AD201" s="33">
        <f t="shared" si="8"/>
        <v>0.22449677925828249</v>
      </c>
      <c r="AE201" s="34">
        <f t="shared" si="9"/>
        <v>4.8394076449128964E-2</v>
      </c>
      <c r="AF201" s="33">
        <f t="shared" si="10"/>
        <v>1.0316710778960214</v>
      </c>
      <c r="AG201" s="33">
        <f t="shared" si="11"/>
        <v>3.826646743058174E-3</v>
      </c>
      <c r="AH201" s="35">
        <f t="shared" si="12"/>
        <v>2.5944264954677667</v>
      </c>
      <c r="AI201" s="36">
        <f t="shared" si="13"/>
        <v>6.3383848827091924</v>
      </c>
      <c r="AJ201" s="23"/>
      <c r="AK201" s="23"/>
      <c r="AL201" s="44"/>
      <c r="AM201" s="44"/>
      <c r="AN201" s="44"/>
      <c r="AO201" s="44"/>
      <c r="AP201" s="44"/>
      <c r="AQ201" s="44"/>
      <c r="AR201" s="44"/>
    </row>
    <row r="202" spans="1:44" ht="16.8">
      <c r="A202" s="17" t="s">
        <v>512</v>
      </c>
      <c r="B202" s="18">
        <v>77</v>
      </c>
      <c r="C202" s="1" t="s">
        <v>513</v>
      </c>
      <c r="D202" s="19" t="s">
        <v>514</v>
      </c>
      <c r="E202" s="20" t="s">
        <v>178</v>
      </c>
      <c r="F202" s="21">
        <v>1961</v>
      </c>
      <c r="G202" s="40">
        <v>2021</v>
      </c>
      <c r="H202" s="23">
        <v>328487316966</v>
      </c>
      <c r="I202" s="23">
        <v>448104814824</v>
      </c>
      <c r="J202" s="23">
        <v>320962484352</v>
      </c>
      <c r="K202" s="23">
        <f>(J202+295531862815)/2</f>
        <v>308247173583.5</v>
      </c>
      <c r="L202" s="23">
        <v>289891383102</v>
      </c>
      <c r="M202" s="23">
        <v>127442330472</v>
      </c>
      <c r="N202" s="23">
        <v>505272247348</v>
      </c>
      <c r="O202" s="25">
        <f t="shared" si="0"/>
        <v>38595933864</v>
      </c>
      <c r="P202" s="23">
        <v>3329781026</v>
      </c>
      <c r="Q202" s="23">
        <f>120366607015+24515110318</f>
        <v>144881717333</v>
      </c>
      <c r="R202" s="25">
        <f t="shared" si="1"/>
        <v>360390530015</v>
      </c>
      <c r="S202" s="26">
        <f t="shared" si="2"/>
        <v>0.71626653794841033</v>
      </c>
      <c r="T202" s="27">
        <f t="shared" si="3"/>
        <v>1.1331392932449453</v>
      </c>
      <c r="U202" s="26">
        <f t="shared" si="4"/>
        <v>26.82829300365735</v>
      </c>
      <c r="V202" s="26">
        <f t="shared" si="5"/>
        <v>1.6391788494733062</v>
      </c>
      <c r="W202" s="83" t="s">
        <v>515</v>
      </c>
      <c r="X202" s="86" t="e">
        <v>#VALUE!</v>
      </c>
      <c r="Y202" s="83" t="s">
        <v>515</v>
      </c>
      <c r="Z202" s="30" t="e">
        <f t="shared" si="6"/>
        <v>#VALUE!</v>
      </c>
      <c r="AA202" s="31">
        <f t="shared" si="7"/>
        <v>60</v>
      </c>
      <c r="AB202" s="32">
        <v>1.84E-2</v>
      </c>
      <c r="AC202" s="32">
        <v>2.58E-2</v>
      </c>
      <c r="AD202" s="33">
        <f t="shared" si="8"/>
        <v>8.6131486623635456E-2</v>
      </c>
      <c r="AE202" s="34">
        <f t="shared" si="9"/>
        <v>7.4308084087599509E-3</v>
      </c>
      <c r="AF202" s="33">
        <f t="shared" si="10"/>
        <v>0.80425498252356176</v>
      </c>
      <c r="AG202" s="33" t="e">
        <f t="shared" si="11"/>
        <v>#VALUE!</v>
      </c>
      <c r="AH202" s="35">
        <f t="shared" si="12"/>
        <v>1.5742408287003014</v>
      </c>
      <c r="AI202" s="36" t="e">
        <f t="shared" si="13"/>
        <v>#VALUE!</v>
      </c>
      <c r="AJ202" s="23"/>
      <c r="AK202" s="23"/>
      <c r="AL202" s="44"/>
      <c r="AM202" s="44"/>
      <c r="AN202" s="44"/>
      <c r="AO202" s="44"/>
      <c r="AP202" s="44"/>
      <c r="AQ202" s="44"/>
      <c r="AR202" s="44"/>
    </row>
    <row r="203" spans="1:44" ht="16.8">
      <c r="A203" s="17" t="s">
        <v>516</v>
      </c>
      <c r="B203" s="18"/>
      <c r="C203" s="1" t="s">
        <v>513</v>
      </c>
      <c r="D203" s="19" t="s">
        <v>514</v>
      </c>
      <c r="E203" s="20" t="s">
        <v>178</v>
      </c>
      <c r="F203" s="21">
        <v>1961</v>
      </c>
      <c r="G203" s="40">
        <v>2022</v>
      </c>
      <c r="H203" s="23">
        <v>313673190503</v>
      </c>
      <c r="I203" s="23">
        <v>420164007045</v>
      </c>
      <c r="J203" s="23">
        <v>292496746613</v>
      </c>
      <c r="K203" s="23">
        <f t="shared" ref="K203:K204" si="51">(J202+J203)/2</f>
        <v>306729615482.5</v>
      </c>
      <c r="L203" s="23">
        <v>292496746613</v>
      </c>
      <c r="M203" s="23">
        <v>127359450432</v>
      </c>
      <c r="N203" s="23">
        <v>581553776128</v>
      </c>
      <c r="O203" s="25">
        <f t="shared" si="0"/>
        <v>21176443890</v>
      </c>
      <c r="P203" s="23">
        <v>3554710986</v>
      </c>
      <c r="Q203" s="23">
        <f>146459591559+25447612893</f>
        <v>171907204452</v>
      </c>
      <c r="R203" s="25">
        <f t="shared" si="1"/>
        <v>409646571676</v>
      </c>
      <c r="S203" s="26">
        <f t="shared" si="2"/>
        <v>0.69614898398870539</v>
      </c>
      <c r="T203" s="27">
        <f t="shared" si="3"/>
        <v>1.0723989040398401</v>
      </c>
      <c r="U203" s="26">
        <f t="shared" si="4"/>
        <v>26.763910964965575</v>
      </c>
      <c r="V203" s="26">
        <f t="shared" si="5"/>
        <v>1.8959818249476457</v>
      </c>
      <c r="W203" s="83" t="s">
        <v>517</v>
      </c>
      <c r="X203" s="29">
        <v>12910</v>
      </c>
      <c r="Y203" s="83">
        <v>41</v>
      </c>
      <c r="Z203" s="30">
        <f t="shared" si="6"/>
        <v>529310</v>
      </c>
      <c r="AA203" s="31">
        <f t="shared" si="7"/>
        <v>61</v>
      </c>
      <c r="AB203" s="32">
        <v>3.15E-2</v>
      </c>
      <c r="AC203" s="32">
        <v>8.0199999999999994E-2</v>
      </c>
      <c r="AD203" s="33">
        <f t="shared" si="8"/>
        <v>5.0400423489230434E-2</v>
      </c>
      <c r="AE203" s="34">
        <f t="shared" si="9"/>
        <v>8.4602939004703621E-3</v>
      </c>
      <c r="AF203" s="33">
        <f t="shared" si="10"/>
        <v>0.97496826193426522</v>
      </c>
      <c r="AG203" s="33">
        <f t="shared" si="11"/>
        <v>1.8096269655276735E-6</v>
      </c>
      <c r="AH203" s="35">
        <f t="shared" si="12"/>
        <v>1.9882401526244973</v>
      </c>
      <c r="AI203" s="36">
        <f t="shared" si="13"/>
        <v>5.2779614224314866</v>
      </c>
      <c r="AJ203" s="23"/>
      <c r="AK203" s="23"/>
      <c r="AL203" s="44"/>
      <c r="AM203" s="44"/>
      <c r="AN203" s="44"/>
      <c r="AO203" s="44"/>
      <c r="AP203" s="44"/>
      <c r="AQ203" s="44"/>
      <c r="AR203" s="44"/>
    </row>
    <row r="204" spans="1:44" ht="16.8">
      <c r="A204" s="17" t="s">
        <v>518</v>
      </c>
      <c r="B204" s="18"/>
      <c r="C204" s="1" t="s">
        <v>513</v>
      </c>
      <c r="D204" s="19" t="s">
        <v>514</v>
      </c>
      <c r="E204" s="20" t="s">
        <v>178</v>
      </c>
      <c r="F204" s="21">
        <v>1961</v>
      </c>
      <c r="G204" s="40">
        <v>2023</v>
      </c>
      <c r="H204" s="23">
        <v>323514949822</v>
      </c>
      <c r="I204" s="23">
        <v>421698946876</v>
      </c>
      <c r="J204" s="23">
        <v>295178675852</v>
      </c>
      <c r="K204" s="23">
        <f t="shared" si="51"/>
        <v>293837711232.5</v>
      </c>
      <c r="L204" s="23">
        <v>295178675852</v>
      </c>
      <c r="M204" s="23">
        <v>126212461024</v>
      </c>
      <c r="N204" s="23">
        <v>527570652563</v>
      </c>
      <c r="O204" s="25">
        <f t="shared" si="0"/>
        <v>28336273970</v>
      </c>
      <c r="P204" s="23">
        <v>2407721578</v>
      </c>
      <c r="Q204" s="23">
        <f>129349536859+21772222369</f>
        <v>151121759228</v>
      </c>
      <c r="R204" s="25">
        <f t="shared" si="1"/>
        <v>376448893335</v>
      </c>
      <c r="S204" s="26">
        <f t="shared" si="2"/>
        <v>0.69997489450405692</v>
      </c>
      <c r="T204" s="27">
        <f t="shared" si="3"/>
        <v>1.0959970224414435</v>
      </c>
      <c r="U204" s="26">
        <f t="shared" si="4"/>
        <v>26.767557500365953</v>
      </c>
      <c r="V204" s="26">
        <f t="shared" si="5"/>
        <v>1.7954490945022306</v>
      </c>
      <c r="W204" s="83" t="s">
        <v>519</v>
      </c>
      <c r="X204" s="29">
        <v>13300</v>
      </c>
      <c r="Y204" s="83">
        <v>0</v>
      </c>
      <c r="Z204" s="30">
        <f t="shared" si="6"/>
        <v>0</v>
      </c>
      <c r="AA204" s="31">
        <f t="shared" si="7"/>
        <v>62</v>
      </c>
      <c r="AB204" s="32">
        <v>3.2500000000000001E-2</v>
      </c>
      <c r="AC204" s="32">
        <v>5.0500000000000003E-2</v>
      </c>
      <c r="AD204" s="33">
        <f t="shared" si="8"/>
        <v>6.7195505656152954E-2</v>
      </c>
      <c r="AE204" s="34">
        <f t="shared" si="9"/>
        <v>5.7095745574816132E-3</v>
      </c>
      <c r="AF204" s="33">
        <f t="shared" si="10"/>
        <v>0.89269583460850876</v>
      </c>
      <c r="AG204" s="33">
        <f t="shared" si="11"/>
        <v>0</v>
      </c>
      <c r="AH204" s="35">
        <f t="shared" si="12"/>
        <v>1.7872925645466318</v>
      </c>
      <c r="AI204" s="36">
        <f t="shared" si="13"/>
        <v>4.8218168299225681</v>
      </c>
      <c r="AJ204" s="23"/>
      <c r="AK204" s="23"/>
      <c r="AL204" s="44"/>
      <c r="AM204" s="44"/>
      <c r="AN204" s="44"/>
      <c r="AO204" s="44"/>
      <c r="AP204" s="44"/>
      <c r="AQ204" s="44"/>
      <c r="AR204" s="44"/>
    </row>
    <row r="205" spans="1:44" ht="16.8">
      <c r="A205" s="17" t="s">
        <v>520</v>
      </c>
      <c r="B205" s="18">
        <v>78</v>
      </c>
      <c r="C205" s="1" t="s">
        <v>521</v>
      </c>
      <c r="D205" s="19" t="s">
        <v>522</v>
      </c>
      <c r="E205" s="20" t="s">
        <v>178</v>
      </c>
      <c r="F205" s="21">
        <v>2004</v>
      </c>
      <c r="G205" s="40">
        <v>2021</v>
      </c>
      <c r="H205" s="23">
        <v>152294524146</v>
      </c>
      <c r="I205" s="23">
        <v>337990539453</v>
      </c>
      <c r="J205" s="23">
        <v>172289691072</v>
      </c>
      <c r="K205" s="23">
        <f>(J205+164967559218)/2</f>
        <v>168628625145</v>
      </c>
      <c r="L205" s="23">
        <v>159933691072</v>
      </c>
      <c r="M205" s="23">
        <v>165700848381</v>
      </c>
      <c r="N205" s="23">
        <v>245269585090</v>
      </c>
      <c r="O205" s="25">
        <f t="shared" si="0"/>
        <v>-7639166926</v>
      </c>
      <c r="P205" s="23">
        <v>820204605</v>
      </c>
      <c r="Q205" s="23">
        <f>3342126386+8461262171</f>
        <v>11803388557</v>
      </c>
      <c r="R205" s="25">
        <f t="shared" si="1"/>
        <v>233466196533</v>
      </c>
      <c r="S205" s="26">
        <f t="shared" si="2"/>
        <v>0.50974708153320403</v>
      </c>
      <c r="T205" s="27">
        <f t="shared" si="3"/>
        <v>0.95223541159591607</v>
      </c>
      <c r="U205" s="26">
        <f t="shared" si="4"/>
        <v>26.546283742253685</v>
      </c>
      <c r="V205" s="26">
        <f t="shared" si="5"/>
        <v>1.4544955512689388</v>
      </c>
      <c r="W205" s="83" t="s">
        <v>523</v>
      </c>
      <c r="X205" s="29">
        <v>13530</v>
      </c>
      <c r="Y205" s="83">
        <v>71300</v>
      </c>
      <c r="Z205" s="30">
        <f t="shared" si="6"/>
        <v>964689000</v>
      </c>
      <c r="AA205" s="31">
        <f t="shared" si="7"/>
        <v>17</v>
      </c>
      <c r="AB205" s="32">
        <v>1.84E-2</v>
      </c>
      <c r="AC205" s="32">
        <v>2.58E-2</v>
      </c>
      <c r="AD205" s="33">
        <f t="shared" si="8"/>
        <v>-2.2601718197092557E-2</v>
      </c>
      <c r="AE205" s="34">
        <f t="shared" si="9"/>
        <v>2.4267087662495218E-3</v>
      </c>
      <c r="AF205" s="33">
        <f t="shared" si="10"/>
        <v>0.6907477259891327</v>
      </c>
      <c r="AG205" s="33">
        <f t="shared" si="11"/>
        <v>5.5992264772060894E-3</v>
      </c>
      <c r="AH205" s="35">
        <f t="shared" si="12"/>
        <v>1.4235882806679456</v>
      </c>
      <c r="AI205" s="36">
        <f t="shared" si="13"/>
        <v>3.6826906427546451</v>
      </c>
      <c r="AJ205" s="23"/>
      <c r="AK205" s="23"/>
      <c r="AL205" s="44"/>
      <c r="AM205" s="44"/>
      <c r="AN205" s="44"/>
      <c r="AO205" s="44"/>
      <c r="AP205" s="44"/>
      <c r="AQ205" s="44"/>
      <c r="AR205" s="44"/>
    </row>
    <row r="206" spans="1:44" ht="16.8">
      <c r="A206" s="17" t="s">
        <v>524</v>
      </c>
      <c r="B206" s="18"/>
      <c r="C206" s="1" t="s">
        <v>521</v>
      </c>
      <c r="D206" s="19" t="s">
        <v>522</v>
      </c>
      <c r="E206" s="20" t="s">
        <v>178</v>
      </c>
      <c r="F206" s="21">
        <v>2004</v>
      </c>
      <c r="G206" s="40">
        <v>2022</v>
      </c>
      <c r="H206" s="23">
        <v>212905886376</v>
      </c>
      <c r="I206" s="23">
        <v>387693354761</v>
      </c>
      <c r="J206" s="23">
        <v>204528638531</v>
      </c>
      <c r="K206" s="23">
        <f t="shared" ref="K206:K207" si="52">(J205+J206)/2</f>
        <v>188409164801.5</v>
      </c>
      <c r="L206" s="23">
        <v>191055638531</v>
      </c>
      <c r="M206" s="23">
        <v>183164716230</v>
      </c>
      <c r="N206" s="23">
        <v>352726951793</v>
      </c>
      <c r="O206" s="25">
        <f t="shared" si="0"/>
        <v>21850247845</v>
      </c>
      <c r="P206" s="23">
        <v>473147849</v>
      </c>
      <c r="Q206" s="23">
        <f>4764530710+11027052639</f>
        <v>15791583349</v>
      </c>
      <c r="R206" s="25">
        <f t="shared" si="1"/>
        <v>336935368444</v>
      </c>
      <c r="S206" s="26">
        <f t="shared" si="2"/>
        <v>0.52755260315742336</v>
      </c>
      <c r="T206" s="27">
        <f t="shared" si="3"/>
        <v>1.1143658884553393</v>
      </c>
      <c r="U206" s="26">
        <f t="shared" si="4"/>
        <v>26.683480541319064</v>
      </c>
      <c r="V206" s="26">
        <f t="shared" si="5"/>
        <v>1.87213266490841</v>
      </c>
      <c r="W206" s="83" t="s">
        <v>525</v>
      </c>
      <c r="X206" s="29">
        <v>3400</v>
      </c>
      <c r="Y206" s="83">
        <v>1700</v>
      </c>
      <c r="Z206" s="30">
        <f t="shared" si="6"/>
        <v>5780000</v>
      </c>
      <c r="AA206" s="31">
        <f t="shared" si="7"/>
        <v>18</v>
      </c>
      <c r="AB206" s="32">
        <v>3.15E-2</v>
      </c>
      <c r="AC206" s="32">
        <v>8.0199999999999994E-2</v>
      </c>
      <c r="AD206" s="33">
        <f t="shared" si="8"/>
        <v>5.6359614052373809E-2</v>
      </c>
      <c r="AE206" s="34">
        <f t="shared" si="9"/>
        <v>1.2204177430167197E-3</v>
      </c>
      <c r="AF206" s="33">
        <f t="shared" si="10"/>
        <v>0.86907697618833157</v>
      </c>
      <c r="AG206" s="33">
        <f t="shared" si="11"/>
        <v>2.8260101086645314E-5</v>
      </c>
      <c r="AH206" s="35">
        <f t="shared" si="12"/>
        <v>1.7245846563416001</v>
      </c>
      <c r="AI206" s="36">
        <f t="shared" si="13"/>
        <v>4.6618957555268183</v>
      </c>
      <c r="AJ206" s="23"/>
      <c r="AK206" s="23"/>
      <c r="AL206" s="44"/>
      <c r="AM206" s="44"/>
      <c r="AN206" s="44"/>
      <c r="AO206" s="44"/>
      <c r="AP206" s="44"/>
      <c r="AQ206" s="44"/>
      <c r="AR206" s="44"/>
    </row>
    <row r="207" spans="1:44" ht="16.8">
      <c r="A207" s="17" t="s">
        <v>526</v>
      </c>
      <c r="B207" s="18"/>
      <c r="C207" s="1" t="s">
        <v>521</v>
      </c>
      <c r="D207" s="19" t="s">
        <v>522</v>
      </c>
      <c r="E207" s="20" t="s">
        <v>178</v>
      </c>
      <c r="F207" s="21">
        <v>2004</v>
      </c>
      <c r="G207" s="40">
        <v>2023</v>
      </c>
      <c r="H207" s="23">
        <v>75232099551</v>
      </c>
      <c r="I207" s="23">
        <v>336232256100</v>
      </c>
      <c r="J207" s="23">
        <v>152794912310</v>
      </c>
      <c r="K207" s="23">
        <f t="shared" si="52"/>
        <v>178661775420.5</v>
      </c>
      <c r="L207" s="23">
        <v>123694912310</v>
      </c>
      <c r="M207" s="23">
        <v>183437343790</v>
      </c>
      <c r="N207" s="23">
        <v>227416474050</v>
      </c>
      <c r="O207" s="25">
        <f t="shared" si="0"/>
        <v>-48462812759</v>
      </c>
      <c r="P207" s="23">
        <v>272627560</v>
      </c>
      <c r="Q207" s="23">
        <f>936650525+10702853151</f>
        <v>11639503676</v>
      </c>
      <c r="R207" s="25">
        <f t="shared" si="1"/>
        <v>215776970374</v>
      </c>
      <c r="S207" s="26">
        <f t="shared" si="2"/>
        <v>0.45443264153858198</v>
      </c>
      <c r="T207" s="27">
        <f t="shared" si="3"/>
        <v>0.60820690314615256</v>
      </c>
      <c r="U207" s="26">
        <f t="shared" si="4"/>
        <v>26.541067996507252</v>
      </c>
      <c r="V207" s="26">
        <f t="shared" si="5"/>
        <v>1.2728882466031164</v>
      </c>
      <c r="W207" s="83" t="s">
        <v>527</v>
      </c>
      <c r="X207" s="29">
        <v>4000</v>
      </c>
      <c r="Y207" s="83">
        <v>1100</v>
      </c>
      <c r="Z207" s="30">
        <f t="shared" si="6"/>
        <v>4400000</v>
      </c>
      <c r="AA207" s="31">
        <f t="shared" si="7"/>
        <v>19</v>
      </c>
      <c r="AB207" s="32">
        <v>3.2500000000000001E-2</v>
      </c>
      <c r="AC207" s="32">
        <v>5.0500000000000003E-2</v>
      </c>
      <c r="AD207" s="33">
        <f t="shared" si="8"/>
        <v>-0.14413493018524226</v>
      </c>
      <c r="AE207" s="34">
        <f t="shared" si="9"/>
        <v>8.1083107005330531E-4</v>
      </c>
      <c r="AF207" s="33">
        <f t="shared" si="10"/>
        <v>0.64174976213413926</v>
      </c>
      <c r="AG207" s="33">
        <f t="shared" si="11"/>
        <v>2.879677034712387E-5</v>
      </c>
      <c r="AH207" s="35">
        <f t="shared" si="12"/>
        <v>1.4883772673569329</v>
      </c>
      <c r="AI207" s="36">
        <f t="shared" si="13"/>
        <v>3.4343420077375848</v>
      </c>
      <c r="AJ207" s="23"/>
      <c r="AK207" s="23"/>
      <c r="AL207" s="44"/>
      <c r="AM207" s="44"/>
      <c r="AN207" s="44"/>
      <c r="AO207" s="44"/>
      <c r="AP207" s="44"/>
      <c r="AQ207" s="44"/>
      <c r="AR207" s="44"/>
    </row>
    <row r="208" spans="1:44" ht="16.8">
      <c r="A208" s="17" t="s">
        <v>528</v>
      </c>
      <c r="B208" s="18">
        <v>79</v>
      </c>
      <c r="C208" s="1" t="s">
        <v>529</v>
      </c>
      <c r="D208" s="19" t="s">
        <v>530</v>
      </c>
      <c r="E208" s="20" t="s">
        <v>39</v>
      </c>
      <c r="F208" s="21">
        <v>1979</v>
      </c>
      <c r="G208" s="40">
        <v>2021</v>
      </c>
      <c r="H208" s="23">
        <v>876200212184</v>
      </c>
      <c r="I208" s="23">
        <v>883836389857</v>
      </c>
      <c r="J208" s="23">
        <v>793276853617</v>
      </c>
      <c r="K208" s="23">
        <f>(J208+294331758444)/2</f>
        <v>543804306030.5</v>
      </c>
      <c r="L208" s="23">
        <v>764166853617</v>
      </c>
      <c r="M208" s="23">
        <v>90559536240</v>
      </c>
      <c r="N208" s="23">
        <v>173996441169</v>
      </c>
      <c r="O208" s="25">
        <f t="shared" si="0"/>
        <v>112033358567</v>
      </c>
      <c r="P208" s="23">
        <v>1085827533</v>
      </c>
      <c r="Q208" s="23">
        <f>61933700+5332149164</f>
        <v>5394082864</v>
      </c>
      <c r="R208" s="25">
        <f t="shared" si="1"/>
        <v>168602358305</v>
      </c>
      <c r="S208" s="26">
        <f t="shared" si="2"/>
        <v>0.89753812212387851</v>
      </c>
      <c r="T208" s="27">
        <f t="shared" si="3"/>
        <v>1.1466085031517881</v>
      </c>
      <c r="U208" s="26">
        <f t="shared" si="4"/>
        <v>27.507537803107475</v>
      </c>
      <c r="V208" s="26">
        <f t="shared" si="5"/>
        <v>0.31996149945756625</v>
      </c>
      <c r="W208" s="83" t="s">
        <v>531</v>
      </c>
      <c r="X208" s="29">
        <v>49020</v>
      </c>
      <c r="Y208" s="83">
        <v>25870</v>
      </c>
      <c r="Z208" s="30">
        <f t="shared" si="6"/>
        <v>1268147400</v>
      </c>
      <c r="AA208" s="31">
        <f t="shared" si="7"/>
        <v>42</v>
      </c>
      <c r="AB208" s="32">
        <v>1.84E-2</v>
      </c>
      <c r="AC208" s="32">
        <v>2.58E-2</v>
      </c>
      <c r="AD208" s="33">
        <f t="shared" si="8"/>
        <v>0.12675802880794079</v>
      </c>
      <c r="AE208" s="34">
        <f t="shared" si="9"/>
        <v>1.2285390661224992E-3</v>
      </c>
      <c r="AF208" s="33">
        <f t="shared" si="10"/>
        <v>0.19076195576454932</v>
      </c>
      <c r="AG208" s="33">
        <f t="shared" si="11"/>
        <v>1.5986189364000669E-3</v>
      </c>
      <c r="AH208" s="35">
        <f t="shared" si="12"/>
        <v>0.21933886054490478</v>
      </c>
      <c r="AI208" s="36">
        <f t="shared" si="13"/>
        <v>1.003642075191858</v>
      </c>
      <c r="AJ208" s="23"/>
      <c r="AK208" s="23"/>
      <c r="AL208" s="44"/>
      <c r="AM208" s="44"/>
      <c r="AN208" s="44"/>
      <c r="AO208" s="44"/>
      <c r="AP208" s="44"/>
      <c r="AQ208" s="44"/>
      <c r="AR208" s="44"/>
    </row>
    <row r="209" spans="1:44" ht="16.8">
      <c r="A209" s="17" t="s">
        <v>532</v>
      </c>
      <c r="B209" s="18"/>
      <c r="C209" s="1" t="s">
        <v>529</v>
      </c>
      <c r="D209" s="19" t="s">
        <v>530</v>
      </c>
      <c r="E209" s="20" t="s">
        <v>39</v>
      </c>
      <c r="F209" s="21">
        <v>1979</v>
      </c>
      <c r="G209" s="40">
        <v>2022</v>
      </c>
      <c r="H209" s="23">
        <v>913717975171</v>
      </c>
      <c r="I209" s="23">
        <v>919906727087</v>
      </c>
      <c r="J209" s="23">
        <v>824004322695</v>
      </c>
      <c r="K209" s="23">
        <f t="shared" ref="K209:K210" si="53">(J208+J209)/2</f>
        <v>808640588156</v>
      </c>
      <c r="L209" s="23">
        <v>782374322695</v>
      </c>
      <c r="M209" s="23">
        <v>95902404392</v>
      </c>
      <c r="N209" s="23">
        <v>175777565531</v>
      </c>
      <c r="O209" s="25">
        <f t="shared" si="0"/>
        <v>131343652476</v>
      </c>
      <c r="P209" s="23">
        <v>6042477105</v>
      </c>
      <c r="Q209" s="23">
        <f>78512352+7254059142</f>
        <v>7332571494</v>
      </c>
      <c r="R209" s="25">
        <f t="shared" si="1"/>
        <v>168444994037</v>
      </c>
      <c r="S209" s="26">
        <f t="shared" si="2"/>
        <v>0.89574768662070015</v>
      </c>
      <c r="T209" s="27">
        <f t="shared" si="3"/>
        <v>1.1678782759939872</v>
      </c>
      <c r="U209" s="26">
        <f t="shared" si="4"/>
        <v>27.547538118248745</v>
      </c>
      <c r="V209" s="26">
        <f t="shared" si="5"/>
        <v>0.21737415621424339</v>
      </c>
      <c r="W209" s="83" t="s">
        <v>533</v>
      </c>
      <c r="X209" s="29">
        <v>21870</v>
      </c>
      <c r="Y209" s="83">
        <v>8600</v>
      </c>
      <c r="Z209" s="30">
        <f t="shared" si="6"/>
        <v>188082000</v>
      </c>
      <c r="AA209" s="31">
        <f t="shared" si="7"/>
        <v>43</v>
      </c>
      <c r="AB209" s="32">
        <v>3.15E-2</v>
      </c>
      <c r="AC209" s="32">
        <v>8.0199999999999994E-2</v>
      </c>
      <c r="AD209" s="33">
        <f t="shared" si="8"/>
        <v>0.14277931512895459</v>
      </c>
      <c r="AE209" s="34">
        <f t="shared" si="9"/>
        <v>6.568575842612067E-3</v>
      </c>
      <c r="AF209" s="33">
        <f t="shared" si="10"/>
        <v>0.18311094927026156</v>
      </c>
      <c r="AG209" s="33">
        <f t="shared" si="11"/>
        <v>2.2825365695274073E-4</v>
      </c>
      <c r="AH209" s="35">
        <f t="shared" si="12"/>
        <v>0.21332116918525312</v>
      </c>
      <c r="AI209" s="36">
        <f t="shared" si="13"/>
        <v>0.9982554383056903</v>
      </c>
      <c r="AJ209" s="23"/>
      <c r="AK209" s="23"/>
      <c r="AL209" s="44"/>
      <c r="AM209" s="44"/>
      <c r="AN209" s="44"/>
      <c r="AO209" s="44"/>
      <c r="AP209" s="44"/>
      <c r="AQ209" s="44"/>
      <c r="AR209" s="44"/>
    </row>
    <row r="210" spans="1:44" ht="16.8">
      <c r="A210" s="17" t="s">
        <v>534</v>
      </c>
      <c r="B210" s="18"/>
      <c r="C210" s="1" t="s">
        <v>529</v>
      </c>
      <c r="D210" s="19" t="s">
        <v>530</v>
      </c>
      <c r="E210" s="20" t="s">
        <v>39</v>
      </c>
      <c r="F210" s="21">
        <v>1979</v>
      </c>
      <c r="G210" s="40">
        <v>2023</v>
      </c>
      <c r="H210" s="23">
        <v>771105040612</v>
      </c>
      <c r="I210" s="23">
        <v>776024782066</v>
      </c>
      <c r="J210" s="23">
        <v>670189116266</v>
      </c>
      <c r="K210" s="23">
        <f t="shared" si="53"/>
        <v>747096719480.5</v>
      </c>
      <c r="L210" s="23">
        <v>375192316266</v>
      </c>
      <c r="M210" s="23">
        <v>105835665800</v>
      </c>
      <c r="N210" s="23">
        <v>290916836128</v>
      </c>
      <c r="O210" s="25">
        <f t="shared" si="0"/>
        <v>395912724346</v>
      </c>
      <c r="P210" s="23">
        <v>14083666318</v>
      </c>
      <c r="Q210" s="23">
        <f>18687237565+12828076940</f>
        <v>31515314505</v>
      </c>
      <c r="R210" s="25">
        <f t="shared" si="1"/>
        <v>259401521623</v>
      </c>
      <c r="S210" s="26">
        <f t="shared" si="2"/>
        <v>0.86361818817404878</v>
      </c>
      <c r="T210" s="27">
        <f t="shared" si="3"/>
        <v>2.055226099207506</v>
      </c>
      <c r="U210" s="26">
        <f t="shared" si="4"/>
        <v>27.37745029227176</v>
      </c>
      <c r="V210" s="26">
        <f t="shared" si="5"/>
        <v>0.38939648447431474</v>
      </c>
      <c r="W210" s="83" t="s">
        <v>535</v>
      </c>
      <c r="X210" s="29">
        <v>22000</v>
      </c>
      <c r="Y210" s="83">
        <v>11241</v>
      </c>
      <c r="Z210" s="30">
        <f t="shared" si="6"/>
        <v>247302000</v>
      </c>
      <c r="AA210" s="31">
        <f t="shared" si="7"/>
        <v>44</v>
      </c>
      <c r="AB210" s="32">
        <v>3.2500000000000001E-2</v>
      </c>
      <c r="AC210" s="32">
        <v>5.0500000000000003E-2</v>
      </c>
      <c r="AD210" s="33">
        <f t="shared" si="8"/>
        <v>0.51018051677675424</v>
      </c>
      <c r="AE210" s="34">
        <f t="shared" si="9"/>
        <v>1.8148474950123693E-2</v>
      </c>
      <c r="AF210" s="33">
        <f t="shared" si="10"/>
        <v>0.33426963625104722</v>
      </c>
      <c r="AG210" s="33">
        <f t="shared" si="11"/>
        <v>3.6900330667537299E-4</v>
      </c>
      <c r="AH210" s="35">
        <f t="shared" si="12"/>
        <v>0.43408170778549954</v>
      </c>
      <c r="AI210" s="36">
        <f t="shared" si="13"/>
        <v>2.1750173944602387</v>
      </c>
      <c r="AJ210" s="23"/>
      <c r="AK210" s="23"/>
      <c r="AL210" s="44"/>
      <c r="AM210" s="44"/>
      <c r="AN210" s="44"/>
      <c r="AO210" s="44"/>
      <c r="AP210" s="44"/>
      <c r="AQ210" s="44"/>
      <c r="AR210" s="44"/>
    </row>
    <row r="211" spans="1:44" ht="16.8">
      <c r="A211" s="17" t="s">
        <v>536</v>
      </c>
      <c r="B211" s="18">
        <v>80</v>
      </c>
      <c r="C211" s="1" t="s">
        <v>537</v>
      </c>
      <c r="D211" s="19" t="s">
        <v>538</v>
      </c>
      <c r="E211" s="20" t="s">
        <v>39</v>
      </c>
      <c r="F211" s="21">
        <v>2007</v>
      </c>
      <c r="G211" s="40">
        <v>2021</v>
      </c>
      <c r="H211" s="23">
        <v>725587989302</v>
      </c>
      <c r="I211" s="23">
        <v>2010699332564</v>
      </c>
      <c r="J211" s="23">
        <v>859113759960</v>
      </c>
      <c r="K211" s="23">
        <f>(J211+221019358174)/2</f>
        <v>540066559067</v>
      </c>
      <c r="L211" s="23">
        <v>498913759960</v>
      </c>
      <c r="M211" s="23">
        <v>1151585572604</v>
      </c>
      <c r="N211" s="23">
        <v>100694340695</v>
      </c>
      <c r="O211" s="25">
        <f t="shared" si="0"/>
        <v>226674229342</v>
      </c>
      <c r="P211" s="23">
        <v>45416966469</v>
      </c>
      <c r="Q211" s="23">
        <f>937314637+1761183532</f>
        <v>2698498169</v>
      </c>
      <c r="R211" s="25">
        <f t="shared" si="1"/>
        <v>97995842526</v>
      </c>
      <c r="S211" s="26">
        <f t="shared" si="2"/>
        <v>0.4272711220650165</v>
      </c>
      <c r="T211" s="27">
        <f t="shared" si="3"/>
        <v>1.4543354934932511</v>
      </c>
      <c r="U211" s="26">
        <f t="shared" si="4"/>
        <v>28.329503704135849</v>
      </c>
      <c r="V211" s="26">
        <f t="shared" si="5"/>
        <v>0.18644802016432196</v>
      </c>
      <c r="W211" s="83" t="s">
        <v>221</v>
      </c>
      <c r="X211" s="29">
        <v>13910</v>
      </c>
      <c r="Y211" s="83">
        <v>1756619</v>
      </c>
      <c r="Z211" s="30">
        <f t="shared" si="6"/>
        <v>24434570290</v>
      </c>
      <c r="AA211" s="31">
        <f t="shared" si="7"/>
        <v>14</v>
      </c>
      <c r="AB211" s="32">
        <v>1.84E-2</v>
      </c>
      <c r="AC211" s="32">
        <v>2.58E-2</v>
      </c>
      <c r="AD211" s="33">
        <f t="shared" si="8"/>
        <v>0.11273402525724717</v>
      </c>
      <c r="AE211" s="34">
        <f t="shared" si="9"/>
        <v>2.2587646861694271E-2</v>
      </c>
      <c r="AF211" s="33">
        <f t="shared" si="10"/>
        <v>4.8737193542028899E-2</v>
      </c>
      <c r="AG211" s="33">
        <f t="shared" si="11"/>
        <v>2.8441600436172346E-2</v>
      </c>
      <c r="AH211" s="35">
        <f t="shared" si="12"/>
        <v>0.11720722608340983</v>
      </c>
      <c r="AI211" s="36">
        <f t="shared" si="13"/>
        <v>0.46200846094887715</v>
      </c>
      <c r="AJ211" s="23"/>
      <c r="AK211" s="23"/>
      <c r="AL211" s="44"/>
      <c r="AM211" s="44"/>
      <c r="AN211" s="44"/>
      <c r="AO211" s="44"/>
      <c r="AP211" s="44"/>
      <c r="AQ211" s="44"/>
      <c r="AR211" s="44"/>
    </row>
    <row r="212" spans="1:44" ht="16.8">
      <c r="A212" s="17" t="s">
        <v>539</v>
      </c>
      <c r="B212" s="18"/>
      <c r="C212" s="1" t="s">
        <v>537</v>
      </c>
      <c r="D212" s="19" t="s">
        <v>538</v>
      </c>
      <c r="E212" s="20" t="s">
        <v>39</v>
      </c>
      <c r="F212" s="21">
        <v>2007</v>
      </c>
      <c r="G212" s="40">
        <v>2022</v>
      </c>
      <c r="H212" s="23">
        <v>715883204508</v>
      </c>
      <c r="I212" s="23">
        <v>2936584114461</v>
      </c>
      <c r="J212" s="23">
        <v>1609615576422</v>
      </c>
      <c r="K212" s="23">
        <f t="shared" ref="K212:K213" si="54">(J211+J212)/2</f>
        <v>1234364668191</v>
      </c>
      <c r="L212" s="23">
        <v>598904952382</v>
      </c>
      <c r="M212" s="23">
        <v>1326968538039</v>
      </c>
      <c r="N212" s="23">
        <v>279285104532</v>
      </c>
      <c r="O212" s="25">
        <f t="shared" si="0"/>
        <v>116978252126</v>
      </c>
      <c r="P212" s="23">
        <v>66872289676</v>
      </c>
      <c r="Q212" s="23">
        <f>1480396089+26223747337</f>
        <v>27704143426</v>
      </c>
      <c r="R212" s="25">
        <f t="shared" si="1"/>
        <v>251580961106</v>
      </c>
      <c r="S212" s="26">
        <f t="shared" si="2"/>
        <v>0.54812513916954131</v>
      </c>
      <c r="T212" s="27">
        <f t="shared" si="3"/>
        <v>1.1953202284615401</v>
      </c>
      <c r="U212" s="26">
        <f t="shared" si="4"/>
        <v>28.708268155960173</v>
      </c>
      <c r="V212" s="26">
        <f t="shared" si="5"/>
        <v>0.22625818101331518</v>
      </c>
      <c r="W212" s="83" t="s">
        <v>540</v>
      </c>
      <c r="X212" s="29">
        <v>3000</v>
      </c>
      <c r="Y212" s="83">
        <v>184155</v>
      </c>
      <c r="Z212" s="30">
        <f t="shared" si="6"/>
        <v>552465000</v>
      </c>
      <c r="AA212" s="31">
        <f t="shared" si="7"/>
        <v>15</v>
      </c>
      <c r="AB212" s="32">
        <v>3.15E-2</v>
      </c>
      <c r="AC212" s="32">
        <v>8.0199999999999994E-2</v>
      </c>
      <c r="AD212" s="33">
        <f t="shared" si="8"/>
        <v>3.9834803828689563E-2</v>
      </c>
      <c r="AE212" s="34">
        <f t="shared" si="9"/>
        <v>2.2772134925981572E-2</v>
      </c>
      <c r="AF212" s="33">
        <f t="shared" si="10"/>
        <v>8.5671294027338571E-2</v>
      </c>
      <c r="AG212" s="33">
        <f t="shared" si="11"/>
        <v>3.4322791608917548E-4</v>
      </c>
      <c r="AH212" s="35">
        <f t="shared" si="12"/>
        <v>0.17351043853142895</v>
      </c>
      <c r="AI212" s="36">
        <f t="shared" si="13"/>
        <v>0.53611439906210134</v>
      </c>
      <c r="AJ212" s="23"/>
      <c r="AK212" s="23"/>
      <c r="AL212" s="44"/>
      <c r="AM212" s="44"/>
      <c r="AN212" s="44"/>
      <c r="AO212" s="44"/>
      <c r="AP212" s="44"/>
      <c r="AQ212" s="44"/>
      <c r="AR212" s="44"/>
    </row>
    <row r="213" spans="1:44" ht="16.8">
      <c r="A213" s="17" t="s">
        <v>541</v>
      </c>
      <c r="B213" s="18"/>
      <c r="C213" s="1" t="s">
        <v>537</v>
      </c>
      <c r="D213" s="19" t="s">
        <v>538</v>
      </c>
      <c r="E213" s="20" t="s">
        <v>39</v>
      </c>
      <c r="F213" s="21">
        <v>2007</v>
      </c>
      <c r="G213" s="40">
        <v>2023</v>
      </c>
      <c r="H213" s="23">
        <v>681949610628</v>
      </c>
      <c r="I213" s="23">
        <v>2427205517826</v>
      </c>
      <c r="J213" s="23">
        <v>1029667399045</v>
      </c>
      <c r="K213" s="23">
        <f t="shared" si="54"/>
        <v>1319641487733.5</v>
      </c>
      <c r="L213" s="23">
        <v>339263343113</v>
      </c>
      <c r="M213" s="23">
        <v>1397538118781</v>
      </c>
      <c r="N213" s="23">
        <v>281272879044</v>
      </c>
      <c r="O213" s="25">
        <f t="shared" si="0"/>
        <v>342686267515</v>
      </c>
      <c r="P213" s="23">
        <v>70569580742</v>
      </c>
      <c r="Q213" s="23">
        <f>1272553559+29193312660</f>
        <v>30465866219</v>
      </c>
      <c r="R213" s="25">
        <f t="shared" si="1"/>
        <v>250807012825</v>
      </c>
      <c r="S213" s="26">
        <f t="shared" si="2"/>
        <v>0.42421928900658268</v>
      </c>
      <c r="T213" s="27">
        <f t="shared" si="3"/>
        <v>2.0100892845380582</v>
      </c>
      <c r="U213" s="26">
        <f t="shared" si="4"/>
        <v>28.517761718867856</v>
      </c>
      <c r="V213" s="26">
        <f t="shared" si="5"/>
        <v>0.21314340421889094</v>
      </c>
      <c r="W213" s="83" t="s">
        <v>542</v>
      </c>
      <c r="X213" s="29">
        <v>4200</v>
      </c>
      <c r="Y213" s="83">
        <v>375693</v>
      </c>
      <c r="Z213" s="30">
        <f t="shared" si="6"/>
        <v>1577910600</v>
      </c>
      <c r="AA213" s="31">
        <f t="shared" si="7"/>
        <v>16</v>
      </c>
      <c r="AB213" s="32">
        <v>3.2500000000000001E-2</v>
      </c>
      <c r="AC213" s="32">
        <v>5.0500000000000003E-2</v>
      </c>
      <c r="AD213" s="33">
        <f t="shared" si="8"/>
        <v>0.14118551766557341</v>
      </c>
      <c r="AE213" s="34">
        <f t="shared" si="9"/>
        <v>2.9074415093291225E-2</v>
      </c>
      <c r="AF213" s="33">
        <f t="shared" si="10"/>
        <v>0.10333159305341515</v>
      </c>
      <c r="AG213" s="33">
        <f t="shared" si="11"/>
        <v>1.5324468866970895E-3</v>
      </c>
      <c r="AH213" s="35">
        <f t="shared" si="12"/>
        <v>0.27316867495744362</v>
      </c>
      <c r="AI213" s="36">
        <f t="shared" si="13"/>
        <v>0.82520920249502772</v>
      </c>
      <c r="AJ213" s="23"/>
      <c r="AK213" s="23"/>
      <c r="AL213" s="44"/>
      <c r="AM213" s="44"/>
      <c r="AN213" s="44"/>
      <c r="AO213" s="44"/>
      <c r="AP213" s="44"/>
      <c r="AQ213" s="44"/>
      <c r="AR213" s="44"/>
    </row>
    <row r="214" spans="1:44" ht="16.8">
      <c r="A214" s="17" t="s">
        <v>543</v>
      </c>
      <c r="B214" s="18">
        <v>81</v>
      </c>
      <c r="C214" s="1" t="s">
        <v>544</v>
      </c>
      <c r="D214" s="19" t="s">
        <v>545</v>
      </c>
      <c r="E214" s="20" t="s">
        <v>39</v>
      </c>
      <c r="F214" s="21">
        <v>1992</v>
      </c>
      <c r="G214" s="40">
        <v>2021</v>
      </c>
      <c r="H214" s="23">
        <v>25392679148</v>
      </c>
      <c r="I214" s="23">
        <v>61768908155</v>
      </c>
      <c r="J214" s="23">
        <v>78492776804</v>
      </c>
      <c r="K214" s="23">
        <f>(J214+80052015809)/2</f>
        <v>79272396306.5</v>
      </c>
      <c r="L214" s="23">
        <v>71378438255</v>
      </c>
      <c r="M214" s="23">
        <v>-16723868449</v>
      </c>
      <c r="N214" s="23">
        <v>11574550936</v>
      </c>
      <c r="O214" s="25">
        <f t="shared" si="0"/>
        <v>-45985759107</v>
      </c>
      <c r="P214" s="23">
        <v>-5313459576</v>
      </c>
      <c r="Q214" s="23">
        <f>19112355+5603621343</f>
        <v>5622733698</v>
      </c>
      <c r="R214" s="25">
        <f t="shared" si="1"/>
        <v>5951817238</v>
      </c>
      <c r="S214" s="26">
        <f t="shared" si="2"/>
        <v>1.2707489762816255</v>
      </c>
      <c r="T214" s="27">
        <f t="shared" si="3"/>
        <v>0.35574719437380325</v>
      </c>
      <c r="U214" s="26">
        <f t="shared" si="4"/>
        <v>24.846665970522604</v>
      </c>
      <c r="V214" s="26">
        <f t="shared" si="5"/>
        <v>0.14600985305462422</v>
      </c>
      <c r="W214" s="87">
        <v>45757</v>
      </c>
      <c r="X214" s="42">
        <v>10400</v>
      </c>
      <c r="Y214" s="83">
        <v>5200</v>
      </c>
      <c r="Z214" s="30">
        <f t="shared" si="6"/>
        <v>54080000</v>
      </c>
      <c r="AA214" s="31">
        <f t="shared" si="7"/>
        <v>29</v>
      </c>
      <c r="AB214" s="32">
        <v>1.84E-2</v>
      </c>
      <c r="AC214" s="32">
        <v>2.58E-2</v>
      </c>
      <c r="AD214" s="33">
        <f t="shared" si="8"/>
        <v>-0.74448068584287574</v>
      </c>
      <c r="AE214" s="34">
        <f t="shared" si="9"/>
        <v>-8.6021588121108661E-2</v>
      </c>
      <c r="AF214" s="33">
        <f t="shared" si="10"/>
        <v>9.6356199514888441E-2</v>
      </c>
      <c r="AG214" s="33">
        <f t="shared" si="11"/>
        <v>6.8898059416397253E-4</v>
      </c>
      <c r="AH214" s="35">
        <f t="shared" si="12"/>
        <v>0.14746007731261918</v>
      </c>
      <c r="AI214" s="36">
        <f t="shared" si="13"/>
        <v>-0.54795812231275343</v>
      </c>
      <c r="AJ214" s="23"/>
      <c r="AK214" s="23"/>
      <c r="AL214" s="44"/>
      <c r="AM214" s="44"/>
      <c r="AN214" s="44"/>
      <c r="AO214" s="44"/>
      <c r="AP214" s="44"/>
      <c r="AQ214" s="44"/>
      <c r="AR214" s="44"/>
    </row>
    <row r="215" spans="1:44" ht="16.8">
      <c r="A215" s="17" t="s">
        <v>546</v>
      </c>
      <c r="B215" s="18"/>
      <c r="C215" s="1" t="s">
        <v>544</v>
      </c>
      <c r="D215" s="19" t="s">
        <v>545</v>
      </c>
      <c r="E215" s="20" t="s">
        <v>39</v>
      </c>
      <c r="F215" s="21">
        <v>1992</v>
      </c>
      <c r="G215" s="40">
        <v>2022</v>
      </c>
      <c r="H215" s="23">
        <v>25745378299</v>
      </c>
      <c r="I215" s="23">
        <v>58931992085</v>
      </c>
      <c r="J215" s="23">
        <v>76019888916</v>
      </c>
      <c r="K215" s="23">
        <f t="shared" ref="K215:K216" si="55">(J214+J215)/2</f>
        <v>77256332860</v>
      </c>
      <c r="L215" s="23">
        <v>69637368066</v>
      </c>
      <c r="M215" s="23">
        <v>-17087896831</v>
      </c>
      <c r="N215" s="23">
        <v>18631367327</v>
      </c>
      <c r="O215" s="25">
        <f t="shared" si="0"/>
        <v>-43891989767</v>
      </c>
      <c r="P215" s="23">
        <v>-364028382</v>
      </c>
      <c r="Q215" s="23">
        <v>4516101969</v>
      </c>
      <c r="R215" s="25">
        <f t="shared" si="1"/>
        <v>14115265358</v>
      </c>
      <c r="S215" s="26">
        <f t="shared" si="2"/>
        <v>1.2899595996407764</v>
      </c>
      <c r="T215" s="27">
        <f t="shared" si="3"/>
        <v>0.36970636619407243</v>
      </c>
      <c r="U215" s="26">
        <f t="shared" si="4"/>
        <v>24.799649939484173</v>
      </c>
      <c r="V215" s="26">
        <f t="shared" si="5"/>
        <v>0.24116297832519201</v>
      </c>
      <c r="W215" s="87">
        <v>45785</v>
      </c>
      <c r="X215" s="42">
        <v>8500</v>
      </c>
      <c r="Y215" s="83">
        <v>0</v>
      </c>
      <c r="Z215" s="30">
        <f t="shared" si="6"/>
        <v>0</v>
      </c>
      <c r="AA215" s="31">
        <f t="shared" si="7"/>
        <v>30</v>
      </c>
      <c r="AB215" s="32">
        <v>3.15E-2</v>
      </c>
      <c r="AC215" s="32">
        <v>8.0199999999999994E-2</v>
      </c>
      <c r="AD215" s="33">
        <f t="shared" si="8"/>
        <v>-0.7447905325123374</v>
      </c>
      <c r="AE215" s="34">
        <f t="shared" si="9"/>
        <v>-6.1770927660980326E-3</v>
      </c>
      <c r="AF215" s="33">
        <f t="shared" si="10"/>
        <v>0.23951787235769972</v>
      </c>
      <c r="AG215" s="33">
        <f t="shared" si="11"/>
        <v>0</v>
      </c>
      <c r="AH215" s="35">
        <f t="shared" si="12"/>
        <v>0.24508543215035708</v>
      </c>
      <c r="AI215" s="36">
        <f t="shared" si="13"/>
        <v>0.13309784204342404</v>
      </c>
      <c r="AJ215" s="23" t="s">
        <v>547</v>
      </c>
      <c r="AK215" s="23"/>
      <c r="AL215" s="44"/>
      <c r="AM215" s="44"/>
      <c r="AN215" s="44"/>
      <c r="AO215" s="44"/>
      <c r="AP215" s="44"/>
      <c r="AQ215" s="44"/>
      <c r="AR215" s="44"/>
    </row>
    <row r="216" spans="1:44" ht="16.8">
      <c r="A216" s="17" t="s">
        <v>548</v>
      </c>
      <c r="B216" s="18"/>
      <c r="C216" s="1" t="s">
        <v>544</v>
      </c>
      <c r="D216" s="19" t="s">
        <v>545</v>
      </c>
      <c r="E216" s="20" t="s">
        <v>39</v>
      </c>
      <c r="F216" s="21">
        <v>1992</v>
      </c>
      <c r="G216" s="40">
        <v>2023</v>
      </c>
      <c r="H216" s="23">
        <v>23120545446</v>
      </c>
      <c r="I216" s="23">
        <v>53400187018</v>
      </c>
      <c r="J216" s="23">
        <v>70112369230</v>
      </c>
      <c r="K216" s="23">
        <f t="shared" si="55"/>
        <v>73066129073</v>
      </c>
      <c r="L216" s="23">
        <v>66083909514</v>
      </c>
      <c r="M216" s="23">
        <v>-16712182212</v>
      </c>
      <c r="N216" s="23">
        <v>17028913590</v>
      </c>
      <c r="O216" s="25">
        <f t="shared" si="0"/>
        <v>-42963364068</v>
      </c>
      <c r="P216" s="23">
        <v>375714619</v>
      </c>
      <c r="Q216" s="23">
        <f>3731101086</f>
        <v>3731101086</v>
      </c>
      <c r="R216" s="25">
        <f t="shared" si="1"/>
        <v>13297812504</v>
      </c>
      <c r="S216" s="26">
        <f t="shared" si="2"/>
        <v>1.3129611176523914</v>
      </c>
      <c r="T216" s="27">
        <f t="shared" si="3"/>
        <v>0.34986648968009176</v>
      </c>
      <c r="U216" s="26">
        <f t="shared" si="4"/>
        <v>24.701080085116164</v>
      </c>
      <c r="V216" s="26">
        <f t="shared" si="5"/>
        <v>0.2330616635375127</v>
      </c>
      <c r="W216" s="87">
        <v>45911</v>
      </c>
      <c r="X216" s="42">
        <v>11900</v>
      </c>
      <c r="Y216" s="83">
        <v>0</v>
      </c>
      <c r="Z216" s="30">
        <f t="shared" si="6"/>
        <v>0</v>
      </c>
      <c r="AA216" s="31">
        <f t="shared" si="7"/>
        <v>31</v>
      </c>
      <c r="AB216" s="32">
        <v>3.2500000000000001E-2</v>
      </c>
      <c r="AC216" s="32">
        <v>5.0500000000000003E-2</v>
      </c>
      <c r="AD216" s="33">
        <f t="shared" si="8"/>
        <v>-0.80455456183174079</v>
      </c>
      <c r="AE216" s="34">
        <f t="shared" si="9"/>
        <v>7.035829647438408E-3</v>
      </c>
      <c r="AF216" s="33">
        <f t="shared" si="10"/>
        <v>0.24902183394072397</v>
      </c>
      <c r="AG216" s="33">
        <f t="shared" si="11"/>
        <v>0</v>
      </c>
      <c r="AH216" s="35">
        <f t="shared" si="12"/>
        <v>0.24288030453139489</v>
      </c>
      <c r="AI216" s="36">
        <f t="shared" si="13"/>
        <v>0.10903704384410887</v>
      </c>
      <c r="AJ216" s="23" t="s">
        <v>547</v>
      </c>
      <c r="AK216" s="23"/>
      <c r="AL216" s="44"/>
      <c r="AM216" s="44"/>
      <c r="AN216" s="44"/>
      <c r="AO216" s="44"/>
      <c r="AP216" s="44"/>
      <c r="AQ216" s="44"/>
      <c r="AR216" s="44"/>
    </row>
    <row r="217" spans="1:44" ht="16.8">
      <c r="A217" s="17" t="s">
        <v>549</v>
      </c>
      <c r="B217" s="18">
        <v>82</v>
      </c>
      <c r="C217" s="1" t="s">
        <v>550</v>
      </c>
      <c r="D217" s="19" t="s">
        <v>551</v>
      </c>
      <c r="E217" s="20" t="s">
        <v>39</v>
      </c>
      <c r="F217" s="21">
        <v>2005</v>
      </c>
      <c r="G217" s="40">
        <v>2021</v>
      </c>
      <c r="H217" s="23">
        <v>67148619193</v>
      </c>
      <c r="I217" s="23">
        <v>113864053133</v>
      </c>
      <c r="J217" s="23">
        <v>30384996121</v>
      </c>
      <c r="K217" s="23">
        <f>(J217+28451851990)/2</f>
        <v>29418424055.5</v>
      </c>
      <c r="L217" s="23">
        <v>30384996121</v>
      </c>
      <c r="M217" s="23">
        <v>83479057012</v>
      </c>
      <c r="N217" s="23">
        <v>567630676354</v>
      </c>
      <c r="O217" s="25">
        <f t="shared" si="0"/>
        <v>36763623072</v>
      </c>
      <c r="P217" s="23">
        <v>26319118739</v>
      </c>
      <c r="Q217" s="23">
        <v>14476287476</v>
      </c>
      <c r="R217" s="25">
        <f t="shared" si="1"/>
        <v>553154388878</v>
      </c>
      <c r="S217" s="26">
        <f t="shared" si="2"/>
        <v>0.26685328060040614</v>
      </c>
      <c r="T217" s="27">
        <f t="shared" si="3"/>
        <v>2.2099268640877505</v>
      </c>
      <c r="U217" s="26">
        <f t="shared" si="4"/>
        <v>25.458271057350263</v>
      </c>
      <c r="V217" s="26">
        <f t="shared" si="5"/>
        <v>19.295074246095691</v>
      </c>
      <c r="W217" s="83" t="s">
        <v>552</v>
      </c>
      <c r="X217" s="29">
        <v>33910</v>
      </c>
      <c r="Y217" s="83">
        <v>0</v>
      </c>
      <c r="Z217" s="30">
        <f t="shared" si="6"/>
        <v>0</v>
      </c>
      <c r="AA217" s="31">
        <f t="shared" si="7"/>
        <v>16</v>
      </c>
      <c r="AB217" s="32">
        <v>1.84E-2</v>
      </c>
      <c r="AC217" s="32">
        <v>2.58E-2</v>
      </c>
      <c r="AD217" s="33">
        <f t="shared" si="8"/>
        <v>0.32287295296837798</v>
      </c>
      <c r="AE217" s="34">
        <f t="shared" si="9"/>
        <v>0.23114510694835094</v>
      </c>
      <c r="AF217" s="33">
        <f t="shared" si="10"/>
        <v>4.8580247554676692</v>
      </c>
      <c r="AG217" s="33">
        <f t="shared" si="11"/>
        <v>0</v>
      </c>
      <c r="AH217" s="35">
        <f t="shared" si="12"/>
        <v>18.681281843629826</v>
      </c>
      <c r="AI217" s="36">
        <f t="shared" si="13"/>
        <v>35.423814229962879</v>
      </c>
      <c r="AJ217" s="23" t="s">
        <v>85</v>
      </c>
      <c r="AK217" s="23"/>
      <c r="AL217" s="44"/>
      <c r="AM217" s="44"/>
      <c r="AN217" s="44"/>
      <c r="AO217" s="44"/>
      <c r="AP217" s="44"/>
      <c r="AQ217" s="44"/>
      <c r="AR217" s="44"/>
    </row>
    <row r="218" spans="1:44" ht="16.8">
      <c r="A218" s="17" t="s">
        <v>553</v>
      </c>
      <c r="B218" s="18"/>
      <c r="C218" s="1" t="s">
        <v>550</v>
      </c>
      <c r="D218" s="19" t="s">
        <v>551</v>
      </c>
      <c r="E218" s="20" t="s">
        <v>39</v>
      </c>
      <c r="F218" s="21">
        <v>2005</v>
      </c>
      <c r="G218" s="40">
        <v>2022</v>
      </c>
      <c r="H218" s="23">
        <v>62006387560</v>
      </c>
      <c r="I218" s="23">
        <v>122385108622</v>
      </c>
      <c r="J218" s="23">
        <v>27346133111</v>
      </c>
      <c r="K218" s="23">
        <f t="shared" ref="K218:K219" si="56">(J217+J218)/2</f>
        <v>28865564616</v>
      </c>
      <c r="L218" s="23">
        <v>27346133111</v>
      </c>
      <c r="M218" s="23">
        <v>95038975511</v>
      </c>
      <c r="N218" s="23">
        <v>658676029032</v>
      </c>
      <c r="O218" s="25">
        <f t="shared" si="0"/>
        <v>34660254449</v>
      </c>
      <c r="P218" s="23">
        <v>29194415561</v>
      </c>
      <c r="Q218" s="23">
        <v>17961733802</v>
      </c>
      <c r="R218" s="25">
        <f t="shared" si="1"/>
        <v>640714295230</v>
      </c>
      <c r="S218" s="26">
        <f t="shared" si="2"/>
        <v>0.2234433046545031</v>
      </c>
      <c r="T218" s="27">
        <f t="shared" si="3"/>
        <v>2.2674645555300792</v>
      </c>
      <c r="U218" s="26">
        <f t="shared" si="4"/>
        <v>25.5304385380383</v>
      </c>
      <c r="V218" s="26">
        <f t="shared" si="5"/>
        <v>22.818747452003763</v>
      </c>
      <c r="W218" s="83" t="s">
        <v>554</v>
      </c>
      <c r="X218" s="29">
        <v>28550</v>
      </c>
      <c r="Y218" s="83">
        <v>0</v>
      </c>
      <c r="Z218" s="30">
        <f t="shared" si="6"/>
        <v>0</v>
      </c>
      <c r="AA218" s="31">
        <f t="shared" si="7"/>
        <v>17</v>
      </c>
      <c r="AB218" s="32">
        <v>3.15E-2</v>
      </c>
      <c r="AC218" s="32">
        <v>8.0199999999999994E-2</v>
      </c>
      <c r="AD218" s="33">
        <f t="shared" si="8"/>
        <v>0.28320646882009187</v>
      </c>
      <c r="AE218" s="34">
        <f t="shared" si="9"/>
        <v>0.23854548882389109</v>
      </c>
      <c r="AF218" s="33">
        <f t="shared" si="10"/>
        <v>5.2352308417596563</v>
      </c>
      <c r="AG218" s="33">
        <f t="shared" si="11"/>
        <v>0</v>
      </c>
      <c r="AH218" s="35">
        <f t="shared" si="12"/>
        <v>24.086624107269014</v>
      </c>
      <c r="AI218" s="36">
        <f t="shared" si="13"/>
        <v>42.036697332013432</v>
      </c>
      <c r="AJ218" s="23" t="s">
        <v>85</v>
      </c>
      <c r="AK218" s="23"/>
      <c r="AL218" s="44"/>
      <c r="AM218" s="44"/>
      <c r="AN218" s="44"/>
      <c r="AO218" s="44"/>
      <c r="AP218" s="44"/>
      <c r="AQ218" s="44"/>
      <c r="AR218" s="44"/>
    </row>
    <row r="219" spans="1:44" ht="16.8">
      <c r="A219" s="17" t="s">
        <v>555</v>
      </c>
      <c r="B219" s="18"/>
      <c r="C219" s="1" t="s">
        <v>550</v>
      </c>
      <c r="D219" s="19" t="s">
        <v>551</v>
      </c>
      <c r="E219" s="20" t="s">
        <v>39</v>
      </c>
      <c r="F219" s="21">
        <v>2005</v>
      </c>
      <c r="G219" s="40">
        <v>2023</v>
      </c>
      <c r="H219" s="23">
        <v>98821192290</v>
      </c>
      <c r="I219" s="23">
        <v>173690877199</v>
      </c>
      <c r="J219" s="23">
        <v>60245963714</v>
      </c>
      <c r="K219" s="23">
        <f t="shared" si="56"/>
        <v>43796048412.5</v>
      </c>
      <c r="L219" s="23">
        <v>60087427613</v>
      </c>
      <c r="M219" s="23">
        <v>113444913485</v>
      </c>
      <c r="N219" s="23">
        <v>802482861535</v>
      </c>
      <c r="O219" s="25">
        <f t="shared" si="0"/>
        <v>38733764677</v>
      </c>
      <c r="P219" s="23">
        <v>37393800534</v>
      </c>
      <c r="Q219" s="23">
        <v>20314992366</v>
      </c>
      <c r="R219" s="25">
        <f t="shared" si="1"/>
        <v>782167869169</v>
      </c>
      <c r="S219" s="26">
        <f t="shared" si="2"/>
        <v>0.34685738644163433</v>
      </c>
      <c r="T219" s="27">
        <f t="shared" si="3"/>
        <v>1.6446234464631981</v>
      </c>
      <c r="U219" s="26">
        <f t="shared" si="4"/>
        <v>25.88054298837093</v>
      </c>
      <c r="V219" s="26">
        <f t="shared" si="5"/>
        <v>18.323179616039521</v>
      </c>
      <c r="W219" s="83" t="s">
        <v>556</v>
      </c>
      <c r="X219" s="29">
        <v>33780</v>
      </c>
      <c r="Y219" s="83">
        <v>0</v>
      </c>
      <c r="Z219" s="30">
        <f t="shared" si="6"/>
        <v>0</v>
      </c>
      <c r="AA219" s="31">
        <f t="shared" si="7"/>
        <v>18</v>
      </c>
      <c r="AB219" s="32">
        <v>3.2500000000000001E-2</v>
      </c>
      <c r="AC219" s="32">
        <v>5.0500000000000003E-2</v>
      </c>
      <c r="AD219" s="33">
        <f t="shared" si="8"/>
        <v>0.2230040247457683</v>
      </c>
      <c r="AE219" s="34">
        <f t="shared" si="9"/>
        <v>0.21528937579811641</v>
      </c>
      <c r="AF219" s="33">
        <f t="shared" si="10"/>
        <v>4.5032179109376003</v>
      </c>
      <c r="AG219" s="33">
        <f t="shared" si="11"/>
        <v>0</v>
      </c>
      <c r="AH219" s="35">
        <f t="shared" si="12"/>
        <v>13.32010996362431</v>
      </c>
      <c r="AI219" s="36">
        <f t="shared" si="13"/>
        <v>28.749739025530676</v>
      </c>
      <c r="AJ219" s="23" t="s">
        <v>85</v>
      </c>
      <c r="AK219" s="23"/>
      <c r="AL219" s="44"/>
      <c r="AM219" s="44"/>
      <c r="AN219" s="44"/>
      <c r="AO219" s="44"/>
      <c r="AP219" s="44"/>
      <c r="AQ219" s="44"/>
      <c r="AR219" s="44"/>
    </row>
    <row r="220" spans="1:44" ht="16.8">
      <c r="A220" s="17" t="s">
        <v>557</v>
      </c>
      <c r="B220" s="18">
        <v>83</v>
      </c>
      <c r="C220" s="1" t="s">
        <v>558</v>
      </c>
      <c r="D220" s="19" t="s">
        <v>559</v>
      </c>
      <c r="E220" s="20" t="s">
        <v>39</v>
      </c>
      <c r="F220" s="21">
        <v>1976</v>
      </c>
      <c r="G220" s="40">
        <v>2021</v>
      </c>
      <c r="H220" s="23">
        <v>359835138816</v>
      </c>
      <c r="I220" s="23">
        <v>519474637121</v>
      </c>
      <c r="J220" s="23">
        <v>377908304965</v>
      </c>
      <c r="K220" s="23">
        <f>(J220+390268096228)/2</f>
        <v>384088200596.5</v>
      </c>
      <c r="L220" s="23">
        <v>283605761108</v>
      </c>
      <c r="M220" s="23">
        <v>141566332156</v>
      </c>
      <c r="N220" s="23">
        <v>549682218206</v>
      </c>
      <c r="O220" s="25">
        <f t="shared" si="0"/>
        <v>76229377708</v>
      </c>
      <c r="P220" s="23">
        <v>26963092219</v>
      </c>
      <c r="Q220" s="23">
        <f>27013599349+15879685623</f>
        <v>42893284972</v>
      </c>
      <c r="R220" s="25">
        <f t="shared" si="1"/>
        <v>506788933234</v>
      </c>
      <c r="S220" s="26">
        <f t="shared" si="2"/>
        <v>0.7274817247275438</v>
      </c>
      <c r="T220" s="27">
        <f t="shared" si="3"/>
        <v>1.2687864217221281</v>
      </c>
      <c r="U220" s="26">
        <f t="shared" si="4"/>
        <v>26.976083824582613</v>
      </c>
      <c r="V220" s="26">
        <f t="shared" si="5"/>
        <v>1.4311353937775952</v>
      </c>
      <c r="W220" s="83" t="s">
        <v>560</v>
      </c>
      <c r="X220" s="29">
        <v>35670</v>
      </c>
      <c r="Y220" s="83">
        <v>22800</v>
      </c>
      <c r="Z220" s="30">
        <f t="shared" si="6"/>
        <v>813276000</v>
      </c>
      <c r="AA220" s="31">
        <f t="shared" si="7"/>
        <v>45</v>
      </c>
      <c r="AB220" s="32">
        <v>1.84E-2</v>
      </c>
      <c r="AC220" s="32">
        <v>2.58E-2</v>
      </c>
      <c r="AD220" s="33">
        <f t="shared" si="8"/>
        <v>0.14674321374085503</v>
      </c>
      <c r="AE220" s="34">
        <f t="shared" si="9"/>
        <v>5.1904540264820574E-2</v>
      </c>
      <c r="AF220" s="33">
        <f t="shared" si="10"/>
        <v>0.97557974349372301</v>
      </c>
      <c r="AG220" s="33">
        <f t="shared" si="11"/>
        <v>2.1520458516393853E-3</v>
      </c>
      <c r="AH220" s="35">
        <f t="shared" si="12"/>
        <v>1.4545386036353682</v>
      </c>
      <c r="AI220" s="36">
        <f t="shared" si="13"/>
        <v>4.9240011975354125</v>
      </c>
      <c r="AJ220" s="23"/>
      <c r="AK220" s="23"/>
      <c r="AL220" s="44"/>
      <c r="AM220" s="44"/>
      <c r="AN220" s="44"/>
      <c r="AO220" s="44"/>
      <c r="AP220" s="44"/>
      <c r="AQ220" s="44"/>
      <c r="AR220" s="44"/>
    </row>
    <row r="221" spans="1:44" ht="16.8">
      <c r="A221" s="17" t="s">
        <v>561</v>
      </c>
      <c r="B221" s="18"/>
      <c r="C221" s="1" t="s">
        <v>558</v>
      </c>
      <c r="D221" s="19" t="s">
        <v>559</v>
      </c>
      <c r="E221" s="20" t="s">
        <v>39</v>
      </c>
      <c r="F221" s="21">
        <v>1976</v>
      </c>
      <c r="G221" s="40">
        <v>2022</v>
      </c>
      <c r="H221" s="23">
        <v>269867230645</v>
      </c>
      <c r="I221" s="23">
        <v>407096578386</v>
      </c>
      <c r="J221" s="23">
        <v>347413091155</v>
      </c>
      <c r="K221" s="23">
        <f t="shared" ref="K221:K222" si="57">(J221+J220)/2</f>
        <v>362660698060</v>
      </c>
      <c r="L221" s="23">
        <v>283488865718</v>
      </c>
      <c r="M221" s="23">
        <v>57892854563</v>
      </c>
      <c r="N221" s="23">
        <v>321285100525</v>
      </c>
      <c r="O221" s="25">
        <f t="shared" si="0"/>
        <v>-13621635073</v>
      </c>
      <c r="P221" s="23">
        <v>-83828145226</v>
      </c>
      <c r="Q221" s="23">
        <f>14868498844+24285975485</f>
        <v>39154474329</v>
      </c>
      <c r="R221" s="25">
        <f t="shared" si="1"/>
        <v>282130626196</v>
      </c>
      <c r="S221" s="26">
        <f t="shared" si="2"/>
        <v>0.85339231425716033</v>
      </c>
      <c r="T221" s="27">
        <f t="shared" si="3"/>
        <v>0.95195001737193408</v>
      </c>
      <c r="U221" s="26">
        <f t="shared" si="4"/>
        <v>26.732316287571091</v>
      </c>
      <c r="V221" s="26">
        <f t="shared" si="5"/>
        <v>0.88591099681787233</v>
      </c>
      <c r="W221" s="83" t="s">
        <v>562</v>
      </c>
      <c r="X221" s="29">
        <v>13000</v>
      </c>
      <c r="Y221" s="83">
        <v>0</v>
      </c>
      <c r="Z221" s="30">
        <f t="shared" si="6"/>
        <v>0</v>
      </c>
      <c r="AA221" s="31">
        <f t="shared" si="7"/>
        <v>46</v>
      </c>
      <c r="AB221" s="32">
        <v>3.15E-2</v>
      </c>
      <c r="AC221" s="32">
        <v>8.0199999999999994E-2</v>
      </c>
      <c r="AD221" s="33">
        <f t="shared" si="8"/>
        <v>-3.3460450900877549E-2</v>
      </c>
      <c r="AE221" s="34">
        <f t="shared" si="9"/>
        <v>-0.20591709603247021</v>
      </c>
      <c r="AF221" s="33">
        <f t="shared" si="10"/>
        <v>0.69303119007915115</v>
      </c>
      <c r="AG221" s="33">
        <f t="shared" si="11"/>
        <v>0</v>
      </c>
      <c r="AH221" s="35">
        <f t="shared" si="12"/>
        <v>0.92479272861268524</v>
      </c>
      <c r="AI221" s="36">
        <f t="shared" si="13"/>
        <v>2.8833591803473726</v>
      </c>
      <c r="AJ221" s="23"/>
      <c r="AK221" s="23"/>
      <c r="AL221" s="44"/>
      <c r="AM221" s="44"/>
      <c r="AN221" s="44"/>
      <c r="AO221" s="44"/>
      <c r="AP221" s="44"/>
      <c r="AQ221" s="44"/>
      <c r="AR221" s="44"/>
    </row>
    <row r="222" spans="1:44" ht="16.8">
      <c r="A222" s="17" t="s">
        <v>563</v>
      </c>
      <c r="B222" s="18"/>
      <c r="C222" s="1" t="s">
        <v>558</v>
      </c>
      <c r="D222" s="19" t="s">
        <v>559</v>
      </c>
      <c r="E222" s="20" t="s">
        <v>39</v>
      </c>
      <c r="F222" s="21">
        <v>1976</v>
      </c>
      <c r="G222" s="40">
        <v>2023</v>
      </c>
      <c r="H222" s="23">
        <v>195153137289</v>
      </c>
      <c r="I222" s="23">
        <v>305575100803</v>
      </c>
      <c r="J222" s="23">
        <v>300290629011</v>
      </c>
      <c r="K222" s="23">
        <f t="shared" si="57"/>
        <v>323851860083</v>
      </c>
      <c r="L222" s="23">
        <v>243831256366</v>
      </c>
      <c r="M222" s="23">
        <v>3493839124</v>
      </c>
      <c r="N222" s="23">
        <v>217676024169</v>
      </c>
      <c r="O222" s="25">
        <f t="shared" si="0"/>
        <v>-48678119077</v>
      </c>
      <c r="P222" s="23">
        <v>-54399015439</v>
      </c>
      <c r="Q222" s="23">
        <f>12637872346+18647166055</f>
        <v>31285038401</v>
      </c>
      <c r="R222" s="25">
        <f t="shared" si="1"/>
        <v>186390985768</v>
      </c>
      <c r="S222" s="26">
        <f t="shared" si="2"/>
        <v>0.98270647124679567</v>
      </c>
      <c r="T222" s="27">
        <f t="shared" si="3"/>
        <v>0.80036144749247284</v>
      </c>
      <c r="U222" s="26">
        <f t="shared" si="4"/>
        <v>26.445461414489419</v>
      </c>
      <c r="V222" s="26">
        <f t="shared" si="5"/>
        <v>0.67214690109611164</v>
      </c>
      <c r="W222" s="83" t="s">
        <v>564</v>
      </c>
      <c r="X222" s="29">
        <v>16800</v>
      </c>
      <c r="Y222" s="83">
        <v>0</v>
      </c>
      <c r="Z222" s="30">
        <f t="shared" si="6"/>
        <v>0</v>
      </c>
      <c r="AA222" s="31">
        <f t="shared" si="7"/>
        <v>47</v>
      </c>
      <c r="AB222" s="32">
        <v>3.2500000000000001E-2</v>
      </c>
      <c r="AC222" s="32">
        <v>5.0500000000000003E-2</v>
      </c>
      <c r="AD222" s="33">
        <f t="shared" si="8"/>
        <v>-0.15930001806129521</v>
      </c>
      <c r="AE222" s="34">
        <f t="shared" si="9"/>
        <v>-0.17802175405014523</v>
      </c>
      <c r="AF222" s="33">
        <f t="shared" si="10"/>
        <v>0.60996784514901847</v>
      </c>
      <c r="AG222" s="33">
        <f t="shared" si="11"/>
        <v>0</v>
      </c>
      <c r="AH222" s="35">
        <f t="shared" si="12"/>
        <v>0.724884505673423</v>
      </c>
      <c r="AI222" s="36">
        <f t="shared" si="13"/>
        <v>2.297387917321426</v>
      </c>
      <c r="AJ222" s="23"/>
      <c r="AK222" s="23"/>
      <c r="AL222" s="44"/>
      <c r="AM222" s="44"/>
      <c r="AN222" s="44"/>
      <c r="AO222" s="44"/>
      <c r="AP222" s="44"/>
      <c r="AQ222" s="44"/>
      <c r="AR222" s="44"/>
    </row>
    <row r="223" spans="1:44" ht="16.8">
      <c r="A223" s="17" t="s">
        <v>565</v>
      </c>
      <c r="B223" s="18">
        <v>84</v>
      </c>
      <c r="C223" s="1" t="s">
        <v>566</v>
      </c>
      <c r="D223" s="19" t="s">
        <v>567</v>
      </c>
      <c r="E223" s="20" t="s">
        <v>39</v>
      </c>
      <c r="F223" s="21">
        <v>1976</v>
      </c>
      <c r="G223" s="40">
        <v>2021</v>
      </c>
      <c r="H223" s="23">
        <v>4760222547773</v>
      </c>
      <c r="I223" s="23">
        <v>14040007803512</v>
      </c>
      <c r="J223" s="23">
        <v>10123836091077</v>
      </c>
      <c r="K223" s="23">
        <f>(J223+6976901688410)/2</f>
        <v>8550368889743.5</v>
      </c>
      <c r="L223" s="23">
        <v>3661747861544</v>
      </c>
      <c r="M223" s="23">
        <v>3916171712435</v>
      </c>
      <c r="N223" s="23">
        <v>6315325559458</v>
      </c>
      <c r="O223" s="25">
        <f t="shared" si="0"/>
        <v>1098474686229</v>
      </c>
      <c r="P223" s="23">
        <v>22746196895</v>
      </c>
      <c r="Q223" s="23">
        <f>336077185387+390963935281</f>
        <v>727041120668</v>
      </c>
      <c r="R223" s="25">
        <f t="shared" si="1"/>
        <v>5588284438790</v>
      </c>
      <c r="S223" s="26">
        <f t="shared" si="2"/>
        <v>0.72107054588278796</v>
      </c>
      <c r="T223" s="27">
        <f t="shared" si="3"/>
        <v>1.2999864348294645</v>
      </c>
      <c r="U223" s="26">
        <f t="shared" si="4"/>
        <v>30.272932070331755</v>
      </c>
      <c r="V223" s="26">
        <f t="shared" si="5"/>
        <v>0.73860270134467276</v>
      </c>
      <c r="W223" s="87">
        <v>45796</v>
      </c>
      <c r="X223" s="42">
        <v>19500</v>
      </c>
      <c r="Y223" s="83">
        <v>21500</v>
      </c>
      <c r="Z223" s="30">
        <f t="shared" si="6"/>
        <v>419250000</v>
      </c>
      <c r="AA223" s="31">
        <f t="shared" si="7"/>
        <v>45</v>
      </c>
      <c r="AB223" s="32">
        <v>1.84E-2</v>
      </c>
      <c r="AC223" s="32">
        <v>2.58E-2</v>
      </c>
      <c r="AD223" s="33">
        <f t="shared" si="8"/>
        <v>7.8238894279975046E-2</v>
      </c>
      <c r="AE223" s="34">
        <f t="shared" si="9"/>
        <v>1.6200985934858394E-3</v>
      </c>
      <c r="AF223" s="33">
        <f t="shared" si="10"/>
        <v>0.39802573595380292</v>
      </c>
      <c r="AG223" s="33">
        <f t="shared" si="11"/>
        <v>4.141216790041877E-5</v>
      </c>
      <c r="AH223" s="35">
        <f t="shared" si="12"/>
        <v>0.62380756687914329</v>
      </c>
      <c r="AI223" s="36">
        <f t="shared" si="13"/>
        <v>2.0334721539942833</v>
      </c>
      <c r="AJ223" s="23"/>
      <c r="AK223" s="23"/>
      <c r="AL223" s="44"/>
      <c r="AM223" s="44"/>
      <c r="AN223" s="44"/>
      <c r="AO223" s="44"/>
      <c r="AP223" s="44"/>
      <c r="AQ223" s="44"/>
      <c r="AR223" s="44"/>
    </row>
    <row r="224" spans="1:44" ht="16.8">
      <c r="A224" s="17" t="s">
        <v>568</v>
      </c>
      <c r="B224" s="18"/>
      <c r="C224" s="1" t="s">
        <v>566</v>
      </c>
      <c r="D224" s="19" t="s">
        <v>567</v>
      </c>
      <c r="E224" s="20" t="s">
        <v>39</v>
      </c>
      <c r="F224" s="21">
        <v>1976</v>
      </c>
      <c r="G224" s="40">
        <v>2022</v>
      </c>
      <c r="H224" s="23">
        <v>7603842882014</v>
      </c>
      <c r="I224" s="23">
        <v>16528853135802</v>
      </c>
      <c r="J224" s="23">
        <v>11967966735954</v>
      </c>
      <c r="K224" s="23">
        <f t="shared" ref="K224:K225" si="58">(J224+J223)/2</f>
        <v>11045901413515.5</v>
      </c>
      <c r="L224" s="23">
        <v>6177796816195</v>
      </c>
      <c r="M224" s="23">
        <v>4560886399848</v>
      </c>
      <c r="N224" s="23">
        <v>7752284820719</v>
      </c>
      <c r="O224" s="25">
        <f t="shared" si="0"/>
        <v>1426046065819</v>
      </c>
      <c r="P224" s="23">
        <v>94852148494</v>
      </c>
      <c r="Q224" s="23">
        <f>444843263796+434151250448</f>
        <v>878994514244</v>
      </c>
      <c r="R224" s="25">
        <f t="shared" si="1"/>
        <v>6873290306475</v>
      </c>
      <c r="S224" s="26">
        <f t="shared" si="2"/>
        <v>0.72406516275657495</v>
      </c>
      <c r="T224" s="27">
        <f t="shared" si="3"/>
        <v>1.2308340834519909</v>
      </c>
      <c r="U224" s="26">
        <f t="shared" si="4"/>
        <v>30.436128644580297</v>
      </c>
      <c r="V224" s="26">
        <f t="shared" si="5"/>
        <v>0.70182455288198486</v>
      </c>
      <c r="W224" s="83" t="s">
        <v>569</v>
      </c>
      <c r="X224" s="29">
        <v>24000</v>
      </c>
      <c r="Y224" s="83">
        <v>800</v>
      </c>
      <c r="Z224" s="30">
        <f t="shared" si="6"/>
        <v>19200000</v>
      </c>
      <c r="AA224" s="31">
        <f t="shared" si="7"/>
        <v>46</v>
      </c>
      <c r="AB224" s="32">
        <v>3.15E-2</v>
      </c>
      <c r="AC224" s="32">
        <v>8.0199999999999994E-2</v>
      </c>
      <c r="AD224" s="33">
        <f t="shared" si="8"/>
        <v>8.6276165327535084E-2</v>
      </c>
      <c r="AE224" s="34">
        <f t="shared" si="9"/>
        <v>5.7385801491905905E-3</v>
      </c>
      <c r="AF224" s="33">
        <f t="shared" si="10"/>
        <v>0.41583588710019109</v>
      </c>
      <c r="AG224" s="33">
        <f t="shared" si="11"/>
        <v>1.6042825338342248E-6</v>
      </c>
      <c r="AH224" s="35">
        <f t="shared" si="12"/>
        <v>0.64775287162435813</v>
      </c>
      <c r="AI224" s="36">
        <f t="shared" si="13"/>
        <v>2.1315776722264177</v>
      </c>
      <c r="AJ224" s="23"/>
      <c r="AK224" s="23"/>
      <c r="AL224" s="44"/>
      <c r="AM224" s="44"/>
      <c r="AN224" s="44"/>
      <c r="AO224" s="44"/>
      <c r="AP224" s="44"/>
      <c r="AQ224" s="44"/>
      <c r="AR224" s="44"/>
    </row>
    <row r="225" spans="1:44" ht="16.8">
      <c r="A225" s="17" t="s">
        <v>570</v>
      </c>
      <c r="B225" s="18"/>
      <c r="C225" s="1" t="s">
        <v>566</v>
      </c>
      <c r="D225" s="19" t="s">
        <v>567</v>
      </c>
      <c r="E225" s="20" t="s">
        <v>39</v>
      </c>
      <c r="F225" s="21">
        <v>1976</v>
      </c>
      <c r="G225" s="40">
        <v>2023</v>
      </c>
      <c r="H225" s="23">
        <v>8307329570423</v>
      </c>
      <c r="I225" s="23">
        <v>16076744988485</v>
      </c>
      <c r="J225" s="23">
        <v>11418246619352</v>
      </c>
      <c r="K225" s="23">
        <f t="shared" si="58"/>
        <v>11693106677653</v>
      </c>
      <c r="L225" s="23">
        <v>6098814338312</v>
      </c>
      <c r="M225" s="23">
        <v>4658498369133</v>
      </c>
      <c r="N225" s="23">
        <v>7769672257671</v>
      </c>
      <c r="O225" s="25">
        <f t="shared" si="0"/>
        <v>2208515232111</v>
      </c>
      <c r="P225" s="23">
        <v>127934575517</v>
      </c>
      <c r="Q225" s="23">
        <f>475804884772+442837070749</f>
        <v>918641955521</v>
      </c>
      <c r="R225" s="25">
        <f t="shared" si="1"/>
        <v>6851030302150</v>
      </c>
      <c r="S225" s="26">
        <f t="shared" si="2"/>
        <v>0.71023373372721543</v>
      </c>
      <c r="T225" s="27">
        <f t="shared" si="3"/>
        <v>1.3621220633389968</v>
      </c>
      <c r="U225" s="26">
        <f t="shared" si="4"/>
        <v>30.408394933099203</v>
      </c>
      <c r="V225" s="26">
        <f t="shared" si="5"/>
        <v>0.66446603728672227</v>
      </c>
      <c r="W225" s="83" t="s">
        <v>571</v>
      </c>
      <c r="X225" s="29">
        <v>22000</v>
      </c>
      <c r="Y225" s="83">
        <v>3000</v>
      </c>
      <c r="Z225" s="30">
        <f t="shared" si="6"/>
        <v>66000000</v>
      </c>
      <c r="AA225" s="31">
        <f t="shared" si="7"/>
        <v>47</v>
      </c>
      <c r="AB225" s="32">
        <v>3.2500000000000001E-2</v>
      </c>
      <c r="AC225" s="32">
        <v>5.0500000000000003E-2</v>
      </c>
      <c r="AD225" s="33">
        <f t="shared" si="8"/>
        <v>0.13737328257012557</v>
      </c>
      <c r="AE225" s="34">
        <f t="shared" si="9"/>
        <v>7.9577411726461655E-3</v>
      </c>
      <c r="AF225" s="33">
        <f t="shared" si="10"/>
        <v>0.42614536133135555</v>
      </c>
      <c r="AG225" s="33">
        <f t="shared" si="11"/>
        <v>5.7802219727975694E-6</v>
      </c>
      <c r="AH225" s="35">
        <f t="shared" si="12"/>
        <v>0.68046106523069116</v>
      </c>
      <c r="AI225" s="36">
        <f t="shared" si="13"/>
        <v>2.2627330024832033</v>
      </c>
      <c r="AJ225" s="23"/>
      <c r="AK225" s="23"/>
      <c r="AL225" s="44"/>
      <c r="AM225" s="44"/>
      <c r="AN225" s="44"/>
      <c r="AO225" s="44"/>
      <c r="AP225" s="44"/>
      <c r="AQ225" s="44"/>
      <c r="AR225" s="44"/>
    </row>
    <row r="226" spans="1:44" ht="16.8">
      <c r="A226" s="17" t="s">
        <v>572</v>
      </c>
      <c r="B226" s="18">
        <v>86</v>
      </c>
      <c r="C226" s="1" t="s">
        <v>573</v>
      </c>
      <c r="D226" s="19" t="s">
        <v>574</v>
      </c>
      <c r="E226" s="20" t="s">
        <v>39</v>
      </c>
      <c r="F226" s="21">
        <v>1968</v>
      </c>
      <c r="G226" s="40">
        <v>2021</v>
      </c>
      <c r="H226" s="23">
        <v>253724661934</v>
      </c>
      <c r="I226" s="23">
        <v>443792007742</v>
      </c>
      <c r="J226" s="23">
        <v>78919942054</v>
      </c>
      <c r="K226" s="23">
        <f>(J226+94911003392)/2</f>
        <v>86915472723</v>
      </c>
      <c r="L226" s="23">
        <v>78919942054</v>
      </c>
      <c r="M226" s="23">
        <v>364872065688</v>
      </c>
      <c r="N226" s="23">
        <v>394473550573</v>
      </c>
      <c r="O226" s="25">
        <f t="shared" si="0"/>
        <v>174804719880</v>
      </c>
      <c r="P226" s="23">
        <v>92927042977</v>
      </c>
      <c r="Q226" s="23">
        <f>95483791936+56157269010</f>
        <v>151641060946</v>
      </c>
      <c r="R226" s="25">
        <f t="shared" si="1"/>
        <v>242832489627</v>
      </c>
      <c r="S226" s="26">
        <f t="shared" si="2"/>
        <v>0.17783092231773667</v>
      </c>
      <c r="T226" s="27">
        <f t="shared" si="3"/>
        <v>3.2149625979247682</v>
      </c>
      <c r="U226" s="26">
        <f t="shared" si="4"/>
        <v>26.818621838589642</v>
      </c>
      <c r="V226" s="26">
        <f t="shared" si="5"/>
        <v>4.5385883343255689</v>
      </c>
      <c r="W226" s="83" t="s">
        <v>575</v>
      </c>
      <c r="X226" s="29">
        <v>37910</v>
      </c>
      <c r="Y226" s="83">
        <v>0</v>
      </c>
      <c r="Z226" s="30">
        <f t="shared" si="6"/>
        <v>0</v>
      </c>
      <c r="AA226" s="31">
        <f t="shared" si="7"/>
        <v>53</v>
      </c>
      <c r="AB226" s="32">
        <v>1.84E-2</v>
      </c>
      <c r="AC226" s="32">
        <v>2.58E-2</v>
      </c>
      <c r="AD226" s="33">
        <f t="shared" si="8"/>
        <v>0.39388884168825167</v>
      </c>
      <c r="AE226" s="34">
        <f t="shared" si="9"/>
        <v>0.20939323231576412</v>
      </c>
      <c r="AF226" s="33">
        <f t="shared" si="10"/>
        <v>0.54717634700661733</v>
      </c>
      <c r="AG226" s="33">
        <f t="shared" si="11"/>
        <v>0</v>
      </c>
      <c r="AH226" s="35">
        <f t="shared" si="12"/>
        <v>4.9984014218242372</v>
      </c>
      <c r="AI226" s="36">
        <f t="shared" si="13"/>
        <v>7.569900502214046</v>
      </c>
      <c r="AJ226" s="23"/>
      <c r="AK226" s="23"/>
      <c r="AL226" s="44"/>
      <c r="AM226" s="44"/>
      <c r="AN226" s="44"/>
      <c r="AO226" s="44"/>
      <c r="AP226" s="44"/>
      <c r="AQ226" s="44"/>
      <c r="AR226" s="44"/>
    </row>
    <row r="227" spans="1:44" ht="16.8">
      <c r="A227" s="17" t="s">
        <v>576</v>
      </c>
      <c r="B227" s="18"/>
      <c r="C227" s="1" t="s">
        <v>573</v>
      </c>
      <c r="D227" s="19" t="s">
        <v>574</v>
      </c>
      <c r="E227" s="20" t="s">
        <v>39</v>
      </c>
      <c r="F227" s="21">
        <v>1968</v>
      </c>
      <c r="G227" s="40">
        <v>2022</v>
      </c>
      <c r="H227" s="23">
        <v>310185805769</v>
      </c>
      <c r="I227" s="23">
        <v>507867922847</v>
      </c>
      <c r="J227" s="23">
        <v>90417998792</v>
      </c>
      <c r="K227" s="23">
        <f t="shared" ref="K227:K228" si="59">(J227+J226)/2</f>
        <v>84668970423</v>
      </c>
      <c r="L227" s="23">
        <v>90417998792</v>
      </c>
      <c r="M227" s="23">
        <v>417449924055</v>
      </c>
      <c r="N227" s="23">
        <v>503993841708</v>
      </c>
      <c r="O227" s="25">
        <f t="shared" si="0"/>
        <v>219767806977</v>
      </c>
      <c r="P227" s="23">
        <v>108824210516</v>
      </c>
      <c r="Q227" s="23">
        <f>135063893967+73653462874</f>
        <v>208717356841</v>
      </c>
      <c r="R227" s="25">
        <f t="shared" si="1"/>
        <v>295276484867</v>
      </c>
      <c r="S227" s="26">
        <f t="shared" si="2"/>
        <v>0.17803447456404778</v>
      </c>
      <c r="T227" s="27">
        <f t="shared" si="3"/>
        <v>3.4305758799479711</v>
      </c>
      <c r="U227" s="26">
        <f t="shared" si="4"/>
        <v>26.95348725632482</v>
      </c>
      <c r="V227" s="26">
        <f t="shared" si="5"/>
        <v>5.9525212033414787</v>
      </c>
      <c r="W227" s="83" t="s">
        <v>577</v>
      </c>
      <c r="X227" s="29">
        <v>33250</v>
      </c>
      <c r="Y227" s="83">
        <v>200</v>
      </c>
      <c r="Z227" s="30">
        <f t="shared" si="6"/>
        <v>6650000</v>
      </c>
      <c r="AA227" s="31">
        <f t="shared" si="7"/>
        <v>54</v>
      </c>
      <c r="AB227" s="32">
        <v>3.15E-2</v>
      </c>
      <c r="AC227" s="32">
        <v>8.0199999999999994E-2</v>
      </c>
      <c r="AD227" s="33">
        <f t="shared" si="8"/>
        <v>0.43272629967458515</v>
      </c>
      <c r="AE227" s="34">
        <f t="shared" si="9"/>
        <v>0.21427659755700759</v>
      </c>
      <c r="AF227" s="33">
        <f t="shared" si="10"/>
        <v>0.5814040847701949</v>
      </c>
      <c r="AG227" s="33">
        <f t="shared" si="11"/>
        <v>7.3547303510862241E-5</v>
      </c>
      <c r="AH227" s="35">
        <f t="shared" si="12"/>
        <v>5.574043314842668</v>
      </c>
      <c r="AI227" s="36">
        <f t="shared" si="13"/>
        <v>8.3119797191557296</v>
      </c>
      <c r="AJ227" s="23"/>
      <c r="AK227" s="23"/>
      <c r="AL227" s="44"/>
      <c r="AM227" s="44"/>
      <c r="AN227" s="44"/>
      <c r="AO227" s="44"/>
      <c r="AP227" s="44"/>
      <c r="AQ227" s="44"/>
      <c r="AR227" s="44"/>
    </row>
    <row r="228" spans="1:44" ht="16.8">
      <c r="A228" s="17" t="s">
        <v>578</v>
      </c>
      <c r="B228" s="18"/>
      <c r="C228" s="1" t="s">
        <v>573</v>
      </c>
      <c r="D228" s="19" t="s">
        <v>574</v>
      </c>
      <c r="E228" s="20" t="s">
        <v>39</v>
      </c>
      <c r="F228" s="21">
        <v>1968</v>
      </c>
      <c r="G228" s="40">
        <v>2023</v>
      </c>
      <c r="H228" s="23">
        <v>383751633053</v>
      </c>
      <c r="I228" s="23">
        <v>570626472946</v>
      </c>
      <c r="J228" s="23">
        <v>102154388577</v>
      </c>
      <c r="K228" s="23">
        <f t="shared" si="59"/>
        <v>96286193684.5</v>
      </c>
      <c r="L228" s="23">
        <v>101179388577</v>
      </c>
      <c r="M228" s="23">
        <v>468472084369</v>
      </c>
      <c r="N228" s="23">
        <v>418230694826</v>
      </c>
      <c r="O228" s="25">
        <f t="shared" si="0"/>
        <v>282572244476</v>
      </c>
      <c r="P228" s="23">
        <v>125263370840</v>
      </c>
      <c r="Q228" s="23">
        <f>74224304561+70393949411</f>
        <v>144618253972</v>
      </c>
      <c r="R228" s="25">
        <f t="shared" si="1"/>
        <v>273612440854</v>
      </c>
      <c r="S228" s="26">
        <f t="shared" si="2"/>
        <v>0.17902146749274137</v>
      </c>
      <c r="T228" s="27">
        <f t="shared" si="3"/>
        <v>3.79278466148227</v>
      </c>
      <c r="U228" s="26">
        <f t="shared" si="4"/>
        <v>27.070000669577745</v>
      </c>
      <c r="V228" s="26">
        <f t="shared" si="5"/>
        <v>4.3436206045948014</v>
      </c>
      <c r="W228" s="83" t="s">
        <v>579</v>
      </c>
      <c r="X228" s="29">
        <v>62790</v>
      </c>
      <c r="Y228" s="83">
        <v>1849</v>
      </c>
      <c r="Z228" s="30">
        <f t="shared" si="6"/>
        <v>116098710</v>
      </c>
      <c r="AA228" s="31">
        <f t="shared" si="7"/>
        <v>55</v>
      </c>
      <c r="AB228" s="32">
        <v>3.2500000000000001E-2</v>
      </c>
      <c r="AC228" s="32">
        <v>5.0500000000000003E-2</v>
      </c>
      <c r="AD228" s="33">
        <f t="shared" si="8"/>
        <v>0.49519652149531557</v>
      </c>
      <c r="AE228" s="34">
        <f t="shared" si="9"/>
        <v>0.21951903176397852</v>
      </c>
      <c r="AF228" s="33">
        <f t="shared" si="10"/>
        <v>0.47949482511985159</v>
      </c>
      <c r="AG228" s="33">
        <f t="shared" si="11"/>
        <v>1.1365024216506304E-3</v>
      </c>
      <c r="AH228" s="35">
        <f t="shared" si="12"/>
        <v>4.094104038523553</v>
      </c>
      <c r="AI228" s="36">
        <f t="shared" si="13"/>
        <v>6.5786813331360019</v>
      </c>
      <c r="AJ228" s="23"/>
      <c r="AK228" s="23"/>
      <c r="AL228" s="44"/>
      <c r="AM228" s="44"/>
      <c r="AN228" s="44"/>
      <c r="AO228" s="44"/>
      <c r="AP228" s="44"/>
      <c r="AQ228" s="44"/>
      <c r="AR228" s="44"/>
    </row>
    <row r="229" spans="1:44" ht="16.8">
      <c r="A229" s="17" t="s">
        <v>580</v>
      </c>
      <c r="B229" s="18">
        <v>87</v>
      </c>
      <c r="C229" s="1" t="s">
        <v>581</v>
      </c>
      <c r="D229" s="19" t="s">
        <v>582</v>
      </c>
      <c r="E229" s="20" t="s">
        <v>39</v>
      </c>
      <c r="F229" s="21">
        <v>1976</v>
      </c>
      <c r="G229" s="40">
        <v>2021</v>
      </c>
      <c r="H229" s="23">
        <v>17852661109</v>
      </c>
      <c r="I229" s="23">
        <v>73616607621</v>
      </c>
      <c r="J229" s="23">
        <v>21706712688</v>
      </c>
      <c r="K229" s="23">
        <f>(J229+14284500221)/2</f>
        <v>17995606454.5</v>
      </c>
      <c r="L229" s="23">
        <v>10594712688</v>
      </c>
      <c r="M229" s="23">
        <v>51909894933</v>
      </c>
      <c r="N229" s="23">
        <v>49052806641</v>
      </c>
      <c r="O229" s="25">
        <f t="shared" si="0"/>
        <v>7257948421</v>
      </c>
      <c r="P229" s="23">
        <v>5223941581</v>
      </c>
      <c r="Q229" s="23">
        <f>5016135082+6841365770</f>
        <v>11857500852</v>
      </c>
      <c r="R229" s="25">
        <f t="shared" si="1"/>
        <v>37195305789</v>
      </c>
      <c r="S229" s="26">
        <f t="shared" si="2"/>
        <v>0.29486162687300882</v>
      </c>
      <c r="T229" s="27">
        <f t="shared" si="3"/>
        <v>1.6850538221032314</v>
      </c>
      <c r="U229" s="26">
        <f t="shared" si="4"/>
        <v>25.022136484251238</v>
      </c>
      <c r="V229" s="26">
        <f t="shared" si="5"/>
        <v>2.7258212589292206</v>
      </c>
      <c r="W229" s="83" t="s">
        <v>583</v>
      </c>
      <c r="X229" s="29">
        <v>27510</v>
      </c>
      <c r="Y229" s="83">
        <v>100</v>
      </c>
      <c r="Z229" s="30">
        <f t="shared" si="6"/>
        <v>2751000</v>
      </c>
      <c r="AA229" s="31">
        <f t="shared" si="7"/>
        <v>45</v>
      </c>
      <c r="AB229" s="32">
        <v>1.84E-2</v>
      </c>
      <c r="AC229" s="32">
        <v>2.58E-2</v>
      </c>
      <c r="AD229" s="33">
        <f t="shared" si="8"/>
        <v>9.8591182826109819E-2</v>
      </c>
      <c r="AE229" s="34">
        <f t="shared" si="9"/>
        <v>7.0961454892004686E-2</v>
      </c>
      <c r="AF229" s="33">
        <f t="shared" si="10"/>
        <v>0.50525699283091663</v>
      </c>
      <c r="AG229" s="33">
        <f t="shared" si="11"/>
        <v>1.2673498928839741E-4</v>
      </c>
      <c r="AH229" s="35">
        <f t="shared" si="12"/>
        <v>2.2597989546393906</v>
      </c>
      <c r="AI229" s="36">
        <f t="shared" si="13"/>
        <v>4.144878528215127</v>
      </c>
      <c r="AJ229" s="23"/>
      <c r="AK229" s="23"/>
      <c r="AL229" s="44"/>
      <c r="AM229" s="44"/>
      <c r="AN229" s="44"/>
      <c r="AO229" s="44"/>
      <c r="AP229" s="44"/>
      <c r="AQ229" s="44"/>
      <c r="AR229" s="44"/>
    </row>
    <row r="230" spans="1:44" ht="16.8">
      <c r="A230" s="17" t="s">
        <v>584</v>
      </c>
      <c r="B230" s="18"/>
      <c r="C230" s="1" t="s">
        <v>581</v>
      </c>
      <c r="D230" s="19" t="s">
        <v>582</v>
      </c>
      <c r="E230" s="20" t="s">
        <v>39</v>
      </c>
      <c r="F230" s="21">
        <v>1976</v>
      </c>
      <c r="G230" s="40">
        <v>2022</v>
      </c>
      <c r="H230" s="23">
        <v>11738465947</v>
      </c>
      <c r="I230" s="23">
        <v>82581931965</v>
      </c>
      <c r="J230" s="23">
        <v>48796932232</v>
      </c>
      <c r="K230" s="23">
        <f t="shared" ref="K230:K231" si="60">(J230+J229)/2</f>
        <v>35251822460</v>
      </c>
      <c r="L230" s="23">
        <v>13987526352</v>
      </c>
      <c r="M230" s="23">
        <v>33784999733</v>
      </c>
      <c r="N230" s="23">
        <v>21823025145</v>
      </c>
      <c r="O230" s="25">
        <f t="shared" si="0"/>
        <v>-2249060405</v>
      </c>
      <c r="P230" s="23">
        <v>-15638029440</v>
      </c>
      <c r="Q230" s="23">
        <f>4227360636+20690175715</f>
        <v>24917536351</v>
      </c>
      <c r="R230" s="25">
        <f t="shared" si="1"/>
        <v>-3094511206</v>
      </c>
      <c r="S230" s="26">
        <f t="shared" si="2"/>
        <v>0.59089114375141027</v>
      </c>
      <c r="T230" s="27">
        <f t="shared" si="3"/>
        <v>0.83920956798208857</v>
      </c>
      <c r="U230" s="26">
        <f t="shared" si="4"/>
        <v>25.137056752202142</v>
      </c>
      <c r="V230" s="26">
        <f t="shared" si="5"/>
        <v>0.61906090585139073</v>
      </c>
      <c r="W230" s="83" t="s">
        <v>585</v>
      </c>
      <c r="X230" s="29">
        <v>14000</v>
      </c>
      <c r="Y230" s="83">
        <v>0</v>
      </c>
      <c r="Z230" s="30">
        <f t="shared" si="6"/>
        <v>0</v>
      </c>
      <c r="AA230" s="31">
        <f t="shared" si="7"/>
        <v>46</v>
      </c>
      <c r="AB230" s="32">
        <v>3.15E-2</v>
      </c>
      <c r="AC230" s="32">
        <v>8.0199999999999994E-2</v>
      </c>
      <c r="AD230" s="33">
        <f t="shared" si="8"/>
        <v>-2.7234291466482041E-2</v>
      </c>
      <c r="AE230" s="34">
        <f t="shared" si="9"/>
        <v>-0.18936381200948088</v>
      </c>
      <c r="AF230" s="33">
        <f t="shared" si="10"/>
        <v>-3.7472012731689548E-2</v>
      </c>
      <c r="AG230" s="33">
        <f t="shared" si="11"/>
        <v>0</v>
      </c>
      <c r="AH230" s="35">
        <f t="shared" si="12"/>
        <v>0.44722125237801158</v>
      </c>
      <c r="AI230" s="36">
        <f t="shared" si="13"/>
        <v>2.5773123790384433E-2</v>
      </c>
      <c r="AJ230" s="23"/>
      <c r="AK230" s="23"/>
      <c r="AL230" s="44"/>
      <c r="AM230" s="44"/>
      <c r="AN230" s="44"/>
      <c r="AO230" s="44"/>
      <c r="AP230" s="44"/>
      <c r="AQ230" s="44"/>
      <c r="AR230" s="44"/>
    </row>
    <row r="231" spans="1:44" ht="16.8">
      <c r="A231" s="17" t="s">
        <v>586</v>
      </c>
      <c r="B231" s="18"/>
      <c r="C231" s="1" t="s">
        <v>581</v>
      </c>
      <c r="D231" s="19" t="s">
        <v>582</v>
      </c>
      <c r="E231" s="20" t="s">
        <v>39</v>
      </c>
      <c r="F231" s="21">
        <v>1976</v>
      </c>
      <c r="G231" s="40">
        <v>2023</v>
      </c>
      <c r="H231" s="23">
        <v>8698491072</v>
      </c>
      <c r="I231" s="23">
        <v>74763283044</v>
      </c>
      <c r="J231" s="23">
        <v>48312262589</v>
      </c>
      <c r="K231" s="23">
        <f t="shared" si="60"/>
        <v>48554597410.5</v>
      </c>
      <c r="L231" s="23">
        <v>15202042005</v>
      </c>
      <c r="M231" s="23">
        <v>26451020455</v>
      </c>
      <c r="N231" s="23">
        <v>30210112178</v>
      </c>
      <c r="O231" s="25">
        <f t="shared" si="0"/>
        <v>-6503550933</v>
      </c>
      <c r="P231" s="23">
        <v>-7333979278</v>
      </c>
      <c r="Q231" s="23">
        <f>8162253097+4095207089</f>
        <v>12257460186</v>
      </c>
      <c r="R231" s="25">
        <f t="shared" si="1"/>
        <v>17952651992</v>
      </c>
      <c r="S231" s="26">
        <f t="shared" si="2"/>
        <v>0.64620306415071505</v>
      </c>
      <c r="T231" s="27">
        <f t="shared" si="3"/>
        <v>0.57219227976998344</v>
      </c>
      <c r="U231" s="26">
        <f t="shared" si="4"/>
        <v>25.037592733015789</v>
      </c>
      <c r="V231" s="26">
        <f t="shared" si="5"/>
        <v>0.6221885009691589</v>
      </c>
      <c r="W231" s="83" t="s">
        <v>587</v>
      </c>
      <c r="X231" s="29">
        <v>12700</v>
      </c>
      <c r="Y231" s="83">
        <v>0</v>
      </c>
      <c r="Z231" s="30">
        <f t="shared" si="6"/>
        <v>0</v>
      </c>
      <c r="AA231" s="31">
        <f t="shared" si="7"/>
        <v>47</v>
      </c>
      <c r="AB231" s="32">
        <v>3.2500000000000001E-2</v>
      </c>
      <c r="AC231" s="32">
        <v>5.0500000000000003E-2</v>
      </c>
      <c r="AD231" s="33">
        <f t="shared" si="8"/>
        <v>-8.6988568027068891E-2</v>
      </c>
      <c r="AE231" s="34">
        <f t="shared" si="9"/>
        <v>-9.8096003538043874E-2</v>
      </c>
      <c r="AF231" s="33">
        <f t="shared" si="10"/>
        <v>0.24012658702313047</v>
      </c>
      <c r="AG231" s="33">
        <f t="shared" si="11"/>
        <v>0</v>
      </c>
      <c r="AH231" s="35">
        <f t="shared" si="12"/>
        <v>0.62530940508835542</v>
      </c>
      <c r="AI231" s="36">
        <f t="shared" si="13"/>
        <v>1.1760064556789418</v>
      </c>
      <c r="AJ231" s="23"/>
      <c r="AK231" s="23"/>
      <c r="AL231" s="44"/>
      <c r="AM231" s="44"/>
      <c r="AN231" s="44"/>
      <c r="AO231" s="44"/>
      <c r="AP231" s="44"/>
      <c r="AQ231" s="44"/>
      <c r="AR231" s="44"/>
    </row>
    <row r="232" spans="1:44" ht="16.8">
      <c r="A232" s="45"/>
      <c r="B232" s="45">
        <v>88</v>
      </c>
      <c r="C232" s="45" t="s">
        <v>588</v>
      </c>
      <c r="D232" s="46" t="s">
        <v>589</v>
      </c>
      <c r="E232" s="47" t="s">
        <v>39</v>
      </c>
      <c r="F232" s="48"/>
      <c r="G232" s="48">
        <v>2021</v>
      </c>
      <c r="H232" s="49"/>
      <c r="I232" s="49"/>
      <c r="J232" s="49"/>
      <c r="K232" s="49"/>
      <c r="L232" s="49"/>
      <c r="M232" s="49"/>
      <c r="N232" s="49"/>
      <c r="O232" s="49">
        <f t="shared" si="0"/>
        <v>0</v>
      </c>
      <c r="P232" s="49"/>
      <c r="Q232" s="49"/>
      <c r="R232" s="49">
        <f t="shared" si="1"/>
        <v>0</v>
      </c>
      <c r="S232" s="50" t="e">
        <f t="shared" si="2"/>
        <v>#DIV/0!</v>
      </c>
      <c r="T232" s="51" t="e">
        <f t="shared" si="3"/>
        <v>#DIV/0!</v>
      </c>
      <c r="U232" s="50" t="e">
        <f t="shared" si="4"/>
        <v>#NUM!</v>
      </c>
      <c r="V232" s="50" t="e">
        <f t="shared" si="5"/>
        <v>#DIV/0!</v>
      </c>
      <c r="W232" s="52"/>
      <c r="X232" s="53">
        <v>0</v>
      </c>
      <c r="Y232" s="52"/>
      <c r="Z232" s="55">
        <f t="shared" si="6"/>
        <v>0</v>
      </c>
      <c r="AA232" s="48">
        <f t="shared" si="7"/>
        <v>2021</v>
      </c>
      <c r="AB232" s="49"/>
      <c r="AC232" s="49"/>
      <c r="AD232" s="50" t="e">
        <f t="shared" si="8"/>
        <v>#DIV/0!</v>
      </c>
      <c r="AE232" s="56" t="e">
        <f t="shared" si="9"/>
        <v>#DIV/0!</v>
      </c>
      <c r="AF232" s="50" t="e">
        <f t="shared" si="10"/>
        <v>#DIV/0!</v>
      </c>
      <c r="AG232" s="50" t="e">
        <f t="shared" si="11"/>
        <v>#DIV/0!</v>
      </c>
      <c r="AH232" s="57" t="e">
        <f t="shared" si="12"/>
        <v>#DIV/0!</v>
      </c>
      <c r="AI232" s="58" t="e">
        <f t="shared" si="13"/>
        <v>#DIV/0!</v>
      </c>
      <c r="AJ232" s="49"/>
      <c r="AK232" s="49"/>
      <c r="AL232" s="59"/>
      <c r="AM232" s="59"/>
      <c r="AN232" s="59"/>
      <c r="AO232" s="59"/>
      <c r="AP232" s="59"/>
      <c r="AQ232" s="59"/>
      <c r="AR232" s="59"/>
    </row>
    <row r="233" spans="1:44" ht="16.8">
      <c r="A233" s="17" t="s">
        <v>590</v>
      </c>
      <c r="B233" s="18">
        <v>89</v>
      </c>
      <c r="C233" s="1" t="s">
        <v>591</v>
      </c>
      <c r="D233" s="19" t="s">
        <v>592</v>
      </c>
      <c r="E233" s="20" t="s">
        <v>39</v>
      </c>
      <c r="F233" s="21">
        <v>1983</v>
      </c>
      <c r="G233" s="40">
        <v>2021</v>
      </c>
      <c r="H233" s="23">
        <v>131226935765</v>
      </c>
      <c r="I233" s="23">
        <v>373935346127</v>
      </c>
      <c r="J233" s="23">
        <v>13488800954</v>
      </c>
      <c r="K233" s="23">
        <f>(J233+17637629085)/2</f>
        <v>15563215019.5</v>
      </c>
      <c r="L233" s="23">
        <v>10169771547</v>
      </c>
      <c r="M233" s="23">
        <v>360446545173</v>
      </c>
      <c r="N233" s="23">
        <v>38509307722</v>
      </c>
      <c r="O233" s="25">
        <f t="shared" si="0"/>
        <v>121057164218</v>
      </c>
      <c r="P233" s="23">
        <v>44998236267</v>
      </c>
      <c r="Q233" s="23">
        <f>448676538+2775289473</f>
        <v>3223966011</v>
      </c>
      <c r="R233" s="25">
        <f t="shared" si="1"/>
        <v>35285341711</v>
      </c>
      <c r="S233" s="26">
        <f t="shared" si="2"/>
        <v>3.607254862026011E-2</v>
      </c>
      <c r="T233" s="27">
        <f t="shared" si="3"/>
        <v>12.903626709659067</v>
      </c>
      <c r="U233" s="26">
        <f t="shared" si="4"/>
        <v>26.647348748098793</v>
      </c>
      <c r="V233" s="26">
        <f t="shared" si="5"/>
        <v>2.4743799834256346</v>
      </c>
      <c r="W233" s="87">
        <v>45700</v>
      </c>
      <c r="X233" s="42">
        <v>12200</v>
      </c>
      <c r="Y233" s="83">
        <v>1417140</v>
      </c>
      <c r="Z233" s="30">
        <f t="shared" si="6"/>
        <v>17289108000</v>
      </c>
      <c r="AA233" s="31">
        <f t="shared" si="7"/>
        <v>38</v>
      </c>
      <c r="AB233" s="32">
        <v>1.84E-2</v>
      </c>
      <c r="AC233" s="32">
        <v>2.58E-2</v>
      </c>
      <c r="AD233" s="33">
        <f t="shared" si="8"/>
        <v>0.32373822232061811</v>
      </c>
      <c r="AE233" s="34">
        <f t="shared" si="9"/>
        <v>0.12033694255722273</v>
      </c>
      <c r="AF233" s="33">
        <f t="shared" si="10"/>
        <v>9.4362145960430299E-2</v>
      </c>
      <c r="AG233" s="33">
        <f t="shared" si="11"/>
        <v>1.2817379438661705</v>
      </c>
      <c r="AH233" s="35">
        <f t="shared" si="12"/>
        <v>2.8549096286116047</v>
      </c>
      <c r="AI233" s="36">
        <f t="shared" si="13"/>
        <v>4.4923050629655803</v>
      </c>
      <c r="AJ233" s="23"/>
      <c r="AK233" s="23"/>
      <c r="AL233" s="44"/>
      <c r="AM233" s="44"/>
      <c r="AN233" s="44"/>
      <c r="AO233" s="44"/>
      <c r="AP233" s="44"/>
      <c r="AQ233" s="44"/>
      <c r="AR233" s="44"/>
    </row>
    <row r="234" spans="1:44" ht="16.8">
      <c r="A234" s="17" t="s">
        <v>593</v>
      </c>
      <c r="B234" s="18"/>
      <c r="C234" s="1" t="s">
        <v>591</v>
      </c>
      <c r="D234" s="19" t="s">
        <v>592</v>
      </c>
      <c r="E234" s="20" t="s">
        <v>39</v>
      </c>
      <c r="F234" s="21">
        <v>1983</v>
      </c>
      <c r="G234" s="40">
        <v>2022</v>
      </c>
      <c r="H234" s="23">
        <v>27448215531</v>
      </c>
      <c r="I234" s="23">
        <v>413008129901</v>
      </c>
      <c r="J234" s="23">
        <v>17349241699</v>
      </c>
      <c r="K234" s="23">
        <f t="shared" ref="K234:K235" si="61">(J233+J234)/2</f>
        <v>15419021326.5</v>
      </c>
      <c r="L234" s="23">
        <v>17349241699</v>
      </c>
      <c r="M234" s="23">
        <v>395658888202</v>
      </c>
      <c r="N234" s="23">
        <v>49839284204</v>
      </c>
      <c r="O234" s="25">
        <f t="shared" si="0"/>
        <v>10098973832</v>
      </c>
      <c r="P234" s="23">
        <v>31939937157</v>
      </c>
      <c r="Q234" s="23">
        <f>243606275+3905833670</f>
        <v>4149439945</v>
      </c>
      <c r="R234" s="25">
        <f t="shared" si="1"/>
        <v>45689844259</v>
      </c>
      <c r="S234" s="26">
        <f t="shared" si="2"/>
        <v>4.2007022242295071E-2</v>
      </c>
      <c r="T234" s="27">
        <f t="shared" si="3"/>
        <v>1.5820988609883797</v>
      </c>
      <c r="U234" s="26">
        <f t="shared" si="4"/>
        <v>26.746733114704011</v>
      </c>
      <c r="V234" s="26">
        <f t="shared" si="5"/>
        <v>3.2323247467297676</v>
      </c>
      <c r="W234" s="87">
        <v>45720</v>
      </c>
      <c r="X234" s="42">
        <v>4300</v>
      </c>
      <c r="Y234" s="83">
        <v>40057</v>
      </c>
      <c r="Z234" s="30">
        <f t="shared" si="6"/>
        <v>172245100</v>
      </c>
      <c r="AA234" s="31">
        <f t="shared" si="7"/>
        <v>39</v>
      </c>
      <c r="AB234" s="32">
        <v>3.15E-2</v>
      </c>
      <c r="AC234" s="32">
        <v>8.0199999999999994E-2</v>
      </c>
      <c r="AD234" s="33">
        <f t="shared" si="8"/>
        <v>2.4452239800753492E-2</v>
      </c>
      <c r="AE234" s="34">
        <f t="shared" si="9"/>
        <v>7.7334887244607395E-2</v>
      </c>
      <c r="AF234" s="33">
        <f t="shared" si="10"/>
        <v>0.11062698516359006</v>
      </c>
      <c r="AG234" s="33">
        <f t="shared" si="11"/>
        <v>9.9281053886019766E-3</v>
      </c>
      <c r="AH234" s="35">
        <f t="shared" si="12"/>
        <v>2.8727067769695496</v>
      </c>
      <c r="AI234" s="36">
        <f t="shared" si="13"/>
        <v>3.3813442211459126</v>
      </c>
      <c r="AJ234" s="23"/>
      <c r="AK234" s="23"/>
      <c r="AL234" s="44"/>
      <c r="AM234" s="44"/>
      <c r="AN234" s="44"/>
      <c r="AO234" s="44"/>
      <c r="AP234" s="44"/>
      <c r="AQ234" s="44"/>
      <c r="AR234" s="44"/>
    </row>
    <row r="235" spans="1:44" ht="16.8">
      <c r="A235" s="17" t="s">
        <v>594</v>
      </c>
      <c r="B235" s="18"/>
      <c r="C235" s="1" t="s">
        <v>591</v>
      </c>
      <c r="D235" s="19" t="s">
        <v>592</v>
      </c>
      <c r="E235" s="20" t="s">
        <v>39</v>
      </c>
      <c r="F235" s="21">
        <v>1983</v>
      </c>
      <c r="G235" s="40">
        <v>2023</v>
      </c>
      <c r="H235" s="23">
        <v>56427409537</v>
      </c>
      <c r="I235" s="23">
        <v>422473047239</v>
      </c>
      <c r="J235" s="23">
        <v>25334538754</v>
      </c>
      <c r="K235" s="23">
        <f t="shared" si="61"/>
        <v>21341890226.5</v>
      </c>
      <c r="L235" s="23">
        <v>25319254936</v>
      </c>
      <c r="M235" s="23">
        <v>397138508485</v>
      </c>
      <c r="N235" s="23">
        <v>53678207947</v>
      </c>
      <c r="O235" s="25">
        <f t="shared" si="0"/>
        <v>31108154601</v>
      </c>
      <c r="P235" s="23">
        <v>1543965229</v>
      </c>
      <c r="Q235" s="23">
        <f>534764730+5982414236</f>
        <v>6517178966</v>
      </c>
      <c r="R235" s="25">
        <f t="shared" si="1"/>
        <v>47161028981</v>
      </c>
      <c r="S235" s="26">
        <f t="shared" si="2"/>
        <v>5.9967230855481848E-2</v>
      </c>
      <c r="T235" s="27">
        <f t="shared" si="3"/>
        <v>2.2286362564630249</v>
      </c>
      <c r="U235" s="26">
        <f t="shared" si="4"/>
        <v>26.769391488191587</v>
      </c>
      <c r="V235" s="26">
        <f t="shared" si="5"/>
        <v>2.5151571569957909</v>
      </c>
      <c r="W235" s="87">
        <v>45903</v>
      </c>
      <c r="X235" s="42">
        <v>3900</v>
      </c>
      <c r="Y235" s="83">
        <v>35810</v>
      </c>
      <c r="Z235" s="30">
        <f t="shared" si="6"/>
        <v>139659000</v>
      </c>
      <c r="AA235" s="31">
        <f t="shared" si="7"/>
        <v>40</v>
      </c>
      <c r="AB235" s="32">
        <v>3.2500000000000001E-2</v>
      </c>
      <c r="AC235" s="32">
        <v>5.0500000000000003E-2</v>
      </c>
      <c r="AD235" s="33">
        <f t="shared" si="8"/>
        <v>7.3633465624143357E-2</v>
      </c>
      <c r="AE235" s="34">
        <f t="shared" si="9"/>
        <v>3.6545887106652587E-3</v>
      </c>
      <c r="AF235" s="33">
        <f t="shared" si="10"/>
        <v>0.11163085855822709</v>
      </c>
      <c r="AG235" s="33">
        <f t="shared" si="11"/>
        <v>5.5125929607836108E-3</v>
      </c>
      <c r="AH235" s="35">
        <f t="shared" si="12"/>
        <v>2.118775813059746</v>
      </c>
      <c r="AI235" s="36">
        <f t="shared" si="13"/>
        <v>2.5839417850222688</v>
      </c>
      <c r="AJ235" s="23"/>
      <c r="AK235" s="23"/>
      <c r="AL235" s="44"/>
      <c r="AM235" s="44"/>
      <c r="AN235" s="44"/>
      <c r="AO235" s="44"/>
      <c r="AP235" s="44"/>
      <c r="AQ235" s="44"/>
      <c r="AR235" s="44"/>
    </row>
    <row r="236" spans="1:44" ht="16.8">
      <c r="A236" s="17" t="s">
        <v>595</v>
      </c>
      <c r="B236" s="18">
        <v>90</v>
      </c>
      <c r="C236" s="1" t="s">
        <v>596</v>
      </c>
      <c r="D236" s="19" t="s">
        <v>597</v>
      </c>
      <c r="E236" s="20" t="s">
        <v>39</v>
      </c>
      <c r="F236" s="21">
        <v>1995</v>
      </c>
      <c r="G236" s="40">
        <v>2021</v>
      </c>
      <c r="H236" s="23">
        <v>390463825564</v>
      </c>
      <c r="I236" s="23">
        <v>533806023096</v>
      </c>
      <c r="J236" s="23">
        <v>16604251221</v>
      </c>
      <c r="K236" s="23">
        <f>(J236+18819792381)/2</f>
        <v>17712021801</v>
      </c>
      <c r="L236" s="23">
        <v>16604251221</v>
      </c>
      <c r="M236" s="23">
        <v>517201771875</v>
      </c>
      <c r="N236" s="23">
        <v>87066769364</v>
      </c>
      <c r="O236" s="25">
        <f t="shared" si="0"/>
        <v>373859574343</v>
      </c>
      <c r="P236" s="23">
        <v>54175980515</v>
      </c>
      <c r="Q236" s="23">
        <v>16950799841</v>
      </c>
      <c r="R236" s="25">
        <f t="shared" si="1"/>
        <v>70115969523</v>
      </c>
      <c r="S236" s="26">
        <f t="shared" si="2"/>
        <v>3.1105402529363894E-2</v>
      </c>
      <c r="T236" s="27">
        <f t="shared" si="3"/>
        <v>23.515894837230974</v>
      </c>
      <c r="U236" s="26">
        <f t="shared" si="4"/>
        <v>27.003298357285175</v>
      </c>
      <c r="V236" s="26">
        <f t="shared" si="5"/>
        <v>4.9156877934219976</v>
      </c>
      <c r="W236" s="83" t="s">
        <v>598</v>
      </c>
      <c r="X236" s="29">
        <v>16400</v>
      </c>
      <c r="Y236" s="83">
        <v>122080</v>
      </c>
      <c r="Z236" s="30">
        <f t="shared" si="6"/>
        <v>2002112000</v>
      </c>
      <c r="AA236" s="31">
        <f t="shared" si="7"/>
        <v>26</v>
      </c>
      <c r="AB236" s="32">
        <v>1.84E-2</v>
      </c>
      <c r="AC236" s="32">
        <v>2.58E-2</v>
      </c>
      <c r="AD236" s="33">
        <f t="shared" si="8"/>
        <v>0.7003659722208958</v>
      </c>
      <c r="AE236" s="34">
        <f t="shared" si="9"/>
        <v>0.10149001354609474</v>
      </c>
      <c r="AF236" s="33">
        <f t="shared" si="10"/>
        <v>0.13135102731950685</v>
      </c>
      <c r="AG236" s="33">
        <f t="shared" si="11"/>
        <v>0.1205782768131005</v>
      </c>
      <c r="AH236" s="35">
        <f t="shared" si="12"/>
        <v>5.2436432215554225</v>
      </c>
      <c r="AI236" s="36">
        <f t="shared" si="13"/>
        <v>6.7319737634272627</v>
      </c>
      <c r="AJ236" s="23" t="s">
        <v>85</v>
      </c>
      <c r="AK236" s="23"/>
      <c r="AL236" s="44"/>
      <c r="AM236" s="44"/>
      <c r="AN236" s="44"/>
      <c r="AO236" s="44"/>
      <c r="AP236" s="44"/>
      <c r="AQ236" s="44"/>
      <c r="AR236" s="44"/>
    </row>
    <row r="237" spans="1:44" ht="16.8">
      <c r="A237" s="17" t="s">
        <v>599</v>
      </c>
      <c r="B237" s="18"/>
      <c r="C237" s="1" t="s">
        <v>596</v>
      </c>
      <c r="D237" s="19" t="s">
        <v>597</v>
      </c>
      <c r="E237" s="20" t="s">
        <v>39</v>
      </c>
      <c r="F237" s="21">
        <v>1995</v>
      </c>
      <c r="G237" s="40">
        <v>2022</v>
      </c>
      <c r="H237" s="23">
        <v>130725367325</v>
      </c>
      <c r="I237" s="23">
        <v>585768817276</v>
      </c>
      <c r="J237" s="23">
        <v>22576008960</v>
      </c>
      <c r="K237" s="23">
        <f t="shared" ref="K237:K238" si="62">(J237+J236)/2</f>
        <v>19590130090.5</v>
      </c>
      <c r="L237" s="23">
        <v>22576008960</v>
      </c>
      <c r="M237" s="23">
        <v>563192808316</v>
      </c>
      <c r="N237" s="23">
        <v>107826401367</v>
      </c>
      <c r="O237" s="25">
        <f t="shared" si="0"/>
        <v>108149358365</v>
      </c>
      <c r="P237" s="23">
        <v>34644925329</v>
      </c>
      <c r="Q237" s="23">
        <v>18226447772</v>
      </c>
      <c r="R237" s="25">
        <f t="shared" si="1"/>
        <v>89599953595</v>
      </c>
      <c r="S237" s="26">
        <f t="shared" si="2"/>
        <v>3.8540817288610862E-2</v>
      </c>
      <c r="T237" s="27">
        <f t="shared" si="3"/>
        <v>5.7904551489423222</v>
      </c>
      <c r="U237" s="26">
        <f t="shared" si="4"/>
        <v>27.096191038916054</v>
      </c>
      <c r="V237" s="26">
        <f t="shared" si="5"/>
        <v>5.5041187000227794</v>
      </c>
      <c r="W237" s="83" t="s">
        <v>600</v>
      </c>
      <c r="X237" s="29">
        <v>6870</v>
      </c>
      <c r="Y237" s="83">
        <v>417090</v>
      </c>
      <c r="Z237" s="30">
        <f t="shared" si="6"/>
        <v>2865408300</v>
      </c>
      <c r="AA237" s="31">
        <f t="shared" si="7"/>
        <v>27</v>
      </c>
      <c r="AB237" s="32">
        <v>3.15E-2</v>
      </c>
      <c r="AC237" s="32">
        <v>8.0199999999999994E-2</v>
      </c>
      <c r="AD237" s="33">
        <f t="shared" si="8"/>
        <v>0.18462805662467119</v>
      </c>
      <c r="AE237" s="34">
        <f t="shared" si="9"/>
        <v>5.914436601475178E-2</v>
      </c>
      <c r="AF237" s="33">
        <f t="shared" si="10"/>
        <v>0.15296128942415638</v>
      </c>
      <c r="AG237" s="33">
        <f t="shared" si="11"/>
        <v>0.12692271273797368</v>
      </c>
      <c r="AH237" s="35">
        <f t="shared" si="12"/>
        <v>4.7761498304703007</v>
      </c>
      <c r="AI237" s="36">
        <f t="shared" si="13"/>
        <v>5.6614314935830592</v>
      </c>
      <c r="AJ237" s="23" t="s">
        <v>85</v>
      </c>
      <c r="AK237" s="23"/>
      <c r="AL237" s="44"/>
      <c r="AM237" s="44"/>
      <c r="AN237" s="44"/>
      <c r="AO237" s="44"/>
      <c r="AP237" s="44"/>
      <c r="AQ237" s="44"/>
      <c r="AR237" s="44"/>
    </row>
    <row r="238" spans="1:44" ht="16.8">
      <c r="A238" s="17" t="s">
        <v>601</v>
      </c>
      <c r="B238" s="18"/>
      <c r="C238" s="1" t="s">
        <v>596</v>
      </c>
      <c r="D238" s="19" t="s">
        <v>597</v>
      </c>
      <c r="E238" s="20" t="s">
        <v>39</v>
      </c>
      <c r="F238" s="21">
        <v>1995</v>
      </c>
      <c r="G238" s="40">
        <v>2023</v>
      </c>
      <c r="H238" s="23">
        <v>515083442852</v>
      </c>
      <c r="I238" s="23">
        <v>984595728765</v>
      </c>
      <c r="J238" s="23">
        <v>144453685848</v>
      </c>
      <c r="K238" s="23">
        <f t="shared" si="62"/>
        <v>83514847404</v>
      </c>
      <c r="L238" s="23">
        <v>144453685848</v>
      </c>
      <c r="M238" s="23">
        <v>840142042917</v>
      </c>
      <c r="N238" s="23">
        <v>410675541794</v>
      </c>
      <c r="O238" s="25">
        <f t="shared" si="0"/>
        <v>370629757004</v>
      </c>
      <c r="P238" s="23">
        <v>56006401601</v>
      </c>
      <c r="Q238" s="23">
        <v>14739065976</v>
      </c>
      <c r="R238" s="25">
        <f t="shared" si="1"/>
        <v>395936475818</v>
      </c>
      <c r="S238" s="26">
        <f t="shared" si="2"/>
        <v>0.14671370353108421</v>
      </c>
      <c r="T238" s="27">
        <f t="shared" si="3"/>
        <v>3.5657341647480814</v>
      </c>
      <c r="U238" s="26">
        <f t="shared" si="4"/>
        <v>27.615496966220274</v>
      </c>
      <c r="V238" s="26">
        <f t="shared" si="5"/>
        <v>4.9173955836543914</v>
      </c>
      <c r="W238" s="83" t="s">
        <v>602</v>
      </c>
      <c r="X238" s="29">
        <v>12350</v>
      </c>
      <c r="Y238" s="83">
        <v>293524</v>
      </c>
      <c r="Z238" s="30">
        <f t="shared" si="6"/>
        <v>3625021400</v>
      </c>
      <c r="AA238" s="31">
        <f t="shared" si="7"/>
        <v>28</v>
      </c>
      <c r="AB238" s="32">
        <v>3.2500000000000001E-2</v>
      </c>
      <c r="AC238" s="32">
        <v>5.0500000000000003E-2</v>
      </c>
      <c r="AD238" s="33">
        <f t="shared" si="8"/>
        <v>0.37642836158642395</v>
      </c>
      <c r="AE238" s="34">
        <f t="shared" si="9"/>
        <v>5.6882637172568334E-2</v>
      </c>
      <c r="AF238" s="33">
        <f t="shared" si="10"/>
        <v>0.40213101098318982</v>
      </c>
      <c r="AG238" s="33">
        <f t="shared" si="11"/>
        <v>2.5094696467727336E-2</v>
      </c>
      <c r="AH238" s="35">
        <f t="shared" si="12"/>
        <v>2.8429564769024265</v>
      </c>
      <c r="AI238" s="36">
        <f t="shared" si="13"/>
        <v>4.7163953569728942</v>
      </c>
      <c r="AJ238" s="23" t="s">
        <v>85</v>
      </c>
      <c r="AK238" s="23"/>
      <c r="AL238" s="44"/>
      <c r="AM238" s="44"/>
      <c r="AN238" s="44"/>
      <c r="AO238" s="44"/>
      <c r="AP238" s="44"/>
      <c r="AQ238" s="44"/>
      <c r="AR238" s="44"/>
    </row>
    <row r="239" spans="1:44" ht="16.8">
      <c r="A239" s="17" t="s">
        <v>603</v>
      </c>
      <c r="B239" s="18">
        <v>91</v>
      </c>
      <c r="C239" s="1" t="s">
        <v>604</v>
      </c>
      <c r="D239" s="19" t="s">
        <v>605</v>
      </c>
      <c r="E239" s="20" t="s">
        <v>178</v>
      </c>
      <c r="F239" s="21">
        <v>2001</v>
      </c>
      <c r="G239" s="40">
        <v>2021</v>
      </c>
      <c r="H239" s="23">
        <v>85674373947</v>
      </c>
      <c r="I239" s="23">
        <v>109069217469</v>
      </c>
      <c r="J239" s="23">
        <v>63473329494</v>
      </c>
      <c r="K239" s="23">
        <f>(J239+94679866196)/2</f>
        <v>79076597845</v>
      </c>
      <c r="L239" s="23">
        <v>63473329494</v>
      </c>
      <c r="M239" s="23">
        <v>45595887975</v>
      </c>
      <c r="N239" s="23">
        <v>44503990437</v>
      </c>
      <c r="O239" s="25">
        <f t="shared" si="0"/>
        <v>22201044453</v>
      </c>
      <c r="P239" s="23">
        <v>-10127264721</v>
      </c>
      <c r="Q239" s="23">
        <f>3479568151+7053445669</f>
        <v>10533013820</v>
      </c>
      <c r="R239" s="25">
        <f t="shared" si="1"/>
        <v>33970976617</v>
      </c>
      <c r="S239" s="26">
        <f t="shared" si="2"/>
        <v>0.58195456946448332</v>
      </c>
      <c r="T239" s="27">
        <f t="shared" si="3"/>
        <v>1.3497696533328793</v>
      </c>
      <c r="U239" s="26">
        <f t="shared" si="4"/>
        <v>25.415248540285365</v>
      </c>
      <c r="V239" s="26">
        <f t="shared" si="5"/>
        <v>0.56279596808443089</v>
      </c>
      <c r="W239" s="87">
        <v>45848</v>
      </c>
      <c r="X239" s="42">
        <v>10700</v>
      </c>
      <c r="Y239" s="83">
        <v>122003</v>
      </c>
      <c r="Z239" s="30">
        <f t="shared" si="6"/>
        <v>1305432100</v>
      </c>
      <c r="AA239" s="31">
        <f t="shared" si="7"/>
        <v>20</v>
      </c>
      <c r="AB239" s="32">
        <v>1.84E-2</v>
      </c>
      <c r="AC239" s="32">
        <v>2.58E-2</v>
      </c>
      <c r="AD239" s="33">
        <f t="shared" si="8"/>
        <v>0.20355004801707732</v>
      </c>
      <c r="AE239" s="34">
        <f t="shared" si="9"/>
        <v>-9.2851722566712314E-2</v>
      </c>
      <c r="AF239" s="33">
        <f t="shared" si="10"/>
        <v>0.31146255016137198</v>
      </c>
      <c r="AG239" s="33">
        <f t="shared" si="11"/>
        <v>2.0566623972725424E-2</v>
      </c>
      <c r="AH239" s="35">
        <f t="shared" si="12"/>
        <v>0.70114472947581663</v>
      </c>
      <c r="AI239" s="36">
        <f t="shared" si="13"/>
        <v>1.8555787654190747</v>
      </c>
      <c r="AJ239" s="23"/>
      <c r="AK239" s="23"/>
      <c r="AL239" s="44"/>
      <c r="AM239" s="44"/>
      <c r="AN239" s="44"/>
      <c r="AO239" s="44"/>
      <c r="AP239" s="44"/>
      <c r="AQ239" s="44"/>
      <c r="AR239" s="44"/>
    </row>
    <row r="240" spans="1:44" ht="16.8">
      <c r="A240" s="17" t="s">
        <v>606</v>
      </c>
      <c r="B240" s="18"/>
      <c r="C240" s="1" t="s">
        <v>604</v>
      </c>
      <c r="D240" s="19" t="s">
        <v>605</v>
      </c>
      <c r="E240" s="20" t="s">
        <v>178</v>
      </c>
      <c r="F240" s="21">
        <v>2001</v>
      </c>
      <c r="G240" s="40">
        <v>2022</v>
      </c>
      <c r="H240" s="23">
        <v>91867242713</v>
      </c>
      <c r="I240" s="23">
        <v>112473935930</v>
      </c>
      <c r="J240" s="23">
        <v>75663861155</v>
      </c>
      <c r="K240" s="23">
        <f t="shared" ref="K240:K241" si="63">(J240+J239)/2</f>
        <v>69568595324.5</v>
      </c>
      <c r="L240" s="23">
        <v>75663861155</v>
      </c>
      <c r="M240" s="23">
        <f t="shared" ref="M240:M241" si="64">I240-J240</f>
        <v>36810074775</v>
      </c>
      <c r="N240" s="23">
        <v>32351161725</v>
      </c>
      <c r="O240" s="25">
        <f t="shared" si="0"/>
        <v>16203381558</v>
      </c>
      <c r="P240" s="23">
        <v>-7739034786</v>
      </c>
      <c r="Q240" s="23">
        <f>4240823779+4714739753</f>
        <v>8955563532</v>
      </c>
      <c r="R240" s="25">
        <f t="shared" si="1"/>
        <v>23395598193</v>
      </c>
      <c r="S240" s="26">
        <f t="shared" si="2"/>
        <v>0.67272351171288824</v>
      </c>
      <c r="T240" s="27">
        <f t="shared" si="3"/>
        <v>1.21414954656896</v>
      </c>
      <c r="U240" s="26">
        <f t="shared" si="4"/>
        <v>25.445987351126561</v>
      </c>
      <c r="V240" s="26">
        <f t="shared" si="5"/>
        <v>0.46502536919279841</v>
      </c>
      <c r="W240" s="87">
        <v>45902</v>
      </c>
      <c r="X240" s="42">
        <v>2900</v>
      </c>
      <c r="Y240" s="83">
        <v>0</v>
      </c>
      <c r="Z240" s="30">
        <f t="shared" si="6"/>
        <v>0</v>
      </c>
      <c r="AA240" s="31">
        <f t="shared" si="7"/>
        <v>21</v>
      </c>
      <c r="AB240" s="32">
        <v>3.15E-2</v>
      </c>
      <c r="AC240" s="32">
        <v>8.0199999999999994E-2</v>
      </c>
      <c r="AD240" s="33">
        <f t="shared" si="8"/>
        <v>0.14406343499959351</v>
      </c>
      <c r="AE240" s="34">
        <f t="shared" si="9"/>
        <v>-6.8807361652361093E-2</v>
      </c>
      <c r="AF240" s="33">
        <f t="shared" si="10"/>
        <v>0.208009064496157</v>
      </c>
      <c r="AG240" s="33">
        <f t="shared" si="11"/>
        <v>0</v>
      </c>
      <c r="AH240" s="35">
        <f t="shared" si="12"/>
        <v>0.42756424574642765</v>
      </c>
      <c r="AI240" s="36">
        <f t="shared" si="13"/>
        <v>1.1905399742699523</v>
      </c>
      <c r="AJ240" s="23" t="s">
        <v>607</v>
      </c>
      <c r="AK240" s="23"/>
      <c r="AL240" s="44"/>
      <c r="AM240" s="44"/>
      <c r="AN240" s="44"/>
      <c r="AO240" s="44"/>
      <c r="AP240" s="44"/>
      <c r="AQ240" s="44"/>
      <c r="AR240" s="44"/>
    </row>
    <row r="241" spans="1:44" ht="16.8">
      <c r="A241" s="17" t="s">
        <v>608</v>
      </c>
      <c r="B241" s="18"/>
      <c r="C241" s="1" t="s">
        <v>604</v>
      </c>
      <c r="D241" s="19" t="s">
        <v>605</v>
      </c>
      <c r="E241" s="20" t="s">
        <v>178</v>
      </c>
      <c r="F241" s="21">
        <v>2001</v>
      </c>
      <c r="G241" s="40">
        <v>2023</v>
      </c>
      <c r="H241" s="23">
        <v>47403466894</v>
      </c>
      <c r="I241" s="23">
        <v>68470614216</v>
      </c>
      <c r="J241" s="23">
        <v>70147787192</v>
      </c>
      <c r="K241" s="23">
        <f t="shared" si="63"/>
        <v>72905824173.5</v>
      </c>
      <c r="L241" s="23">
        <v>70147787192</v>
      </c>
      <c r="M241" s="23">
        <f t="shared" si="64"/>
        <v>-1677172976</v>
      </c>
      <c r="N241" s="23">
        <v>24943859805</v>
      </c>
      <c r="O241" s="25">
        <f t="shared" si="0"/>
        <v>-22744320298</v>
      </c>
      <c r="P241" s="23">
        <v>-4055809799</v>
      </c>
      <c r="Q241" s="23">
        <f>2864453446+4658729917</f>
        <v>7523183363</v>
      </c>
      <c r="R241" s="25">
        <f t="shared" si="1"/>
        <v>17420676442</v>
      </c>
      <c r="S241" s="26">
        <f t="shared" si="2"/>
        <v>1.0244947850286421</v>
      </c>
      <c r="T241" s="27">
        <f t="shared" si="3"/>
        <v>0.67576567688803912</v>
      </c>
      <c r="U241" s="26">
        <f t="shared" si="4"/>
        <v>24.949670500624805</v>
      </c>
      <c r="V241" s="26">
        <f t="shared" si="5"/>
        <v>0.34213809510799909</v>
      </c>
      <c r="W241" s="87">
        <v>45902</v>
      </c>
      <c r="X241" s="42">
        <v>2900</v>
      </c>
      <c r="Y241" s="83">
        <v>0</v>
      </c>
      <c r="Z241" s="30">
        <f t="shared" si="6"/>
        <v>0</v>
      </c>
      <c r="AA241" s="31">
        <f t="shared" si="7"/>
        <v>22</v>
      </c>
      <c r="AB241" s="32">
        <v>3.2500000000000001E-2</v>
      </c>
      <c r="AC241" s="32">
        <v>5.0500000000000003E-2</v>
      </c>
      <c r="AD241" s="33">
        <f t="shared" si="8"/>
        <v>-0.33217637315549564</v>
      </c>
      <c r="AE241" s="34">
        <f t="shared" si="9"/>
        <v>-5.9234313076342332E-2</v>
      </c>
      <c r="AF241" s="33">
        <f t="shared" si="10"/>
        <v>0.25442559032761225</v>
      </c>
      <c r="AG241" s="33">
        <f t="shared" si="11"/>
        <v>0</v>
      </c>
      <c r="AH241" s="35">
        <f t="shared" si="12"/>
        <v>0.35559011628872478</v>
      </c>
      <c r="AI241" s="36">
        <f t="shared" si="13"/>
        <v>0.7136548782763712</v>
      </c>
      <c r="AJ241" s="23"/>
      <c r="AK241" s="23"/>
      <c r="AL241" s="44"/>
      <c r="AM241" s="44"/>
      <c r="AN241" s="44"/>
      <c r="AO241" s="44"/>
      <c r="AP241" s="44"/>
      <c r="AQ241" s="44"/>
      <c r="AR241" s="44"/>
    </row>
    <row r="242" spans="1:44" ht="16.8">
      <c r="A242" s="45"/>
      <c r="B242" s="45">
        <v>92</v>
      </c>
      <c r="C242" s="45" t="s">
        <v>609</v>
      </c>
      <c r="D242" s="46" t="s">
        <v>610</v>
      </c>
      <c r="E242" s="47" t="s">
        <v>39</v>
      </c>
      <c r="F242" s="48"/>
      <c r="G242" s="48"/>
      <c r="H242" s="49"/>
      <c r="I242" s="49"/>
      <c r="J242" s="49"/>
      <c r="K242" s="49"/>
      <c r="L242" s="49"/>
      <c r="M242" s="49"/>
      <c r="N242" s="49"/>
      <c r="O242" s="49">
        <f t="shared" si="0"/>
        <v>0</v>
      </c>
      <c r="P242" s="49"/>
      <c r="Q242" s="49"/>
      <c r="R242" s="49">
        <f t="shared" si="1"/>
        <v>0</v>
      </c>
      <c r="S242" s="50" t="e">
        <f t="shared" si="2"/>
        <v>#DIV/0!</v>
      </c>
      <c r="T242" s="51" t="e">
        <f t="shared" si="3"/>
        <v>#DIV/0!</v>
      </c>
      <c r="U242" s="50" t="e">
        <f t="shared" si="4"/>
        <v>#NUM!</v>
      </c>
      <c r="V242" s="50" t="e">
        <f t="shared" si="5"/>
        <v>#DIV/0!</v>
      </c>
      <c r="W242" s="52"/>
      <c r="X242" s="53">
        <v>0</v>
      </c>
      <c r="Y242" s="52"/>
      <c r="Z242" s="55">
        <f t="shared" si="6"/>
        <v>0</v>
      </c>
      <c r="AA242" s="48">
        <f t="shared" si="7"/>
        <v>0</v>
      </c>
      <c r="AB242" s="49"/>
      <c r="AC242" s="49"/>
      <c r="AD242" s="50" t="e">
        <f t="shared" si="8"/>
        <v>#DIV/0!</v>
      </c>
      <c r="AE242" s="56" t="e">
        <f t="shared" si="9"/>
        <v>#DIV/0!</v>
      </c>
      <c r="AF242" s="50" t="e">
        <f t="shared" si="10"/>
        <v>#DIV/0!</v>
      </c>
      <c r="AG242" s="50" t="e">
        <f t="shared" si="11"/>
        <v>#DIV/0!</v>
      </c>
      <c r="AH242" s="57" t="e">
        <f t="shared" si="12"/>
        <v>#DIV/0!</v>
      </c>
      <c r="AI242" s="58" t="e">
        <f t="shared" si="13"/>
        <v>#DIV/0!</v>
      </c>
      <c r="AJ242" s="49"/>
      <c r="AK242" s="49"/>
      <c r="AL242" s="59"/>
      <c r="AM242" s="59"/>
      <c r="AN242" s="59"/>
      <c r="AO242" s="59"/>
      <c r="AP242" s="59"/>
      <c r="AQ242" s="59"/>
      <c r="AR242" s="59"/>
    </row>
    <row r="243" spans="1:44" ht="16.8">
      <c r="A243" s="17" t="s">
        <v>611</v>
      </c>
      <c r="B243" s="18">
        <v>93</v>
      </c>
      <c r="C243" s="1" t="s">
        <v>612</v>
      </c>
      <c r="D243" s="19" t="s">
        <v>613</v>
      </c>
      <c r="E243" s="20" t="s">
        <v>39</v>
      </c>
      <c r="F243" s="21">
        <v>2000</v>
      </c>
      <c r="G243" s="40">
        <v>2021</v>
      </c>
      <c r="H243" s="23">
        <v>108166967328</v>
      </c>
      <c r="I243" s="23">
        <v>192078046017</v>
      </c>
      <c r="J243" s="23">
        <v>48299608955</v>
      </c>
      <c r="K243" s="23">
        <f>(J243+19299862985)/2</f>
        <v>33799735970</v>
      </c>
      <c r="L243" s="23">
        <v>36814895944</v>
      </c>
      <c r="M243" s="23">
        <v>143778437062</v>
      </c>
      <c r="N243" s="23">
        <v>118801174527</v>
      </c>
      <c r="O243" s="25">
        <f t="shared" si="0"/>
        <v>71352071384</v>
      </c>
      <c r="P243" s="23">
        <v>13671283465</v>
      </c>
      <c r="Q243" s="23">
        <f>13686138497+9008772079</f>
        <v>22694910576</v>
      </c>
      <c r="R243" s="25">
        <f t="shared" si="1"/>
        <v>96106263951</v>
      </c>
      <c r="S243" s="26">
        <f t="shared" si="2"/>
        <v>0.25145824812652046</v>
      </c>
      <c r="T243" s="27">
        <f t="shared" si="3"/>
        <v>2.9381304647047028</v>
      </c>
      <c r="U243" s="26">
        <f t="shared" si="4"/>
        <v>25.981167616051522</v>
      </c>
      <c r="V243" s="26">
        <f t="shared" si="5"/>
        <v>3.5148551051536514</v>
      </c>
      <c r="W243" s="88" t="s">
        <v>614</v>
      </c>
      <c r="X243" s="29">
        <v>8950</v>
      </c>
      <c r="Y243" s="88">
        <v>1200</v>
      </c>
      <c r="Z243" s="30">
        <f t="shared" si="6"/>
        <v>10740000</v>
      </c>
      <c r="AA243" s="31">
        <f t="shared" si="7"/>
        <v>21</v>
      </c>
      <c r="AB243" s="32">
        <v>1.84E-2</v>
      </c>
      <c r="AC243" s="32">
        <v>2.58E-2</v>
      </c>
      <c r="AD243" s="33">
        <f t="shared" si="8"/>
        <v>0.37147437129636846</v>
      </c>
      <c r="AE243" s="34">
        <f t="shared" si="9"/>
        <v>7.1175669205787384E-2</v>
      </c>
      <c r="AF243" s="33">
        <f t="shared" si="10"/>
        <v>0.50035007094196515</v>
      </c>
      <c r="AG243" s="33">
        <f t="shared" si="11"/>
        <v>2.2236204872810237E-4</v>
      </c>
      <c r="AH243" s="35">
        <f t="shared" si="12"/>
        <v>2.4596715604402766</v>
      </c>
      <c r="AI243" s="36">
        <f t="shared" si="13"/>
        <v>4.656375394221743</v>
      </c>
      <c r="AJ243" s="23"/>
      <c r="AK243" s="23"/>
      <c r="AL243" s="44"/>
      <c r="AM243" s="44"/>
      <c r="AN243" s="44"/>
      <c r="AO243" s="44"/>
      <c r="AP243" s="44"/>
      <c r="AQ243" s="44"/>
      <c r="AR243" s="44"/>
    </row>
    <row r="244" spans="1:44" ht="16.8">
      <c r="A244" s="17" t="s">
        <v>615</v>
      </c>
      <c r="B244" s="18"/>
      <c r="C244" s="1" t="s">
        <v>612</v>
      </c>
      <c r="D244" s="19" t="s">
        <v>613</v>
      </c>
      <c r="E244" s="20" t="s">
        <v>39</v>
      </c>
      <c r="F244" s="21">
        <v>2000</v>
      </c>
      <c r="G244" s="40">
        <v>2022</v>
      </c>
      <c r="H244" s="23">
        <v>116455127134</v>
      </c>
      <c r="I244" s="23">
        <v>196341626917</v>
      </c>
      <c r="J244" s="23">
        <v>46947752744</v>
      </c>
      <c r="K244" s="23">
        <f t="shared" ref="K244:K245" si="65">(J244+J243)/2</f>
        <v>47623680849.5</v>
      </c>
      <c r="L244" s="23">
        <v>37788818892</v>
      </c>
      <c r="M244" s="23">
        <v>149393874173</v>
      </c>
      <c r="N244" s="23">
        <v>99558915276</v>
      </c>
      <c r="O244" s="25">
        <f t="shared" si="0"/>
        <v>78666308242</v>
      </c>
      <c r="P244" s="23">
        <v>15231104950</v>
      </c>
      <c r="Q244" s="23">
        <f>15123618217+6597288958</f>
        <v>21720907175</v>
      </c>
      <c r="R244" s="25">
        <f t="shared" si="1"/>
        <v>77838008101</v>
      </c>
      <c r="S244" s="26">
        <f t="shared" si="2"/>
        <v>0.23911257883101042</v>
      </c>
      <c r="T244" s="27">
        <f t="shared" si="3"/>
        <v>3.0817350356153597</v>
      </c>
      <c r="U244" s="26">
        <f t="shared" si="4"/>
        <v>26.003121973399335</v>
      </c>
      <c r="V244" s="26">
        <f t="shared" si="5"/>
        <v>2.0905338163722651</v>
      </c>
      <c r="W244" s="89">
        <v>45696</v>
      </c>
      <c r="X244" s="42">
        <v>8020</v>
      </c>
      <c r="Y244" s="88">
        <v>1000</v>
      </c>
      <c r="Z244" s="30">
        <f t="shared" si="6"/>
        <v>8020000</v>
      </c>
      <c r="AA244" s="31">
        <f t="shared" si="7"/>
        <v>22</v>
      </c>
      <c r="AB244" s="32">
        <v>3.15E-2</v>
      </c>
      <c r="AC244" s="32">
        <v>8.0199999999999994E-2</v>
      </c>
      <c r="AD244" s="33">
        <f t="shared" si="8"/>
        <v>0.40066036671507671</v>
      </c>
      <c r="AE244" s="34">
        <f t="shared" si="9"/>
        <v>7.7574507195250469E-2</v>
      </c>
      <c r="AF244" s="33">
        <f t="shared" si="10"/>
        <v>0.39644169870256124</v>
      </c>
      <c r="AG244" s="33">
        <f t="shared" si="11"/>
        <v>1.7082819797002892E-4</v>
      </c>
      <c r="AH244" s="35">
        <f t="shared" si="12"/>
        <v>2.120632180604721</v>
      </c>
      <c r="AI244" s="36">
        <f t="shared" si="13"/>
        <v>4.0183890333733974</v>
      </c>
      <c r="AJ244" s="23"/>
      <c r="AK244" s="23"/>
      <c r="AL244" s="44"/>
      <c r="AM244" s="44"/>
      <c r="AN244" s="44"/>
      <c r="AO244" s="44"/>
      <c r="AP244" s="44"/>
      <c r="AQ244" s="44"/>
      <c r="AR244" s="44"/>
    </row>
    <row r="245" spans="1:44" ht="16.8">
      <c r="A245" s="17" t="s">
        <v>616</v>
      </c>
      <c r="B245" s="18"/>
      <c r="C245" s="1" t="s">
        <v>612</v>
      </c>
      <c r="D245" s="19" t="s">
        <v>613</v>
      </c>
      <c r="E245" s="20" t="s">
        <v>39</v>
      </c>
      <c r="F245" s="21">
        <v>2000</v>
      </c>
      <c r="G245" s="40">
        <v>2023</v>
      </c>
      <c r="H245" s="23">
        <v>103529269560</v>
      </c>
      <c r="I245" s="23">
        <v>181917301339</v>
      </c>
      <c r="J245" s="23">
        <v>30865651770</v>
      </c>
      <c r="K245" s="23">
        <f t="shared" si="65"/>
        <v>38906702257</v>
      </c>
      <c r="L245" s="23">
        <v>24035199235</v>
      </c>
      <c r="M245" s="23">
        <v>151051649569</v>
      </c>
      <c r="N245" s="23">
        <v>79823730503</v>
      </c>
      <c r="O245" s="25">
        <f t="shared" si="0"/>
        <v>79494070325</v>
      </c>
      <c r="P245" s="23">
        <v>13086250472</v>
      </c>
      <c r="Q245" s="23">
        <f>13036706357+6609821808</f>
        <v>19646528165</v>
      </c>
      <c r="R245" s="25">
        <f t="shared" si="1"/>
        <v>60177202338</v>
      </c>
      <c r="S245" s="26">
        <f t="shared" si="2"/>
        <v>0.16966858865437076</v>
      </c>
      <c r="T245" s="27">
        <f t="shared" si="3"/>
        <v>4.3074021791024277</v>
      </c>
      <c r="U245" s="26">
        <f t="shared" si="4"/>
        <v>25.926818032510329</v>
      </c>
      <c r="V245" s="26">
        <f t="shared" si="5"/>
        <v>2.0516704288048033</v>
      </c>
      <c r="W245" s="88" t="s">
        <v>617</v>
      </c>
      <c r="X245" s="29">
        <v>11690</v>
      </c>
      <c r="Y245" s="88">
        <v>4100</v>
      </c>
      <c r="Z245" s="30">
        <f t="shared" si="6"/>
        <v>47929000</v>
      </c>
      <c r="AA245" s="31">
        <f t="shared" si="7"/>
        <v>23</v>
      </c>
      <c r="AB245" s="32">
        <v>3.2500000000000001E-2</v>
      </c>
      <c r="AC245" s="32">
        <v>5.0500000000000003E-2</v>
      </c>
      <c r="AD245" s="33">
        <f t="shared" si="8"/>
        <v>0.43697916437790635</v>
      </c>
      <c r="AE245" s="34">
        <f t="shared" si="9"/>
        <v>7.1935161612880244E-2</v>
      </c>
      <c r="AF245" s="33">
        <f t="shared" si="10"/>
        <v>0.33079427792225624</v>
      </c>
      <c r="AG245" s="33">
        <f t="shared" si="11"/>
        <v>1.5528264349364816E-3</v>
      </c>
      <c r="AH245" s="35">
        <f t="shared" si="12"/>
        <v>2.5861670149659699</v>
      </c>
      <c r="AI245" s="36">
        <f t="shared" si="13"/>
        <v>4.3038040514818974</v>
      </c>
      <c r="AJ245" s="23"/>
      <c r="AK245" s="23"/>
      <c r="AL245" s="44"/>
      <c r="AM245" s="44"/>
      <c r="AN245" s="44"/>
      <c r="AO245" s="44"/>
      <c r="AP245" s="44"/>
      <c r="AQ245" s="44"/>
      <c r="AR245" s="44"/>
    </row>
    <row r="246" spans="1:44" ht="16.8">
      <c r="A246" s="17" t="s">
        <v>618</v>
      </c>
      <c r="B246" s="18">
        <v>94</v>
      </c>
      <c r="C246" s="1" t="s">
        <v>619</v>
      </c>
      <c r="D246" s="19" t="s">
        <v>620</v>
      </c>
      <c r="E246" s="20" t="s">
        <v>39</v>
      </c>
      <c r="F246" s="21">
        <v>1989</v>
      </c>
      <c r="G246" s="40">
        <v>2021</v>
      </c>
      <c r="H246" s="23">
        <v>46791484553</v>
      </c>
      <c r="I246" s="23">
        <v>47983073000</v>
      </c>
      <c r="J246" s="23">
        <v>12721050445</v>
      </c>
      <c r="K246" s="23">
        <f>(J246+11322780783)/2</f>
        <v>12021915614</v>
      </c>
      <c r="L246" s="23">
        <v>12721050445</v>
      </c>
      <c r="M246" s="23">
        <v>35262022555</v>
      </c>
      <c r="N246" s="23">
        <v>61537062792</v>
      </c>
      <c r="O246" s="25">
        <f t="shared" si="0"/>
        <v>34070434108</v>
      </c>
      <c r="P246" s="23">
        <v>4830424766</v>
      </c>
      <c r="Q246" s="23">
        <f>8783170823+4828249418</f>
        <v>13611420241</v>
      </c>
      <c r="R246" s="25">
        <f t="shared" si="1"/>
        <v>47925642551</v>
      </c>
      <c r="S246" s="26">
        <f t="shared" si="2"/>
        <v>0.26511537610356883</v>
      </c>
      <c r="T246" s="27">
        <f t="shared" si="3"/>
        <v>3.6782720700075018</v>
      </c>
      <c r="U246" s="26">
        <f t="shared" si="4"/>
        <v>24.594114139826804</v>
      </c>
      <c r="V246" s="26">
        <f t="shared" si="5"/>
        <v>5.1187402047921244</v>
      </c>
      <c r="W246" s="88" t="s">
        <v>621</v>
      </c>
      <c r="X246" s="29">
        <v>16400</v>
      </c>
      <c r="Y246" s="88">
        <v>0</v>
      </c>
      <c r="Z246" s="30">
        <f t="shared" si="6"/>
        <v>0</v>
      </c>
      <c r="AA246" s="31">
        <f t="shared" si="7"/>
        <v>32</v>
      </c>
      <c r="AB246" s="32">
        <v>1.84E-2</v>
      </c>
      <c r="AC246" s="32">
        <v>2.58E-2</v>
      </c>
      <c r="AD246" s="33">
        <f t="shared" si="8"/>
        <v>0.71005110714772268</v>
      </c>
      <c r="AE246" s="34">
        <f t="shared" si="9"/>
        <v>0.10066934991845979</v>
      </c>
      <c r="AF246" s="33">
        <f t="shared" si="10"/>
        <v>0.99880311023431112</v>
      </c>
      <c r="AG246" s="33">
        <f t="shared" si="11"/>
        <v>0</v>
      </c>
      <c r="AH246" s="35">
        <f t="shared" si="12"/>
        <v>4.8374199173297905</v>
      </c>
      <c r="AI246" s="36">
        <f t="shared" si="13"/>
        <v>9.1264685995661274</v>
      </c>
      <c r="AJ246" s="23"/>
      <c r="AK246" s="23"/>
      <c r="AL246" s="44"/>
      <c r="AM246" s="44"/>
      <c r="AN246" s="44"/>
      <c r="AO246" s="44"/>
      <c r="AP246" s="44"/>
      <c r="AQ246" s="44"/>
      <c r="AR246" s="44"/>
    </row>
    <row r="247" spans="1:44" ht="16.8">
      <c r="A247" s="17" t="s">
        <v>622</v>
      </c>
      <c r="B247" s="18"/>
      <c r="C247" s="1" t="s">
        <v>619</v>
      </c>
      <c r="D247" s="19" t="s">
        <v>620</v>
      </c>
      <c r="E247" s="20" t="s">
        <v>39</v>
      </c>
      <c r="F247" s="21">
        <v>1989</v>
      </c>
      <c r="G247" s="40">
        <v>2022</v>
      </c>
      <c r="H247" s="23">
        <v>52449286079</v>
      </c>
      <c r="I247" s="23">
        <v>58192155024</v>
      </c>
      <c r="J247" s="23">
        <v>16715973634</v>
      </c>
      <c r="K247" s="23">
        <f t="shared" ref="K247:K248" si="66">(J247+J246)/2</f>
        <v>14718512039.5</v>
      </c>
      <c r="L247" s="23">
        <v>13385664356</v>
      </c>
      <c r="M247" s="23">
        <v>41476181390</v>
      </c>
      <c r="N247" s="23">
        <v>54793827584</v>
      </c>
      <c r="O247" s="25">
        <f t="shared" si="0"/>
        <v>39063621723</v>
      </c>
      <c r="P247" s="23">
        <v>2714158835</v>
      </c>
      <c r="Q247" s="23">
        <f>4161772842+5623703944</f>
        <v>9785476786</v>
      </c>
      <c r="R247" s="25">
        <f t="shared" si="1"/>
        <v>45008350798</v>
      </c>
      <c r="S247" s="26">
        <f t="shared" si="2"/>
        <v>0.28725476186791649</v>
      </c>
      <c r="T247" s="27">
        <f t="shared" si="3"/>
        <v>3.9183177378484091</v>
      </c>
      <c r="U247" s="26">
        <f t="shared" si="4"/>
        <v>24.787016389196296</v>
      </c>
      <c r="V247" s="26">
        <f t="shared" si="5"/>
        <v>3.7227830800389379</v>
      </c>
      <c r="W247" s="88" t="s">
        <v>623</v>
      </c>
      <c r="X247" s="29">
        <v>27140</v>
      </c>
      <c r="Y247" s="88">
        <v>0</v>
      </c>
      <c r="Z247" s="30">
        <f t="shared" si="6"/>
        <v>0</v>
      </c>
      <c r="AA247" s="31">
        <f t="shared" si="7"/>
        <v>33</v>
      </c>
      <c r="AB247" s="32">
        <v>3.15E-2</v>
      </c>
      <c r="AC247" s="32">
        <v>8.0199999999999994E-2</v>
      </c>
      <c r="AD247" s="33">
        <f t="shared" si="8"/>
        <v>0.67128673455879262</v>
      </c>
      <c r="AE247" s="34">
        <f t="shared" si="9"/>
        <v>4.6641318471203008E-2</v>
      </c>
      <c r="AF247" s="33">
        <f t="shared" si="10"/>
        <v>0.77344361588666644</v>
      </c>
      <c r="AG247" s="33">
        <f t="shared" si="11"/>
        <v>0</v>
      </c>
      <c r="AH247" s="35">
        <f t="shared" si="12"/>
        <v>3.2779321613998187</v>
      </c>
      <c r="AI247" s="36">
        <f t="shared" si="13"/>
        <v>6.7011380211560532</v>
      </c>
      <c r="AJ247" s="23"/>
      <c r="AK247" s="23"/>
      <c r="AL247" s="44"/>
      <c r="AM247" s="44"/>
      <c r="AN247" s="44"/>
      <c r="AO247" s="44"/>
      <c r="AP247" s="44"/>
      <c r="AQ247" s="44"/>
      <c r="AR247" s="44"/>
    </row>
    <row r="248" spans="1:44" ht="16.8">
      <c r="A248" s="17" t="s">
        <v>624</v>
      </c>
      <c r="B248" s="18"/>
      <c r="C248" s="1" t="s">
        <v>619</v>
      </c>
      <c r="D248" s="19" t="s">
        <v>620</v>
      </c>
      <c r="E248" s="20" t="s">
        <v>39</v>
      </c>
      <c r="F248" s="21">
        <v>1989</v>
      </c>
      <c r="G248" s="40">
        <v>2023</v>
      </c>
      <c r="H248" s="23">
        <v>46893991418</v>
      </c>
      <c r="I248" s="23">
        <v>51331765206</v>
      </c>
      <c r="J248" s="23">
        <v>16689189056</v>
      </c>
      <c r="K248" s="23">
        <f t="shared" si="66"/>
        <v>16702581345</v>
      </c>
      <c r="L248" s="23">
        <v>13858426170</v>
      </c>
      <c r="M248" s="23">
        <v>34642576150</v>
      </c>
      <c r="N248" s="23">
        <v>18442137505</v>
      </c>
      <c r="O248" s="25">
        <f t="shared" si="0"/>
        <v>33035565248</v>
      </c>
      <c r="P248" s="23">
        <v>-5777605240</v>
      </c>
      <c r="Q248" s="23">
        <f>5813174936+4969945742</f>
        <v>10783120678</v>
      </c>
      <c r="R248" s="25">
        <f t="shared" si="1"/>
        <v>7659016827</v>
      </c>
      <c r="S248" s="26">
        <f t="shared" si="2"/>
        <v>0.32512400438645456</v>
      </c>
      <c r="T248" s="27">
        <f t="shared" si="3"/>
        <v>3.3837891000576725</v>
      </c>
      <c r="U248" s="26">
        <f t="shared" si="4"/>
        <v>24.661575602290267</v>
      </c>
      <c r="V248" s="26">
        <f t="shared" si="5"/>
        <v>1.1041489410569909</v>
      </c>
      <c r="W248" s="88" t="s">
        <v>625</v>
      </c>
      <c r="X248" s="29">
        <v>24500</v>
      </c>
      <c r="Y248" s="88">
        <v>0</v>
      </c>
      <c r="Z248" s="30">
        <f t="shared" si="6"/>
        <v>0</v>
      </c>
      <c r="AA248" s="31">
        <f t="shared" si="7"/>
        <v>34</v>
      </c>
      <c r="AB248" s="32">
        <v>3.2500000000000001E-2</v>
      </c>
      <c r="AC248" s="32">
        <v>5.0500000000000003E-2</v>
      </c>
      <c r="AD248" s="33">
        <f t="shared" si="8"/>
        <v>0.64356963208696716</v>
      </c>
      <c r="AE248" s="34">
        <f t="shared" si="9"/>
        <v>-0.11255418972665049</v>
      </c>
      <c r="AF248" s="33">
        <f t="shared" si="10"/>
        <v>0.14920618444083358</v>
      </c>
      <c r="AG248" s="33">
        <f t="shared" si="11"/>
        <v>0</v>
      </c>
      <c r="AH248" s="35">
        <f t="shared" si="12"/>
        <v>1.1050349686325707</v>
      </c>
      <c r="AI248" s="36">
        <f t="shared" si="13"/>
        <v>2.2121230701743713</v>
      </c>
      <c r="AJ248" s="23"/>
      <c r="AK248" s="23"/>
      <c r="AL248" s="44"/>
      <c r="AM248" s="44"/>
      <c r="AN248" s="44"/>
      <c r="AO248" s="44"/>
      <c r="AP248" s="44"/>
      <c r="AQ248" s="44"/>
      <c r="AR248" s="44"/>
    </row>
    <row r="249" spans="1:44" ht="16.8">
      <c r="A249" s="17" t="s">
        <v>626</v>
      </c>
      <c r="B249" s="18">
        <v>95</v>
      </c>
      <c r="C249" s="1" t="s">
        <v>627</v>
      </c>
      <c r="D249" s="19" t="s">
        <v>628</v>
      </c>
      <c r="E249" s="20" t="s">
        <v>178</v>
      </c>
      <c r="F249" s="21">
        <v>2007</v>
      </c>
      <c r="G249" s="40">
        <v>2021</v>
      </c>
      <c r="H249" s="23">
        <v>36862701441</v>
      </c>
      <c r="I249" s="23">
        <v>79980970525</v>
      </c>
      <c r="J249" s="23">
        <v>1854701527</v>
      </c>
      <c r="K249" s="23">
        <f>(J249+2191176397)/2</f>
        <v>2022938962</v>
      </c>
      <c r="L249" s="23">
        <v>1854701527</v>
      </c>
      <c r="M249" s="23">
        <v>78126268998</v>
      </c>
      <c r="N249" s="23">
        <v>2859180000</v>
      </c>
      <c r="O249" s="25">
        <f t="shared" si="0"/>
        <v>35007999914</v>
      </c>
      <c r="P249" s="23">
        <v>-7725929893</v>
      </c>
      <c r="Q249" s="23">
        <v>3151144120</v>
      </c>
      <c r="R249" s="25">
        <f t="shared" si="1"/>
        <v>-291964120</v>
      </c>
      <c r="S249" s="26">
        <f t="shared" si="2"/>
        <v>2.3189285086510272E-2</v>
      </c>
      <c r="T249" s="27">
        <f t="shared" si="3"/>
        <v>19.875274217639657</v>
      </c>
      <c r="U249" s="26">
        <f t="shared" si="4"/>
        <v>25.10505457488761</v>
      </c>
      <c r="V249" s="26">
        <f t="shared" si="5"/>
        <v>1.4133792732793289</v>
      </c>
      <c r="W249" s="90">
        <v>45719</v>
      </c>
      <c r="X249" s="42">
        <v>3300</v>
      </c>
      <c r="Y249" s="88">
        <v>38100</v>
      </c>
      <c r="Z249" s="30">
        <f t="shared" si="6"/>
        <v>125730000</v>
      </c>
      <c r="AA249" s="31">
        <f t="shared" si="7"/>
        <v>14</v>
      </c>
      <c r="AB249" s="32">
        <v>1.84E-2</v>
      </c>
      <c r="AC249" s="32">
        <v>2.58E-2</v>
      </c>
      <c r="AD249" s="33">
        <f t="shared" si="8"/>
        <v>0.4377041149189031</v>
      </c>
      <c r="AE249" s="34">
        <f t="shared" si="9"/>
        <v>-9.6597101063997118E-2</v>
      </c>
      <c r="AF249" s="33">
        <f t="shared" si="10"/>
        <v>-3.6504198196587213E-3</v>
      </c>
      <c r="AG249" s="33">
        <f t="shared" si="11"/>
        <v>6.778988326136208E-2</v>
      </c>
      <c r="AH249" s="35">
        <f t="shared" si="12"/>
        <v>1.5415849711542293</v>
      </c>
      <c r="AI249" s="36">
        <f t="shared" si="13"/>
        <v>1.9602215121192605</v>
      </c>
      <c r="AJ249" s="23" t="s">
        <v>85</v>
      </c>
      <c r="AK249" s="23"/>
      <c r="AL249" s="44"/>
      <c r="AM249" s="44"/>
      <c r="AN249" s="44"/>
      <c r="AO249" s="44"/>
      <c r="AP249" s="44"/>
      <c r="AQ249" s="44"/>
      <c r="AR249" s="44"/>
    </row>
    <row r="250" spans="1:44" ht="16.8">
      <c r="A250" s="17" t="s">
        <v>629</v>
      </c>
      <c r="B250" s="18"/>
      <c r="C250" s="1" t="s">
        <v>627</v>
      </c>
      <c r="D250" s="19" t="s">
        <v>628</v>
      </c>
      <c r="E250" s="20" t="s">
        <v>178</v>
      </c>
      <c r="F250" s="21">
        <v>2007</v>
      </c>
      <c r="G250" s="40">
        <v>2022</v>
      </c>
      <c r="H250" s="23">
        <v>19535848899</v>
      </c>
      <c r="I250" s="23">
        <v>68485197410</v>
      </c>
      <c r="J250" s="23">
        <v>1866761676</v>
      </c>
      <c r="K250" s="23">
        <f t="shared" ref="K250:K251" si="67">(J249+J250)/2</f>
        <v>1860731601.5</v>
      </c>
      <c r="L250" s="23">
        <v>1866761676</v>
      </c>
      <c r="M250" s="23">
        <v>66618435734</v>
      </c>
      <c r="N250" s="23">
        <v>0</v>
      </c>
      <c r="O250" s="25">
        <f t="shared" si="0"/>
        <v>17669087223</v>
      </c>
      <c r="P250" s="23">
        <v>-9018698482</v>
      </c>
      <c r="Q250" s="23">
        <v>7293736721</v>
      </c>
      <c r="R250" s="25">
        <f t="shared" si="1"/>
        <v>-7293736721</v>
      </c>
      <c r="S250" s="26">
        <f t="shared" si="2"/>
        <v>2.7257885595689632E-2</v>
      </c>
      <c r="T250" s="27">
        <f t="shared" si="3"/>
        <v>10.465100687550219</v>
      </c>
      <c r="U250" s="26">
        <f t="shared" si="4"/>
        <v>24.949883462658061</v>
      </c>
      <c r="V250" s="26">
        <f t="shared" si="5"/>
        <v>0</v>
      </c>
      <c r="W250" s="90">
        <v>45659</v>
      </c>
      <c r="X250" s="42">
        <v>2100</v>
      </c>
      <c r="Y250" s="88">
        <v>16600</v>
      </c>
      <c r="Z250" s="30">
        <f t="shared" si="6"/>
        <v>34860000</v>
      </c>
      <c r="AA250" s="31">
        <f t="shared" si="7"/>
        <v>15</v>
      </c>
      <c r="AB250" s="32">
        <v>3.15E-2</v>
      </c>
      <c r="AC250" s="32">
        <v>8.0199999999999994E-2</v>
      </c>
      <c r="AD250" s="33">
        <f t="shared" si="8"/>
        <v>0.25799863169292719</v>
      </c>
      <c r="AE250" s="34">
        <f t="shared" si="9"/>
        <v>-0.13168828919347056</v>
      </c>
      <c r="AF250" s="33">
        <f t="shared" si="10"/>
        <v>-0.10650092278094231</v>
      </c>
      <c r="AG250" s="33">
        <f t="shared" si="11"/>
        <v>1.8674049530894698E-2</v>
      </c>
      <c r="AH250" s="35">
        <f t="shared" si="12"/>
        <v>0</v>
      </c>
      <c r="AI250" s="36">
        <f t="shared" si="13"/>
        <v>-0.21501386229791891</v>
      </c>
      <c r="AJ250" s="23" t="s">
        <v>85</v>
      </c>
      <c r="AK250" s="23"/>
      <c r="AL250" s="44"/>
      <c r="AM250" s="44"/>
      <c r="AN250" s="44"/>
      <c r="AO250" s="44"/>
      <c r="AP250" s="44"/>
      <c r="AQ250" s="44"/>
      <c r="AR250" s="44"/>
    </row>
    <row r="251" spans="1:44" ht="16.8">
      <c r="A251" s="17" t="s">
        <v>630</v>
      </c>
      <c r="B251" s="18"/>
      <c r="C251" s="1" t="s">
        <v>627</v>
      </c>
      <c r="D251" s="19" t="s">
        <v>628</v>
      </c>
      <c r="E251" s="20" t="s">
        <v>178</v>
      </c>
      <c r="F251" s="21">
        <v>2007</v>
      </c>
      <c r="G251" s="40">
        <v>2023</v>
      </c>
      <c r="H251" s="23">
        <v>22215823024</v>
      </c>
      <c r="I251" s="23">
        <v>70997684007</v>
      </c>
      <c r="J251" s="23">
        <v>3918848551</v>
      </c>
      <c r="K251" s="23">
        <f t="shared" si="67"/>
        <v>2892805113.5</v>
      </c>
      <c r="L251" s="23">
        <v>3918848551</v>
      </c>
      <c r="M251" s="23">
        <v>67078835456</v>
      </c>
      <c r="N251" s="23">
        <v>0</v>
      </c>
      <c r="O251" s="25">
        <f t="shared" si="0"/>
        <v>18296974473</v>
      </c>
      <c r="P251" s="23">
        <v>460399722</v>
      </c>
      <c r="Q251" s="23">
        <v>2236229578</v>
      </c>
      <c r="R251" s="25">
        <f t="shared" si="1"/>
        <v>-2236229578</v>
      </c>
      <c r="S251" s="26">
        <f t="shared" si="2"/>
        <v>5.5196850514357937E-2</v>
      </c>
      <c r="T251" s="27">
        <f t="shared" si="3"/>
        <v>5.6689669771318503</v>
      </c>
      <c r="U251" s="26">
        <f t="shared" si="4"/>
        <v>24.985913093835975</v>
      </c>
      <c r="V251" s="26">
        <f t="shared" si="5"/>
        <v>0</v>
      </c>
      <c r="W251" s="90">
        <v>45809</v>
      </c>
      <c r="X251" s="42">
        <v>1600</v>
      </c>
      <c r="Y251" s="88">
        <v>2500</v>
      </c>
      <c r="Z251" s="30">
        <f t="shared" si="6"/>
        <v>4000000</v>
      </c>
      <c r="AA251" s="31">
        <f t="shared" si="7"/>
        <v>16</v>
      </c>
      <c r="AB251" s="32">
        <v>3.2500000000000001E-2</v>
      </c>
      <c r="AC251" s="32">
        <v>5.0500000000000003E-2</v>
      </c>
      <c r="AD251" s="33">
        <f t="shared" si="8"/>
        <v>0.25771227229322036</v>
      </c>
      <c r="AE251" s="34">
        <f t="shared" si="9"/>
        <v>6.4847146556866134E-3</v>
      </c>
      <c r="AF251" s="33">
        <f t="shared" si="10"/>
        <v>-3.1497218666731712E-2</v>
      </c>
      <c r="AG251" s="33">
        <f t="shared" si="11"/>
        <v>1.0207079829556802E-3</v>
      </c>
      <c r="AH251" s="35">
        <f t="shared" si="12"/>
        <v>0</v>
      </c>
      <c r="AI251" s="36">
        <f t="shared" si="13"/>
        <v>0.21500493045938449</v>
      </c>
      <c r="AJ251" s="23" t="s">
        <v>85</v>
      </c>
      <c r="AK251" s="23"/>
      <c r="AL251" s="44"/>
      <c r="AM251" s="44"/>
      <c r="AN251" s="44"/>
      <c r="AO251" s="44"/>
      <c r="AP251" s="44"/>
      <c r="AQ251" s="44"/>
      <c r="AR251" s="44"/>
    </row>
    <row r="252" spans="1:44" ht="16.8">
      <c r="A252" s="17" t="s">
        <v>631</v>
      </c>
      <c r="B252" s="18">
        <v>96</v>
      </c>
      <c r="C252" s="1" t="s">
        <v>632</v>
      </c>
      <c r="D252" s="19" t="s">
        <v>633</v>
      </c>
      <c r="E252" s="20" t="s">
        <v>39</v>
      </c>
      <c r="F252" s="21">
        <v>2007</v>
      </c>
      <c r="G252" s="40">
        <v>2021</v>
      </c>
      <c r="H252" s="23">
        <v>427158159224</v>
      </c>
      <c r="I252" s="23">
        <v>505398960769</v>
      </c>
      <c r="J252" s="23">
        <v>173523943264</v>
      </c>
      <c r="K252" s="23">
        <f>(J252+171465850288)/2</f>
        <v>172494896776</v>
      </c>
      <c r="L252" s="23">
        <v>171387911811</v>
      </c>
      <c r="M252" s="23">
        <v>331875017505</v>
      </c>
      <c r="N252" s="23">
        <v>813212428129</v>
      </c>
      <c r="O252" s="25">
        <f t="shared" si="0"/>
        <v>255770247413</v>
      </c>
      <c r="P252" s="23">
        <v>49496907869</v>
      </c>
      <c r="Q252" s="23">
        <f>81713316032+70893375657</f>
        <v>152606691689</v>
      </c>
      <c r="R252" s="25">
        <f t="shared" si="1"/>
        <v>660605736440</v>
      </c>
      <c r="S252" s="26">
        <f t="shared" si="2"/>
        <v>0.34334052250517322</v>
      </c>
      <c r="T252" s="27">
        <f t="shared" si="3"/>
        <v>2.4923470664316958</v>
      </c>
      <c r="U252" s="26">
        <f t="shared" si="4"/>
        <v>26.948613975643941</v>
      </c>
      <c r="V252" s="26">
        <f t="shared" si="5"/>
        <v>4.7144144164741801</v>
      </c>
      <c r="W252" s="88" t="s">
        <v>634</v>
      </c>
      <c r="X252" s="29">
        <v>20780</v>
      </c>
      <c r="Y252" s="88">
        <v>16300</v>
      </c>
      <c r="Z252" s="30">
        <f t="shared" si="6"/>
        <v>338714000</v>
      </c>
      <c r="AA252" s="31">
        <f t="shared" si="7"/>
        <v>14</v>
      </c>
      <c r="AB252" s="32">
        <v>1.84E-2</v>
      </c>
      <c r="AC252" s="32">
        <v>2.58E-2</v>
      </c>
      <c r="AD252" s="33">
        <f t="shared" si="8"/>
        <v>0.50607592667746604</v>
      </c>
      <c r="AE252" s="34">
        <f t="shared" si="9"/>
        <v>9.793630717737721E-2</v>
      </c>
      <c r="AF252" s="33">
        <f t="shared" si="10"/>
        <v>1.307097536241155</v>
      </c>
      <c r="AG252" s="33">
        <f t="shared" si="11"/>
        <v>1.9519726997252432E-3</v>
      </c>
      <c r="AH252" s="35">
        <f t="shared" si="12"/>
        <v>4.6864565940146683</v>
      </c>
      <c r="AI252" s="36">
        <f t="shared" si="13"/>
        <v>9.7454515892916014</v>
      </c>
      <c r="AJ252" s="23"/>
      <c r="AK252" s="23"/>
      <c r="AL252" s="44"/>
      <c r="AM252" s="44"/>
      <c r="AN252" s="44"/>
      <c r="AO252" s="44"/>
      <c r="AP252" s="44"/>
      <c r="AQ252" s="44"/>
      <c r="AR252" s="44"/>
    </row>
    <row r="253" spans="1:44" ht="16.8">
      <c r="A253" s="17" t="s">
        <v>635</v>
      </c>
      <c r="B253" s="18"/>
      <c r="C253" s="1" t="s">
        <v>632</v>
      </c>
      <c r="D253" s="19" t="s">
        <v>633</v>
      </c>
      <c r="E253" s="20" t="s">
        <v>39</v>
      </c>
      <c r="F253" s="21">
        <v>2007</v>
      </c>
      <c r="G253" s="40">
        <v>2022</v>
      </c>
      <c r="H253" s="23">
        <v>463615167013</v>
      </c>
      <c r="I253" s="23">
        <v>543277181037</v>
      </c>
      <c r="J253" s="23">
        <v>166677629064</v>
      </c>
      <c r="K253" s="23">
        <f t="shared" ref="K253:K254" si="68">(J253+J252)/2</f>
        <v>170100786164</v>
      </c>
      <c r="L253" s="23">
        <v>164943710128</v>
      </c>
      <c r="M253" s="23">
        <v>376599551973</v>
      </c>
      <c r="N253" s="23">
        <v>1029507265297</v>
      </c>
      <c r="O253" s="25">
        <f t="shared" si="0"/>
        <v>298671456885</v>
      </c>
      <c r="P253" s="23">
        <v>74724839493</v>
      </c>
      <c r="Q253" s="23">
        <f>105371088340+90526387598</f>
        <v>195897475938</v>
      </c>
      <c r="R253" s="25">
        <f t="shared" si="1"/>
        <v>833609789359</v>
      </c>
      <c r="S253" s="26">
        <f t="shared" si="2"/>
        <v>0.30680034958554314</v>
      </c>
      <c r="T253" s="27">
        <f t="shared" si="3"/>
        <v>2.8107477796711633</v>
      </c>
      <c r="U253" s="26">
        <f t="shared" si="4"/>
        <v>27.020885488953695</v>
      </c>
      <c r="V253" s="26">
        <f t="shared" si="5"/>
        <v>6.0523369028078253</v>
      </c>
      <c r="W253" s="88" t="s">
        <v>636</v>
      </c>
      <c r="X253" s="29">
        <v>19400</v>
      </c>
      <c r="Y253" s="88">
        <v>0</v>
      </c>
      <c r="Z253" s="30">
        <f t="shared" si="6"/>
        <v>0</v>
      </c>
      <c r="AA253" s="31">
        <f t="shared" si="7"/>
        <v>15</v>
      </c>
      <c r="AB253" s="32">
        <v>3.15E-2</v>
      </c>
      <c r="AC253" s="32">
        <v>8.0199999999999994E-2</v>
      </c>
      <c r="AD253" s="33">
        <f t="shared" si="8"/>
        <v>0.54975888424928876</v>
      </c>
      <c r="AE253" s="34">
        <f t="shared" si="9"/>
        <v>0.13754459436408917</v>
      </c>
      <c r="AF253" s="33">
        <f t="shared" si="10"/>
        <v>1.5344097239052394</v>
      </c>
      <c r="AG253" s="33">
        <f t="shared" si="11"/>
        <v>0</v>
      </c>
      <c r="AH253" s="35">
        <f t="shared" si="12"/>
        <v>6.176637327266608</v>
      </c>
      <c r="AI253" s="36">
        <f t="shared" si="13"/>
        <v>12.092462509362768</v>
      </c>
      <c r="AJ253" s="23"/>
      <c r="AK253" s="23"/>
      <c r="AL253" s="44"/>
      <c r="AM253" s="44"/>
      <c r="AN253" s="44"/>
      <c r="AO253" s="44"/>
      <c r="AP253" s="44"/>
      <c r="AQ253" s="44"/>
      <c r="AR253" s="44"/>
    </row>
    <row r="254" spans="1:44" ht="16.8">
      <c r="A254" s="17" t="s">
        <v>637</v>
      </c>
      <c r="B254" s="18"/>
      <c r="C254" s="1" t="s">
        <v>632</v>
      </c>
      <c r="D254" s="19" t="s">
        <v>633</v>
      </c>
      <c r="E254" s="20" t="s">
        <v>39</v>
      </c>
      <c r="F254" s="21">
        <v>2007</v>
      </c>
      <c r="G254" s="40">
        <v>2023</v>
      </c>
      <c r="H254" s="23">
        <v>563280892569</v>
      </c>
      <c r="I254" s="23">
        <v>636421904312</v>
      </c>
      <c r="J254" s="23">
        <v>219802959658</v>
      </c>
      <c r="K254" s="23">
        <f t="shared" si="68"/>
        <v>193240294361</v>
      </c>
      <c r="L254" s="23">
        <v>218522507858</v>
      </c>
      <c r="M254" s="23">
        <v>416618944654</v>
      </c>
      <c r="N254" s="23">
        <v>1060704837232</v>
      </c>
      <c r="O254" s="25">
        <f t="shared" si="0"/>
        <v>344758384711</v>
      </c>
      <c r="P254" s="23">
        <v>71852271756</v>
      </c>
      <c r="Q254" s="23">
        <f>112646097253+98137821810</f>
        <v>210783919063</v>
      </c>
      <c r="R254" s="25">
        <f t="shared" si="1"/>
        <v>849920918169</v>
      </c>
      <c r="S254" s="26">
        <f t="shared" si="2"/>
        <v>0.34537302718330642</v>
      </c>
      <c r="T254" s="27">
        <f t="shared" si="3"/>
        <v>2.5776790596556323</v>
      </c>
      <c r="U254" s="26">
        <f t="shared" si="4"/>
        <v>27.179127551912629</v>
      </c>
      <c r="V254" s="26">
        <f t="shared" si="5"/>
        <v>5.4890458573327079</v>
      </c>
      <c r="W254" s="88" t="s">
        <v>638</v>
      </c>
      <c r="X254" s="29">
        <v>19810</v>
      </c>
      <c r="Y254" s="88">
        <v>11320</v>
      </c>
      <c r="Z254" s="30">
        <f t="shared" si="6"/>
        <v>224249200</v>
      </c>
      <c r="AA254" s="31">
        <f t="shared" si="7"/>
        <v>16</v>
      </c>
      <c r="AB254" s="32">
        <v>3.2500000000000001E-2</v>
      </c>
      <c r="AC254" s="32">
        <v>5.0500000000000003E-2</v>
      </c>
      <c r="AD254" s="33">
        <f t="shared" si="8"/>
        <v>0.54171357455664404</v>
      </c>
      <c r="AE254" s="34">
        <f t="shared" si="9"/>
        <v>0.1129003751586386</v>
      </c>
      <c r="AF254" s="33">
        <f t="shared" si="10"/>
        <v>1.3354677336063752</v>
      </c>
      <c r="AG254" s="33">
        <f t="shared" si="11"/>
        <v>1.0202283006057703E-3</v>
      </c>
      <c r="AH254" s="35">
        <f t="shared" si="12"/>
        <v>4.8257077105894846</v>
      </c>
      <c r="AI254" s="36">
        <f t="shared" si="13"/>
        <v>10.041480183160953</v>
      </c>
      <c r="AJ254" s="23"/>
      <c r="AK254" s="23"/>
      <c r="AL254" s="44"/>
      <c r="AM254" s="44"/>
      <c r="AN254" s="44"/>
      <c r="AO254" s="44"/>
      <c r="AP254" s="44"/>
      <c r="AQ254" s="44"/>
      <c r="AR254" s="44"/>
    </row>
    <row r="255" spans="1:44" ht="16.8">
      <c r="A255" s="45"/>
      <c r="B255" s="45">
        <v>97</v>
      </c>
      <c r="C255" s="45" t="s">
        <v>639</v>
      </c>
      <c r="D255" s="46" t="s">
        <v>640</v>
      </c>
      <c r="E255" s="47" t="s">
        <v>39</v>
      </c>
      <c r="F255" s="48"/>
      <c r="G255" s="48"/>
      <c r="H255" s="49"/>
      <c r="I255" s="49"/>
      <c r="J255" s="49"/>
      <c r="K255" s="49"/>
      <c r="L255" s="49"/>
      <c r="M255" s="49"/>
      <c r="N255" s="49"/>
      <c r="O255" s="49">
        <f t="shared" si="0"/>
        <v>0</v>
      </c>
      <c r="P255" s="49"/>
      <c r="Q255" s="49"/>
      <c r="R255" s="49">
        <f t="shared" si="1"/>
        <v>0</v>
      </c>
      <c r="S255" s="50" t="e">
        <f t="shared" si="2"/>
        <v>#DIV/0!</v>
      </c>
      <c r="T255" s="51" t="e">
        <f t="shared" si="3"/>
        <v>#DIV/0!</v>
      </c>
      <c r="U255" s="50" t="e">
        <f t="shared" si="4"/>
        <v>#NUM!</v>
      </c>
      <c r="V255" s="50" t="e">
        <f t="shared" si="5"/>
        <v>#DIV/0!</v>
      </c>
      <c r="W255" s="52"/>
      <c r="X255" s="53">
        <v>0</v>
      </c>
      <c r="Y255" s="52"/>
      <c r="Z255" s="55">
        <f t="shared" si="6"/>
        <v>0</v>
      </c>
      <c r="AA255" s="48">
        <f t="shared" si="7"/>
        <v>0</v>
      </c>
      <c r="AB255" s="49"/>
      <c r="AC255" s="49"/>
      <c r="AD255" s="50" t="e">
        <f t="shared" si="8"/>
        <v>#DIV/0!</v>
      </c>
      <c r="AE255" s="56" t="e">
        <f t="shared" si="9"/>
        <v>#DIV/0!</v>
      </c>
      <c r="AF255" s="50" t="e">
        <f t="shared" si="10"/>
        <v>#DIV/0!</v>
      </c>
      <c r="AG255" s="50" t="e">
        <f t="shared" si="11"/>
        <v>#DIV/0!</v>
      </c>
      <c r="AH255" s="57" t="e">
        <f t="shared" si="12"/>
        <v>#DIV/0!</v>
      </c>
      <c r="AI255" s="58" t="e">
        <f t="shared" si="13"/>
        <v>#DIV/0!</v>
      </c>
      <c r="AJ255" s="49"/>
      <c r="AK255" s="49"/>
      <c r="AL255" s="59"/>
      <c r="AM255" s="59"/>
      <c r="AN255" s="59"/>
      <c r="AO255" s="59"/>
      <c r="AP255" s="59"/>
      <c r="AQ255" s="59"/>
      <c r="AR255" s="59"/>
    </row>
    <row r="256" spans="1:44" ht="16.8">
      <c r="A256" s="17" t="s">
        <v>641</v>
      </c>
      <c r="B256" s="18">
        <v>98</v>
      </c>
      <c r="C256" s="1" t="s">
        <v>642</v>
      </c>
      <c r="D256" s="19" t="s">
        <v>643</v>
      </c>
      <c r="E256" s="20" t="s">
        <v>39</v>
      </c>
      <c r="F256" s="21">
        <v>2010</v>
      </c>
      <c r="G256" s="40">
        <v>2021</v>
      </c>
      <c r="H256" s="23">
        <v>24656612242</v>
      </c>
      <c r="I256" s="23">
        <v>252926915273</v>
      </c>
      <c r="J256" s="23">
        <v>4606133636</v>
      </c>
      <c r="K256" s="23">
        <f>(J256+8822306679)/2</f>
        <v>6714220157.5</v>
      </c>
      <c r="L256" s="23">
        <v>4606133636</v>
      </c>
      <c r="M256" s="23">
        <v>248320781637</v>
      </c>
      <c r="N256" s="23">
        <v>140361770367</v>
      </c>
      <c r="O256" s="25">
        <f t="shared" si="0"/>
        <v>20050478606</v>
      </c>
      <c r="P256" s="23">
        <v>978619221</v>
      </c>
      <c r="Q256" s="23">
        <v>695129096</v>
      </c>
      <c r="R256" s="25">
        <f t="shared" si="1"/>
        <v>139666641271</v>
      </c>
      <c r="S256" s="26">
        <f t="shared" si="2"/>
        <v>1.8211322551529595E-2</v>
      </c>
      <c r="T256" s="27">
        <f t="shared" si="3"/>
        <v>5.3529954166531697</v>
      </c>
      <c r="U256" s="26">
        <f t="shared" si="4"/>
        <v>26.256366411503517</v>
      </c>
      <c r="V256" s="26">
        <f t="shared" si="5"/>
        <v>20.905148635945665</v>
      </c>
      <c r="W256" s="90">
        <v>45697</v>
      </c>
      <c r="X256" s="42">
        <v>9200</v>
      </c>
      <c r="Y256" s="88">
        <v>1002800</v>
      </c>
      <c r="Z256" s="30">
        <f t="shared" si="6"/>
        <v>9225760000</v>
      </c>
      <c r="AA256" s="31">
        <f t="shared" si="7"/>
        <v>11</v>
      </c>
      <c r="AB256" s="32">
        <v>1.84E-2</v>
      </c>
      <c r="AC256" s="32">
        <v>2.58E-2</v>
      </c>
      <c r="AD256" s="33">
        <f t="shared" si="8"/>
        <v>7.9273803598000833E-2</v>
      </c>
      <c r="AE256" s="34">
        <f t="shared" si="9"/>
        <v>3.8691778608999144E-3</v>
      </c>
      <c r="AF256" s="33">
        <f t="shared" si="10"/>
        <v>0.55220157617566712</v>
      </c>
      <c r="AG256" s="33">
        <f t="shared" si="11"/>
        <v>2.0029292958186331</v>
      </c>
      <c r="AH256" s="35">
        <f t="shared" si="12"/>
        <v>30.47279594104247</v>
      </c>
      <c r="AI256" s="36">
        <f t="shared" si="13"/>
        <v>33.597364133236212</v>
      </c>
      <c r="AJ256" s="23" t="s">
        <v>85</v>
      </c>
      <c r="AK256" s="23"/>
      <c r="AL256" s="44"/>
      <c r="AM256" s="44"/>
      <c r="AN256" s="44"/>
      <c r="AO256" s="44"/>
      <c r="AP256" s="44"/>
      <c r="AQ256" s="44"/>
      <c r="AR256" s="44"/>
    </row>
    <row r="257" spans="1:44" ht="16.8">
      <c r="A257" s="17" t="s">
        <v>644</v>
      </c>
      <c r="B257" s="18"/>
      <c r="C257" s="1" t="s">
        <v>642</v>
      </c>
      <c r="D257" s="19" t="s">
        <v>643</v>
      </c>
      <c r="E257" s="20" t="s">
        <v>39</v>
      </c>
      <c r="F257" s="21">
        <v>2010</v>
      </c>
      <c r="G257" s="40">
        <v>2022</v>
      </c>
      <c r="H257" s="23">
        <v>22707153076</v>
      </c>
      <c r="I257" s="23">
        <v>248538947413</v>
      </c>
      <c r="J257" s="23">
        <v>154559040</v>
      </c>
      <c r="K257" s="23">
        <f t="shared" ref="K257:K258" si="69">(J257+J256)/2</f>
        <v>2380346338</v>
      </c>
      <c r="L257" s="23">
        <v>154559040</v>
      </c>
      <c r="M257" s="23">
        <v>248384388373</v>
      </c>
      <c r="N257" s="23">
        <v>38336079373</v>
      </c>
      <c r="O257" s="25">
        <f t="shared" ref="O257:O511" si="70">H257-L257</f>
        <v>22552594036</v>
      </c>
      <c r="P257" s="23">
        <v>63606736</v>
      </c>
      <c r="Q257" s="23">
        <v>843709422</v>
      </c>
      <c r="R257" s="25">
        <f t="shared" ref="R257:R511" si="71">N257-Q257</f>
        <v>37492369951</v>
      </c>
      <c r="S257" s="26">
        <f t="shared" ref="S257:S511" si="72">J257/I257</f>
        <v>6.2187050202303898E-4</v>
      </c>
      <c r="T257" s="27">
        <f t="shared" ref="T257:T511" si="73">H257/L257</f>
        <v>146.91572279434448</v>
      </c>
      <c r="U257" s="26">
        <f t="shared" ref="U257:U511" si="74">LN(I257)</f>
        <v>26.23886540023442</v>
      </c>
      <c r="V257" s="26">
        <f t="shared" ref="V257:V511" si="75">N257/K257</f>
        <v>16.105252736125159</v>
      </c>
      <c r="W257" s="90">
        <v>45839</v>
      </c>
      <c r="X257" s="42">
        <v>1700</v>
      </c>
      <c r="Y257" s="88">
        <v>50400</v>
      </c>
      <c r="Z257" s="30">
        <f t="shared" ref="Z257:Z319" si="76">X257*Y257</f>
        <v>85680000</v>
      </c>
      <c r="AA257" s="31">
        <f t="shared" ref="AA257:AA511" si="77">G257-F257</f>
        <v>12</v>
      </c>
      <c r="AB257" s="32">
        <v>3.15E-2</v>
      </c>
      <c r="AC257" s="32">
        <v>8.0199999999999994E-2</v>
      </c>
      <c r="AD257" s="33">
        <f t="shared" ref="AD257:AD429" si="78">O257/I257</f>
        <v>9.0740683787173593E-2</v>
      </c>
      <c r="AE257" s="34">
        <f t="shared" ref="AE257:AE429" si="79">P257/I257</f>
        <v>2.5592260956309581E-4</v>
      </c>
      <c r="AF257" s="33">
        <f t="shared" ref="AF257:AF429" si="80">R257/I257</f>
        <v>0.15085108527758631</v>
      </c>
      <c r="AG257" s="33">
        <f t="shared" ref="AG257:AG429" si="81">Z257/J257</f>
        <v>0.55435126926254197</v>
      </c>
      <c r="AH257" s="35">
        <f t="shared" ref="AH257:AH429" si="82">N257/J257</f>
        <v>248.0351804268453</v>
      </c>
      <c r="AI257" s="36">
        <f t="shared" ref="AI257:AI511" si="83">1.2*AD257+1.4*AE257+3.3*AF257+0.6*AG257+1*AH257</f>
        <v>248.97484688201686</v>
      </c>
      <c r="AJ257" s="23" t="s">
        <v>85</v>
      </c>
      <c r="AK257" s="23"/>
      <c r="AL257" s="44"/>
      <c r="AM257" s="44"/>
      <c r="AN257" s="44"/>
      <c r="AO257" s="44"/>
      <c r="AP257" s="44"/>
      <c r="AQ257" s="44"/>
      <c r="AR257" s="44"/>
    </row>
    <row r="258" spans="1:44" ht="16.8">
      <c r="A258" s="17" t="s">
        <v>645</v>
      </c>
      <c r="B258" s="18"/>
      <c r="C258" s="1" t="s">
        <v>642</v>
      </c>
      <c r="D258" s="19" t="s">
        <v>643</v>
      </c>
      <c r="E258" s="20" t="s">
        <v>39</v>
      </c>
      <c r="F258" s="21">
        <v>2010</v>
      </c>
      <c r="G258" s="40">
        <v>2023</v>
      </c>
      <c r="H258" s="23">
        <v>30252114802</v>
      </c>
      <c r="I258" s="23">
        <v>308153305247</v>
      </c>
      <c r="J258" s="23">
        <v>40741407243</v>
      </c>
      <c r="K258" s="23">
        <f t="shared" si="69"/>
        <v>20447983141.5</v>
      </c>
      <c r="L258" s="23">
        <v>40741407243</v>
      </c>
      <c r="M258" s="23">
        <v>267411898004</v>
      </c>
      <c r="N258" s="23">
        <v>84082802454</v>
      </c>
      <c r="O258" s="25">
        <f t="shared" si="70"/>
        <v>-10489292441</v>
      </c>
      <c r="P258" s="23">
        <v>-27330308107</v>
      </c>
      <c r="Q258" s="23">
        <v>26242905037</v>
      </c>
      <c r="R258" s="25">
        <f t="shared" si="71"/>
        <v>57839897417</v>
      </c>
      <c r="S258" s="26">
        <f t="shared" si="72"/>
        <v>0.13221148872748181</v>
      </c>
      <c r="T258" s="27">
        <f t="shared" si="73"/>
        <v>0.74253976112221254</v>
      </c>
      <c r="U258" s="26">
        <f t="shared" si="74"/>
        <v>26.453863240394817</v>
      </c>
      <c r="V258" s="26">
        <f t="shared" si="75"/>
        <v>4.1120340266395559</v>
      </c>
      <c r="W258" s="90">
        <v>45690</v>
      </c>
      <c r="X258" s="42">
        <v>2200</v>
      </c>
      <c r="Y258" s="88">
        <v>8824</v>
      </c>
      <c r="Z258" s="30">
        <f t="shared" si="76"/>
        <v>19412800</v>
      </c>
      <c r="AA258" s="31">
        <f t="shared" si="77"/>
        <v>13</v>
      </c>
      <c r="AB258" s="32">
        <v>3.2500000000000001E-2</v>
      </c>
      <c r="AC258" s="32">
        <v>5.0500000000000003E-2</v>
      </c>
      <c r="AD258" s="33">
        <f t="shared" si="78"/>
        <v>-3.403920147016537E-2</v>
      </c>
      <c r="AE258" s="34">
        <f t="shared" si="79"/>
        <v>-8.8690621329190075E-2</v>
      </c>
      <c r="AF258" s="33">
        <f t="shared" si="80"/>
        <v>0.18769844889587825</v>
      </c>
      <c r="AG258" s="33">
        <f t="shared" si="81"/>
        <v>4.7648820484313086E-4</v>
      </c>
      <c r="AH258" s="35">
        <f t="shared" si="82"/>
        <v>2.0638168424691985</v>
      </c>
      <c r="AI258" s="36">
        <f t="shared" si="83"/>
        <v>2.5184937051234382</v>
      </c>
      <c r="AJ258" s="23" t="s">
        <v>85</v>
      </c>
      <c r="AK258" s="23"/>
      <c r="AL258" s="44"/>
      <c r="AM258" s="44"/>
      <c r="AN258" s="44"/>
      <c r="AO258" s="44"/>
      <c r="AP258" s="44"/>
      <c r="AQ258" s="44"/>
      <c r="AR258" s="44"/>
    </row>
    <row r="259" spans="1:44" ht="16.8">
      <c r="A259" s="17" t="s">
        <v>646</v>
      </c>
      <c r="B259" s="18">
        <v>99</v>
      </c>
      <c r="C259" s="1" t="s">
        <v>647</v>
      </c>
      <c r="D259" s="19" t="s">
        <v>648</v>
      </c>
      <c r="E259" s="20" t="s">
        <v>178</v>
      </c>
      <c r="F259" s="21">
        <v>2010</v>
      </c>
      <c r="G259" s="40">
        <v>2021</v>
      </c>
      <c r="H259" s="23">
        <v>93345443254</v>
      </c>
      <c r="I259" s="23">
        <v>95442282830</v>
      </c>
      <c r="J259" s="23">
        <v>216426745704</v>
      </c>
      <c r="K259" s="23">
        <f>(J259+217820327218)/2</f>
        <v>217123536461</v>
      </c>
      <c r="L259" s="23">
        <v>216426745704</v>
      </c>
      <c r="M259" s="23">
        <v>-120984462874</v>
      </c>
      <c r="N259" s="23">
        <v>0</v>
      </c>
      <c r="O259" s="25">
        <f t="shared" si="70"/>
        <v>-123081302450</v>
      </c>
      <c r="P259" s="23">
        <v>-7663483340</v>
      </c>
      <c r="Q259" s="23">
        <v>6736954445</v>
      </c>
      <c r="R259" s="25">
        <f t="shared" si="71"/>
        <v>-6736954445</v>
      </c>
      <c r="S259" s="26">
        <f t="shared" si="72"/>
        <v>2.2676191231667757</v>
      </c>
      <c r="T259" s="27">
        <f t="shared" si="73"/>
        <v>0.43130271607773285</v>
      </c>
      <c r="U259" s="26">
        <f t="shared" si="74"/>
        <v>25.281787533456722</v>
      </c>
      <c r="V259" s="26">
        <f t="shared" si="75"/>
        <v>0</v>
      </c>
      <c r="W259" s="88" t="s">
        <v>649</v>
      </c>
      <c r="X259" s="29">
        <v>2000</v>
      </c>
      <c r="Y259" s="88">
        <v>364300</v>
      </c>
      <c r="Z259" s="30">
        <f t="shared" si="76"/>
        <v>728600000</v>
      </c>
      <c r="AA259" s="31">
        <f t="shared" si="77"/>
        <v>11</v>
      </c>
      <c r="AB259" s="32">
        <v>1.84E-2</v>
      </c>
      <c r="AC259" s="32">
        <v>2.58E-2</v>
      </c>
      <c r="AD259" s="33">
        <f t="shared" si="78"/>
        <v>-1.2895888363151382</v>
      </c>
      <c r="AE259" s="34">
        <f t="shared" si="79"/>
        <v>-8.0294426251832765E-2</v>
      </c>
      <c r="AF259" s="33">
        <f t="shared" si="80"/>
        <v>-7.0586685955529124E-2</v>
      </c>
      <c r="AG259" s="33">
        <f t="shared" si="81"/>
        <v>3.3664970455938156E-3</v>
      </c>
      <c r="AH259" s="35">
        <f t="shared" si="82"/>
        <v>0</v>
      </c>
      <c r="AI259" s="36">
        <f t="shared" si="83"/>
        <v>-1.8908349657566215</v>
      </c>
      <c r="AJ259" s="23" t="s">
        <v>85</v>
      </c>
      <c r="AK259" s="23"/>
      <c r="AL259" s="44"/>
      <c r="AM259" s="44"/>
      <c r="AN259" s="44"/>
      <c r="AO259" s="44"/>
      <c r="AP259" s="44"/>
      <c r="AQ259" s="44"/>
      <c r="AR259" s="44"/>
    </row>
    <row r="260" spans="1:44" ht="16.8">
      <c r="A260" s="17" t="s">
        <v>650</v>
      </c>
      <c r="B260" s="18"/>
      <c r="C260" s="1" t="s">
        <v>647</v>
      </c>
      <c r="D260" s="19" t="s">
        <v>648</v>
      </c>
      <c r="E260" s="20" t="s">
        <v>178</v>
      </c>
      <c r="F260" s="21">
        <v>2010</v>
      </c>
      <c r="G260" s="40">
        <v>2022</v>
      </c>
      <c r="H260" s="23">
        <v>93178041464</v>
      </c>
      <c r="I260" s="23">
        <v>95214814027</v>
      </c>
      <c r="J260" s="23">
        <v>231352846548</v>
      </c>
      <c r="K260" s="23">
        <f t="shared" ref="K260:K261" si="84">(J260+J259)/2</f>
        <v>223889796126</v>
      </c>
      <c r="L260" s="23">
        <v>231352846548</v>
      </c>
      <c r="M260" s="23">
        <v>-136138032521</v>
      </c>
      <c r="N260" s="23">
        <v>0</v>
      </c>
      <c r="O260" s="25">
        <f t="shared" si="70"/>
        <v>-138174805084</v>
      </c>
      <c r="P260" s="23">
        <v>-15153569647</v>
      </c>
      <c r="Q260" s="23">
        <v>182703246</v>
      </c>
      <c r="R260" s="25">
        <f t="shared" si="71"/>
        <v>-182703246</v>
      </c>
      <c r="S260" s="26">
        <f t="shared" si="72"/>
        <v>2.4297988596857989</v>
      </c>
      <c r="T260" s="27">
        <f t="shared" si="73"/>
        <v>0.40275295011193157</v>
      </c>
      <c r="U260" s="26">
        <f t="shared" si="74"/>
        <v>25.279401376165136</v>
      </c>
      <c r="V260" s="26">
        <f t="shared" si="75"/>
        <v>0</v>
      </c>
      <c r="W260" s="88" t="s">
        <v>651</v>
      </c>
      <c r="X260" s="29">
        <v>900</v>
      </c>
      <c r="Y260" s="88">
        <v>5500</v>
      </c>
      <c r="Z260" s="30">
        <f t="shared" si="76"/>
        <v>4950000</v>
      </c>
      <c r="AA260" s="31">
        <f t="shared" si="77"/>
        <v>12</v>
      </c>
      <c r="AB260" s="32">
        <v>3.15E-2</v>
      </c>
      <c r="AC260" s="32">
        <v>8.0199999999999994E-2</v>
      </c>
      <c r="AD260" s="33">
        <f t="shared" si="78"/>
        <v>-1.4511902007687361</v>
      </c>
      <c r="AE260" s="34">
        <f t="shared" si="79"/>
        <v>-0.15915138628221143</v>
      </c>
      <c r="AF260" s="33">
        <f t="shared" si="80"/>
        <v>-1.918853151865538E-3</v>
      </c>
      <c r="AG260" s="33">
        <f t="shared" si="81"/>
        <v>2.1395889758257189E-5</v>
      </c>
      <c r="AH260" s="35">
        <f t="shared" si="82"/>
        <v>0</v>
      </c>
      <c r="AI260" s="36">
        <f t="shared" si="83"/>
        <v>-1.9705595595848804</v>
      </c>
      <c r="AJ260" s="23" t="s">
        <v>85</v>
      </c>
      <c r="AK260" s="23"/>
      <c r="AL260" s="44"/>
      <c r="AM260" s="44"/>
      <c r="AN260" s="44"/>
      <c r="AO260" s="44"/>
      <c r="AP260" s="44"/>
      <c r="AQ260" s="44"/>
      <c r="AR260" s="44"/>
    </row>
    <row r="261" spans="1:44" ht="16.8">
      <c r="A261" s="17" t="s">
        <v>652</v>
      </c>
      <c r="B261" s="18"/>
      <c r="C261" s="1" t="s">
        <v>647</v>
      </c>
      <c r="D261" s="19" t="s">
        <v>648</v>
      </c>
      <c r="E261" s="20" t="s">
        <v>178</v>
      </c>
      <c r="F261" s="21">
        <v>2010</v>
      </c>
      <c r="G261" s="40">
        <v>2023</v>
      </c>
      <c r="H261" s="23">
        <v>93021232184</v>
      </c>
      <c r="I261" s="23">
        <v>94998553951</v>
      </c>
      <c r="J261" s="23">
        <v>244343910762</v>
      </c>
      <c r="K261" s="23">
        <f t="shared" si="84"/>
        <v>237848378655</v>
      </c>
      <c r="L261" s="23">
        <v>244343910762</v>
      </c>
      <c r="M261" s="23">
        <v>-149345356811</v>
      </c>
      <c r="N261" s="23">
        <v>0</v>
      </c>
      <c r="O261" s="25">
        <f t="shared" si="70"/>
        <v>-151322678578</v>
      </c>
      <c r="P261" s="23">
        <v>-13207324290</v>
      </c>
      <c r="Q261" s="23">
        <v>19122974</v>
      </c>
      <c r="R261" s="25">
        <f t="shared" si="71"/>
        <v>-19122974</v>
      </c>
      <c r="S261" s="26">
        <f t="shared" si="72"/>
        <v>2.5720803170123192</v>
      </c>
      <c r="T261" s="27">
        <f t="shared" si="73"/>
        <v>0.38069797562750035</v>
      </c>
      <c r="U261" s="26">
        <f t="shared" si="74"/>
        <v>25.27712750686268</v>
      </c>
      <c r="V261" s="26">
        <f t="shared" si="75"/>
        <v>0</v>
      </c>
      <c r="W261" s="88" t="s">
        <v>653</v>
      </c>
      <c r="X261" s="29">
        <v>700</v>
      </c>
      <c r="Y261" s="88">
        <v>44500</v>
      </c>
      <c r="Z261" s="30">
        <f t="shared" si="76"/>
        <v>31150000</v>
      </c>
      <c r="AA261" s="31">
        <f t="shared" si="77"/>
        <v>13</v>
      </c>
      <c r="AB261" s="32">
        <v>3.2500000000000001E-2</v>
      </c>
      <c r="AC261" s="32">
        <v>5.0500000000000003E-2</v>
      </c>
      <c r="AD261" s="33">
        <f t="shared" si="78"/>
        <v>-1.5928945471743901</v>
      </c>
      <c r="AE261" s="34">
        <f t="shared" si="79"/>
        <v>-0.13902658241316287</v>
      </c>
      <c r="AF261" s="33">
        <f t="shared" si="80"/>
        <v>-2.0129752722197834E-4</v>
      </c>
      <c r="AG261" s="33">
        <f t="shared" si="81"/>
        <v>1.2748424915872469E-4</v>
      </c>
      <c r="AH261" s="35">
        <f t="shared" si="82"/>
        <v>0</v>
      </c>
      <c r="AI261" s="36">
        <f t="shared" si="83"/>
        <v>-2.106698463278033</v>
      </c>
      <c r="AJ261" s="23" t="s">
        <v>85</v>
      </c>
      <c r="AK261" s="23"/>
      <c r="AL261" s="44"/>
      <c r="AM261" s="44"/>
      <c r="AN261" s="44"/>
      <c r="AO261" s="44"/>
      <c r="AP261" s="44"/>
      <c r="AQ261" s="44"/>
      <c r="AR261" s="44"/>
    </row>
    <row r="262" spans="1:44" ht="16.8">
      <c r="A262" s="45"/>
      <c r="B262" s="45">
        <v>100</v>
      </c>
      <c r="C262" s="45" t="s">
        <v>654</v>
      </c>
      <c r="D262" s="46" t="s">
        <v>655</v>
      </c>
      <c r="E262" s="47" t="s">
        <v>39</v>
      </c>
      <c r="F262" s="48"/>
      <c r="G262" s="48">
        <v>2021</v>
      </c>
      <c r="H262" s="49"/>
      <c r="I262" s="49"/>
      <c r="J262" s="49"/>
      <c r="K262" s="49"/>
      <c r="L262" s="49"/>
      <c r="M262" s="49"/>
      <c r="N262" s="49"/>
      <c r="O262" s="49">
        <f t="shared" si="70"/>
        <v>0</v>
      </c>
      <c r="P262" s="49"/>
      <c r="Q262" s="49"/>
      <c r="R262" s="49">
        <f t="shared" si="71"/>
        <v>0</v>
      </c>
      <c r="S262" s="50" t="e">
        <f t="shared" si="72"/>
        <v>#DIV/0!</v>
      </c>
      <c r="T262" s="51" t="e">
        <f t="shared" si="73"/>
        <v>#DIV/0!</v>
      </c>
      <c r="U262" s="50" t="e">
        <f t="shared" si="74"/>
        <v>#NUM!</v>
      </c>
      <c r="V262" s="50" t="e">
        <f t="shared" si="75"/>
        <v>#DIV/0!</v>
      </c>
      <c r="W262" s="52"/>
      <c r="X262" s="53">
        <v>0</v>
      </c>
      <c r="Y262" s="52"/>
      <c r="Z262" s="55">
        <f t="shared" si="76"/>
        <v>0</v>
      </c>
      <c r="AA262" s="48">
        <f t="shared" si="77"/>
        <v>2021</v>
      </c>
      <c r="AB262" s="49"/>
      <c r="AC262" s="49"/>
      <c r="AD262" s="50" t="e">
        <f t="shared" si="78"/>
        <v>#DIV/0!</v>
      </c>
      <c r="AE262" s="56" t="e">
        <f t="shared" si="79"/>
        <v>#DIV/0!</v>
      </c>
      <c r="AF262" s="50" t="e">
        <f t="shared" si="80"/>
        <v>#DIV/0!</v>
      </c>
      <c r="AG262" s="50" t="e">
        <f t="shared" si="81"/>
        <v>#DIV/0!</v>
      </c>
      <c r="AH262" s="57" t="e">
        <f t="shared" si="82"/>
        <v>#DIV/0!</v>
      </c>
      <c r="AI262" s="58" t="e">
        <f t="shared" si="83"/>
        <v>#DIV/0!</v>
      </c>
      <c r="AJ262" s="49"/>
      <c r="AK262" s="49"/>
      <c r="AL262" s="59"/>
      <c r="AM262" s="59"/>
      <c r="AN262" s="59"/>
      <c r="AO262" s="59"/>
      <c r="AP262" s="59"/>
      <c r="AQ262" s="59"/>
      <c r="AR262" s="59"/>
    </row>
    <row r="263" spans="1:44" ht="16.8">
      <c r="A263" s="45"/>
      <c r="B263" s="45">
        <v>101</v>
      </c>
      <c r="C263" s="45" t="s">
        <v>656</v>
      </c>
      <c r="D263" s="46" t="s">
        <v>657</v>
      </c>
      <c r="E263" s="47" t="s">
        <v>39</v>
      </c>
      <c r="F263" s="48"/>
      <c r="G263" s="48">
        <v>2021</v>
      </c>
      <c r="H263" s="49"/>
      <c r="I263" s="49"/>
      <c r="J263" s="49"/>
      <c r="K263" s="49"/>
      <c r="L263" s="49"/>
      <c r="M263" s="49"/>
      <c r="N263" s="49"/>
      <c r="O263" s="49">
        <f t="shared" si="70"/>
        <v>0</v>
      </c>
      <c r="P263" s="49"/>
      <c r="Q263" s="49"/>
      <c r="R263" s="49">
        <f t="shared" si="71"/>
        <v>0</v>
      </c>
      <c r="S263" s="50" t="e">
        <f t="shared" si="72"/>
        <v>#DIV/0!</v>
      </c>
      <c r="T263" s="51" t="e">
        <f t="shared" si="73"/>
        <v>#DIV/0!</v>
      </c>
      <c r="U263" s="50" t="e">
        <f t="shared" si="74"/>
        <v>#NUM!</v>
      </c>
      <c r="V263" s="50" t="e">
        <f t="shared" si="75"/>
        <v>#DIV/0!</v>
      </c>
      <c r="W263" s="52"/>
      <c r="X263" s="53">
        <v>0</v>
      </c>
      <c r="Y263" s="52"/>
      <c r="Z263" s="55">
        <f t="shared" si="76"/>
        <v>0</v>
      </c>
      <c r="AA263" s="48">
        <f t="shared" si="77"/>
        <v>2021</v>
      </c>
      <c r="AB263" s="49"/>
      <c r="AC263" s="49"/>
      <c r="AD263" s="50" t="e">
        <f t="shared" si="78"/>
        <v>#DIV/0!</v>
      </c>
      <c r="AE263" s="56" t="e">
        <f t="shared" si="79"/>
        <v>#DIV/0!</v>
      </c>
      <c r="AF263" s="50" t="e">
        <f t="shared" si="80"/>
        <v>#DIV/0!</v>
      </c>
      <c r="AG263" s="50" t="e">
        <f t="shared" si="81"/>
        <v>#DIV/0!</v>
      </c>
      <c r="AH263" s="57" t="e">
        <f t="shared" si="82"/>
        <v>#DIV/0!</v>
      </c>
      <c r="AI263" s="58" t="e">
        <f t="shared" si="83"/>
        <v>#DIV/0!</v>
      </c>
      <c r="AJ263" s="49"/>
      <c r="AK263" s="49"/>
      <c r="AL263" s="59"/>
      <c r="AM263" s="59"/>
      <c r="AN263" s="59"/>
      <c r="AO263" s="59"/>
      <c r="AP263" s="59"/>
      <c r="AQ263" s="59"/>
      <c r="AR263" s="59"/>
    </row>
    <row r="264" spans="1:44" ht="16.8">
      <c r="A264" s="45"/>
      <c r="B264" s="45">
        <v>102</v>
      </c>
      <c r="C264" s="45" t="s">
        <v>658</v>
      </c>
      <c r="D264" s="46" t="s">
        <v>659</v>
      </c>
      <c r="E264" s="47" t="s">
        <v>39</v>
      </c>
      <c r="F264" s="48"/>
      <c r="G264" s="48">
        <v>2021</v>
      </c>
      <c r="H264" s="49"/>
      <c r="I264" s="49"/>
      <c r="J264" s="49"/>
      <c r="K264" s="49"/>
      <c r="L264" s="49"/>
      <c r="M264" s="49"/>
      <c r="N264" s="49"/>
      <c r="O264" s="49">
        <f t="shared" si="70"/>
        <v>0</v>
      </c>
      <c r="P264" s="49"/>
      <c r="Q264" s="49"/>
      <c r="R264" s="49">
        <f t="shared" si="71"/>
        <v>0</v>
      </c>
      <c r="S264" s="50" t="e">
        <f t="shared" si="72"/>
        <v>#DIV/0!</v>
      </c>
      <c r="T264" s="51" t="e">
        <f t="shared" si="73"/>
        <v>#DIV/0!</v>
      </c>
      <c r="U264" s="50" t="e">
        <f t="shared" si="74"/>
        <v>#NUM!</v>
      </c>
      <c r="V264" s="50" t="e">
        <f t="shared" si="75"/>
        <v>#DIV/0!</v>
      </c>
      <c r="W264" s="52"/>
      <c r="X264" s="53">
        <v>0</v>
      </c>
      <c r="Y264" s="52"/>
      <c r="Z264" s="55">
        <f t="shared" si="76"/>
        <v>0</v>
      </c>
      <c r="AA264" s="48">
        <f t="shared" si="77"/>
        <v>2021</v>
      </c>
      <c r="AB264" s="49"/>
      <c r="AC264" s="49"/>
      <c r="AD264" s="50" t="e">
        <f t="shared" si="78"/>
        <v>#DIV/0!</v>
      </c>
      <c r="AE264" s="56" t="e">
        <f t="shared" si="79"/>
        <v>#DIV/0!</v>
      </c>
      <c r="AF264" s="50" t="e">
        <f t="shared" si="80"/>
        <v>#DIV/0!</v>
      </c>
      <c r="AG264" s="50" t="e">
        <f t="shared" si="81"/>
        <v>#DIV/0!</v>
      </c>
      <c r="AH264" s="57" t="e">
        <f t="shared" si="82"/>
        <v>#DIV/0!</v>
      </c>
      <c r="AI264" s="58" t="e">
        <f t="shared" si="83"/>
        <v>#DIV/0!</v>
      </c>
      <c r="AJ264" s="49"/>
      <c r="AK264" s="49"/>
      <c r="AL264" s="59"/>
      <c r="AM264" s="59"/>
      <c r="AN264" s="59"/>
      <c r="AO264" s="59"/>
      <c r="AP264" s="59"/>
      <c r="AQ264" s="59"/>
      <c r="AR264" s="59"/>
    </row>
    <row r="265" spans="1:44" ht="16.8">
      <c r="A265" s="17" t="s">
        <v>660</v>
      </c>
      <c r="B265" s="18">
        <v>103</v>
      </c>
      <c r="C265" s="1" t="s">
        <v>661</v>
      </c>
      <c r="D265" s="19" t="s">
        <v>662</v>
      </c>
      <c r="E265" s="20" t="s">
        <v>39</v>
      </c>
      <c r="F265" s="21">
        <v>1996</v>
      </c>
      <c r="G265" s="40">
        <v>2021</v>
      </c>
      <c r="H265" s="23">
        <v>285939056387</v>
      </c>
      <c r="I265" s="23">
        <v>299973120007</v>
      </c>
      <c r="J265" s="23">
        <v>142467587853</v>
      </c>
      <c r="K265" s="23">
        <f>(J265+52923469310)/2</f>
        <v>97695528581.5</v>
      </c>
      <c r="L265" s="23">
        <v>140314468461</v>
      </c>
      <c r="M265" s="23">
        <v>157505532154</v>
      </c>
      <c r="N265" s="23">
        <v>168162339604</v>
      </c>
      <c r="O265" s="25">
        <f t="shared" si="70"/>
        <v>145624587926</v>
      </c>
      <c r="P265" s="23">
        <v>59094813265</v>
      </c>
      <c r="Q265" s="23">
        <f>16775929296+14012941828</f>
        <v>30788871124</v>
      </c>
      <c r="R265" s="25">
        <f t="shared" si="71"/>
        <v>137373468480</v>
      </c>
      <c r="S265" s="26">
        <f t="shared" si="72"/>
        <v>0.47493451363133954</v>
      </c>
      <c r="T265" s="27">
        <f t="shared" si="73"/>
        <v>2.0378444184925657</v>
      </c>
      <c r="U265" s="26">
        <f t="shared" si="74"/>
        <v>26.426958707611629</v>
      </c>
      <c r="V265" s="26">
        <f t="shared" si="75"/>
        <v>1.721290032877143</v>
      </c>
      <c r="W265" s="88" t="s">
        <v>663</v>
      </c>
      <c r="X265" s="29">
        <v>22420</v>
      </c>
      <c r="Y265" s="88">
        <v>10700</v>
      </c>
      <c r="Z265" s="30">
        <f t="shared" si="76"/>
        <v>239894000</v>
      </c>
      <c r="AA265" s="31">
        <f t="shared" si="77"/>
        <v>25</v>
      </c>
      <c r="AB265" s="32">
        <v>1.84E-2</v>
      </c>
      <c r="AC265" s="32">
        <v>2.58E-2</v>
      </c>
      <c r="AD265" s="33">
        <f t="shared" si="78"/>
        <v>0.48545879018293969</v>
      </c>
      <c r="AE265" s="34">
        <f t="shared" si="79"/>
        <v>0.19700036211118183</v>
      </c>
      <c r="AF265" s="33">
        <f t="shared" si="80"/>
        <v>0.45795259414174955</v>
      </c>
      <c r="AG265" s="33">
        <f t="shared" si="81"/>
        <v>1.6838496644410511E-3</v>
      </c>
      <c r="AH265" s="35">
        <f t="shared" si="82"/>
        <v>1.1803550697967329</v>
      </c>
      <c r="AI265" s="36">
        <f t="shared" si="83"/>
        <v>3.5509599954383528</v>
      </c>
      <c r="AJ265" s="23"/>
      <c r="AK265" s="23"/>
      <c r="AL265" s="44"/>
      <c r="AM265" s="44"/>
      <c r="AN265" s="44"/>
      <c r="AO265" s="44"/>
      <c r="AP265" s="44"/>
      <c r="AQ265" s="44"/>
      <c r="AR265" s="44"/>
    </row>
    <row r="266" spans="1:44" ht="16.8">
      <c r="A266" s="17" t="s">
        <v>664</v>
      </c>
      <c r="B266" s="18"/>
      <c r="C266" s="1" t="s">
        <v>661</v>
      </c>
      <c r="D266" s="19" t="s">
        <v>662</v>
      </c>
      <c r="E266" s="20" t="s">
        <v>39</v>
      </c>
      <c r="F266" s="21">
        <v>1996</v>
      </c>
      <c r="G266" s="40">
        <v>2022</v>
      </c>
      <c r="H266" s="23">
        <v>244218231608</v>
      </c>
      <c r="I266" s="23">
        <v>267383143123</v>
      </c>
      <c r="J266" s="23">
        <v>119133001348</v>
      </c>
      <c r="K266" s="23">
        <f t="shared" ref="K266:K267" si="85">(J266+J265)/2</f>
        <v>130800294600.5</v>
      </c>
      <c r="L266" s="23">
        <v>116135425921</v>
      </c>
      <c r="M266" s="23">
        <v>148250141775</v>
      </c>
      <c r="N266" s="23">
        <v>645698608558</v>
      </c>
      <c r="O266" s="25">
        <f t="shared" si="70"/>
        <v>128082805687</v>
      </c>
      <c r="P266" s="23">
        <v>25781164207</v>
      </c>
      <c r="Q266" s="23">
        <f>13867548576+17064877897</f>
        <v>30932426473</v>
      </c>
      <c r="R266" s="25">
        <f t="shared" si="71"/>
        <v>614766182085</v>
      </c>
      <c r="S266" s="26">
        <f t="shared" si="72"/>
        <v>0.44555165279509468</v>
      </c>
      <c r="T266" s="27">
        <f t="shared" si="73"/>
        <v>2.1028745507346494</v>
      </c>
      <c r="U266" s="26">
        <f t="shared" si="74"/>
        <v>26.311948459698208</v>
      </c>
      <c r="V266" s="26">
        <f t="shared" si="75"/>
        <v>4.9365225860548767</v>
      </c>
      <c r="W266" s="89">
        <v>45795</v>
      </c>
      <c r="X266" s="42">
        <v>18050</v>
      </c>
      <c r="Y266" s="88">
        <v>400</v>
      </c>
      <c r="Z266" s="30">
        <f t="shared" si="76"/>
        <v>7220000</v>
      </c>
      <c r="AA266" s="31">
        <f t="shared" si="77"/>
        <v>26</v>
      </c>
      <c r="AB266" s="32">
        <v>3.15E-2</v>
      </c>
      <c r="AC266" s="32">
        <v>8.0199999999999994E-2</v>
      </c>
      <c r="AD266" s="33">
        <f t="shared" si="78"/>
        <v>0.47902348738596473</v>
      </c>
      <c r="AE266" s="34">
        <f t="shared" si="79"/>
        <v>9.6420304982129348E-2</v>
      </c>
      <c r="AF266" s="33">
        <f t="shared" si="80"/>
        <v>2.2991957342733418</v>
      </c>
      <c r="AG266" s="33">
        <f t="shared" si="81"/>
        <v>6.0604533742162864E-5</v>
      </c>
      <c r="AH266" s="35">
        <f t="shared" si="82"/>
        <v>5.4199810401137007</v>
      </c>
      <c r="AI266" s="36">
        <f t="shared" si="83"/>
        <v>13.717179937774112</v>
      </c>
      <c r="AJ266" s="23"/>
      <c r="AK266" s="23"/>
      <c r="AL266" s="44"/>
      <c r="AM266" s="44"/>
      <c r="AN266" s="44"/>
      <c r="AO266" s="44"/>
      <c r="AP266" s="44"/>
      <c r="AQ266" s="44"/>
      <c r="AR266" s="44"/>
    </row>
    <row r="267" spans="1:44" ht="16.8">
      <c r="A267" s="17" t="s">
        <v>665</v>
      </c>
      <c r="B267" s="18"/>
      <c r="C267" s="1" t="s">
        <v>661</v>
      </c>
      <c r="D267" s="19" t="s">
        <v>662</v>
      </c>
      <c r="E267" s="20" t="s">
        <v>39</v>
      </c>
      <c r="F267" s="21">
        <v>1996</v>
      </c>
      <c r="G267" s="40">
        <v>2023</v>
      </c>
      <c r="H267" s="23">
        <v>160724129905</v>
      </c>
      <c r="I267" s="23">
        <v>185559505256</v>
      </c>
      <c r="J267" s="23">
        <v>31786296721</v>
      </c>
      <c r="K267" s="23">
        <f t="shared" si="85"/>
        <v>75459649034.5</v>
      </c>
      <c r="L267" s="23">
        <v>31360682721</v>
      </c>
      <c r="M267" s="23">
        <v>153773208535</v>
      </c>
      <c r="N267" s="23">
        <v>83251715373</v>
      </c>
      <c r="O267" s="25">
        <f t="shared" si="70"/>
        <v>129363447184</v>
      </c>
      <c r="P267" s="23">
        <v>6187729182</v>
      </c>
      <c r="Q267" s="23">
        <f>18040254200+13246828963</f>
        <v>31287083163</v>
      </c>
      <c r="R267" s="25">
        <f t="shared" si="71"/>
        <v>51964632210</v>
      </c>
      <c r="S267" s="26">
        <f t="shared" si="72"/>
        <v>0.17129974924834632</v>
      </c>
      <c r="T267" s="27">
        <f t="shared" si="73"/>
        <v>5.1250201194559635</v>
      </c>
      <c r="U267" s="26">
        <f t="shared" si="74"/>
        <v>25.946641450605231</v>
      </c>
      <c r="V267" s="26">
        <f t="shared" si="75"/>
        <v>1.1032613646922409</v>
      </c>
      <c r="W267" s="88" t="s">
        <v>666</v>
      </c>
      <c r="X267" s="29">
        <v>17430</v>
      </c>
      <c r="Y267" s="88">
        <v>0</v>
      </c>
      <c r="Z267" s="30">
        <f t="shared" si="76"/>
        <v>0</v>
      </c>
      <c r="AA267" s="31">
        <f t="shared" si="77"/>
        <v>27</v>
      </c>
      <c r="AB267" s="32">
        <v>3.2500000000000001E-2</v>
      </c>
      <c r="AC267" s="32">
        <v>5.0500000000000003E-2</v>
      </c>
      <c r="AD267" s="33">
        <f t="shared" si="78"/>
        <v>0.69715343876094471</v>
      </c>
      <c r="AE267" s="34">
        <f t="shared" si="79"/>
        <v>3.3346333692059256E-2</v>
      </c>
      <c r="AF267" s="33">
        <f t="shared" si="80"/>
        <v>0.28004295516044303</v>
      </c>
      <c r="AG267" s="33">
        <f t="shared" si="81"/>
        <v>0</v>
      </c>
      <c r="AH267" s="35">
        <f t="shared" si="82"/>
        <v>2.6191070983742106</v>
      </c>
      <c r="AI267" s="36">
        <f t="shared" si="83"/>
        <v>4.4265178440856889</v>
      </c>
      <c r="AJ267" s="23"/>
      <c r="AK267" s="23"/>
      <c r="AL267" s="44"/>
      <c r="AM267" s="44"/>
      <c r="AN267" s="44"/>
      <c r="AO267" s="44"/>
      <c r="AP267" s="44"/>
      <c r="AQ267" s="44"/>
      <c r="AR267" s="44"/>
    </row>
    <row r="268" spans="1:44" ht="16.8">
      <c r="A268" s="17" t="s">
        <v>667</v>
      </c>
      <c r="B268" s="18">
        <v>104</v>
      </c>
      <c r="C268" s="1" t="s">
        <v>668</v>
      </c>
      <c r="D268" s="19" t="s">
        <v>669</v>
      </c>
      <c r="E268" s="20" t="s">
        <v>39</v>
      </c>
      <c r="F268" s="21">
        <v>2004</v>
      </c>
      <c r="G268" s="40">
        <v>2021</v>
      </c>
      <c r="H268" s="23">
        <v>45194738023</v>
      </c>
      <c r="I268" s="23">
        <v>157063880521</v>
      </c>
      <c r="J268" s="23">
        <v>50780514493</v>
      </c>
      <c r="K268" s="23">
        <f>(J268+49061897719)/2</f>
        <v>49921206106</v>
      </c>
      <c r="L268" s="23">
        <v>45446514493</v>
      </c>
      <c r="M268" s="23">
        <v>106283366028</v>
      </c>
      <c r="N268" s="23">
        <v>213997120263</v>
      </c>
      <c r="O268" s="25">
        <f t="shared" si="70"/>
        <v>-251776470</v>
      </c>
      <c r="P268" s="23">
        <v>23445624653</v>
      </c>
      <c r="Q268" s="23">
        <f>25381118940+12044022851</f>
        <v>37425141791</v>
      </c>
      <c r="R268" s="25">
        <f t="shared" si="71"/>
        <v>176571978472</v>
      </c>
      <c r="S268" s="26">
        <f t="shared" si="72"/>
        <v>0.32331121785960498</v>
      </c>
      <c r="T268" s="27">
        <f t="shared" si="73"/>
        <v>0.99445993883560024</v>
      </c>
      <c r="U268" s="26">
        <f t="shared" si="74"/>
        <v>25.779918441839925</v>
      </c>
      <c r="V268" s="26">
        <f t="shared" si="75"/>
        <v>4.2866977173710517</v>
      </c>
      <c r="W268" s="88" t="s">
        <v>670</v>
      </c>
      <c r="X268" s="29">
        <v>14900</v>
      </c>
      <c r="Y268" s="88">
        <v>5230</v>
      </c>
      <c r="Z268" s="30">
        <f t="shared" si="76"/>
        <v>77927000</v>
      </c>
      <c r="AA268" s="31">
        <f t="shared" si="77"/>
        <v>17</v>
      </c>
      <c r="AB268" s="32">
        <v>1.84E-2</v>
      </c>
      <c r="AC268" s="32">
        <v>2.58E-2</v>
      </c>
      <c r="AD268" s="33">
        <f t="shared" si="78"/>
        <v>-1.6030195431618449E-3</v>
      </c>
      <c r="AE268" s="34">
        <f t="shared" si="79"/>
        <v>0.14927445174045115</v>
      </c>
      <c r="AF268" s="33">
        <f t="shared" si="80"/>
        <v>1.1242048642010452</v>
      </c>
      <c r="AG268" s="33">
        <f t="shared" si="81"/>
        <v>1.5345846882024422E-3</v>
      </c>
      <c r="AH268" s="35">
        <f t="shared" si="82"/>
        <v>4.2141581746380119</v>
      </c>
      <c r="AI268" s="36">
        <f t="shared" si="83"/>
        <v>8.1320155862992198</v>
      </c>
      <c r="AJ268" s="23"/>
      <c r="AK268" s="23"/>
      <c r="AL268" s="44"/>
      <c r="AM268" s="44"/>
      <c r="AN268" s="44"/>
      <c r="AO268" s="44"/>
      <c r="AP268" s="44"/>
      <c r="AQ268" s="44"/>
      <c r="AR268" s="44"/>
    </row>
    <row r="269" spans="1:44" ht="16.8">
      <c r="A269" s="17" t="s">
        <v>671</v>
      </c>
      <c r="B269" s="18"/>
      <c r="C269" s="1" t="s">
        <v>668</v>
      </c>
      <c r="D269" s="19" t="s">
        <v>669</v>
      </c>
      <c r="E269" s="20" t="s">
        <v>39</v>
      </c>
      <c r="F269" s="21">
        <v>2004</v>
      </c>
      <c r="G269" s="40">
        <v>2022</v>
      </c>
      <c r="H269" s="23">
        <v>71704805259</v>
      </c>
      <c r="I269" s="23">
        <v>188354904397</v>
      </c>
      <c r="J269" s="23">
        <v>73411849301</v>
      </c>
      <c r="K269" s="23">
        <f t="shared" ref="K269:K270" si="86">(J269+J268)/2</f>
        <v>62096181897</v>
      </c>
      <c r="L269" s="23">
        <v>70741849301</v>
      </c>
      <c r="M269" s="23">
        <v>114943055096</v>
      </c>
      <c r="N269" s="23">
        <v>286795933215</v>
      </c>
      <c r="O269" s="25">
        <f t="shared" si="70"/>
        <v>962955958</v>
      </c>
      <c r="P269" s="23">
        <v>43581677324</v>
      </c>
      <c r="Q269" s="23">
        <f>32674943377+18094948604</f>
        <v>50769891981</v>
      </c>
      <c r="R269" s="25">
        <f t="shared" si="71"/>
        <v>236026041234</v>
      </c>
      <c r="S269" s="26">
        <f t="shared" si="72"/>
        <v>0.38975278894924947</v>
      </c>
      <c r="T269" s="27">
        <f t="shared" si="73"/>
        <v>1.0136122531078133</v>
      </c>
      <c r="U269" s="26">
        <f t="shared" si="74"/>
        <v>25.961593809487162</v>
      </c>
      <c r="V269" s="26">
        <f t="shared" si="75"/>
        <v>4.6185759647946361</v>
      </c>
      <c r="W269" s="90">
        <v>46006</v>
      </c>
      <c r="X269" s="42">
        <v>15120</v>
      </c>
      <c r="Y269" s="88">
        <v>330</v>
      </c>
      <c r="Z269" s="30">
        <f t="shared" si="76"/>
        <v>4989600</v>
      </c>
      <c r="AA269" s="31">
        <f t="shared" si="77"/>
        <v>18</v>
      </c>
      <c r="AB269" s="32">
        <v>3.15E-2</v>
      </c>
      <c r="AC269" s="32">
        <v>8.0199999999999994E-2</v>
      </c>
      <c r="AD269" s="33">
        <f t="shared" si="78"/>
        <v>5.1124549216427905E-3</v>
      </c>
      <c r="AE269" s="34">
        <f t="shared" si="79"/>
        <v>0.23138063467751224</v>
      </c>
      <c r="AF269" s="33">
        <f t="shared" si="80"/>
        <v>1.2530920922373354</v>
      </c>
      <c r="AG269" s="33">
        <f t="shared" si="81"/>
        <v>6.7967229371131404E-5</v>
      </c>
      <c r="AH269" s="35">
        <f t="shared" si="82"/>
        <v>3.9066708705169932</v>
      </c>
      <c r="AI269" s="36">
        <f t="shared" si="83"/>
        <v>8.3719833896923106</v>
      </c>
      <c r="AJ269" s="23"/>
      <c r="AK269" s="23"/>
      <c r="AL269" s="44"/>
      <c r="AM269" s="44"/>
      <c r="AN269" s="44"/>
      <c r="AO269" s="44"/>
      <c r="AP269" s="44"/>
      <c r="AQ269" s="44"/>
      <c r="AR269" s="44"/>
    </row>
    <row r="270" spans="1:44" ht="16.8">
      <c r="A270" s="17" t="s">
        <v>672</v>
      </c>
      <c r="B270" s="18"/>
      <c r="C270" s="1" t="s">
        <v>668</v>
      </c>
      <c r="D270" s="19" t="s">
        <v>669</v>
      </c>
      <c r="E270" s="20" t="s">
        <v>39</v>
      </c>
      <c r="F270" s="21">
        <v>2004</v>
      </c>
      <c r="G270" s="40">
        <v>2023</v>
      </c>
      <c r="H270" s="23">
        <v>58046985732</v>
      </c>
      <c r="I270" s="23">
        <v>167782253846</v>
      </c>
      <c r="J270" s="23">
        <v>48507614854</v>
      </c>
      <c r="K270" s="23">
        <f t="shared" si="86"/>
        <v>60959732077.5</v>
      </c>
      <c r="L270" s="23">
        <v>47169614854</v>
      </c>
      <c r="M270" s="23">
        <v>119274638992</v>
      </c>
      <c r="N270" s="23">
        <v>193390529470</v>
      </c>
      <c r="O270" s="25">
        <f t="shared" si="70"/>
        <v>10877370878</v>
      </c>
      <c r="P270" s="23">
        <v>23635639133</v>
      </c>
      <c r="Q270" s="23">
        <f>19587005808+13976744628</f>
        <v>33563750436</v>
      </c>
      <c r="R270" s="25">
        <f t="shared" si="71"/>
        <v>159826779034</v>
      </c>
      <c r="S270" s="26">
        <f t="shared" si="72"/>
        <v>0.28911052117897412</v>
      </c>
      <c r="T270" s="27">
        <f t="shared" si="73"/>
        <v>1.2306012230896475</v>
      </c>
      <c r="U270" s="26">
        <f t="shared" si="74"/>
        <v>25.845932867615613</v>
      </c>
      <c r="V270" s="26">
        <f t="shared" si="75"/>
        <v>3.1724307650193837</v>
      </c>
      <c r="W270" s="88" t="s">
        <v>673</v>
      </c>
      <c r="X270" s="29">
        <v>17190</v>
      </c>
      <c r="Y270" s="88">
        <v>206</v>
      </c>
      <c r="Z270" s="30">
        <f t="shared" si="76"/>
        <v>3541140</v>
      </c>
      <c r="AA270" s="31">
        <f t="shared" si="77"/>
        <v>19</v>
      </c>
      <c r="AB270" s="32">
        <v>3.2500000000000001E-2</v>
      </c>
      <c r="AC270" s="32">
        <v>5.0500000000000003E-2</v>
      </c>
      <c r="AD270" s="33">
        <f t="shared" si="78"/>
        <v>6.483028227755161E-2</v>
      </c>
      <c r="AE270" s="34">
        <f t="shared" si="79"/>
        <v>0.14087091209714062</v>
      </c>
      <c r="AF270" s="33">
        <f t="shared" si="80"/>
        <v>0.95258452768609259</v>
      </c>
      <c r="AG270" s="33">
        <f t="shared" si="81"/>
        <v>7.3001734071202087E-5</v>
      </c>
      <c r="AH270" s="35">
        <f t="shared" si="82"/>
        <v>3.9868076394206131</v>
      </c>
      <c r="AI270" s="36">
        <f t="shared" si="83"/>
        <v>7.4053959974942192</v>
      </c>
      <c r="AJ270" s="23"/>
      <c r="AK270" s="23"/>
      <c r="AL270" s="44"/>
      <c r="AM270" s="44"/>
      <c r="AN270" s="44"/>
      <c r="AO270" s="44"/>
      <c r="AP270" s="44"/>
      <c r="AQ270" s="44"/>
      <c r="AR270" s="44"/>
    </row>
    <row r="271" spans="1:44" ht="16.8">
      <c r="A271" s="17" t="s">
        <v>674</v>
      </c>
      <c r="B271" s="18">
        <v>105</v>
      </c>
      <c r="C271" s="1" t="s">
        <v>675</v>
      </c>
      <c r="D271" s="19" t="s">
        <v>676</v>
      </c>
      <c r="E271" s="20" t="s">
        <v>39</v>
      </c>
      <c r="F271" s="21">
        <v>2003</v>
      </c>
      <c r="G271" s="40">
        <v>2021</v>
      </c>
      <c r="H271" s="23">
        <v>62643773446</v>
      </c>
      <c r="I271" s="23">
        <v>89837990641</v>
      </c>
      <c r="J271" s="23">
        <v>17852653214</v>
      </c>
      <c r="K271" s="23">
        <f>(J271+15906346690)/2</f>
        <v>16879499952</v>
      </c>
      <c r="L271" s="23">
        <v>17852653214</v>
      </c>
      <c r="M271" s="23">
        <v>71985337427</v>
      </c>
      <c r="N271" s="23">
        <v>127635214403</v>
      </c>
      <c r="O271" s="25">
        <f t="shared" si="70"/>
        <v>44791120232</v>
      </c>
      <c r="P271" s="23">
        <v>3150804383</v>
      </c>
      <c r="Q271" s="23">
        <f>16346881952+10829631818</f>
        <v>27176513770</v>
      </c>
      <c r="R271" s="25">
        <f t="shared" si="71"/>
        <v>100458700633</v>
      </c>
      <c r="S271" s="26">
        <f t="shared" si="72"/>
        <v>0.19872053110961344</v>
      </c>
      <c r="T271" s="27">
        <f t="shared" si="73"/>
        <v>3.5089335291000294</v>
      </c>
      <c r="U271" s="26">
        <f t="shared" si="74"/>
        <v>25.221273781153638</v>
      </c>
      <c r="V271" s="26">
        <f t="shared" si="75"/>
        <v>7.5615518685953074</v>
      </c>
      <c r="W271" s="91" t="s">
        <v>677</v>
      </c>
      <c r="X271" s="29">
        <v>14210</v>
      </c>
      <c r="Y271" s="91">
        <v>2200</v>
      </c>
      <c r="Z271" s="30">
        <f t="shared" si="76"/>
        <v>31262000</v>
      </c>
      <c r="AA271" s="31">
        <f t="shared" si="77"/>
        <v>18</v>
      </c>
      <c r="AB271" s="32">
        <v>1.84E-2</v>
      </c>
      <c r="AC271" s="32">
        <v>2.58E-2</v>
      </c>
      <c r="AD271" s="33">
        <f t="shared" si="78"/>
        <v>0.49857660342147458</v>
      </c>
      <c r="AE271" s="34">
        <f t="shared" si="79"/>
        <v>3.5072070963729295E-2</v>
      </c>
      <c r="AF271" s="33">
        <f t="shared" si="80"/>
        <v>1.1182206983506702</v>
      </c>
      <c r="AG271" s="33">
        <f t="shared" si="81"/>
        <v>1.751112264673602E-3</v>
      </c>
      <c r="AH271" s="35">
        <f t="shared" si="82"/>
        <v>7.1493695011623721</v>
      </c>
      <c r="AI271" s="36">
        <f t="shared" si="83"/>
        <v>11.487941296533378</v>
      </c>
      <c r="AJ271" s="23"/>
      <c r="AK271" s="23"/>
      <c r="AL271" s="44"/>
      <c r="AM271" s="44"/>
      <c r="AN271" s="44"/>
      <c r="AO271" s="44"/>
      <c r="AP271" s="44"/>
      <c r="AQ271" s="44"/>
      <c r="AR271" s="44"/>
    </row>
    <row r="272" spans="1:44" ht="16.8">
      <c r="A272" s="17" t="s">
        <v>678</v>
      </c>
      <c r="B272" s="18"/>
      <c r="C272" s="1" t="s">
        <v>675</v>
      </c>
      <c r="D272" s="19" t="s">
        <v>676</v>
      </c>
      <c r="E272" s="20" t="s">
        <v>39</v>
      </c>
      <c r="F272" s="21">
        <v>2003</v>
      </c>
      <c r="G272" s="40">
        <v>2022</v>
      </c>
      <c r="H272" s="23">
        <v>69657733819</v>
      </c>
      <c r="I272" s="23">
        <v>94502594575</v>
      </c>
      <c r="J272" s="23">
        <v>18136945277</v>
      </c>
      <c r="K272" s="23">
        <f t="shared" ref="K272:K273" si="87">(J272+J271)/2</f>
        <v>17994799245.5</v>
      </c>
      <c r="L272" s="23">
        <v>18136945277</v>
      </c>
      <c r="M272" s="23">
        <v>76365649295</v>
      </c>
      <c r="N272" s="23">
        <v>153368249987</v>
      </c>
      <c r="O272" s="25">
        <f t="shared" si="70"/>
        <v>51520788542</v>
      </c>
      <c r="P272" s="23">
        <v>10531116251</v>
      </c>
      <c r="Q272" s="23">
        <f>19857851134+12260993134</f>
        <v>32118844268</v>
      </c>
      <c r="R272" s="25">
        <f t="shared" si="71"/>
        <v>121249405719</v>
      </c>
      <c r="S272" s="26">
        <f t="shared" si="72"/>
        <v>0.19192007752343768</v>
      </c>
      <c r="T272" s="27">
        <f t="shared" si="73"/>
        <v>3.8406541319466321</v>
      </c>
      <c r="U272" s="26">
        <f t="shared" si="74"/>
        <v>25.27189312688931</v>
      </c>
      <c r="V272" s="26">
        <f t="shared" si="75"/>
        <v>8.5229208670029006</v>
      </c>
      <c r="W272" s="91" t="s">
        <v>679</v>
      </c>
      <c r="X272" s="29">
        <v>12890</v>
      </c>
      <c r="Y272" s="91">
        <v>200</v>
      </c>
      <c r="Z272" s="30">
        <f t="shared" si="76"/>
        <v>2578000</v>
      </c>
      <c r="AA272" s="31">
        <f t="shared" si="77"/>
        <v>19</v>
      </c>
      <c r="AB272" s="32">
        <v>3.15E-2</v>
      </c>
      <c r="AC272" s="32">
        <v>8.0199999999999994E-2</v>
      </c>
      <c r="AD272" s="33">
        <f t="shared" si="78"/>
        <v>0.54517856122047115</v>
      </c>
      <c r="AE272" s="34">
        <f t="shared" si="79"/>
        <v>0.11143732400534465</v>
      </c>
      <c r="AF272" s="33">
        <f t="shared" si="80"/>
        <v>1.2830272678150965</v>
      </c>
      <c r="AG272" s="33">
        <f t="shared" si="81"/>
        <v>1.4214080489448455E-4</v>
      </c>
      <c r="AH272" s="35">
        <f t="shared" si="82"/>
        <v>8.4561235447675323</v>
      </c>
      <c r="AI272" s="36">
        <f t="shared" si="83"/>
        <v>13.500425340112335</v>
      </c>
      <c r="AJ272" s="23"/>
      <c r="AK272" s="23"/>
      <c r="AL272" s="44"/>
      <c r="AM272" s="44"/>
      <c r="AN272" s="44"/>
      <c r="AO272" s="44"/>
      <c r="AP272" s="44"/>
      <c r="AQ272" s="44"/>
      <c r="AR272" s="44"/>
    </row>
    <row r="273" spans="1:44" ht="16.8">
      <c r="A273" s="17" t="s">
        <v>680</v>
      </c>
      <c r="B273" s="18"/>
      <c r="C273" s="1" t="s">
        <v>675</v>
      </c>
      <c r="D273" s="19" t="s">
        <v>676</v>
      </c>
      <c r="E273" s="20" t="s">
        <v>39</v>
      </c>
      <c r="F273" s="21">
        <v>2003</v>
      </c>
      <c r="G273" s="40">
        <v>2023</v>
      </c>
      <c r="H273" s="23">
        <v>70141006770</v>
      </c>
      <c r="I273" s="23">
        <v>93578318292</v>
      </c>
      <c r="J273" s="23">
        <v>19384874723</v>
      </c>
      <c r="K273" s="23">
        <f t="shared" si="87"/>
        <v>18760910000</v>
      </c>
      <c r="L273" s="23">
        <v>19384874723</v>
      </c>
      <c r="M273" s="23">
        <v>74193443569</v>
      </c>
      <c r="N273" s="23">
        <v>168660498492</v>
      </c>
      <c r="O273" s="25">
        <f t="shared" si="70"/>
        <v>50756132047</v>
      </c>
      <c r="P273" s="23">
        <v>6005794274</v>
      </c>
      <c r="Q273" s="23">
        <f>21752572295+11014078983</f>
        <v>32766651278</v>
      </c>
      <c r="R273" s="25">
        <f t="shared" si="71"/>
        <v>135893847214</v>
      </c>
      <c r="S273" s="26">
        <f t="shared" si="72"/>
        <v>0.20715134741481256</v>
      </c>
      <c r="T273" s="27">
        <f t="shared" si="73"/>
        <v>3.6183368617171539</v>
      </c>
      <c r="U273" s="26">
        <f t="shared" si="74"/>
        <v>25.262064551417275</v>
      </c>
      <c r="V273" s="26">
        <f t="shared" si="75"/>
        <v>8.9899956074625376</v>
      </c>
      <c r="W273" s="91" t="s">
        <v>681</v>
      </c>
      <c r="X273" s="29">
        <v>16720</v>
      </c>
      <c r="Y273" s="91">
        <v>0</v>
      </c>
      <c r="Z273" s="30">
        <f t="shared" si="76"/>
        <v>0</v>
      </c>
      <c r="AA273" s="31">
        <f t="shared" si="77"/>
        <v>20</v>
      </c>
      <c r="AB273" s="32">
        <v>3.2500000000000001E-2</v>
      </c>
      <c r="AC273" s="32">
        <v>5.0500000000000003E-2</v>
      </c>
      <c r="AD273" s="33">
        <f t="shared" si="78"/>
        <v>0.54239200889058015</v>
      </c>
      <c r="AE273" s="34">
        <f t="shared" si="79"/>
        <v>6.4179335380441807E-2</v>
      </c>
      <c r="AF273" s="33">
        <f t="shared" si="80"/>
        <v>1.4521937313508824</v>
      </c>
      <c r="AG273" s="33">
        <f t="shared" si="81"/>
        <v>0</v>
      </c>
      <c r="AH273" s="35">
        <f t="shared" si="82"/>
        <v>8.700623599691653</v>
      </c>
      <c r="AI273" s="36">
        <f t="shared" si="83"/>
        <v>14.233584393350879</v>
      </c>
      <c r="AJ273" s="23"/>
      <c r="AK273" s="23"/>
      <c r="AL273" s="44"/>
      <c r="AM273" s="44"/>
      <c r="AN273" s="44"/>
      <c r="AO273" s="44"/>
      <c r="AP273" s="44"/>
      <c r="AQ273" s="44"/>
      <c r="AR273" s="44"/>
    </row>
    <row r="274" spans="1:44" ht="16.8">
      <c r="A274" s="17" t="s">
        <v>682</v>
      </c>
      <c r="B274" s="18">
        <v>106</v>
      </c>
      <c r="C274" s="1" t="s">
        <v>683</v>
      </c>
      <c r="D274" s="19" t="s">
        <v>684</v>
      </c>
      <c r="E274" s="20" t="s">
        <v>39</v>
      </c>
      <c r="F274" s="21">
        <v>2007</v>
      </c>
      <c r="G274" s="40">
        <v>2021</v>
      </c>
      <c r="H274" s="23">
        <v>79276489531</v>
      </c>
      <c r="I274" s="23">
        <v>127728069488</v>
      </c>
      <c r="J274" s="23">
        <v>76238163290</v>
      </c>
      <c r="K274" s="23">
        <f>(J274+97213029455)/2</f>
        <v>86725596372.5</v>
      </c>
      <c r="L274" s="23">
        <v>76238163290</v>
      </c>
      <c r="M274" s="23">
        <v>51489906198</v>
      </c>
      <c r="N274" s="23">
        <v>448689918438</v>
      </c>
      <c r="O274" s="25">
        <f t="shared" si="70"/>
        <v>3038326241</v>
      </c>
      <c r="P274" s="23">
        <v>1065296280</v>
      </c>
      <c r="Q274" s="23">
        <f>18422233082+12872979522</f>
        <v>31295212604</v>
      </c>
      <c r="R274" s="25">
        <f t="shared" si="71"/>
        <v>417394705834</v>
      </c>
      <c r="S274" s="26">
        <f t="shared" si="72"/>
        <v>0.59687869389713544</v>
      </c>
      <c r="T274" s="27">
        <f t="shared" si="73"/>
        <v>1.0398530881370083</v>
      </c>
      <c r="U274" s="26">
        <f t="shared" si="74"/>
        <v>25.573169383880771</v>
      </c>
      <c r="V274" s="26">
        <f t="shared" si="75"/>
        <v>5.1736734851704753</v>
      </c>
      <c r="W274" s="91" t="s">
        <v>685</v>
      </c>
      <c r="X274" s="29">
        <v>18700</v>
      </c>
      <c r="Y274" s="91">
        <v>900</v>
      </c>
      <c r="Z274" s="30">
        <f t="shared" si="76"/>
        <v>16830000</v>
      </c>
      <c r="AA274" s="31">
        <f t="shared" si="77"/>
        <v>14</v>
      </c>
      <c r="AB274" s="32">
        <v>1.84E-2</v>
      </c>
      <c r="AC274" s="32">
        <v>2.58E-2</v>
      </c>
      <c r="AD274" s="33">
        <f t="shared" si="78"/>
        <v>2.3787459194984931E-2</v>
      </c>
      <c r="AE274" s="34">
        <f t="shared" si="79"/>
        <v>8.3403458947610889E-3</v>
      </c>
      <c r="AF274" s="33">
        <f t="shared" si="80"/>
        <v>3.2678385221598769</v>
      </c>
      <c r="AG274" s="33">
        <f t="shared" si="81"/>
        <v>2.2075558058738746E-4</v>
      </c>
      <c r="AH274" s="35">
        <f t="shared" si="82"/>
        <v>5.8853715655667393</v>
      </c>
      <c r="AI274" s="36">
        <f t="shared" si="83"/>
        <v>16.709592577329332</v>
      </c>
      <c r="AJ274" s="23"/>
      <c r="AK274" s="23"/>
      <c r="AL274" s="44"/>
      <c r="AM274" s="44"/>
      <c r="AN274" s="44"/>
      <c r="AO274" s="44"/>
      <c r="AP274" s="44"/>
      <c r="AQ274" s="44"/>
      <c r="AR274" s="44"/>
    </row>
    <row r="275" spans="1:44" ht="16.8">
      <c r="A275" s="17" t="s">
        <v>686</v>
      </c>
      <c r="B275" s="18"/>
      <c r="C275" s="1" t="s">
        <v>683</v>
      </c>
      <c r="D275" s="19" t="s">
        <v>684</v>
      </c>
      <c r="E275" s="20" t="s">
        <v>39</v>
      </c>
      <c r="F275" s="21">
        <v>2007</v>
      </c>
      <c r="G275" s="40">
        <v>2022</v>
      </c>
      <c r="H275" s="23">
        <v>138871550042</v>
      </c>
      <c r="I275" s="23">
        <v>174383963947</v>
      </c>
      <c r="J275" s="23">
        <v>108036215484</v>
      </c>
      <c r="K275" s="23">
        <f t="shared" ref="K275:K276" si="88">(J275+J274)/2</f>
        <v>92137189387</v>
      </c>
      <c r="L275" s="23">
        <v>108036215484</v>
      </c>
      <c r="M275" s="23">
        <v>66347748463</v>
      </c>
      <c r="N275" s="23">
        <v>1079745521722</v>
      </c>
      <c r="O275" s="25">
        <f t="shared" si="70"/>
        <v>30835334558</v>
      </c>
      <c r="P275" s="23">
        <v>18404543339</v>
      </c>
      <c r="Q275" s="23">
        <f>38304168377+25395431443</f>
        <v>63699599820</v>
      </c>
      <c r="R275" s="25">
        <f t="shared" si="71"/>
        <v>1016045921902</v>
      </c>
      <c r="S275" s="26">
        <f t="shared" si="72"/>
        <v>0.6195306783875788</v>
      </c>
      <c r="T275" s="27">
        <f t="shared" si="73"/>
        <v>1.2854166486659899</v>
      </c>
      <c r="U275" s="26">
        <f t="shared" si="74"/>
        <v>25.884525394348461</v>
      </c>
      <c r="V275" s="26">
        <f t="shared" si="75"/>
        <v>11.718889287872564</v>
      </c>
      <c r="W275" s="91" t="s">
        <v>687</v>
      </c>
      <c r="X275" s="29">
        <v>17950</v>
      </c>
      <c r="Y275" s="91">
        <v>400</v>
      </c>
      <c r="Z275" s="30">
        <f t="shared" si="76"/>
        <v>7180000</v>
      </c>
      <c r="AA275" s="31">
        <f t="shared" si="77"/>
        <v>15</v>
      </c>
      <c r="AB275" s="32">
        <v>3.15E-2</v>
      </c>
      <c r="AC275" s="32">
        <v>8.0199999999999994E-2</v>
      </c>
      <c r="AD275" s="33">
        <f t="shared" si="78"/>
        <v>0.17682436997114995</v>
      </c>
      <c r="AE275" s="34">
        <f t="shared" si="79"/>
        <v>0.10554034282988106</v>
      </c>
      <c r="AF275" s="33">
        <f t="shared" si="80"/>
        <v>5.8264871316424705</v>
      </c>
      <c r="AG275" s="33">
        <f t="shared" si="81"/>
        <v>6.6459195815345338E-5</v>
      </c>
      <c r="AH275" s="35">
        <f t="shared" si="82"/>
        <v>9.9942923480312835</v>
      </c>
      <c r="AI275" s="36">
        <f t="shared" si="83"/>
        <v>29.581685481896141</v>
      </c>
      <c r="AJ275" s="23"/>
      <c r="AK275" s="23"/>
      <c r="AL275" s="44"/>
      <c r="AM275" s="44"/>
      <c r="AN275" s="44"/>
      <c r="AO275" s="44"/>
      <c r="AP275" s="44"/>
      <c r="AQ275" s="44"/>
      <c r="AR275" s="44"/>
    </row>
    <row r="276" spans="1:44" ht="16.8">
      <c r="A276" s="17" t="s">
        <v>688</v>
      </c>
      <c r="B276" s="18"/>
      <c r="C276" s="1" t="s">
        <v>683</v>
      </c>
      <c r="D276" s="19" t="s">
        <v>684</v>
      </c>
      <c r="E276" s="20" t="s">
        <v>39</v>
      </c>
      <c r="F276" s="21">
        <v>2007</v>
      </c>
      <c r="G276" s="40">
        <v>2023</v>
      </c>
      <c r="H276" s="23">
        <v>162572034284</v>
      </c>
      <c r="I276" s="23">
        <v>196524361350</v>
      </c>
      <c r="J276" s="23">
        <v>127549401303</v>
      </c>
      <c r="K276" s="23">
        <f t="shared" si="88"/>
        <v>117792808393.5</v>
      </c>
      <c r="L276" s="23">
        <v>127549401303</v>
      </c>
      <c r="M276" s="23">
        <v>68974960047</v>
      </c>
      <c r="N276" s="23">
        <v>1234414895184</v>
      </c>
      <c r="O276" s="25">
        <f t="shared" si="70"/>
        <v>35022632981</v>
      </c>
      <c r="P276" s="23">
        <v>24830750148</v>
      </c>
      <c r="Q276" s="23">
        <f>48671085728+24608563317</f>
        <v>73279649045</v>
      </c>
      <c r="R276" s="25">
        <f t="shared" si="71"/>
        <v>1161135246139</v>
      </c>
      <c r="S276" s="26">
        <f t="shared" si="72"/>
        <v>0.64902590410071825</v>
      </c>
      <c r="T276" s="27">
        <f t="shared" si="73"/>
        <v>1.2745809280421629</v>
      </c>
      <c r="U276" s="26">
        <f t="shared" si="74"/>
        <v>26.004052236907174</v>
      </c>
      <c r="V276" s="26">
        <f t="shared" si="75"/>
        <v>10.479543802540979</v>
      </c>
      <c r="W276" s="91" t="s">
        <v>689</v>
      </c>
      <c r="X276" s="29">
        <v>40320</v>
      </c>
      <c r="Y276" s="91">
        <v>0</v>
      </c>
      <c r="Z276" s="30">
        <f t="shared" si="76"/>
        <v>0</v>
      </c>
      <c r="AA276" s="31">
        <f t="shared" si="77"/>
        <v>16</v>
      </c>
      <c r="AB276" s="32">
        <v>3.2500000000000001E-2</v>
      </c>
      <c r="AC276" s="32">
        <v>5.0500000000000003E-2</v>
      </c>
      <c r="AD276" s="33">
        <f t="shared" si="78"/>
        <v>0.17821013507137903</v>
      </c>
      <c r="AE276" s="34">
        <f t="shared" si="79"/>
        <v>0.12634947635717123</v>
      </c>
      <c r="AF276" s="33">
        <f t="shared" si="80"/>
        <v>5.9083527261593618</v>
      </c>
      <c r="AG276" s="33">
        <f t="shared" si="81"/>
        <v>0</v>
      </c>
      <c r="AH276" s="35">
        <f t="shared" si="82"/>
        <v>9.6779356278716318</v>
      </c>
      <c r="AI276" s="36">
        <f t="shared" si="83"/>
        <v>29.566241053183219</v>
      </c>
      <c r="AJ276" s="23"/>
      <c r="AK276" s="23"/>
      <c r="AL276" s="44"/>
      <c r="AM276" s="44"/>
      <c r="AN276" s="44"/>
      <c r="AO276" s="44"/>
      <c r="AP276" s="44"/>
      <c r="AQ276" s="44"/>
      <c r="AR276" s="44"/>
    </row>
    <row r="277" spans="1:44" ht="16.8">
      <c r="A277" s="45"/>
      <c r="B277" s="45">
        <v>107</v>
      </c>
      <c r="C277" s="45" t="s">
        <v>690</v>
      </c>
      <c r="D277" s="46" t="s">
        <v>691</v>
      </c>
      <c r="E277" s="47" t="s">
        <v>39</v>
      </c>
      <c r="F277" s="48"/>
      <c r="G277" s="48">
        <v>2021</v>
      </c>
      <c r="H277" s="49"/>
      <c r="I277" s="49"/>
      <c r="J277" s="49"/>
      <c r="K277" s="49"/>
      <c r="L277" s="49"/>
      <c r="M277" s="49"/>
      <c r="N277" s="49"/>
      <c r="O277" s="49">
        <f t="shared" si="70"/>
        <v>0</v>
      </c>
      <c r="P277" s="49"/>
      <c r="Q277" s="49"/>
      <c r="R277" s="49">
        <f t="shared" si="71"/>
        <v>0</v>
      </c>
      <c r="S277" s="50" t="e">
        <f t="shared" si="72"/>
        <v>#DIV/0!</v>
      </c>
      <c r="T277" s="51" t="e">
        <f t="shared" si="73"/>
        <v>#DIV/0!</v>
      </c>
      <c r="U277" s="50" t="e">
        <f t="shared" si="74"/>
        <v>#NUM!</v>
      </c>
      <c r="V277" s="50" t="e">
        <f t="shared" si="75"/>
        <v>#DIV/0!</v>
      </c>
      <c r="W277" s="52"/>
      <c r="X277" s="53">
        <v>0</v>
      </c>
      <c r="Y277" s="52"/>
      <c r="Z277" s="55">
        <f t="shared" si="76"/>
        <v>0</v>
      </c>
      <c r="AA277" s="48">
        <f t="shared" si="77"/>
        <v>2021</v>
      </c>
      <c r="AB277" s="49"/>
      <c r="AC277" s="49"/>
      <c r="AD277" s="50" t="e">
        <f t="shared" si="78"/>
        <v>#DIV/0!</v>
      </c>
      <c r="AE277" s="56" t="e">
        <f t="shared" si="79"/>
        <v>#DIV/0!</v>
      </c>
      <c r="AF277" s="50" t="e">
        <f t="shared" si="80"/>
        <v>#DIV/0!</v>
      </c>
      <c r="AG277" s="50" t="e">
        <f t="shared" si="81"/>
        <v>#DIV/0!</v>
      </c>
      <c r="AH277" s="57" t="e">
        <f t="shared" si="82"/>
        <v>#DIV/0!</v>
      </c>
      <c r="AI277" s="58" t="e">
        <f t="shared" si="83"/>
        <v>#DIV/0!</v>
      </c>
      <c r="AJ277" s="49"/>
      <c r="AK277" s="49"/>
      <c r="AL277" s="59"/>
      <c r="AM277" s="59"/>
      <c r="AN277" s="59"/>
      <c r="AO277" s="59"/>
      <c r="AP277" s="59"/>
      <c r="AQ277" s="59"/>
      <c r="AR277" s="59"/>
    </row>
    <row r="278" spans="1:44" ht="16.8">
      <c r="A278" s="45"/>
      <c r="B278" s="45">
        <v>108</v>
      </c>
      <c r="C278" s="45" t="s">
        <v>692</v>
      </c>
      <c r="D278" s="46" t="s">
        <v>693</v>
      </c>
      <c r="E278" s="47" t="s">
        <v>39</v>
      </c>
      <c r="F278" s="48"/>
      <c r="G278" s="48">
        <v>2021</v>
      </c>
      <c r="H278" s="49"/>
      <c r="I278" s="49"/>
      <c r="J278" s="49"/>
      <c r="K278" s="49"/>
      <c r="L278" s="49"/>
      <c r="M278" s="49"/>
      <c r="N278" s="49"/>
      <c r="O278" s="49">
        <f t="shared" si="70"/>
        <v>0</v>
      </c>
      <c r="P278" s="49"/>
      <c r="Q278" s="49"/>
      <c r="R278" s="49">
        <f t="shared" si="71"/>
        <v>0</v>
      </c>
      <c r="S278" s="50" t="e">
        <f t="shared" si="72"/>
        <v>#DIV/0!</v>
      </c>
      <c r="T278" s="51" t="e">
        <f t="shared" si="73"/>
        <v>#DIV/0!</v>
      </c>
      <c r="U278" s="50" t="e">
        <f t="shared" si="74"/>
        <v>#NUM!</v>
      </c>
      <c r="V278" s="50" t="e">
        <f t="shared" si="75"/>
        <v>#DIV/0!</v>
      </c>
      <c r="W278" s="52"/>
      <c r="X278" s="53">
        <v>0</v>
      </c>
      <c r="Y278" s="52"/>
      <c r="Z278" s="55">
        <f t="shared" si="76"/>
        <v>0</v>
      </c>
      <c r="AA278" s="48">
        <f t="shared" si="77"/>
        <v>2021</v>
      </c>
      <c r="AB278" s="49"/>
      <c r="AC278" s="49"/>
      <c r="AD278" s="50" t="e">
        <f t="shared" si="78"/>
        <v>#DIV/0!</v>
      </c>
      <c r="AE278" s="56" t="e">
        <f t="shared" si="79"/>
        <v>#DIV/0!</v>
      </c>
      <c r="AF278" s="50" t="e">
        <f t="shared" si="80"/>
        <v>#DIV/0!</v>
      </c>
      <c r="AG278" s="50" t="e">
        <f t="shared" si="81"/>
        <v>#DIV/0!</v>
      </c>
      <c r="AH278" s="57" t="e">
        <f t="shared" si="82"/>
        <v>#DIV/0!</v>
      </c>
      <c r="AI278" s="58" t="e">
        <f t="shared" si="83"/>
        <v>#DIV/0!</v>
      </c>
      <c r="AJ278" s="49"/>
      <c r="AK278" s="49"/>
      <c r="AL278" s="59"/>
      <c r="AM278" s="59"/>
      <c r="AN278" s="59"/>
      <c r="AO278" s="59"/>
      <c r="AP278" s="59"/>
      <c r="AQ278" s="59"/>
      <c r="AR278" s="59"/>
    </row>
    <row r="279" spans="1:44" ht="16.8">
      <c r="A279" s="17" t="s">
        <v>694</v>
      </c>
      <c r="B279" s="18">
        <v>109</v>
      </c>
      <c r="C279" s="1" t="s">
        <v>695</v>
      </c>
      <c r="D279" s="19" t="s">
        <v>696</v>
      </c>
      <c r="E279" s="20" t="s">
        <v>39</v>
      </c>
      <c r="F279" s="21">
        <v>2008</v>
      </c>
      <c r="G279" s="40">
        <v>2021</v>
      </c>
      <c r="H279" s="23">
        <v>271941759225</v>
      </c>
      <c r="I279" s="23">
        <v>402009993770</v>
      </c>
      <c r="J279" s="23">
        <v>4501047112</v>
      </c>
      <c r="K279" s="23">
        <f>(J279+2723861426)/2</f>
        <v>3612454269</v>
      </c>
      <c r="L279" s="23">
        <v>4501047112</v>
      </c>
      <c r="M279" s="23">
        <v>397508946658</v>
      </c>
      <c r="N279" s="23">
        <v>20665275827</v>
      </c>
      <c r="O279" s="25">
        <f t="shared" si="70"/>
        <v>267440712113</v>
      </c>
      <c r="P279" s="23">
        <v>8112789147</v>
      </c>
      <c r="Q279" s="23">
        <v>8875819270</v>
      </c>
      <c r="R279" s="25">
        <f t="shared" si="71"/>
        <v>11789456557</v>
      </c>
      <c r="S279" s="26">
        <f t="shared" si="72"/>
        <v>1.1196356264155865E-2</v>
      </c>
      <c r="T279" s="27">
        <f t="shared" si="73"/>
        <v>60.417443421107656</v>
      </c>
      <c r="U279" s="26">
        <f t="shared" si="74"/>
        <v>26.719742785380802</v>
      </c>
      <c r="V279" s="26">
        <f t="shared" si="75"/>
        <v>5.7205639956019603</v>
      </c>
      <c r="W279" s="91" t="s">
        <v>697</v>
      </c>
      <c r="X279" s="29">
        <v>13750</v>
      </c>
      <c r="Y279" s="91">
        <v>198655</v>
      </c>
      <c r="Z279" s="30">
        <f t="shared" si="76"/>
        <v>2731506250</v>
      </c>
      <c r="AA279" s="31">
        <f t="shared" si="77"/>
        <v>13</v>
      </c>
      <c r="AB279" s="32">
        <v>1.84E-2</v>
      </c>
      <c r="AC279" s="32">
        <v>2.58E-2</v>
      </c>
      <c r="AD279" s="33">
        <f t="shared" si="78"/>
        <v>0.66525886484804542</v>
      </c>
      <c r="AE279" s="34">
        <f t="shared" si="79"/>
        <v>2.0180565838473982E-2</v>
      </c>
      <c r="AF279" s="33">
        <f t="shared" si="80"/>
        <v>2.9326277305795147E-2</v>
      </c>
      <c r="AG279" s="33">
        <f t="shared" si="81"/>
        <v>0.60686017765014677</v>
      </c>
      <c r="AH279" s="35">
        <f t="shared" si="82"/>
        <v>4.5912151801089616</v>
      </c>
      <c r="AI279" s="36">
        <f t="shared" si="83"/>
        <v>5.8786714317996918</v>
      </c>
      <c r="AJ279" s="23"/>
      <c r="AK279" s="23"/>
      <c r="AL279" s="44"/>
      <c r="AM279" s="44"/>
      <c r="AN279" s="44"/>
      <c r="AO279" s="44"/>
      <c r="AP279" s="44"/>
      <c r="AQ279" s="44"/>
      <c r="AR279" s="44"/>
    </row>
    <row r="280" spans="1:44" ht="16.8">
      <c r="A280" s="17" t="s">
        <v>698</v>
      </c>
      <c r="B280" s="18"/>
      <c r="C280" s="1" t="s">
        <v>695</v>
      </c>
      <c r="D280" s="19" t="s">
        <v>696</v>
      </c>
      <c r="E280" s="20" t="s">
        <v>39</v>
      </c>
      <c r="F280" s="21">
        <v>2008</v>
      </c>
      <c r="G280" s="40">
        <v>2022</v>
      </c>
      <c r="H280" s="23">
        <v>350709296988</v>
      </c>
      <c r="I280" s="23">
        <v>405763552603</v>
      </c>
      <c r="J280" s="23">
        <v>3597036283</v>
      </c>
      <c r="K280" s="23">
        <f t="shared" ref="K280:K281" si="89">(J280+J279)/2</f>
        <v>4049041697.5</v>
      </c>
      <c r="L280" s="23">
        <v>3597036283</v>
      </c>
      <c r="M280" s="23">
        <v>402166516320</v>
      </c>
      <c r="N280" s="23">
        <v>28848347845</v>
      </c>
      <c r="O280" s="25">
        <f t="shared" si="70"/>
        <v>347112260705</v>
      </c>
      <c r="P280" s="23">
        <v>4860389390</v>
      </c>
      <c r="Q280" s="23">
        <v>10771832145</v>
      </c>
      <c r="R280" s="25">
        <f t="shared" si="71"/>
        <v>18076515700</v>
      </c>
      <c r="S280" s="26">
        <f t="shared" si="72"/>
        <v>8.8648580187273458E-3</v>
      </c>
      <c r="T280" s="27">
        <f t="shared" si="73"/>
        <v>97.499516100377349</v>
      </c>
      <c r="U280" s="26">
        <f t="shared" si="74"/>
        <v>26.729036444146207</v>
      </c>
      <c r="V280" s="26">
        <f t="shared" si="75"/>
        <v>7.1247346903865765</v>
      </c>
      <c r="W280" s="91" t="s">
        <v>699</v>
      </c>
      <c r="X280" s="29">
        <v>4470</v>
      </c>
      <c r="Y280" s="91">
        <v>42300</v>
      </c>
      <c r="Z280" s="30">
        <f t="shared" si="76"/>
        <v>189081000</v>
      </c>
      <c r="AA280" s="31">
        <f t="shared" si="77"/>
        <v>14</v>
      </c>
      <c r="AB280" s="32">
        <v>3.15E-2</v>
      </c>
      <c r="AC280" s="32">
        <v>8.0199999999999994E-2</v>
      </c>
      <c r="AD280" s="33">
        <f t="shared" si="78"/>
        <v>0.85545450910573884</v>
      </c>
      <c r="AE280" s="34">
        <f t="shared" si="79"/>
        <v>1.1978378439414484E-2</v>
      </c>
      <c r="AF280" s="33">
        <f t="shared" si="80"/>
        <v>4.4549382476661487E-2</v>
      </c>
      <c r="AG280" s="33">
        <f t="shared" si="81"/>
        <v>5.2565775022514555E-2</v>
      </c>
      <c r="AH280" s="35">
        <f t="shared" si="82"/>
        <v>8.0200324865613819</v>
      </c>
      <c r="AI280" s="36">
        <f t="shared" si="83"/>
        <v>9.2419000544899408</v>
      </c>
      <c r="AJ280" s="23"/>
      <c r="AK280" s="23"/>
      <c r="AL280" s="44"/>
      <c r="AM280" s="44"/>
      <c r="AN280" s="44"/>
      <c r="AO280" s="44"/>
      <c r="AP280" s="44"/>
      <c r="AQ280" s="44"/>
      <c r="AR280" s="44"/>
    </row>
    <row r="281" spans="1:44" ht="16.8">
      <c r="A281" s="17" t="s">
        <v>700</v>
      </c>
      <c r="B281" s="18"/>
      <c r="C281" s="1" t="s">
        <v>695</v>
      </c>
      <c r="D281" s="19" t="s">
        <v>696</v>
      </c>
      <c r="E281" s="20" t="s">
        <v>39</v>
      </c>
      <c r="F281" s="21">
        <v>2008</v>
      </c>
      <c r="G281" s="40">
        <v>2023</v>
      </c>
      <c r="H281" s="23">
        <v>371090194335</v>
      </c>
      <c r="I281" s="23">
        <v>424189023757</v>
      </c>
      <c r="J281" s="23">
        <v>4252654805</v>
      </c>
      <c r="K281" s="23">
        <f t="shared" si="89"/>
        <v>3924845544</v>
      </c>
      <c r="L281" s="23">
        <v>4252654805</v>
      </c>
      <c r="M281" s="23">
        <v>419936368952</v>
      </c>
      <c r="N281" s="23">
        <v>38574068184</v>
      </c>
      <c r="O281" s="25">
        <f t="shared" si="70"/>
        <v>366837539530</v>
      </c>
      <c r="P281" s="23">
        <v>17769852632</v>
      </c>
      <c r="Q281" s="23">
        <v>5072172909</v>
      </c>
      <c r="R281" s="25">
        <f t="shared" si="71"/>
        <v>33501895275</v>
      </c>
      <c r="S281" s="26">
        <f t="shared" si="72"/>
        <v>1.0025376817473161E-2</v>
      </c>
      <c r="T281" s="27">
        <f t="shared" si="73"/>
        <v>87.260831492529292</v>
      </c>
      <c r="U281" s="26">
        <f t="shared" si="74"/>
        <v>26.773445003581923</v>
      </c>
      <c r="V281" s="26">
        <f t="shared" si="75"/>
        <v>9.8281748291901696</v>
      </c>
      <c r="W281" s="91" t="s">
        <v>701</v>
      </c>
      <c r="X281" s="29">
        <v>6830</v>
      </c>
      <c r="Y281" s="91">
        <v>21174</v>
      </c>
      <c r="Z281" s="30">
        <f t="shared" si="76"/>
        <v>144618420</v>
      </c>
      <c r="AA281" s="31">
        <f t="shared" si="77"/>
        <v>15</v>
      </c>
      <c r="AB281" s="32">
        <v>3.2500000000000001E-2</v>
      </c>
      <c r="AC281" s="32">
        <v>5.0500000000000003E-2</v>
      </c>
      <c r="AD281" s="33">
        <f t="shared" si="78"/>
        <v>0.86479734030116195</v>
      </c>
      <c r="AE281" s="34">
        <f t="shared" si="79"/>
        <v>4.189135417652768E-2</v>
      </c>
      <c r="AF281" s="33">
        <f t="shared" si="80"/>
        <v>7.897869439967363E-2</v>
      </c>
      <c r="AG281" s="33">
        <f t="shared" si="81"/>
        <v>3.4006620953566907E-2</v>
      </c>
      <c r="AH281" s="35">
        <f t="shared" si="82"/>
        <v>9.0705853055947721</v>
      </c>
      <c r="AI281" s="36">
        <f t="shared" si="83"/>
        <v>10.448023673894369</v>
      </c>
      <c r="AJ281" s="23"/>
      <c r="AK281" s="23"/>
      <c r="AL281" s="44"/>
      <c r="AM281" s="44"/>
      <c r="AN281" s="44"/>
      <c r="AO281" s="44"/>
      <c r="AP281" s="44"/>
      <c r="AQ281" s="44"/>
      <c r="AR281" s="44"/>
    </row>
    <row r="282" spans="1:44" ht="16.8">
      <c r="A282" s="17" t="s">
        <v>702</v>
      </c>
      <c r="B282" s="18">
        <v>110</v>
      </c>
      <c r="C282" s="1" t="s">
        <v>703</v>
      </c>
      <c r="D282" s="19" t="s">
        <v>704</v>
      </c>
      <c r="E282" s="20" t="s">
        <v>39</v>
      </c>
      <c r="F282" s="21">
        <v>1998</v>
      </c>
      <c r="G282" s="40">
        <v>2021</v>
      </c>
      <c r="H282" s="23">
        <v>82637997679</v>
      </c>
      <c r="I282" s="23">
        <v>142929959222</v>
      </c>
      <c r="J282" s="23">
        <v>68745096380</v>
      </c>
      <c r="K282" s="23">
        <f>(J282+58871088495)/2</f>
        <v>63808092437.5</v>
      </c>
      <c r="L282" s="23">
        <v>67745096380</v>
      </c>
      <c r="M282" s="23">
        <v>74184862842</v>
      </c>
      <c r="N282" s="23">
        <v>210034079706</v>
      </c>
      <c r="O282" s="25">
        <f t="shared" si="70"/>
        <v>14892901299</v>
      </c>
      <c r="P282" s="23">
        <v>2293973729</v>
      </c>
      <c r="Q282" s="23">
        <v>7731119715</v>
      </c>
      <c r="R282" s="25">
        <f t="shared" si="71"/>
        <v>202302959991</v>
      </c>
      <c r="S282" s="26">
        <f t="shared" si="72"/>
        <v>0.48097051698744658</v>
      </c>
      <c r="T282" s="27">
        <f t="shared" si="73"/>
        <v>1.2198373328079986</v>
      </c>
      <c r="U282" s="26">
        <f t="shared" si="74"/>
        <v>25.685620551566899</v>
      </c>
      <c r="V282" s="26">
        <f t="shared" si="75"/>
        <v>3.2916526992517179</v>
      </c>
      <c r="W282" s="91" t="s">
        <v>705</v>
      </c>
      <c r="X282" s="29">
        <v>9470</v>
      </c>
      <c r="Y282" s="91">
        <v>1600</v>
      </c>
      <c r="Z282" s="30">
        <f t="shared" si="76"/>
        <v>15152000</v>
      </c>
      <c r="AA282" s="31">
        <f t="shared" si="77"/>
        <v>23</v>
      </c>
      <c r="AB282" s="32">
        <v>1.84E-2</v>
      </c>
      <c r="AC282" s="32">
        <v>2.58E-2</v>
      </c>
      <c r="AD282" s="33">
        <f t="shared" si="78"/>
        <v>0.10419719826455853</v>
      </c>
      <c r="AE282" s="34">
        <f t="shared" si="79"/>
        <v>1.6049635370265384E-2</v>
      </c>
      <c r="AF282" s="33">
        <f t="shared" si="80"/>
        <v>1.4153992703291922</v>
      </c>
      <c r="AG282" s="33">
        <f t="shared" si="81"/>
        <v>2.2040844798943608E-4</v>
      </c>
      <c r="AH282" s="35">
        <f t="shared" si="82"/>
        <v>3.0552590768802119</v>
      </c>
      <c r="AI282" s="36">
        <f t="shared" si="83"/>
        <v>7.8737150414711818</v>
      </c>
      <c r="AJ282" s="23" t="s">
        <v>85</v>
      </c>
      <c r="AK282" s="23"/>
      <c r="AL282" s="44"/>
      <c r="AM282" s="44"/>
      <c r="AN282" s="44"/>
      <c r="AO282" s="44"/>
      <c r="AP282" s="44"/>
      <c r="AQ282" s="44"/>
      <c r="AR282" s="44"/>
    </row>
    <row r="283" spans="1:44" ht="16.8">
      <c r="A283" s="17" t="s">
        <v>706</v>
      </c>
      <c r="B283" s="18"/>
      <c r="C283" s="1" t="s">
        <v>703</v>
      </c>
      <c r="D283" s="19" t="s">
        <v>704</v>
      </c>
      <c r="E283" s="20" t="s">
        <v>39</v>
      </c>
      <c r="F283" s="21">
        <v>1998</v>
      </c>
      <c r="G283" s="40">
        <v>2022</v>
      </c>
      <c r="H283" s="23">
        <v>100022360879</v>
      </c>
      <c r="I283" s="23">
        <v>151706480520</v>
      </c>
      <c r="J283" s="23">
        <v>69618851166</v>
      </c>
      <c r="K283" s="23">
        <f t="shared" ref="K283:K284" si="90">(J283+J282)/2</f>
        <v>69181973773</v>
      </c>
      <c r="L283" s="23">
        <v>69618851166</v>
      </c>
      <c r="M283" s="23">
        <v>82087629354</v>
      </c>
      <c r="N283" s="23">
        <v>282832220799</v>
      </c>
      <c r="O283" s="25">
        <f t="shared" si="70"/>
        <v>30403509713</v>
      </c>
      <c r="P283" s="23">
        <v>10312557962</v>
      </c>
      <c r="Q283" s="23">
        <v>9336632591</v>
      </c>
      <c r="R283" s="25">
        <f t="shared" si="71"/>
        <v>273495588208</v>
      </c>
      <c r="S283" s="26">
        <f t="shared" si="72"/>
        <v>0.45890492566546559</v>
      </c>
      <c r="T283" s="27">
        <f t="shared" si="73"/>
        <v>1.4367137521489046</v>
      </c>
      <c r="U283" s="26">
        <f t="shared" si="74"/>
        <v>25.745213441702891</v>
      </c>
      <c r="V283" s="26">
        <f t="shared" si="75"/>
        <v>4.0882357841802772</v>
      </c>
      <c r="W283" s="91" t="s">
        <v>707</v>
      </c>
      <c r="X283" s="29">
        <v>7370</v>
      </c>
      <c r="Y283" s="91">
        <v>0</v>
      </c>
      <c r="Z283" s="30">
        <f t="shared" si="76"/>
        <v>0</v>
      </c>
      <c r="AA283" s="31">
        <f t="shared" si="77"/>
        <v>24</v>
      </c>
      <c r="AB283" s="32">
        <v>3.15E-2</v>
      </c>
      <c r="AC283" s="32">
        <v>8.0199999999999994E-2</v>
      </c>
      <c r="AD283" s="33">
        <f t="shared" si="78"/>
        <v>0.20041009196697959</v>
      </c>
      <c r="AE283" s="34">
        <f t="shared" si="79"/>
        <v>6.797704308116527E-2</v>
      </c>
      <c r="AF283" s="33">
        <f t="shared" si="80"/>
        <v>1.8027943649509692</v>
      </c>
      <c r="AG283" s="33">
        <f t="shared" si="81"/>
        <v>0</v>
      </c>
      <c r="AH283" s="35">
        <f t="shared" si="82"/>
        <v>4.0625809829095223</v>
      </c>
      <c r="AI283" s="36">
        <f t="shared" si="83"/>
        <v>10.347462357921728</v>
      </c>
      <c r="AJ283" s="23"/>
      <c r="AK283" s="23"/>
      <c r="AL283" s="44"/>
      <c r="AM283" s="44"/>
      <c r="AN283" s="44"/>
      <c r="AO283" s="44"/>
      <c r="AP283" s="44"/>
      <c r="AQ283" s="44"/>
      <c r="AR283" s="44"/>
    </row>
    <row r="284" spans="1:44" ht="16.8">
      <c r="A284" s="17" t="s">
        <v>708</v>
      </c>
      <c r="B284" s="18"/>
      <c r="C284" s="1" t="s">
        <v>703</v>
      </c>
      <c r="D284" s="19" t="s">
        <v>704</v>
      </c>
      <c r="E284" s="20" t="s">
        <v>39</v>
      </c>
      <c r="F284" s="21">
        <v>1998</v>
      </c>
      <c r="G284" s="40">
        <v>2023</v>
      </c>
      <c r="H284" s="23">
        <v>88693917643</v>
      </c>
      <c r="I284" s="23">
        <v>131257548162</v>
      </c>
      <c r="J284" s="23">
        <v>50466657148</v>
      </c>
      <c r="K284" s="23">
        <f t="shared" si="90"/>
        <v>60042754157</v>
      </c>
      <c r="L284" s="23">
        <v>50466657148</v>
      </c>
      <c r="M284" s="23">
        <v>80790891014</v>
      </c>
      <c r="N284" s="23">
        <v>233500103053</v>
      </c>
      <c r="O284" s="25">
        <f t="shared" si="70"/>
        <v>38227260495</v>
      </c>
      <c r="P284" s="23">
        <v>9131881513</v>
      </c>
      <c r="Q284" s="23">
        <v>6190461516</v>
      </c>
      <c r="R284" s="25">
        <f t="shared" si="71"/>
        <v>227309641537</v>
      </c>
      <c r="S284" s="26">
        <f t="shared" si="72"/>
        <v>0.38448575228384813</v>
      </c>
      <c r="T284" s="27">
        <f t="shared" si="73"/>
        <v>1.7574755820044434</v>
      </c>
      <c r="U284" s="26">
        <f t="shared" si="74"/>
        <v>25.600427246570234</v>
      </c>
      <c r="V284" s="26">
        <f t="shared" si="75"/>
        <v>3.8888972754721265</v>
      </c>
      <c r="W284" s="91" t="s">
        <v>709</v>
      </c>
      <c r="X284" s="29">
        <v>9630</v>
      </c>
      <c r="Y284" s="91">
        <v>700</v>
      </c>
      <c r="Z284" s="30">
        <f t="shared" si="76"/>
        <v>6741000</v>
      </c>
      <c r="AA284" s="31">
        <f t="shared" si="77"/>
        <v>25</v>
      </c>
      <c r="AB284" s="32">
        <v>3.2500000000000001E-2</v>
      </c>
      <c r="AC284" s="32">
        <v>5.0500000000000003E-2</v>
      </c>
      <c r="AD284" s="33">
        <f t="shared" si="78"/>
        <v>0.2912385689836241</v>
      </c>
      <c r="AE284" s="34">
        <f t="shared" si="79"/>
        <v>6.9572239013098863E-2</v>
      </c>
      <c r="AF284" s="33">
        <f t="shared" si="80"/>
        <v>1.7317833886128293</v>
      </c>
      <c r="AG284" s="33">
        <f t="shared" si="81"/>
        <v>1.3357334091360846E-4</v>
      </c>
      <c r="AH284" s="35">
        <f t="shared" si="82"/>
        <v>4.6268192951284792</v>
      </c>
      <c r="AI284" s="36">
        <f t="shared" si="83"/>
        <v>10.788672038954051</v>
      </c>
      <c r="AJ284" s="23"/>
      <c r="AK284" s="23"/>
      <c r="AL284" s="44"/>
      <c r="AM284" s="44"/>
      <c r="AN284" s="44"/>
      <c r="AO284" s="44"/>
      <c r="AP284" s="44"/>
      <c r="AQ284" s="44"/>
      <c r="AR284" s="44"/>
    </row>
    <row r="285" spans="1:44" ht="16.8">
      <c r="A285" s="17" t="s">
        <v>710</v>
      </c>
      <c r="B285" s="18">
        <v>111</v>
      </c>
      <c r="C285" s="1" t="s">
        <v>711</v>
      </c>
      <c r="D285" s="19" t="s">
        <v>712</v>
      </c>
      <c r="E285" s="20" t="s">
        <v>39</v>
      </c>
      <c r="F285" s="21">
        <v>2004</v>
      </c>
      <c r="G285" s="40">
        <v>2021</v>
      </c>
      <c r="H285" s="23">
        <v>28724731423</v>
      </c>
      <c r="I285" s="23">
        <v>44040592868</v>
      </c>
      <c r="J285" s="23">
        <v>3148389960</v>
      </c>
      <c r="K285" s="23">
        <f>(J285+4229579696)/2</f>
        <v>3688984828</v>
      </c>
      <c r="L285" s="23">
        <v>3148389960</v>
      </c>
      <c r="M285" s="23">
        <v>40892202908</v>
      </c>
      <c r="N285" s="23">
        <v>73336870622</v>
      </c>
      <c r="O285" s="25">
        <f t="shared" si="70"/>
        <v>25576341463</v>
      </c>
      <c r="P285" s="23">
        <v>697464698</v>
      </c>
      <c r="Q285" s="23">
        <f>2539107872+3464260408</f>
        <v>6003368280</v>
      </c>
      <c r="R285" s="25">
        <f t="shared" si="71"/>
        <v>67333502342</v>
      </c>
      <c r="S285" s="26">
        <f t="shared" si="72"/>
        <v>7.1488364596645287E-2</v>
      </c>
      <c r="T285" s="27">
        <f t="shared" si="73"/>
        <v>9.1236256588113367</v>
      </c>
      <c r="U285" s="26">
        <f t="shared" si="74"/>
        <v>24.508377610744791</v>
      </c>
      <c r="V285" s="26">
        <f t="shared" si="75"/>
        <v>19.879959945988695</v>
      </c>
      <c r="W285" s="91" t="s">
        <v>713</v>
      </c>
      <c r="X285" s="29">
        <v>11930</v>
      </c>
      <c r="Y285" s="91">
        <v>101</v>
      </c>
      <c r="Z285" s="30">
        <f t="shared" si="76"/>
        <v>1204930</v>
      </c>
      <c r="AA285" s="31">
        <f t="shared" si="77"/>
        <v>17</v>
      </c>
      <c r="AB285" s="32">
        <v>1.84E-2</v>
      </c>
      <c r="AC285" s="32">
        <v>2.58E-2</v>
      </c>
      <c r="AD285" s="33">
        <f t="shared" si="78"/>
        <v>0.58074471294376762</v>
      </c>
      <c r="AE285" s="34">
        <f t="shared" si="79"/>
        <v>1.5836859873582208E-2</v>
      </c>
      <c r="AF285" s="33">
        <f t="shared" si="80"/>
        <v>1.5288963648562661</v>
      </c>
      <c r="AG285" s="33">
        <f t="shared" si="81"/>
        <v>3.8271307408183959E-4</v>
      </c>
      <c r="AH285" s="35">
        <f t="shared" si="82"/>
        <v>23.293452067163877</v>
      </c>
      <c r="AI285" s="36">
        <f t="shared" si="83"/>
        <v>29.058104958389542</v>
      </c>
      <c r="AJ285" s="23"/>
      <c r="AK285" s="23"/>
      <c r="AL285" s="44"/>
      <c r="AM285" s="44"/>
      <c r="AN285" s="44"/>
      <c r="AO285" s="44"/>
      <c r="AP285" s="44"/>
      <c r="AQ285" s="44"/>
      <c r="AR285" s="44"/>
    </row>
    <row r="286" spans="1:44" ht="16.8">
      <c r="A286" s="17" t="s">
        <v>714</v>
      </c>
      <c r="B286" s="18"/>
      <c r="C286" s="1" t="s">
        <v>711</v>
      </c>
      <c r="D286" s="19" t="s">
        <v>712</v>
      </c>
      <c r="E286" s="20" t="s">
        <v>39</v>
      </c>
      <c r="F286" s="21">
        <v>2004</v>
      </c>
      <c r="G286" s="40">
        <v>2022</v>
      </c>
      <c r="H286" s="23">
        <v>29508866117</v>
      </c>
      <c r="I286" s="23">
        <v>44509551247</v>
      </c>
      <c r="J286" s="23">
        <v>3680537500</v>
      </c>
      <c r="K286" s="23">
        <f t="shared" ref="K286:K287" si="91">(J286+J285)/2</f>
        <v>3414463730</v>
      </c>
      <c r="L286" s="23">
        <v>3680537500</v>
      </c>
      <c r="M286" s="23">
        <v>40829013747</v>
      </c>
      <c r="N286" s="23">
        <v>71930478496</v>
      </c>
      <c r="O286" s="25">
        <f t="shared" si="70"/>
        <v>25828328617</v>
      </c>
      <c r="P286" s="23">
        <v>634275537</v>
      </c>
      <c r="Q286" s="23">
        <f>2313761800+3546346803</f>
        <v>5860108603</v>
      </c>
      <c r="R286" s="25">
        <f t="shared" si="71"/>
        <v>66070369893</v>
      </c>
      <c r="S286" s="26">
        <f t="shared" si="72"/>
        <v>8.2690959510585332E-2</v>
      </c>
      <c r="T286" s="27">
        <f t="shared" si="73"/>
        <v>8.0175425782239689</v>
      </c>
      <c r="U286" s="26">
        <f t="shared" si="74"/>
        <v>24.518969637851907</v>
      </c>
      <c r="V286" s="26">
        <f t="shared" si="75"/>
        <v>21.066405791342234</v>
      </c>
      <c r="W286" s="91" t="s">
        <v>715</v>
      </c>
      <c r="X286" s="29">
        <v>16770</v>
      </c>
      <c r="Y286" s="91">
        <v>0</v>
      </c>
      <c r="Z286" s="30">
        <f t="shared" si="76"/>
        <v>0</v>
      </c>
      <c r="AA286" s="31">
        <f t="shared" si="77"/>
        <v>18</v>
      </c>
      <c r="AB286" s="32">
        <v>3.15E-2</v>
      </c>
      <c r="AC286" s="32">
        <v>8.0199999999999994E-2</v>
      </c>
      <c r="AD286" s="33">
        <f t="shared" si="78"/>
        <v>0.58028732919972681</v>
      </c>
      <c r="AE286" s="34">
        <f t="shared" si="79"/>
        <v>1.4250324238951994E-2</v>
      </c>
      <c r="AF286" s="33">
        <f t="shared" si="80"/>
        <v>1.484408807591679</v>
      </c>
      <c r="AG286" s="33">
        <f t="shared" si="81"/>
        <v>0</v>
      </c>
      <c r="AH286" s="35">
        <f t="shared" si="82"/>
        <v>19.543471163111366</v>
      </c>
      <c r="AI286" s="36">
        <f t="shared" si="83"/>
        <v>25.15831547713811</v>
      </c>
      <c r="AJ286" s="23"/>
      <c r="AK286" s="23"/>
      <c r="AL286" s="44"/>
      <c r="AM286" s="44"/>
      <c r="AN286" s="44"/>
      <c r="AO286" s="44"/>
      <c r="AP286" s="44"/>
      <c r="AQ286" s="44"/>
      <c r="AR286" s="44"/>
    </row>
    <row r="287" spans="1:44" ht="16.8">
      <c r="A287" s="17" t="s">
        <v>716</v>
      </c>
      <c r="B287" s="18"/>
      <c r="C287" s="1" t="s">
        <v>711</v>
      </c>
      <c r="D287" s="19" t="s">
        <v>712</v>
      </c>
      <c r="E287" s="20" t="s">
        <v>39</v>
      </c>
      <c r="F287" s="21">
        <v>2004</v>
      </c>
      <c r="G287" s="40">
        <v>2023</v>
      </c>
      <c r="H287" s="23">
        <v>30813738736</v>
      </c>
      <c r="I287" s="23">
        <v>43337880916</v>
      </c>
      <c r="J287" s="23">
        <v>4896021471</v>
      </c>
      <c r="K287" s="23">
        <f t="shared" si="91"/>
        <v>4288279485.5</v>
      </c>
      <c r="L287" s="23">
        <v>4896021471</v>
      </c>
      <c r="M287" s="23">
        <v>38441859445</v>
      </c>
      <c r="N287" s="23">
        <v>57503976035</v>
      </c>
      <c r="O287" s="25">
        <f t="shared" si="70"/>
        <v>25917717265</v>
      </c>
      <c r="P287" s="23">
        <v>-1752878765</v>
      </c>
      <c r="Q287" s="23">
        <f>1586940327+3386729041</f>
        <v>4973669368</v>
      </c>
      <c r="R287" s="25">
        <f t="shared" si="71"/>
        <v>52530306667</v>
      </c>
      <c r="S287" s="26">
        <f t="shared" si="72"/>
        <v>0.11297325497962749</v>
      </c>
      <c r="T287" s="27">
        <f t="shared" si="73"/>
        <v>6.2936281873997526</v>
      </c>
      <c r="U287" s="26">
        <f t="shared" si="74"/>
        <v>24.492292937443011</v>
      </c>
      <c r="V287" s="26">
        <f t="shared" si="75"/>
        <v>13.409568156515624</v>
      </c>
      <c r="W287" s="91" t="s">
        <v>717</v>
      </c>
      <c r="X287" s="29">
        <v>9700</v>
      </c>
      <c r="Y287" s="91">
        <v>0</v>
      </c>
      <c r="Z287" s="30">
        <f t="shared" si="76"/>
        <v>0</v>
      </c>
      <c r="AA287" s="31">
        <f t="shared" si="77"/>
        <v>19</v>
      </c>
      <c r="AB287" s="32">
        <v>3.2500000000000001E-2</v>
      </c>
      <c r="AC287" s="32">
        <v>5.0500000000000003E-2</v>
      </c>
      <c r="AD287" s="33">
        <f t="shared" si="78"/>
        <v>0.59803840698245547</v>
      </c>
      <c r="AE287" s="34">
        <f t="shared" si="79"/>
        <v>-4.0446803764990991E-2</v>
      </c>
      <c r="AF287" s="33">
        <f t="shared" si="80"/>
        <v>1.2121106421612375</v>
      </c>
      <c r="AG287" s="33">
        <f t="shared" si="81"/>
        <v>0</v>
      </c>
      <c r="AH287" s="35">
        <f t="shared" si="82"/>
        <v>11.745041637502247</v>
      </c>
      <c r="AI287" s="36">
        <f t="shared" si="83"/>
        <v>16.406027319742289</v>
      </c>
      <c r="AJ287" s="23"/>
      <c r="AK287" s="23"/>
      <c r="AL287" s="44"/>
      <c r="AM287" s="44"/>
      <c r="AN287" s="44"/>
      <c r="AO287" s="44"/>
      <c r="AP287" s="44"/>
      <c r="AQ287" s="44"/>
      <c r="AR287" s="44"/>
    </row>
    <row r="288" spans="1:44" ht="16.8">
      <c r="A288" s="17" t="s">
        <v>718</v>
      </c>
      <c r="B288" s="18">
        <v>112</v>
      </c>
      <c r="C288" s="1" t="s">
        <v>719</v>
      </c>
      <c r="D288" s="19" t="s">
        <v>720</v>
      </c>
      <c r="E288" s="20" t="s">
        <v>39</v>
      </c>
      <c r="F288" s="21">
        <v>2006</v>
      </c>
      <c r="G288" s="40">
        <v>2021</v>
      </c>
      <c r="H288" s="23">
        <v>207478344942</v>
      </c>
      <c r="I288" s="23">
        <v>390010007419</v>
      </c>
      <c r="J288" s="23">
        <v>166238161642</v>
      </c>
      <c r="K288" s="23">
        <f>(J288+170767061783)/2</f>
        <v>168502611712.5</v>
      </c>
      <c r="L288" s="23">
        <v>145831425559</v>
      </c>
      <c r="M288" s="23">
        <v>223771845777</v>
      </c>
      <c r="N288" s="23">
        <v>359868807808</v>
      </c>
      <c r="O288" s="25">
        <f t="shared" si="70"/>
        <v>61646919383</v>
      </c>
      <c r="P288" s="23">
        <v>28470884332</v>
      </c>
      <c r="Q288" s="23">
        <f>59532643492+19461049671</f>
        <v>78993693163</v>
      </c>
      <c r="R288" s="25">
        <f t="shared" si="71"/>
        <v>280875114645</v>
      </c>
      <c r="S288" s="26">
        <f t="shared" si="72"/>
        <v>0.4262407591593031</v>
      </c>
      <c r="T288" s="27">
        <f t="shared" si="73"/>
        <v>1.4227272629798102</v>
      </c>
      <c r="U288" s="26">
        <f t="shared" si="74"/>
        <v>26.689438235789609</v>
      </c>
      <c r="V288" s="26">
        <f t="shared" si="75"/>
        <v>2.1356868249734311</v>
      </c>
      <c r="W288" s="91" t="s">
        <v>721</v>
      </c>
      <c r="X288" s="29">
        <v>15220</v>
      </c>
      <c r="Y288" s="91">
        <v>428500</v>
      </c>
      <c r="Z288" s="30">
        <f t="shared" si="76"/>
        <v>6521770000</v>
      </c>
      <c r="AA288" s="31">
        <f t="shared" si="77"/>
        <v>15</v>
      </c>
      <c r="AB288" s="32">
        <v>1.84E-2</v>
      </c>
      <c r="AC288" s="32">
        <v>2.58E-2</v>
      </c>
      <c r="AD288" s="33">
        <f t="shared" si="78"/>
        <v>0.15806496810419221</v>
      </c>
      <c r="AE288" s="34">
        <f t="shared" si="79"/>
        <v>7.3000394324273923E-2</v>
      </c>
      <c r="AF288" s="33">
        <f t="shared" si="80"/>
        <v>0.72017412195079145</v>
      </c>
      <c r="AG288" s="33">
        <f t="shared" si="81"/>
        <v>3.9231485331538203E-2</v>
      </c>
      <c r="AH288" s="35">
        <f t="shared" si="82"/>
        <v>2.1647785577838063</v>
      </c>
      <c r="AI288" s="36">
        <f t="shared" si="83"/>
        <v>4.8567705651993549</v>
      </c>
      <c r="AJ288" s="23"/>
      <c r="AK288" s="23"/>
      <c r="AL288" s="44"/>
      <c r="AM288" s="44"/>
      <c r="AN288" s="44"/>
      <c r="AO288" s="44"/>
      <c r="AP288" s="44"/>
      <c r="AQ288" s="44"/>
      <c r="AR288" s="44"/>
    </row>
    <row r="289" spans="1:44" ht="16.8">
      <c r="A289" s="17" t="s">
        <v>722</v>
      </c>
      <c r="B289" s="18"/>
      <c r="C289" s="1" t="s">
        <v>719</v>
      </c>
      <c r="D289" s="19" t="s">
        <v>720</v>
      </c>
      <c r="E289" s="20" t="s">
        <v>39</v>
      </c>
      <c r="F289" s="21">
        <v>2006</v>
      </c>
      <c r="G289" s="40">
        <v>2022</v>
      </c>
      <c r="H289" s="23">
        <v>274885741072</v>
      </c>
      <c r="I289" s="23">
        <v>486524103149</v>
      </c>
      <c r="J289" s="23">
        <v>160929392864</v>
      </c>
      <c r="K289" s="23">
        <f t="shared" ref="K289:K290" si="92">(J289+J288)/2</f>
        <v>163583777253</v>
      </c>
      <c r="L289" s="23">
        <v>149785250431</v>
      </c>
      <c r="M289" s="23">
        <v>325594710285</v>
      </c>
      <c r="N289" s="23">
        <v>322823598533</v>
      </c>
      <c r="O289" s="25">
        <f t="shared" si="70"/>
        <v>125100490641</v>
      </c>
      <c r="P289" s="23">
        <v>2915204760</v>
      </c>
      <c r="Q289" s="23">
        <f>60964885301+21695519182</f>
        <v>82660404483</v>
      </c>
      <c r="R289" s="25">
        <f t="shared" si="71"/>
        <v>240163194050</v>
      </c>
      <c r="S289" s="26">
        <f t="shared" si="72"/>
        <v>0.33077373109038899</v>
      </c>
      <c r="T289" s="27">
        <f t="shared" si="73"/>
        <v>1.8351989951015153</v>
      </c>
      <c r="U289" s="26">
        <f t="shared" si="74"/>
        <v>26.910552281330819</v>
      </c>
      <c r="V289" s="26">
        <f t="shared" si="75"/>
        <v>1.9734450686617806</v>
      </c>
      <c r="W289" s="91" t="s">
        <v>230</v>
      </c>
      <c r="X289" s="29">
        <v>5500</v>
      </c>
      <c r="Y289" s="91">
        <v>24410</v>
      </c>
      <c r="Z289" s="30">
        <f t="shared" si="76"/>
        <v>134255000</v>
      </c>
      <c r="AA289" s="31">
        <f t="shared" si="77"/>
        <v>16</v>
      </c>
      <c r="AB289" s="32">
        <v>3.15E-2</v>
      </c>
      <c r="AC289" s="32">
        <v>8.0199999999999994E-2</v>
      </c>
      <c r="AD289" s="33">
        <f t="shared" si="78"/>
        <v>0.25713112635385194</v>
      </c>
      <c r="AE289" s="34">
        <f t="shared" si="79"/>
        <v>5.9919020273230053E-3</v>
      </c>
      <c r="AF289" s="33">
        <f t="shared" si="80"/>
        <v>0.49363061870019836</v>
      </c>
      <c r="AG289" s="33">
        <f t="shared" si="81"/>
        <v>8.3424785000871596E-4</v>
      </c>
      <c r="AH289" s="35">
        <f t="shared" si="82"/>
        <v>2.0059952553590712</v>
      </c>
      <c r="AI289" s="36">
        <f t="shared" si="83"/>
        <v>3.9524228602426055</v>
      </c>
      <c r="AJ289" s="23"/>
      <c r="AK289" s="23"/>
      <c r="AL289" s="44"/>
      <c r="AM289" s="44"/>
      <c r="AN289" s="44"/>
      <c r="AO289" s="44"/>
      <c r="AP289" s="44"/>
      <c r="AQ289" s="44"/>
      <c r="AR289" s="44"/>
    </row>
    <row r="290" spans="1:44" ht="16.8">
      <c r="A290" s="17" t="s">
        <v>723</v>
      </c>
      <c r="B290" s="18"/>
      <c r="C290" s="1" t="s">
        <v>719</v>
      </c>
      <c r="D290" s="19" t="s">
        <v>720</v>
      </c>
      <c r="E290" s="20" t="s">
        <v>39</v>
      </c>
      <c r="F290" s="21">
        <v>2006</v>
      </c>
      <c r="G290" s="40">
        <v>2023</v>
      </c>
      <c r="H290" s="23">
        <v>271166389550</v>
      </c>
      <c r="I290" s="23">
        <v>461477396840</v>
      </c>
      <c r="J290" s="23">
        <v>133399710308</v>
      </c>
      <c r="K290" s="23">
        <f t="shared" si="92"/>
        <v>147164551586</v>
      </c>
      <c r="L290" s="23">
        <v>126263569887</v>
      </c>
      <c r="M290" s="23">
        <v>328077686532</v>
      </c>
      <c r="N290" s="23">
        <v>278080140147</v>
      </c>
      <c r="O290" s="25">
        <f t="shared" si="70"/>
        <v>144902819663</v>
      </c>
      <c r="P290" s="23">
        <v>-16068467223</v>
      </c>
      <c r="Q290" s="23">
        <f>54224833493+29451430052</f>
        <v>83676263545</v>
      </c>
      <c r="R290" s="25">
        <f t="shared" si="71"/>
        <v>194403876602</v>
      </c>
      <c r="S290" s="26">
        <f t="shared" si="72"/>
        <v>0.28907095173342012</v>
      </c>
      <c r="T290" s="27">
        <f t="shared" si="73"/>
        <v>2.14762175497399</v>
      </c>
      <c r="U290" s="26">
        <f t="shared" si="74"/>
        <v>26.857698912095078</v>
      </c>
      <c r="V290" s="26">
        <f t="shared" si="75"/>
        <v>1.8895864333503953</v>
      </c>
      <c r="W290" s="91" t="s">
        <v>724</v>
      </c>
      <c r="X290" s="29">
        <v>4900</v>
      </c>
      <c r="Y290" s="91">
        <v>11391</v>
      </c>
      <c r="Z290" s="30">
        <f t="shared" si="76"/>
        <v>55815900</v>
      </c>
      <c r="AA290" s="31">
        <f t="shared" si="77"/>
        <v>17</v>
      </c>
      <c r="AB290" s="32">
        <v>3.2500000000000001E-2</v>
      </c>
      <c r="AC290" s="32">
        <v>5.0500000000000003E-2</v>
      </c>
      <c r="AD290" s="33">
        <f t="shared" si="78"/>
        <v>0.31399765330920343</v>
      </c>
      <c r="AE290" s="34">
        <f t="shared" si="79"/>
        <v>-3.481961919051723E-2</v>
      </c>
      <c r="AF290" s="33">
        <f t="shared" si="80"/>
        <v>0.42126413543370633</v>
      </c>
      <c r="AG290" s="33">
        <f t="shared" si="81"/>
        <v>4.1841095360049455E-4</v>
      </c>
      <c r="AH290" s="35">
        <f t="shared" si="82"/>
        <v>2.0845632985630518</v>
      </c>
      <c r="AI290" s="36">
        <f t="shared" si="83"/>
        <v>3.8030357091707629</v>
      </c>
      <c r="AJ290" s="23"/>
      <c r="AK290" s="23"/>
      <c r="AL290" s="44"/>
      <c r="AM290" s="44"/>
      <c r="AN290" s="44"/>
      <c r="AO290" s="44"/>
      <c r="AP290" s="44"/>
      <c r="AQ290" s="44"/>
      <c r="AR290" s="44"/>
    </row>
    <row r="291" spans="1:44" ht="16.8">
      <c r="A291" s="45"/>
      <c r="B291" s="45">
        <v>113</v>
      </c>
      <c r="C291" s="45" t="s">
        <v>725</v>
      </c>
      <c r="D291" s="46" t="s">
        <v>726</v>
      </c>
      <c r="E291" s="47" t="s">
        <v>39</v>
      </c>
      <c r="F291" s="48"/>
      <c r="G291" s="48">
        <v>2021</v>
      </c>
      <c r="H291" s="49"/>
      <c r="I291" s="49"/>
      <c r="J291" s="49"/>
      <c r="K291" s="49"/>
      <c r="L291" s="49"/>
      <c r="M291" s="49"/>
      <c r="N291" s="49"/>
      <c r="O291" s="49">
        <f t="shared" si="70"/>
        <v>0</v>
      </c>
      <c r="P291" s="49"/>
      <c r="Q291" s="49"/>
      <c r="R291" s="49">
        <f t="shared" si="71"/>
        <v>0</v>
      </c>
      <c r="S291" s="50" t="e">
        <f t="shared" si="72"/>
        <v>#DIV/0!</v>
      </c>
      <c r="T291" s="51" t="e">
        <f t="shared" si="73"/>
        <v>#DIV/0!</v>
      </c>
      <c r="U291" s="50" t="e">
        <f t="shared" si="74"/>
        <v>#NUM!</v>
      </c>
      <c r="V291" s="50" t="e">
        <f t="shared" si="75"/>
        <v>#DIV/0!</v>
      </c>
      <c r="W291" s="52"/>
      <c r="X291" s="53">
        <v>0</v>
      </c>
      <c r="Y291" s="52"/>
      <c r="Z291" s="55">
        <f t="shared" si="76"/>
        <v>0</v>
      </c>
      <c r="AA291" s="48">
        <f t="shared" si="77"/>
        <v>2021</v>
      </c>
      <c r="AB291" s="49"/>
      <c r="AC291" s="49"/>
      <c r="AD291" s="50" t="e">
        <f t="shared" si="78"/>
        <v>#DIV/0!</v>
      </c>
      <c r="AE291" s="56" t="e">
        <f t="shared" si="79"/>
        <v>#DIV/0!</v>
      </c>
      <c r="AF291" s="50" t="e">
        <f t="shared" si="80"/>
        <v>#DIV/0!</v>
      </c>
      <c r="AG291" s="50" t="e">
        <f t="shared" si="81"/>
        <v>#DIV/0!</v>
      </c>
      <c r="AH291" s="57" t="e">
        <f t="shared" si="82"/>
        <v>#DIV/0!</v>
      </c>
      <c r="AI291" s="58" t="e">
        <f t="shared" si="83"/>
        <v>#DIV/0!</v>
      </c>
      <c r="AJ291" s="49"/>
      <c r="AK291" s="49"/>
      <c r="AL291" s="59"/>
      <c r="AM291" s="59"/>
      <c r="AN291" s="59"/>
      <c r="AO291" s="59"/>
      <c r="AP291" s="59"/>
      <c r="AQ291" s="59"/>
      <c r="AR291" s="59"/>
    </row>
    <row r="292" spans="1:44" ht="16.8">
      <c r="A292" s="17" t="s">
        <v>727</v>
      </c>
      <c r="B292" s="18">
        <v>114</v>
      </c>
      <c r="C292" s="1" t="s">
        <v>728</v>
      </c>
      <c r="D292" s="19" t="s">
        <v>729</v>
      </c>
      <c r="E292" s="20" t="s">
        <v>39</v>
      </c>
      <c r="F292" s="21">
        <v>2004</v>
      </c>
      <c r="G292" s="40">
        <v>2021</v>
      </c>
      <c r="H292" s="23">
        <v>20236174186</v>
      </c>
      <c r="I292" s="23">
        <v>21418452226</v>
      </c>
      <c r="J292" s="23">
        <v>5390693711</v>
      </c>
      <c r="K292" s="23">
        <f>(J292+6789684050)/2</f>
        <v>6090188880.5</v>
      </c>
      <c r="L292" s="23">
        <v>5390693711</v>
      </c>
      <c r="M292" s="23">
        <v>16027758515</v>
      </c>
      <c r="N292" s="23">
        <v>38850263056</v>
      </c>
      <c r="O292" s="25">
        <f t="shared" si="70"/>
        <v>14845480475</v>
      </c>
      <c r="P292" s="23">
        <v>2024665834</v>
      </c>
      <c r="Q292" s="23">
        <f>1893873002+5603889586</f>
        <v>7497762588</v>
      </c>
      <c r="R292" s="25">
        <f t="shared" si="71"/>
        <v>31352500468</v>
      </c>
      <c r="S292" s="26">
        <f t="shared" si="72"/>
        <v>0.25168455937521955</v>
      </c>
      <c r="T292" s="27">
        <f t="shared" si="73"/>
        <v>3.7539091016629271</v>
      </c>
      <c r="U292" s="26">
        <f t="shared" si="74"/>
        <v>23.787518640998577</v>
      </c>
      <c r="V292" s="26">
        <f t="shared" si="75"/>
        <v>6.3791556909496743</v>
      </c>
      <c r="W292" s="91" t="s">
        <v>730</v>
      </c>
      <c r="X292" s="29">
        <v>25770</v>
      </c>
      <c r="Y292" s="91">
        <v>0</v>
      </c>
      <c r="Z292" s="30">
        <f t="shared" si="76"/>
        <v>0</v>
      </c>
      <c r="AA292" s="31">
        <f t="shared" si="77"/>
        <v>17</v>
      </c>
      <c r="AB292" s="32">
        <v>1.84E-2</v>
      </c>
      <c r="AC292" s="32">
        <v>2.58E-2</v>
      </c>
      <c r="AD292" s="33">
        <f t="shared" si="78"/>
        <v>0.69311639881144038</v>
      </c>
      <c r="AE292" s="34">
        <f t="shared" si="79"/>
        <v>9.4529044985904476E-2</v>
      </c>
      <c r="AF292" s="33">
        <f t="shared" si="80"/>
        <v>1.4638079417307752</v>
      </c>
      <c r="AG292" s="33">
        <f t="shared" si="81"/>
        <v>0</v>
      </c>
      <c r="AH292" s="35">
        <f t="shared" si="82"/>
        <v>7.206913458415185</v>
      </c>
      <c r="AI292" s="36">
        <f t="shared" si="83"/>
        <v>13.001560007680737</v>
      </c>
      <c r="AJ292" s="23"/>
      <c r="AK292" s="23"/>
      <c r="AL292" s="44"/>
      <c r="AM292" s="44"/>
      <c r="AN292" s="44"/>
      <c r="AO292" s="44"/>
      <c r="AP292" s="44"/>
      <c r="AQ292" s="44"/>
      <c r="AR292" s="44"/>
    </row>
    <row r="293" spans="1:44" ht="16.8">
      <c r="A293" s="17" t="s">
        <v>731</v>
      </c>
      <c r="B293" s="18"/>
      <c r="C293" s="1" t="s">
        <v>728</v>
      </c>
      <c r="D293" s="19" t="s">
        <v>729</v>
      </c>
      <c r="E293" s="20" t="s">
        <v>39</v>
      </c>
      <c r="F293" s="21">
        <v>2004</v>
      </c>
      <c r="G293" s="40">
        <v>2022</v>
      </c>
      <c r="H293" s="23">
        <v>16550015872</v>
      </c>
      <c r="I293" s="23">
        <v>18070457806</v>
      </c>
      <c r="J293" s="23">
        <v>2042699291</v>
      </c>
      <c r="K293" s="23">
        <f t="shared" ref="K293:K294" si="93">(J293+J292)/2</f>
        <v>3716696501</v>
      </c>
      <c r="L293" s="23">
        <v>2042699291</v>
      </c>
      <c r="M293" s="23">
        <v>16027758515</v>
      </c>
      <c r="N293" s="23">
        <v>40051891923</v>
      </c>
      <c r="O293" s="25">
        <f t="shared" si="70"/>
        <v>14507316581</v>
      </c>
      <c r="P293" s="23">
        <v>1581271991</v>
      </c>
      <c r="Q293" s="23">
        <f>1546114183+5779744318</f>
        <v>7325858501</v>
      </c>
      <c r="R293" s="25">
        <f t="shared" si="71"/>
        <v>32726033422</v>
      </c>
      <c r="S293" s="26">
        <f t="shared" si="72"/>
        <v>0.11304081572973514</v>
      </c>
      <c r="T293" s="27">
        <f t="shared" si="73"/>
        <v>8.1020324160870327</v>
      </c>
      <c r="U293" s="26">
        <f t="shared" si="74"/>
        <v>23.617544276370737</v>
      </c>
      <c r="V293" s="26">
        <f t="shared" si="75"/>
        <v>10.776207288441171</v>
      </c>
      <c r="W293" s="91" t="s">
        <v>732</v>
      </c>
      <c r="X293" s="29">
        <v>34480</v>
      </c>
      <c r="Y293" s="91">
        <v>0</v>
      </c>
      <c r="Z293" s="30">
        <f t="shared" si="76"/>
        <v>0</v>
      </c>
      <c r="AA293" s="31">
        <f t="shared" si="77"/>
        <v>18</v>
      </c>
      <c r="AB293" s="32">
        <v>3.15E-2</v>
      </c>
      <c r="AC293" s="32">
        <v>8.0199999999999994E-2</v>
      </c>
      <c r="AD293" s="33">
        <f t="shared" si="78"/>
        <v>0.8028195376535</v>
      </c>
      <c r="AE293" s="34">
        <f t="shared" si="79"/>
        <v>8.7505917557604132E-2</v>
      </c>
      <c r="AF293" s="33">
        <f t="shared" si="80"/>
        <v>1.8110240356574616</v>
      </c>
      <c r="AG293" s="33">
        <f t="shared" si="81"/>
        <v>0</v>
      </c>
      <c r="AH293" s="35">
        <f t="shared" si="82"/>
        <v>19.607336282665798</v>
      </c>
      <c r="AI293" s="36">
        <f t="shared" si="83"/>
        <v>26.669607330100266</v>
      </c>
      <c r="AJ293" s="23"/>
      <c r="AK293" s="23"/>
      <c r="AL293" s="44"/>
      <c r="AM293" s="44"/>
      <c r="AN293" s="44"/>
      <c r="AO293" s="44"/>
      <c r="AP293" s="44"/>
      <c r="AQ293" s="44"/>
      <c r="AR293" s="44"/>
    </row>
    <row r="294" spans="1:44" ht="16.8">
      <c r="A294" s="17" t="s">
        <v>733</v>
      </c>
      <c r="B294" s="18"/>
      <c r="C294" s="1" t="s">
        <v>728</v>
      </c>
      <c r="D294" s="19" t="s">
        <v>729</v>
      </c>
      <c r="E294" s="20" t="s">
        <v>39</v>
      </c>
      <c r="F294" s="21">
        <v>2004</v>
      </c>
      <c r="G294" s="40">
        <v>2023</v>
      </c>
      <c r="H294" s="23">
        <v>12761852904</v>
      </c>
      <c r="I294" s="23">
        <v>13717415832</v>
      </c>
      <c r="J294" s="23">
        <v>848635878</v>
      </c>
      <c r="K294" s="23">
        <f t="shared" si="93"/>
        <v>1445667584.5</v>
      </c>
      <c r="L294" s="23">
        <v>848635878</v>
      </c>
      <c r="M294" s="23">
        <v>12868779954</v>
      </c>
      <c r="N294" s="23">
        <v>15584587903</v>
      </c>
      <c r="O294" s="25">
        <f t="shared" si="70"/>
        <v>11913217026</v>
      </c>
      <c r="P294" s="23">
        <v>-1758978561</v>
      </c>
      <c r="Q294" s="23">
        <f>1474909885+3471276209</f>
        <v>4946186094</v>
      </c>
      <c r="R294" s="25">
        <f t="shared" si="71"/>
        <v>10638401809</v>
      </c>
      <c r="S294" s="26">
        <f t="shared" si="72"/>
        <v>6.1865579376860581E-2</v>
      </c>
      <c r="T294" s="27">
        <f t="shared" si="73"/>
        <v>15.038078444286562</v>
      </c>
      <c r="U294" s="26">
        <f t="shared" si="74"/>
        <v>23.34193209106666</v>
      </c>
      <c r="V294" s="26">
        <f t="shared" si="75"/>
        <v>10.780201527718491</v>
      </c>
      <c r="W294" s="91" t="s">
        <v>734</v>
      </c>
      <c r="X294" s="29">
        <v>30000</v>
      </c>
      <c r="Y294" s="91">
        <v>0</v>
      </c>
      <c r="Z294" s="30">
        <f t="shared" si="76"/>
        <v>0</v>
      </c>
      <c r="AA294" s="31">
        <f t="shared" si="77"/>
        <v>19</v>
      </c>
      <c r="AB294" s="32">
        <v>3.2500000000000001E-2</v>
      </c>
      <c r="AC294" s="32">
        <v>5.0500000000000003E-2</v>
      </c>
      <c r="AD294" s="33">
        <f t="shared" si="78"/>
        <v>0.86847385629360574</v>
      </c>
      <c r="AE294" s="34">
        <f t="shared" si="79"/>
        <v>-0.12822958657392694</v>
      </c>
      <c r="AF294" s="33">
        <f t="shared" si="80"/>
        <v>0.77553979111595694</v>
      </c>
      <c r="AG294" s="33">
        <f t="shared" si="81"/>
        <v>0</v>
      </c>
      <c r="AH294" s="35">
        <f t="shared" si="82"/>
        <v>18.364281203534031</v>
      </c>
      <c r="AI294" s="36">
        <f t="shared" si="83"/>
        <v>21.786209720565516</v>
      </c>
      <c r="AJ294" s="23"/>
      <c r="AK294" s="23"/>
      <c r="AL294" s="44"/>
      <c r="AM294" s="44"/>
      <c r="AN294" s="44"/>
      <c r="AO294" s="44"/>
      <c r="AP294" s="44"/>
      <c r="AQ294" s="44"/>
      <c r="AR294" s="44"/>
    </row>
    <row r="295" spans="1:44" ht="16.8">
      <c r="A295" s="17" t="s">
        <v>735</v>
      </c>
      <c r="B295" s="18">
        <v>115</v>
      </c>
      <c r="C295" s="1" t="s">
        <v>736</v>
      </c>
      <c r="D295" s="19" t="s">
        <v>737</v>
      </c>
      <c r="E295" s="20" t="s">
        <v>39</v>
      </c>
      <c r="F295" s="21">
        <v>2006</v>
      </c>
      <c r="G295" s="40">
        <v>2021</v>
      </c>
      <c r="H295" s="23">
        <v>128093494001</v>
      </c>
      <c r="I295" s="23">
        <v>238529331094</v>
      </c>
      <c r="J295" s="23">
        <v>36050058190</v>
      </c>
      <c r="K295" s="23">
        <f>(J295+27762729852)/2</f>
        <v>31906394021</v>
      </c>
      <c r="L295" s="23">
        <v>22852717808</v>
      </c>
      <c r="M295" s="23">
        <v>202479272904</v>
      </c>
      <c r="N295" s="23">
        <v>154120381419</v>
      </c>
      <c r="O295" s="25">
        <f t="shared" si="70"/>
        <v>105240776193</v>
      </c>
      <c r="P295" s="23">
        <v>107410984569</v>
      </c>
      <c r="Q295" s="23">
        <f>4202326100+11894722844</f>
        <v>16097048944</v>
      </c>
      <c r="R295" s="25">
        <f t="shared" si="71"/>
        <v>138023332475</v>
      </c>
      <c r="S295" s="26">
        <f t="shared" si="72"/>
        <v>0.15113469703980908</v>
      </c>
      <c r="T295" s="27">
        <f t="shared" si="73"/>
        <v>5.6051755015396285</v>
      </c>
      <c r="U295" s="26">
        <f t="shared" si="74"/>
        <v>26.197758121239403</v>
      </c>
      <c r="V295" s="26">
        <f t="shared" si="75"/>
        <v>4.8303917176463678</v>
      </c>
      <c r="W295" s="91" t="s">
        <v>738</v>
      </c>
      <c r="X295" s="29">
        <v>27310</v>
      </c>
      <c r="Y295" s="91">
        <v>0</v>
      </c>
      <c r="Z295" s="30">
        <f t="shared" si="76"/>
        <v>0</v>
      </c>
      <c r="AA295" s="31">
        <f t="shared" si="77"/>
        <v>15</v>
      </c>
      <c r="AB295" s="32">
        <v>1.84E-2</v>
      </c>
      <c r="AC295" s="32">
        <v>2.58E-2</v>
      </c>
      <c r="AD295" s="33">
        <f t="shared" si="78"/>
        <v>0.4412068558207064</v>
      </c>
      <c r="AE295" s="34">
        <f t="shared" si="79"/>
        <v>0.45030514308813163</v>
      </c>
      <c r="AF295" s="33">
        <f t="shared" si="80"/>
        <v>0.57864301988340194</v>
      </c>
      <c r="AG295" s="33">
        <f t="shared" si="81"/>
        <v>0</v>
      </c>
      <c r="AH295" s="35">
        <f t="shared" si="82"/>
        <v>4.2751770498321076</v>
      </c>
      <c r="AI295" s="36">
        <f t="shared" si="83"/>
        <v>7.3445744427555653</v>
      </c>
      <c r="AJ295" s="23"/>
      <c r="AK295" s="23"/>
      <c r="AL295" s="44"/>
      <c r="AM295" s="44"/>
      <c r="AN295" s="44"/>
      <c r="AO295" s="44"/>
      <c r="AP295" s="44"/>
      <c r="AQ295" s="44"/>
      <c r="AR295" s="44"/>
    </row>
    <row r="296" spans="1:44" ht="16.8">
      <c r="A296" s="17" t="s">
        <v>739</v>
      </c>
      <c r="B296" s="18"/>
      <c r="C296" s="1" t="s">
        <v>736</v>
      </c>
      <c r="D296" s="19" t="s">
        <v>737</v>
      </c>
      <c r="E296" s="20" t="s">
        <v>39</v>
      </c>
      <c r="F296" s="21">
        <v>2006</v>
      </c>
      <c r="G296" s="40">
        <v>2022</v>
      </c>
      <c r="H296" s="23">
        <v>143675631059</v>
      </c>
      <c r="I296" s="23">
        <v>215508758535</v>
      </c>
      <c r="J296" s="23">
        <v>33482362014</v>
      </c>
      <c r="K296" s="23">
        <f t="shared" ref="K296:K297" si="94">(J296+J295)/2</f>
        <v>34766210102</v>
      </c>
      <c r="L296" s="23">
        <v>20514789541</v>
      </c>
      <c r="M296" s="23">
        <v>182026396521</v>
      </c>
      <c r="N296" s="23">
        <v>200979515289</v>
      </c>
      <c r="O296" s="25">
        <f t="shared" si="70"/>
        <v>123160841518</v>
      </c>
      <c r="P296" s="23">
        <v>53936975726</v>
      </c>
      <c r="Q296" s="23">
        <f>4339408988+14333765430</f>
        <v>18673174418</v>
      </c>
      <c r="R296" s="25">
        <f t="shared" si="71"/>
        <v>182306340871</v>
      </c>
      <c r="S296" s="26">
        <f t="shared" si="72"/>
        <v>0.15536427494459465</v>
      </c>
      <c r="T296" s="27">
        <f t="shared" si="73"/>
        <v>7.0035147458791078</v>
      </c>
      <c r="U296" s="26">
        <f t="shared" si="74"/>
        <v>26.096267388518143</v>
      </c>
      <c r="V296" s="26">
        <f t="shared" si="75"/>
        <v>5.7808865188166783</v>
      </c>
      <c r="W296" s="91" t="s">
        <v>740</v>
      </c>
      <c r="X296" s="29">
        <v>31980</v>
      </c>
      <c r="Y296" s="91">
        <v>1</v>
      </c>
      <c r="Z296" s="30">
        <f t="shared" si="76"/>
        <v>31980</v>
      </c>
      <c r="AA296" s="31">
        <f t="shared" si="77"/>
        <v>16</v>
      </c>
      <c r="AB296" s="32">
        <v>3.15E-2</v>
      </c>
      <c r="AC296" s="32">
        <v>8.0199999999999994E-2</v>
      </c>
      <c r="AD296" s="33">
        <f t="shared" si="78"/>
        <v>0.57148879866985958</v>
      </c>
      <c r="AE296" s="34">
        <f t="shared" si="79"/>
        <v>0.25027741838733802</v>
      </c>
      <c r="AF296" s="33">
        <f t="shared" si="80"/>
        <v>0.8459347179682829</v>
      </c>
      <c r="AG296" s="33">
        <f t="shared" si="81"/>
        <v>9.5512974821275105E-7</v>
      </c>
      <c r="AH296" s="35">
        <f t="shared" si="82"/>
        <v>6.0025489003722114</v>
      </c>
      <c r="AI296" s="36">
        <f t="shared" si="83"/>
        <v>9.8303089868914988</v>
      </c>
      <c r="AJ296" s="23"/>
      <c r="AK296" s="23"/>
      <c r="AL296" s="23"/>
      <c r="AM296" s="23"/>
      <c r="AN296" s="23"/>
      <c r="AO296" s="23"/>
      <c r="AP296" s="23"/>
      <c r="AQ296" s="23"/>
      <c r="AR296" s="44"/>
    </row>
    <row r="297" spans="1:44" ht="16.8">
      <c r="A297" s="17" t="s">
        <v>741</v>
      </c>
      <c r="B297" s="18"/>
      <c r="C297" s="1" t="s">
        <v>736</v>
      </c>
      <c r="D297" s="19" t="s">
        <v>737</v>
      </c>
      <c r="E297" s="20" t="s">
        <v>39</v>
      </c>
      <c r="F297" s="21">
        <v>2006</v>
      </c>
      <c r="G297" s="40">
        <v>2023</v>
      </c>
      <c r="H297" s="24">
        <v>168955703480</v>
      </c>
      <c r="I297" s="24">
        <v>238841293738</v>
      </c>
      <c r="J297" s="24">
        <v>41310671026</v>
      </c>
      <c r="K297" s="23">
        <f t="shared" si="94"/>
        <v>37396516520</v>
      </c>
      <c r="L297" s="24">
        <v>28377182803</v>
      </c>
      <c r="M297" s="24">
        <v>197530622712</v>
      </c>
      <c r="N297" s="24">
        <v>175681807310</v>
      </c>
      <c r="O297" s="25">
        <f t="shared" si="70"/>
        <v>140578520677</v>
      </c>
      <c r="P297" s="24">
        <v>54851765689</v>
      </c>
      <c r="Q297" s="24">
        <f>1715296089+15359685683</f>
        <v>17074981772</v>
      </c>
      <c r="R297" s="25">
        <f t="shared" si="71"/>
        <v>158606825538</v>
      </c>
      <c r="S297" s="26">
        <f t="shared" si="72"/>
        <v>0.17296285068408759</v>
      </c>
      <c r="T297" s="27">
        <f t="shared" si="73"/>
        <v>5.953928008038142</v>
      </c>
      <c r="U297" s="26">
        <f t="shared" si="74"/>
        <v>26.19906512536652</v>
      </c>
      <c r="V297" s="26">
        <f t="shared" si="75"/>
        <v>4.6978120867499449</v>
      </c>
      <c r="W297" s="92" t="s">
        <v>742</v>
      </c>
      <c r="X297" s="29">
        <v>33220</v>
      </c>
      <c r="Y297" s="92">
        <v>1500</v>
      </c>
      <c r="Z297" s="30">
        <f t="shared" si="76"/>
        <v>49830000</v>
      </c>
      <c r="AA297" s="31">
        <f t="shared" si="77"/>
        <v>17</v>
      </c>
      <c r="AB297" s="32">
        <v>3.2500000000000001E-2</v>
      </c>
      <c r="AC297" s="32">
        <v>5.0500000000000003E-2</v>
      </c>
      <c r="AD297" s="33">
        <f t="shared" si="78"/>
        <v>0.5885854932238368</v>
      </c>
      <c r="AE297" s="34">
        <f t="shared" si="79"/>
        <v>0.22965779840888964</v>
      </c>
      <c r="AF297" s="33">
        <f t="shared" si="80"/>
        <v>0.66406785466497176</v>
      </c>
      <c r="AG297" s="33">
        <f t="shared" si="81"/>
        <v>1.2062258676127078E-3</v>
      </c>
      <c r="AH297" s="35">
        <f t="shared" si="82"/>
        <v>4.2526979820644852</v>
      </c>
      <c r="AI297" s="36">
        <f t="shared" si="83"/>
        <v>7.4726691476205094</v>
      </c>
      <c r="AJ297" s="24"/>
      <c r="AK297" s="24"/>
      <c r="AL297" s="24"/>
      <c r="AM297" s="24"/>
      <c r="AN297" s="24"/>
      <c r="AO297" s="24"/>
      <c r="AP297" s="24"/>
      <c r="AQ297" s="24"/>
    </row>
    <row r="298" spans="1:44" ht="16.8">
      <c r="A298" s="17" t="s">
        <v>743</v>
      </c>
      <c r="B298" s="18">
        <v>116</v>
      </c>
      <c r="C298" s="1" t="s">
        <v>744</v>
      </c>
      <c r="D298" s="19" t="s">
        <v>745</v>
      </c>
      <c r="E298" s="20" t="s">
        <v>39</v>
      </c>
      <c r="F298" s="21">
        <v>1960</v>
      </c>
      <c r="G298" s="40">
        <v>2021</v>
      </c>
      <c r="H298" s="23">
        <v>841610623822</v>
      </c>
      <c r="I298" s="23">
        <v>1245542848018</v>
      </c>
      <c r="J298" s="23">
        <v>743176195011</v>
      </c>
      <c r="K298" s="23">
        <f>(J298+719877079913)/2</f>
        <v>731526637462</v>
      </c>
      <c r="L298" s="23">
        <v>662472874401</v>
      </c>
      <c r="M298" s="23">
        <v>502366653007</v>
      </c>
      <c r="N298" s="23">
        <v>1002430638395</v>
      </c>
      <c r="O298" s="25">
        <f t="shared" si="70"/>
        <v>179137749421</v>
      </c>
      <c r="P298" s="23">
        <v>52282741875</v>
      </c>
      <c r="Q298" s="23">
        <f>110345254493+47386481676</f>
        <v>157731736169</v>
      </c>
      <c r="R298" s="25">
        <f t="shared" si="71"/>
        <v>844698902226</v>
      </c>
      <c r="S298" s="26">
        <f t="shared" si="72"/>
        <v>0.59666850979361885</v>
      </c>
      <c r="T298" s="27">
        <f t="shared" si="73"/>
        <v>1.2704076745526738</v>
      </c>
      <c r="U298" s="26">
        <f t="shared" si="74"/>
        <v>27.850592573319446</v>
      </c>
      <c r="V298" s="26">
        <f t="shared" si="75"/>
        <v>1.3703269123225501</v>
      </c>
      <c r="W298" s="91" t="s">
        <v>746</v>
      </c>
      <c r="X298" s="29">
        <v>89000</v>
      </c>
      <c r="Y298" s="91">
        <v>3336</v>
      </c>
      <c r="Z298" s="30">
        <f t="shared" si="76"/>
        <v>296904000</v>
      </c>
      <c r="AA298" s="31">
        <f t="shared" si="77"/>
        <v>61</v>
      </c>
      <c r="AB298" s="32">
        <v>1.84E-2</v>
      </c>
      <c r="AC298" s="32">
        <v>2.58E-2</v>
      </c>
      <c r="AD298" s="33">
        <f t="shared" si="78"/>
        <v>0.1438230324280351</v>
      </c>
      <c r="AE298" s="34">
        <f t="shared" si="79"/>
        <v>4.197586775773806E-2</v>
      </c>
      <c r="AF298" s="33">
        <f t="shared" si="80"/>
        <v>0.67817731326557529</v>
      </c>
      <c r="AG298" s="33">
        <f t="shared" si="81"/>
        <v>3.9950687601828449E-4</v>
      </c>
      <c r="AH298" s="35">
        <f t="shared" si="82"/>
        <v>1.3488465388482507</v>
      </c>
      <c r="AI298" s="36">
        <f t="shared" si="83"/>
        <v>3.8184252305247357</v>
      </c>
      <c r="AJ298" s="23"/>
      <c r="AK298" s="23"/>
      <c r="AL298" s="23"/>
      <c r="AM298" s="23"/>
      <c r="AN298" s="23"/>
      <c r="AO298" s="23"/>
      <c r="AP298" s="23"/>
      <c r="AQ298" s="23"/>
      <c r="AR298" s="44"/>
    </row>
    <row r="299" spans="1:44" ht="16.8">
      <c r="A299" s="17" t="s">
        <v>747</v>
      </c>
      <c r="B299" s="18"/>
      <c r="C299" s="1" t="s">
        <v>744</v>
      </c>
      <c r="D299" s="19" t="s">
        <v>745</v>
      </c>
      <c r="E299" s="20" t="s">
        <v>39</v>
      </c>
      <c r="F299" s="21">
        <v>1960</v>
      </c>
      <c r="G299" s="40">
        <v>2022</v>
      </c>
      <c r="H299" s="24">
        <v>1028394996136</v>
      </c>
      <c r="I299" s="24">
        <v>1244904103839</v>
      </c>
      <c r="J299" s="24">
        <v>692365169321</v>
      </c>
      <c r="K299" s="24">
        <f t="shared" ref="K299:K300" si="95">(J299+J298)/2</f>
        <v>717770682166</v>
      </c>
      <c r="L299" s="24">
        <v>686503024863</v>
      </c>
      <c r="M299" s="24">
        <v>552538934518</v>
      </c>
      <c r="N299" s="24">
        <v>1517002029660</v>
      </c>
      <c r="O299" s="25">
        <f t="shared" si="70"/>
        <v>341891971273</v>
      </c>
      <c r="P299" s="24">
        <v>52786418604</v>
      </c>
      <c r="Q299" s="24">
        <f>123511917564+48051792875</f>
        <v>171563710439</v>
      </c>
      <c r="R299" s="25">
        <f t="shared" si="71"/>
        <v>1345438319221</v>
      </c>
      <c r="S299" s="26">
        <f t="shared" si="72"/>
        <v>0.55615944006120943</v>
      </c>
      <c r="T299" s="27">
        <f t="shared" si="73"/>
        <v>1.4980196137391073</v>
      </c>
      <c r="U299" s="26">
        <f t="shared" si="74"/>
        <v>27.850079617849723</v>
      </c>
      <c r="V299" s="26">
        <f t="shared" si="75"/>
        <v>2.113491212934719</v>
      </c>
      <c r="W299" s="92" t="s">
        <v>748</v>
      </c>
      <c r="X299" s="29">
        <v>105000</v>
      </c>
      <c r="Y299" s="92">
        <v>0</v>
      </c>
      <c r="Z299" s="30">
        <f t="shared" si="76"/>
        <v>0</v>
      </c>
      <c r="AA299" s="31">
        <f t="shared" si="77"/>
        <v>62</v>
      </c>
      <c r="AB299" s="32">
        <v>3.15E-2</v>
      </c>
      <c r="AC299" s="32">
        <v>8.0199999999999994E-2</v>
      </c>
      <c r="AD299" s="33">
        <f t="shared" si="78"/>
        <v>0.27463317874740972</v>
      </c>
      <c r="AE299" s="34">
        <f t="shared" si="79"/>
        <v>4.240199581736355E-2</v>
      </c>
      <c r="AF299" s="33">
        <f t="shared" si="80"/>
        <v>1.0807565940797974</v>
      </c>
      <c r="AG299" s="33">
        <f t="shared" si="81"/>
        <v>0</v>
      </c>
      <c r="AH299" s="35">
        <f t="shared" si="82"/>
        <v>2.1910432483883011</v>
      </c>
      <c r="AI299" s="36">
        <f t="shared" si="83"/>
        <v>6.1464626174928334</v>
      </c>
      <c r="AJ299" s="24"/>
      <c r="AK299" s="24"/>
      <c r="AL299" s="24"/>
      <c r="AM299" s="24"/>
      <c r="AN299" s="24"/>
      <c r="AO299" s="24"/>
      <c r="AP299" s="24"/>
      <c r="AQ299" s="24"/>
    </row>
    <row r="300" spans="1:44" ht="16.8">
      <c r="A300" s="17" t="s">
        <v>749</v>
      </c>
      <c r="B300" s="18"/>
      <c r="C300" s="1" t="s">
        <v>744</v>
      </c>
      <c r="D300" s="19" t="s">
        <v>745</v>
      </c>
      <c r="E300" s="20" t="s">
        <v>39</v>
      </c>
      <c r="F300" s="21">
        <v>1960</v>
      </c>
      <c r="G300" s="40">
        <v>2023</v>
      </c>
      <c r="H300" s="24">
        <v>1416313432314</v>
      </c>
      <c r="I300" s="24">
        <v>1751128198532</v>
      </c>
      <c r="J300" s="24">
        <v>1151652927747</v>
      </c>
      <c r="K300" s="24">
        <f t="shared" si="95"/>
        <v>922009048534</v>
      </c>
      <c r="L300" s="24">
        <v>1150148374882</v>
      </c>
      <c r="M300" s="24">
        <v>599475270785</v>
      </c>
      <c r="N300" s="24">
        <v>914966758715</v>
      </c>
      <c r="O300" s="25">
        <f t="shared" si="70"/>
        <v>266165057432</v>
      </c>
      <c r="P300" s="24">
        <v>49575657197</v>
      </c>
      <c r="Q300" s="24">
        <f>87518278184+46759573332</f>
        <v>134277851516</v>
      </c>
      <c r="R300" s="25">
        <f t="shared" si="71"/>
        <v>780688907199</v>
      </c>
      <c r="S300" s="26">
        <f t="shared" si="72"/>
        <v>0.65766340163584247</v>
      </c>
      <c r="T300" s="27">
        <f t="shared" si="73"/>
        <v>1.2314180180964107</v>
      </c>
      <c r="U300" s="26">
        <f t="shared" si="74"/>
        <v>28.191281381019376</v>
      </c>
      <c r="V300" s="26">
        <f t="shared" si="75"/>
        <v>0.99236201658736722</v>
      </c>
      <c r="W300" s="92" t="s">
        <v>750</v>
      </c>
      <c r="X300" s="29">
        <v>112500</v>
      </c>
      <c r="Y300" s="92">
        <v>0</v>
      </c>
      <c r="Z300" s="30">
        <f t="shared" si="76"/>
        <v>0</v>
      </c>
      <c r="AA300" s="31">
        <f t="shared" si="77"/>
        <v>63</v>
      </c>
      <c r="AB300" s="32">
        <v>3.2500000000000001E-2</v>
      </c>
      <c r="AC300" s="32">
        <v>5.0500000000000003E-2</v>
      </c>
      <c r="AD300" s="33">
        <f t="shared" si="78"/>
        <v>0.15199632879827452</v>
      </c>
      <c r="AE300" s="34">
        <f t="shared" si="79"/>
        <v>2.8310695492517395E-2</v>
      </c>
      <c r="AF300" s="33">
        <f t="shared" si="80"/>
        <v>0.44582053321593734</v>
      </c>
      <c r="AG300" s="33">
        <f t="shared" si="81"/>
        <v>0</v>
      </c>
      <c r="AH300" s="35">
        <f t="shared" si="82"/>
        <v>0.7944813377976353</v>
      </c>
      <c r="AI300" s="36">
        <f t="shared" si="83"/>
        <v>2.4877196656576821</v>
      </c>
      <c r="AJ300" s="24"/>
      <c r="AK300" s="24"/>
      <c r="AL300" s="24"/>
      <c r="AM300" s="24"/>
      <c r="AN300" s="24"/>
      <c r="AO300" s="24"/>
      <c r="AP300" s="24"/>
      <c r="AQ300" s="24"/>
    </row>
    <row r="301" spans="1:44" ht="16.8">
      <c r="A301" s="64" t="s">
        <v>751</v>
      </c>
      <c r="B301" s="62">
        <v>117</v>
      </c>
      <c r="C301" s="1" t="s">
        <v>752</v>
      </c>
      <c r="D301" s="19" t="s">
        <v>753</v>
      </c>
      <c r="E301" s="20" t="s">
        <v>39</v>
      </c>
      <c r="F301" s="21">
        <v>2001</v>
      </c>
      <c r="G301" s="40">
        <v>2021</v>
      </c>
      <c r="H301" s="23">
        <v>38494135614</v>
      </c>
      <c r="I301" s="23">
        <v>315133238174</v>
      </c>
      <c r="J301" s="23">
        <v>94615601335</v>
      </c>
      <c r="K301" s="23">
        <f>(J301+131259555405)/2</f>
        <v>112937578370</v>
      </c>
      <c r="L301" s="23">
        <v>68849760267</v>
      </c>
      <c r="M301" s="23">
        <v>220517636839</v>
      </c>
      <c r="N301" s="23">
        <v>94335266140</v>
      </c>
      <c r="O301" s="25">
        <f t="shared" si="70"/>
        <v>-30355624653</v>
      </c>
      <c r="P301" s="23">
        <v>-68553322685</v>
      </c>
      <c r="Q301" s="23">
        <v>16951784944</v>
      </c>
      <c r="R301" s="25">
        <f t="shared" si="71"/>
        <v>77383481196</v>
      </c>
      <c r="S301" s="26">
        <f t="shared" si="72"/>
        <v>0.30023999335404361</v>
      </c>
      <c r="T301" s="27">
        <f t="shared" si="73"/>
        <v>0.55910340812690396</v>
      </c>
      <c r="U301" s="26">
        <f t="shared" si="74"/>
        <v>26.476261364672087</v>
      </c>
      <c r="V301" s="26">
        <f t="shared" si="75"/>
        <v>0.83528677966640907</v>
      </c>
      <c r="W301" s="93">
        <v>45666</v>
      </c>
      <c r="X301" s="42">
        <v>9100</v>
      </c>
      <c r="Y301" s="91">
        <v>835294</v>
      </c>
      <c r="Z301" s="30">
        <f t="shared" si="76"/>
        <v>7601175400</v>
      </c>
      <c r="AA301" s="31">
        <f t="shared" si="77"/>
        <v>20</v>
      </c>
      <c r="AB301" s="32">
        <v>1.84E-2</v>
      </c>
      <c r="AC301" s="32">
        <v>2.58E-2</v>
      </c>
      <c r="AD301" s="33">
        <f t="shared" si="78"/>
        <v>-9.6326318445149925E-2</v>
      </c>
      <c r="AE301" s="34">
        <f t="shared" si="79"/>
        <v>-0.21753758214215557</v>
      </c>
      <c r="AF301" s="33">
        <f t="shared" si="80"/>
        <v>0.24555797936259871</v>
      </c>
      <c r="AG301" s="33">
        <f t="shared" si="81"/>
        <v>8.0337442163337908E-2</v>
      </c>
      <c r="AH301" s="35">
        <f t="shared" si="82"/>
        <v>0.99703711448170762</v>
      </c>
      <c r="AI301" s="36">
        <f t="shared" si="83"/>
        <v>1.4354367145430884</v>
      </c>
      <c r="AJ301" s="23" t="s">
        <v>136</v>
      </c>
      <c r="AK301" s="23"/>
      <c r="AL301" s="44"/>
      <c r="AM301" s="44"/>
      <c r="AN301" s="44"/>
      <c r="AO301" s="44"/>
      <c r="AP301" s="44"/>
      <c r="AQ301" s="44"/>
      <c r="AR301" s="44"/>
    </row>
    <row r="302" spans="1:44" ht="16.8">
      <c r="A302" s="64" t="s">
        <v>754</v>
      </c>
      <c r="B302" s="62"/>
      <c r="C302" s="1" t="s">
        <v>752</v>
      </c>
      <c r="D302" s="19" t="s">
        <v>753</v>
      </c>
      <c r="E302" s="20" t="s">
        <v>39</v>
      </c>
      <c r="F302" s="21">
        <v>2001</v>
      </c>
      <c r="G302" s="40">
        <v>2022</v>
      </c>
      <c r="H302" s="23">
        <v>7684670895</v>
      </c>
      <c r="I302" s="23">
        <v>235263661947</v>
      </c>
      <c r="J302" s="23">
        <v>72567234208</v>
      </c>
      <c r="K302" s="23">
        <f t="shared" ref="K302:K303" si="96">SUM(J301:J302)/2</f>
        <v>83591417771.5</v>
      </c>
      <c r="L302" s="23">
        <v>67964422029</v>
      </c>
      <c r="M302" s="23">
        <v>162696427739</v>
      </c>
      <c r="N302" s="23">
        <v>104445873770</v>
      </c>
      <c r="O302" s="25">
        <f t="shared" si="70"/>
        <v>-60279751134</v>
      </c>
      <c r="P302" s="23">
        <v>-57821209100</v>
      </c>
      <c r="Q302" s="23">
        <v>14362650014</v>
      </c>
      <c r="R302" s="25">
        <f t="shared" si="71"/>
        <v>90083223756</v>
      </c>
      <c r="S302" s="26">
        <f t="shared" si="72"/>
        <v>0.30845067022865558</v>
      </c>
      <c r="T302" s="27">
        <f t="shared" si="73"/>
        <v>0.11306902443341603</v>
      </c>
      <c r="U302" s="26">
        <f t="shared" si="74"/>
        <v>26.183972687889316</v>
      </c>
      <c r="V302" s="26">
        <f t="shared" si="75"/>
        <v>1.2494808265545438</v>
      </c>
      <c r="W302" s="93">
        <v>45778</v>
      </c>
      <c r="X302" s="42">
        <v>1500</v>
      </c>
      <c r="Y302" s="91">
        <v>48260</v>
      </c>
      <c r="Z302" s="30">
        <f t="shared" si="76"/>
        <v>72390000</v>
      </c>
      <c r="AA302" s="31">
        <f t="shared" si="77"/>
        <v>21</v>
      </c>
      <c r="AB302" s="32">
        <v>3.15E-2</v>
      </c>
      <c r="AC302" s="32">
        <v>8.0199999999999994E-2</v>
      </c>
      <c r="AD302" s="33">
        <f t="shared" si="78"/>
        <v>-0.25622210686994989</v>
      </c>
      <c r="AE302" s="34">
        <f t="shared" si="79"/>
        <v>-0.24577195059144286</v>
      </c>
      <c r="AF302" s="33">
        <f t="shared" si="80"/>
        <v>0.38290326270741237</v>
      </c>
      <c r="AG302" s="33">
        <f t="shared" si="81"/>
        <v>9.9755765518784976E-4</v>
      </c>
      <c r="AH302" s="35">
        <f t="shared" si="82"/>
        <v>1.4392979822081413</v>
      </c>
      <c r="AI302" s="36">
        <f t="shared" si="83"/>
        <v>2.0519300246637551</v>
      </c>
      <c r="AJ302" s="23" t="s">
        <v>136</v>
      </c>
      <c r="AK302" s="23"/>
      <c r="AL302" s="44"/>
      <c r="AM302" s="44"/>
      <c r="AN302" s="44"/>
      <c r="AO302" s="44"/>
      <c r="AP302" s="44"/>
      <c r="AQ302" s="44"/>
      <c r="AR302" s="44"/>
    </row>
    <row r="303" spans="1:44" ht="16.8">
      <c r="A303" s="64" t="s">
        <v>755</v>
      </c>
      <c r="B303" s="62"/>
      <c r="C303" s="1" t="s">
        <v>752</v>
      </c>
      <c r="D303" s="19" t="s">
        <v>753</v>
      </c>
      <c r="E303" s="20" t="s">
        <v>39</v>
      </c>
      <c r="F303" s="21">
        <v>2001</v>
      </c>
      <c r="G303" s="40">
        <v>2023</v>
      </c>
      <c r="H303" s="23">
        <v>7116287657</v>
      </c>
      <c r="I303" s="23">
        <v>205969779781</v>
      </c>
      <c r="J303" s="23">
        <v>86513875614</v>
      </c>
      <c r="K303" s="23">
        <f t="shared" si="96"/>
        <v>79540554911</v>
      </c>
      <c r="L303" s="23">
        <v>57671404614</v>
      </c>
      <c r="M303" s="23">
        <v>119455904167</v>
      </c>
      <c r="N303" s="23">
        <v>61473688339</v>
      </c>
      <c r="O303" s="25">
        <f t="shared" si="70"/>
        <v>-50555116957</v>
      </c>
      <c r="P303" s="23">
        <v>-43240523572</v>
      </c>
      <c r="Q303" s="23">
        <v>11311147515</v>
      </c>
      <c r="R303" s="25">
        <f t="shared" si="71"/>
        <v>50162540824</v>
      </c>
      <c r="S303" s="26">
        <f t="shared" si="72"/>
        <v>0.4200318886876851</v>
      </c>
      <c r="T303" s="27">
        <f t="shared" si="73"/>
        <v>0.12339369406086025</v>
      </c>
      <c r="U303" s="26">
        <f t="shared" si="74"/>
        <v>26.050995294882249</v>
      </c>
      <c r="V303" s="26">
        <f t="shared" si="75"/>
        <v>0.77285968658107196</v>
      </c>
      <c r="W303" s="93">
        <v>45901</v>
      </c>
      <c r="X303" s="42">
        <v>1900</v>
      </c>
      <c r="Y303" s="91">
        <v>221893</v>
      </c>
      <c r="Z303" s="30">
        <f t="shared" si="76"/>
        <v>421596700</v>
      </c>
      <c r="AA303" s="31">
        <f t="shared" si="77"/>
        <v>22</v>
      </c>
      <c r="AB303" s="32">
        <v>3.2500000000000001E-2</v>
      </c>
      <c r="AC303" s="32">
        <v>5.0500000000000003E-2</v>
      </c>
      <c r="AD303" s="33">
        <f t="shared" si="78"/>
        <v>-0.24544919653142017</v>
      </c>
      <c r="AE303" s="34">
        <f t="shared" si="79"/>
        <v>-0.20993625190052656</v>
      </c>
      <c r="AF303" s="33">
        <f t="shared" si="80"/>
        <v>0.24354320753916406</v>
      </c>
      <c r="AG303" s="33">
        <f t="shared" si="81"/>
        <v>4.8731685756518766E-3</v>
      </c>
      <c r="AH303" s="35">
        <f t="shared" si="82"/>
        <v>0.7105644950328881</v>
      </c>
      <c r="AI303" s="36">
        <f t="shared" si="83"/>
        <v>0.9287311925590791</v>
      </c>
      <c r="AJ303" s="23" t="s">
        <v>136</v>
      </c>
      <c r="AK303" s="23"/>
      <c r="AL303" s="44"/>
      <c r="AM303" s="44"/>
      <c r="AN303" s="44"/>
      <c r="AO303" s="44"/>
      <c r="AP303" s="44"/>
      <c r="AQ303" s="44"/>
      <c r="AR303" s="44"/>
    </row>
    <row r="304" spans="1:44" ht="16.8">
      <c r="A304" s="45"/>
      <c r="B304" s="45">
        <v>118</v>
      </c>
      <c r="C304" s="45" t="s">
        <v>756</v>
      </c>
      <c r="D304" s="46" t="s">
        <v>757</v>
      </c>
      <c r="E304" s="47" t="s">
        <v>39</v>
      </c>
      <c r="F304" s="48"/>
      <c r="G304" s="48"/>
      <c r="H304" s="49"/>
      <c r="I304" s="49"/>
      <c r="J304" s="49"/>
      <c r="K304" s="49"/>
      <c r="L304" s="49"/>
      <c r="M304" s="49"/>
      <c r="N304" s="49"/>
      <c r="O304" s="49">
        <f t="shared" si="70"/>
        <v>0</v>
      </c>
      <c r="P304" s="49"/>
      <c r="Q304" s="49"/>
      <c r="R304" s="49">
        <f t="shared" si="71"/>
        <v>0</v>
      </c>
      <c r="S304" s="50" t="e">
        <f t="shared" si="72"/>
        <v>#DIV/0!</v>
      </c>
      <c r="T304" s="51" t="e">
        <f t="shared" si="73"/>
        <v>#DIV/0!</v>
      </c>
      <c r="U304" s="50" t="e">
        <f t="shared" si="74"/>
        <v>#NUM!</v>
      </c>
      <c r="V304" s="50" t="e">
        <f t="shared" si="75"/>
        <v>#DIV/0!</v>
      </c>
      <c r="W304" s="52"/>
      <c r="X304" s="53">
        <v>0</v>
      </c>
      <c r="Y304" s="52"/>
      <c r="Z304" s="55">
        <f t="shared" si="76"/>
        <v>0</v>
      </c>
      <c r="AA304" s="48">
        <f t="shared" si="77"/>
        <v>0</v>
      </c>
      <c r="AB304" s="49"/>
      <c r="AC304" s="49"/>
      <c r="AD304" s="50" t="e">
        <f t="shared" si="78"/>
        <v>#DIV/0!</v>
      </c>
      <c r="AE304" s="56" t="e">
        <f t="shared" si="79"/>
        <v>#DIV/0!</v>
      </c>
      <c r="AF304" s="50" t="e">
        <f t="shared" si="80"/>
        <v>#DIV/0!</v>
      </c>
      <c r="AG304" s="50" t="e">
        <f t="shared" si="81"/>
        <v>#DIV/0!</v>
      </c>
      <c r="AH304" s="57" t="e">
        <f t="shared" si="82"/>
        <v>#DIV/0!</v>
      </c>
      <c r="AI304" s="58" t="e">
        <f t="shared" si="83"/>
        <v>#DIV/0!</v>
      </c>
      <c r="AJ304" s="49"/>
      <c r="AK304" s="49"/>
      <c r="AL304" s="59"/>
      <c r="AM304" s="59"/>
      <c r="AN304" s="59"/>
      <c r="AO304" s="59"/>
      <c r="AP304" s="59"/>
      <c r="AQ304" s="59"/>
      <c r="AR304" s="59"/>
    </row>
    <row r="305" spans="1:44" ht="16.8">
      <c r="A305" s="64" t="s">
        <v>758</v>
      </c>
      <c r="B305" s="62">
        <v>119</v>
      </c>
      <c r="C305" s="1" t="s">
        <v>759</v>
      </c>
      <c r="D305" s="19" t="s">
        <v>760</v>
      </c>
      <c r="E305" s="20" t="s">
        <v>39</v>
      </c>
      <c r="F305" s="21">
        <v>2003</v>
      </c>
      <c r="G305" s="40">
        <v>2021</v>
      </c>
      <c r="H305" s="23">
        <v>69751406864</v>
      </c>
      <c r="I305" s="23">
        <v>346423696169</v>
      </c>
      <c r="J305" s="23">
        <v>27141907663</v>
      </c>
      <c r="K305" s="23">
        <f>(J305+56851568599)/2</f>
        <v>41996738131</v>
      </c>
      <c r="L305" s="23">
        <v>27141907663</v>
      </c>
      <c r="M305" s="23">
        <v>319281788506</v>
      </c>
      <c r="N305" s="23">
        <v>165837230817</v>
      </c>
      <c r="O305" s="25">
        <f t="shared" si="70"/>
        <v>42609499201</v>
      </c>
      <c r="P305" s="23">
        <v>51153119932</v>
      </c>
      <c r="Q305" s="23">
        <v>8669499299</v>
      </c>
      <c r="R305" s="25">
        <f t="shared" si="71"/>
        <v>157167731518</v>
      </c>
      <c r="S305" s="26">
        <f t="shared" si="72"/>
        <v>7.8348877294349514E-2</v>
      </c>
      <c r="T305" s="27">
        <f t="shared" si="73"/>
        <v>2.5698785704398186</v>
      </c>
      <c r="U305" s="26">
        <f t="shared" si="74"/>
        <v>26.57092841824943</v>
      </c>
      <c r="V305" s="26">
        <f t="shared" si="75"/>
        <v>3.9488121744052029</v>
      </c>
      <c r="W305" s="91" t="s">
        <v>761</v>
      </c>
      <c r="X305" s="29">
        <v>25720</v>
      </c>
      <c r="Y305" s="91">
        <v>0</v>
      </c>
      <c r="Z305" s="30">
        <f t="shared" si="76"/>
        <v>0</v>
      </c>
      <c r="AA305" s="31">
        <f t="shared" si="77"/>
        <v>18</v>
      </c>
      <c r="AB305" s="32">
        <v>1.84E-2</v>
      </c>
      <c r="AC305" s="32">
        <v>2.58E-2</v>
      </c>
      <c r="AD305" s="33">
        <f t="shared" si="78"/>
        <v>0.12299822348241819</v>
      </c>
      <c r="AE305" s="34">
        <f t="shared" si="79"/>
        <v>0.14766056853987658</v>
      </c>
      <c r="AF305" s="33">
        <f t="shared" si="80"/>
        <v>0.45368643443295803</v>
      </c>
      <c r="AG305" s="33">
        <f t="shared" si="81"/>
        <v>0</v>
      </c>
      <c r="AH305" s="35">
        <f t="shared" si="82"/>
        <v>6.1100064474491687</v>
      </c>
      <c r="AI305" s="36">
        <f t="shared" si="83"/>
        <v>7.9614943452126594</v>
      </c>
      <c r="AJ305" s="23" t="s">
        <v>136</v>
      </c>
      <c r="AK305" s="23"/>
      <c r="AL305" s="44"/>
      <c r="AM305" s="44"/>
      <c r="AN305" s="44"/>
      <c r="AO305" s="44"/>
      <c r="AP305" s="44"/>
      <c r="AQ305" s="44"/>
      <c r="AR305" s="44"/>
    </row>
    <row r="306" spans="1:44" ht="16.8">
      <c r="A306" s="64" t="s">
        <v>762</v>
      </c>
      <c r="B306" s="62"/>
      <c r="C306" s="1" t="s">
        <v>759</v>
      </c>
      <c r="D306" s="19" t="s">
        <v>760</v>
      </c>
      <c r="E306" s="20" t="s">
        <v>39</v>
      </c>
      <c r="F306" s="21">
        <v>2003</v>
      </c>
      <c r="G306" s="40">
        <v>2022</v>
      </c>
      <c r="H306" s="23">
        <v>108210499390</v>
      </c>
      <c r="I306" s="23">
        <v>353310880575</v>
      </c>
      <c r="J306" s="23">
        <v>27042473878</v>
      </c>
      <c r="K306" s="23">
        <f t="shared" ref="K306:K307" si="97">SUM(J305:J306)/2</f>
        <v>27092190770.5</v>
      </c>
      <c r="L306" s="23">
        <v>27042473878</v>
      </c>
      <c r="M306" s="23">
        <v>326268406697</v>
      </c>
      <c r="N306" s="23">
        <v>177266321775</v>
      </c>
      <c r="O306" s="25">
        <f t="shared" si="70"/>
        <v>81168025512</v>
      </c>
      <c r="P306" s="23">
        <v>57274557824</v>
      </c>
      <c r="Q306" s="23">
        <v>9251346374</v>
      </c>
      <c r="R306" s="25">
        <f t="shared" si="71"/>
        <v>168014975401</v>
      </c>
      <c r="S306" s="26">
        <f t="shared" si="72"/>
        <v>7.6540167214746976E-2</v>
      </c>
      <c r="T306" s="27">
        <f t="shared" si="73"/>
        <v>4.0015014853368509</v>
      </c>
      <c r="U306" s="26">
        <f t="shared" si="74"/>
        <v>26.590614187822858</v>
      </c>
      <c r="V306" s="26">
        <f t="shared" si="75"/>
        <v>6.5430781614021711</v>
      </c>
      <c r="W306" s="91" t="s">
        <v>763</v>
      </c>
      <c r="X306" s="29">
        <v>34630</v>
      </c>
      <c r="Y306" s="91">
        <v>2100</v>
      </c>
      <c r="Z306" s="30">
        <f t="shared" si="76"/>
        <v>72723000</v>
      </c>
      <c r="AA306" s="31">
        <f t="shared" si="77"/>
        <v>19</v>
      </c>
      <c r="AB306" s="32">
        <v>3.15E-2</v>
      </c>
      <c r="AC306" s="32">
        <v>8.0199999999999994E-2</v>
      </c>
      <c r="AD306" s="33">
        <f t="shared" si="78"/>
        <v>0.22973542558299401</v>
      </c>
      <c r="AE306" s="34">
        <f t="shared" si="79"/>
        <v>0.16210810640982196</v>
      </c>
      <c r="AF306" s="33">
        <f t="shared" si="80"/>
        <v>0.47554430004409154</v>
      </c>
      <c r="AG306" s="33">
        <f t="shared" si="81"/>
        <v>2.6892140241341865E-3</v>
      </c>
      <c r="AH306" s="35">
        <f t="shared" si="82"/>
        <v>6.555107442267416</v>
      </c>
      <c r="AI306" s="36">
        <f t="shared" si="83"/>
        <v>8.6286510205007421</v>
      </c>
      <c r="AJ306" s="23" t="s">
        <v>136</v>
      </c>
      <c r="AK306" s="23"/>
      <c r="AL306" s="44"/>
      <c r="AM306" s="44"/>
      <c r="AN306" s="44"/>
      <c r="AO306" s="44"/>
      <c r="AP306" s="44"/>
      <c r="AQ306" s="44"/>
      <c r="AR306" s="44"/>
    </row>
    <row r="307" spans="1:44" ht="16.8">
      <c r="A307" s="64" t="s">
        <v>764</v>
      </c>
      <c r="B307" s="62"/>
      <c r="C307" s="1" t="s">
        <v>759</v>
      </c>
      <c r="D307" s="19" t="s">
        <v>760</v>
      </c>
      <c r="E307" s="20" t="s">
        <v>39</v>
      </c>
      <c r="F307" s="21">
        <v>2003</v>
      </c>
      <c r="G307" s="40">
        <v>2023</v>
      </c>
      <c r="H307" s="23">
        <v>143717572537</v>
      </c>
      <c r="I307" s="23">
        <v>363840083548</v>
      </c>
      <c r="J307" s="23">
        <v>38597347564</v>
      </c>
      <c r="K307" s="23">
        <f t="shared" si="97"/>
        <v>32819910721</v>
      </c>
      <c r="L307" s="23">
        <v>38597347564</v>
      </c>
      <c r="M307" s="23">
        <v>325242735984</v>
      </c>
      <c r="N307" s="23">
        <v>158624640569</v>
      </c>
      <c r="O307" s="25">
        <f t="shared" si="70"/>
        <v>105120224973</v>
      </c>
      <c r="P307" s="23">
        <v>53927432931</v>
      </c>
      <c r="Q307" s="23">
        <v>9926447586</v>
      </c>
      <c r="R307" s="25">
        <f t="shared" si="71"/>
        <v>148698192983</v>
      </c>
      <c r="S307" s="26">
        <f t="shared" si="72"/>
        <v>0.10608327479374054</v>
      </c>
      <c r="T307" s="27">
        <f t="shared" si="73"/>
        <v>3.723509039026462</v>
      </c>
      <c r="U307" s="26">
        <f t="shared" si="74"/>
        <v>26.619980277136964</v>
      </c>
      <c r="V307" s="26">
        <f t="shared" si="75"/>
        <v>4.8331831831432481</v>
      </c>
      <c r="W307" s="91" t="s">
        <v>765</v>
      </c>
      <c r="X307" s="29">
        <v>41710</v>
      </c>
      <c r="Y307" s="91">
        <v>20000</v>
      </c>
      <c r="Z307" s="30">
        <f t="shared" si="76"/>
        <v>834200000</v>
      </c>
      <c r="AA307" s="31">
        <f t="shared" si="77"/>
        <v>20</v>
      </c>
      <c r="AB307" s="32">
        <v>3.2500000000000001E-2</v>
      </c>
      <c r="AC307" s="32">
        <v>5.0500000000000003E-2</v>
      </c>
      <c r="AD307" s="33">
        <f t="shared" si="78"/>
        <v>0.28891875779028042</v>
      </c>
      <c r="AE307" s="34">
        <f t="shared" si="79"/>
        <v>0.14821740475959835</v>
      </c>
      <c r="AF307" s="33">
        <f t="shared" si="80"/>
        <v>0.40869106980452535</v>
      </c>
      <c r="AG307" s="33">
        <f t="shared" si="81"/>
        <v>2.161288411377946E-2</v>
      </c>
      <c r="AH307" s="35">
        <f t="shared" si="82"/>
        <v>4.1097290508363908</v>
      </c>
      <c r="AI307" s="36">
        <f t="shared" si="83"/>
        <v>6.0255841876713667</v>
      </c>
      <c r="AJ307" s="23" t="s">
        <v>136</v>
      </c>
      <c r="AK307" s="23"/>
      <c r="AL307" s="44"/>
      <c r="AM307" s="44"/>
      <c r="AN307" s="44"/>
      <c r="AO307" s="44"/>
      <c r="AP307" s="44"/>
      <c r="AQ307" s="44"/>
      <c r="AR307" s="44"/>
    </row>
    <row r="308" spans="1:44" ht="16.8">
      <c r="A308" s="64" t="s">
        <v>766</v>
      </c>
      <c r="B308" s="62">
        <v>120</v>
      </c>
      <c r="C308" s="1" t="s">
        <v>767</v>
      </c>
      <c r="D308" s="19" t="s">
        <v>768</v>
      </c>
      <c r="E308" s="20" t="s">
        <v>39</v>
      </c>
      <c r="F308" s="21">
        <v>2009</v>
      </c>
      <c r="G308" s="40">
        <v>2021</v>
      </c>
      <c r="H308" s="23">
        <v>58189904898</v>
      </c>
      <c r="I308" s="23">
        <v>419910477398</v>
      </c>
      <c r="J308" s="23">
        <v>156326080117</v>
      </c>
      <c r="K308" s="23">
        <f>(J308+146172652983)/2</f>
        <v>151249366550</v>
      </c>
      <c r="L308" s="23">
        <v>155316080117</v>
      </c>
      <c r="M308" s="23">
        <v>263584397281</v>
      </c>
      <c r="N308" s="23">
        <v>5436603547</v>
      </c>
      <c r="O308" s="25">
        <f t="shared" si="70"/>
        <v>-97126175219</v>
      </c>
      <c r="P308" s="23">
        <v>-58424016204</v>
      </c>
      <c r="Q308" s="23">
        <f>2651520+51371955717</f>
        <v>51374607237</v>
      </c>
      <c r="R308" s="25">
        <f t="shared" si="71"/>
        <v>-45938003690</v>
      </c>
      <c r="S308" s="26">
        <f t="shared" si="72"/>
        <v>0.37228430470628826</v>
      </c>
      <c r="T308" s="27">
        <f t="shared" si="73"/>
        <v>0.37465473538969946</v>
      </c>
      <c r="U308" s="26">
        <f t="shared" si="74"/>
        <v>26.763307376451955</v>
      </c>
      <c r="V308" s="26">
        <f t="shared" si="75"/>
        <v>3.5944636800860706E-2</v>
      </c>
      <c r="W308" s="93">
        <v>45749</v>
      </c>
      <c r="X308" s="42">
        <v>2400</v>
      </c>
      <c r="Y308" s="91">
        <v>1015996</v>
      </c>
      <c r="Z308" s="30">
        <f t="shared" si="76"/>
        <v>2438390400</v>
      </c>
      <c r="AA308" s="31">
        <f t="shared" si="77"/>
        <v>12</v>
      </c>
      <c r="AB308" s="32">
        <v>1.84E-2</v>
      </c>
      <c r="AC308" s="32">
        <v>2.58E-2</v>
      </c>
      <c r="AD308" s="33">
        <f t="shared" si="78"/>
        <v>-0.23130209996389722</v>
      </c>
      <c r="AE308" s="34">
        <f t="shared" si="79"/>
        <v>-0.13913445686334824</v>
      </c>
      <c r="AF308" s="33">
        <f t="shared" si="80"/>
        <v>-0.10939951766542608</v>
      </c>
      <c r="AG308" s="33">
        <f t="shared" si="81"/>
        <v>1.55981036444784E-2</v>
      </c>
      <c r="AH308" s="35">
        <f t="shared" si="82"/>
        <v>3.4777329175855062E-2</v>
      </c>
      <c r="AI308" s="36">
        <f t="shared" si="83"/>
        <v>-0.78923297649872814</v>
      </c>
      <c r="AJ308" s="23"/>
      <c r="AK308" s="23"/>
      <c r="AL308" s="44"/>
      <c r="AM308" s="44"/>
      <c r="AN308" s="44"/>
      <c r="AO308" s="44"/>
      <c r="AP308" s="44"/>
      <c r="AQ308" s="44"/>
      <c r="AR308" s="44"/>
    </row>
    <row r="309" spans="1:44" ht="16.8">
      <c r="A309" s="64" t="s">
        <v>769</v>
      </c>
      <c r="B309" s="62"/>
      <c r="C309" s="1" t="s">
        <v>767</v>
      </c>
      <c r="D309" s="19" t="s">
        <v>768</v>
      </c>
      <c r="E309" s="20" t="s">
        <v>39</v>
      </c>
      <c r="F309" s="21">
        <v>2009</v>
      </c>
      <c r="G309" s="40">
        <v>2022</v>
      </c>
      <c r="H309" s="23">
        <v>56850244406</v>
      </c>
      <c r="I309" s="23">
        <v>369676590562</v>
      </c>
      <c r="J309" s="23">
        <v>164881740901</v>
      </c>
      <c r="K309" s="23">
        <f t="shared" ref="K309:K310" si="98">SUM(J308:J309)/2</f>
        <v>160603910509</v>
      </c>
      <c r="L309" s="23">
        <v>163871740901</v>
      </c>
      <c r="M309" s="23">
        <v>204794849661</v>
      </c>
      <c r="N309" s="23">
        <v>5591663806</v>
      </c>
      <c r="O309" s="25">
        <f t="shared" si="70"/>
        <v>-107021496495</v>
      </c>
      <c r="P309" s="23">
        <v>-58789547620</v>
      </c>
      <c r="Q309" s="23">
        <v>51575875087</v>
      </c>
      <c r="R309" s="25">
        <f t="shared" si="71"/>
        <v>-45984211281</v>
      </c>
      <c r="S309" s="26">
        <f t="shared" si="72"/>
        <v>0.44601618038712948</v>
      </c>
      <c r="T309" s="27">
        <f t="shared" si="73"/>
        <v>0.34691914599445794</v>
      </c>
      <c r="U309" s="26">
        <f t="shared" si="74"/>
        <v>26.63589438079223</v>
      </c>
      <c r="V309" s="26">
        <f t="shared" si="75"/>
        <v>3.4816486026264297E-2</v>
      </c>
      <c r="W309" s="91" t="s">
        <v>653</v>
      </c>
      <c r="X309" s="29">
        <v>700</v>
      </c>
      <c r="Y309" s="91">
        <v>78900</v>
      </c>
      <c r="Z309" s="30">
        <f t="shared" si="76"/>
        <v>55230000</v>
      </c>
      <c r="AA309" s="31">
        <f t="shared" si="77"/>
        <v>13</v>
      </c>
      <c r="AB309" s="32">
        <v>3.15E-2</v>
      </c>
      <c r="AC309" s="32">
        <v>8.0199999999999994E-2</v>
      </c>
      <c r="AD309" s="33">
        <f t="shared" si="78"/>
        <v>-0.28950033414964366</v>
      </c>
      <c r="AE309" s="34">
        <f t="shared" si="79"/>
        <v>-0.15902967383091615</v>
      </c>
      <c r="AF309" s="33">
        <f t="shared" si="80"/>
        <v>-0.12439037919899826</v>
      </c>
      <c r="AG309" s="33">
        <f t="shared" si="81"/>
        <v>3.3496735113417906E-4</v>
      </c>
      <c r="AH309" s="35">
        <f t="shared" si="82"/>
        <v>3.3913177865809926E-2</v>
      </c>
      <c r="AI309" s="36">
        <f t="shared" si="83"/>
        <v>-0.94641603742305869</v>
      </c>
      <c r="AJ309" s="23" t="s">
        <v>136</v>
      </c>
      <c r="AK309" s="23"/>
      <c r="AL309" s="44"/>
      <c r="AM309" s="44"/>
      <c r="AN309" s="44"/>
      <c r="AO309" s="44"/>
      <c r="AP309" s="44"/>
      <c r="AQ309" s="44"/>
      <c r="AR309" s="44"/>
    </row>
    <row r="310" spans="1:44" ht="16.8">
      <c r="A310" s="64" t="s">
        <v>770</v>
      </c>
      <c r="B310" s="62"/>
      <c r="C310" s="1" t="s">
        <v>767</v>
      </c>
      <c r="D310" s="19" t="s">
        <v>768</v>
      </c>
      <c r="E310" s="20" t="s">
        <v>39</v>
      </c>
      <c r="F310" s="21">
        <v>2009</v>
      </c>
      <c r="G310" s="40">
        <v>2023</v>
      </c>
      <c r="H310" s="23">
        <v>57647205815</v>
      </c>
      <c r="I310" s="23">
        <v>320538540631</v>
      </c>
      <c r="J310" s="23">
        <v>174040860517</v>
      </c>
      <c r="K310" s="23">
        <f t="shared" si="98"/>
        <v>169461300709</v>
      </c>
      <c r="L310" s="23">
        <v>159127340469</v>
      </c>
      <c r="M310" s="23">
        <v>146497680114</v>
      </c>
      <c r="N310" s="23">
        <v>6207896340</v>
      </c>
      <c r="O310" s="25">
        <f t="shared" si="70"/>
        <v>-101480134654</v>
      </c>
      <c r="P310" s="23">
        <v>-58297169547</v>
      </c>
      <c r="Q310" s="23">
        <v>51215621934</v>
      </c>
      <c r="R310" s="25">
        <f t="shared" si="71"/>
        <v>-45007725594</v>
      </c>
      <c r="S310" s="26">
        <f t="shared" si="72"/>
        <v>0.54296391371343289</v>
      </c>
      <c r="T310" s="27">
        <f t="shared" si="73"/>
        <v>0.36227090608750795</v>
      </c>
      <c r="U310" s="26">
        <f t="shared" si="74"/>
        <v>26.493268357656277</v>
      </c>
      <c r="V310" s="26">
        <f t="shared" si="75"/>
        <v>3.663312103723456E-2</v>
      </c>
      <c r="W310" s="91" t="s">
        <v>653</v>
      </c>
      <c r="X310" s="29">
        <v>700</v>
      </c>
      <c r="Y310" s="91">
        <v>20100</v>
      </c>
      <c r="Z310" s="30">
        <f t="shared" si="76"/>
        <v>14070000</v>
      </c>
      <c r="AA310" s="31">
        <f t="shared" si="77"/>
        <v>14</v>
      </c>
      <c r="AB310" s="32">
        <v>3.2500000000000001E-2</v>
      </c>
      <c r="AC310" s="32">
        <v>5.0500000000000003E-2</v>
      </c>
      <c r="AD310" s="33">
        <f t="shared" si="78"/>
        <v>-0.31659261458615884</v>
      </c>
      <c r="AE310" s="34">
        <f t="shared" si="79"/>
        <v>-0.18187257430023362</v>
      </c>
      <c r="AF310" s="33">
        <f t="shared" si="80"/>
        <v>-0.14041283617688999</v>
      </c>
      <c r="AG310" s="33">
        <f t="shared" si="81"/>
        <v>8.0843084538907272E-5</v>
      </c>
      <c r="AH310" s="35">
        <f t="shared" si="82"/>
        <v>3.5669188956886498E-2</v>
      </c>
      <c r="AI310" s="36">
        <f t="shared" si="83"/>
        <v>-1.0621774060998448</v>
      </c>
      <c r="AJ310" s="23" t="s">
        <v>136</v>
      </c>
      <c r="AK310" s="23"/>
      <c r="AL310" s="44"/>
      <c r="AM310" s="44"/>
      <c r="AN310" s="44"/>
      <c r="AO310" s="44"/>
      <c r="AP310" s="44"/>
      <c r="AQ310" s="44"/>
      <c r="AR310" s="44"/>
    </row>
    <row r="311" spans="1:44" ht="16.8">
      <c r="A311" s="64" t="s">
        <v>771</v>
      </c>
      <c r="B311" s="62">
        <v>121</v>
      </c>
      <c r="C311" s="1" t="s">
        <v>772</v>
      </c>
      <c r="D311" s="19" t="s">
        <v>773</v>
      </c>
      <c r="E311" s="20" t="s">
        <v>39</v>
      </c>
      <c r="F311" s="21">
        <v>2007</v>
      </c>
      <c r="G311" s="40">
        <v>2021</v>
      </c>
      <c r="H311" s="23">
        <v>66983809885</v>
      </c>
      <c r="I311" s="23">
        <v>103803759976</v>
      </c>
      <c r="J311" s="23">
        <v>34380606679</v>
      </c>
      <c r="K311" s="23">
        <f>(J311+29441220092)/2</f>
        <v>31910913385.5</v>
      </c>
      <c r="L311" s="23">
        <v>34380606679</v>
      </c>
      <c r="M311" s="23">
        <v>69423153297</v>
      </c>
      <c r="N311" s="23">
        <v>31437858982</v>
      </c>
      <c r="O311" s="25">
        <f t="shared" si="70"/>
        <v>32603203206</v>
      </c>
      <c r="P311" s="23">
        <v>500384913</v>
      </c>
      <c r="Q311" s="23">
        <v>1430475205</v>
      </c>
      <c r="R311" s="25">
        <f t="shared" si="71"/>
        <v>30007383777</v>
      </c>
      <c r="S311" s="26">
        <f t="shared" si="72"/>
        <v>0.33120772009558214</v>
      </c>
      <c r="T311" s="27">
        <f t="shared" si="73"/>
        <v>1.948302149243758</v>
      </c>
      <c r="U311" s="26">
        <f t="shared" si="74"/>
        <v>25.365768030297684</v>
      </c>
      <c r="V311" s="26">
        <f t="shared" si="75"/>
        <v>0.98517577990371941</v>
      </c>
      <c r="W311" s="93">
        <v>45695</v>
      </c>
      <c r="X311" s="42">
        <v>7200</v>
      </c>
      <c r="Y311" s="91">
        <v>16411</v>
      </c>
      <c r="Z311" s="30">
        <f t="shared" si="76"/>
        <v>118159200</v>
      </c>
      <c r="AA311" s="31">
        <f t="shared" si="77"/>
        <v>14</v>
      </c>
      <c r="AB311" s="32">
        <v>1.84E-2</v>
      </c>
      <c r="AC311" s="32">
        <v>2.58E-2</v>
      </c>
      <c r="AD311" s="33">
        <f t="shared" si="78"/>
        <v>0.31408499281276553</v>
      </c>
      <c r="AE311" s="34">
        <f t="shared" si="79"/>
        <v>4.8204892878224428E-3</v>
      </c>
      <c r="AF311" s="33">
        <f t="shared" si="80"/>
        <v>0.28907800434144071</v>
      </c>
      <c r="AG311" s="33">
        <f t="shared" si="81"/>
        <v>3.4367979920544205E-3</v>
      </c>
      <c r="AH311" s="35">
        <f t="shared" si="82"/>
        <v>0.91440675481746347</v>
      </c>
      <c r="AI311" s="36">
        <f t="shared" si="83"/>
        <v>2.2540769243177206</v>
      </c>
      <c r="AJ311" s="23" t="s">
        <v>136</v>
      </c>
      <c r="AK311" s="23"/>
      <c r="AL311" s="44"/>
      <c r="AM311" s="44"/>
      <c r="AN311" s="44"/>
      <c r="AO311" s="44"/>
      <c r="AP311" s="44"/>
      <c r="AQ311" s="44"/>
      <c r="AR311" s="44"/>
    </row>
    <row r="312" spans="1:44" ht="16.8">
      <c r="A312" s="64" t="s">
        <v>774</v>
      </c>
      <c r="B312" s="62"/>
      <c r="C312" s="1" t="s">
        <v>772</v>
      </c>
      <c r="D312" s="19" t="s">
        <v>773</v>
      </c>
      <c r="E312" s="20" t="s">
        <v>39</v>
      </c>
      <c r="F312" s="21">
        <v>2007</v>
      </c>
      <c r="G312" s="40">
        <v>2022</v>
      </c>
      <c r="H312" s="23">
        <v>95675714672</v>
      </c>
      <c r="I312" s="23">
        <v>131874945346</v>
      </c>
      <c r="J312" s="23">
        <v>61708333976</v>
      </c>
      <c r="K312" s="23">
        <f t="shared" ref="K312:K313" si="99">SUM(J311:J312)/2</f>
        <v>48044470327.5</v>
      </c>
      <c r="L312" s="23">
        <v>61708333976</v>
      </c>
      <c r="M312" s="23">
        <v>70166611370</v>
      </c>
      <c r="N312" s="23">
        <v>235253721218</v>
      </c>
      <c r="O312" s="25">
        <f t="shared" si="70"/>
        <v>33967380696</v>
      </c>
      <c r="P312" s="23">
        <v>743458073</v>
      </c>
      <c r="Q312" s="23">
        <v>1237048898</v>
      </c>
      <c r="R312" s="25">
        <f t="shared" si="71"/>
        <v>234016672320</v>
      </c>
      <c r="S312" s="26">
        <f t="shared" si="72"/>
        <v>0.46793068853295811</v>
      </c>
      <c r="T312" s="27">
        <f t="shared" si="73"/>
        <v>1.5504504579431817</v>
      </c>
      <c r="U312" s="26">
        <f t="shared" si="74"/>
        <v>25.605119926738741</v>
      </c>
      <c r="V312" s="26">
        <f t="shared" si="75"/>
        <v>4.8965826788050562</v>
      </c>
      <c r="W312" s="93">
        <v>45784</v>
      </c>
      <c r="X312" s="42">
        <v>7500</v>
      </c>
      <c r="Y312" s="91">
        <v>0</v>
      </c>
      <c r="Z312" s="30">
        <f t="shared" si="76"/>
        <v>0</v>
      </c>
      <c r="AA312" s="31">
        <f t="shared" si="77"/>
        <v>15</v>
      </c>
      <c r="AB312" s="32">
        <v>3.15E-2</v>
      </c>
      <c r="AC312" s="32">
        <v>8.0199999999999994E-2</v>
      </c>
      <c r="AD312" s="33">
        <f t="shared" si="78"/>
        <v>0.25757266178863514</v>
      </c>
      <c r="AE312" s="34">
        <f t="shared" si="79"/>
        <v>5.6375990985201227E-3</v>
      </c>
      <c r="AF312" s="33">
        <f t="shared" si="80"/>
        <v>1.7745347435482228</v>
      </c>
      <c r="AG312" s="33">
        <f t="shared" si="81"/>
        <v>0</v>
      </c>
      <c r="AH312" s="35">
        <f t="shared" si="82"/>
        <v>3.8123492575491729</v>
      </c>
      <c r="AI312" s="36">
        <f t="shared" si="83"/>
        <v>9.9852937441425986</v>
      </c>
      <c r="AJ312" s="23" t="s">
        <v>136</v>
      </c>
      <c r="AK312" s="23"/>
      <c r="AL312" s="44"/>
      <c r="AM312" s="44"/>
      <c r="AN312" s="44"/>
      <c r="AO312" s="44"/>
      <c r="AP312" s="44"/>
      <c r="AQ312" s="44"/>
      <c r="AR312" s="44"/>
    </row>
    <row r="313" spans="1:44" ht="16.8">
      <c r="A313" s="64" t="s">
        <v>775</v>
      </c>
      <c r="B313" s="62"/>
      <c r="C313" s="1" t="s">
        <v>772</v>
      </c>
      <c r="D313" s="19" t="s">
        <v>773</v>
      </c>
      <c r="E313" s="20" t="s">
        <v>39</v>
      </c>
      <c r="F313" s="21">
        <v>2007</v>
      </c>
      <c r="G313" s="40">
        <v>2023</v>
      </c>
      <c r="H313" s="23">
        <v>88432662579</v>
      </c>
      <c r="I313" s="23">
        <v>120929939844</v>
      </c>
      <c r="J313" s="23">
        <v>50302315313</v>
      </c>
      <c r="K313" s="23">
        <f t="shared" si="99"/>
        <v>56005324644.5</v>
      </c>
      <c r="L313" s="23">
        <v>50302315313</v>
      </c>
      <c r="M313" s="23">
        <v>70627624531</v>
      </c>
      <c r="N313" s="23">
        <v>215651459314</v>
      </c>
      <c r="O313" s="25">
        <f t="shared" si="70"/>
        <v>38130347266</v>
      </c>
      <c r="P313" s="23">
        <v>461013161</v>
      </c>
      <c r="Q313" s="23">
        <v>616536496</v>
      </c>
      <c r="R313" s="25">
        <f t="shared" si="71"/>
        <v>215034922818</v>
      </c>
      <c r="S313" s="26">
        <f t="shared" si="72"/>
        <v>0.41596246039558232</v>
      </c>
      <c r="T313" s="27">
        <f t="shared" si="73"/>
        <v>1.7580237018661782</v>
      </c>
      <c r="U313" s="26">
        <f t="shared" si="74"/>
        <v>25.518477205298669</v>
      </c>
      <c r="V313" s="26">
        <f t="shared" si="75"/>
        <v>3.8505527944507332</v>
      </c>
      <c r="W313" s="93">
        <v>45693</v>
      </c>
      <c r="X313" s="42">
        <v>5200</v>
      </c>
      <c r="Y313" s="91">
        <v>6200</v>
      </c>
      <c r="Z313" s="30">
        <f t="shared" si="76"/>
        <v>32240000</v>
      </c>
      <c r="AA313" s="31">
        <f t="shared" si="77"/>
        <v>16</v>
      </c>
      <c r="AB313" s="32">
        <v>3.2500000000000001E-2</v>
      </c>
      <c r="AC313" s="32">
        <v>5.0500000000000003E-2</v>
      </c>
      <c r="AD313" s="33">
        <f t="shared" si="78"/>
        <v>0.31530940406642283</v>
      </c>
      <c r="AE313" s="34">
        <f t="shared" si="79"/>
        <v>3.8122334435517656E-3</v>
      </c>
      <c r="AF313" s="33">
        <f t="shared" si="80"/>
        <v>1.7781777043418339</v>
      </c>
      <c r="AG313" s="33">
        <f t="shared" si="81"/>
        <v>6.4092477253562875E-4</v>
      </c>
      <c r="AH313" s="35">
        <f t="shared" si="82"/>
        <v>4.2871080182320673</v>
      </c>
      <c r="AI313" s="36">
        <f t="shared" si="83"/>
        <v>10.53918740912432</v>
      </c>
      <c r="AJ313" s="23" t="s">
        <v>136</v>
      </c>
      <c r="AK313" s="23"/>
      <c r="AL313" s="44"/>
      <c r="AM313" s="44"/>
      <c r="AN313" s="44"/>
      <c r="AO313" s="44"/>
      <c r="AP313" s="44"/>
      <c r="AQ313" s="44"/>
      <c r="AR313" s="44"/>
    </row>
    <row r="314" spans="1:44" ht="16.8">
      <c r="A314" s="64" t="s">
        <v>776</v>
      </c>
      <c r="B314" s="62">
        <v>122</v>
      </c>
      <c r="C314" s="1" t="s">
        <v>777</v>
      </c>
      <c r="D314" s="19" t="s">
        <v>778</v>
      </c>
      <c r="E314" s="20" t="s">
        <v>39</v>
      </c>
      <c r="F314" s="21">
        <v>1960</v>
      </c>
      <c r="G314" s="40">
        <v>2021</v>
      </c>
      <c r="H314" s="23">
        <v>904044822002</v>
      </c>
      <c r="I314" s="23">
        <v>3096773826386</v>
      </c>
      <c r="J314" s="23">
        <v>2754095244104</v>
      </c>
      <c r="K314" s="23">
        <f>(J314+3222443153709)/2</f>
        <v>2988269198906.5</v>
      </c>
      <c r="L314" s="23">
        <v>1357886577227</v>
      </c>
      <c r="M314" s="23">
        <v>342678582282</v>
      </c>
      <c r="N314" s="23">
        <v>3229008910595</v>
      </c>
      <c r="O314" s="25">
        <f t="shared" si="70"/>
        <v>-453841755225</v>
      </c>
      <c r="P314" s="23">
        <v>69625673080</v>
      </c>
      <c r="Q314" s="23">
        <f>4081276532+134052896757</f>
        <v>138134173289</v>
      </c>
      <c r="R314" s="25">
        <f t="shared" si="71"/>
        <v>3090874737306</v>
      </c>
      <c r="S314" s="26">
        <f t="shared" si="72"/>
        <v>0.88934336135167058</v>
      </c>
      <c r="T314" s="27">
        <f t="shared" si="73"/>
        <v>0.6657734432047997</v>
      </c>
      <c r="U314" s="26">
        <f t="shared" si="74"/>
        <v>28.761381984348375</v>
      </c>
      <c r="V314" s="26">
        <f t="shared" si="75"/>
        <v>1.0805615878839143</v>
      </c>
      <c r="W314" s="91" t="s">
        <v>779</v>
      </c>
      <c r="X314" s="29">
        <v>12380</v>
      </c>
      <c r="Y314" s="91">
        <v>15444</v>
      </c>
      <c r="Z314" s="30">
        <f t="shared" si="76"/>
        <v>191196720</v>
      </c>
      <c r="AA314" s="31">
        <f t="shared" si="77"/>
        <v>61</v>
      </c>
      <c r="AB314" s="32">
        <v>1.84E-2</v>
      </c>
      <c r="AC314" s="32">
        <v>2.58E-2</v>
      </c>
      <c r="AD314" s="33">
        <f t="shared" si="78"/>
        <v>-0.1465530841671582</v>
      </c>
      <c r="AE314" s="34">
        <f t="shared" si="79"/>
        <v>2.2483292931100046E-2</v>
      </c>
      <c r="AF314" s="33">
        <f t="shared" si="80"/>
        <v>0.99809508559206461</v>
      </c>
      <c r="AG314" s="33">
        <f t="shared" si="81"/>
        <v>6.9422697130506371E-5</v>
      </c>
      <c r="AH314" s="35">
        <f t="shared" si="82"/>
        <v>1.1724390859421805</v>
      </c>
      <c r="AI314" s="36">
        <f t="shared" si="83"/>
        <v>4.3218074311172217</v>
      </c>
      <c r="AJ314" s="23"/>
      <c r="AK314" s="23"/>
      <c r="AL314" s="44"/>
      <c r="AM314" s="44"/>
      <c r="AN314" s="44"/>
      <c r="AO314" s="44"/>
      <c r="AP314" s="44"/>
      <c r="AQ314" s="44"/>
      <c r="AR314" s="44"/>
    </row>
    <row r="315" spans="1:44" ht="16.8">
      <c r="A315" s="64" t="s">
        <v>780</v>
      </c>
      <c r="B315" s="62"/>
      <c r="C315" s="1" t="s">
        <v>777</v>
      </c>
      <c r="D315" s="19" t="s">
        <v>778</v>
      </c>
      <c r="E315" s="20" t="s">
        <v>39</v>
      </c>
      <c r="F315" s="21">
        <v>1960</v>
      </c>
      <c r="G315" s="40">
        <v>2022</v>
      </c>
      <c r="H315" s="23">
        <v>1072425802290</v>
      </c>
      <c r="I315" s="23">
        <v>2860263353681</v>
      </c>
      <c r="J315" s="23">
        <v>2487698623902</v>
      </c>
      <c r="K315" s="23">
        <f t="shared" ref="K315:K316" si="100">SUM(J314:J315)/2</f>
        <v>2620896934003</v>
      </c>
      <c r="L315" s="23">
        <v>1661975541123</v>
      </c>
      <c r="M315" s="23">
        <v>372564729779</v>
      </c>
      <c r="N315" s="23">
        <v>3751357640869</v>
      </c>
      <c r="O315" s="25">
        <f t="shared" si="70"/>
        <v>-589549738833</v>
      </c>
      <c r="P315" s="23">
        <v>78624118653</v>
      </c>
      <c r="Q315" s="23">
        <f>4567394515+146331406253</f>
        <v>150898800768</v>
      </c>
      <c r="R315" s="25">
        <f t="shared" si="71"/>
        <v>3600458840101</v>
      </c>
      <c r="S315" s="26">
        <f t="shared" si="72"/>
        <v>0.869744606104354</v>
      </c>
      <c r="T315" s="27">
        <f t="shared" si="73"/>
        <v>0.64527171173972864</v>
      </c>
      <c r="U315" s="26">
        <f t="shared" si="74"/>
        <v>28.681934818227692</v>
      </c>
      <c r="V315" s="26">
        <f t="shared" si="75"/>
        <v>1.4313258916058949</v>
      </c>
      <c r="W315" s="94">
        <v>45754</v>
      </c>
      <c r="X315" s="42">
        <v>7040</v>
      </c>
      <c r="Y315" s="91">
        <v>200</v>
      </c>
      <c r="Z315" s="30">
        <f t="shared" si="76"/>
        <v>1408000</v>
      </c>
      <c r="AA315" s="31">
        <f t="shared" si="77"/>
        <v>62</v>
      </c>
      <c r="AB315" s="32">
        <v>3.15E-2</v>
      </c>
      <c r="AC315" s="32">
        <v>8.0199999999999994E-2</v>
      </c>
      <c r="AD315" s="33">
        <f t="shared" si="78"/>
        <v>-0.20611729268715143</v>
      </c>
      <c r="AE315" s="34">
        <f t="shared" si="79"/>
        <v>2.7488419397400987E-2</v>
      </c>
      <c r="AF315" s="33">
        <f t="shared" si="80"/>
        <v>1.2587857811999756</v>
      </c>
      <c r="AG315" s="33">
        <f t="shared" si="81"/>
        <v>5.6598495753136158E-7</v>
      </c>
      <c r="AH315" s="35">
        <f t="shared" si="82"/>
        <v>1.5079630646677482</v>
      </c>
      <c r="AI315" s="36">
        <f t="shared" si="83"/>
        <v>5.453099518150422</v>
      </c>
      <c r="AJ315" s="23"/>
      <c r="AK315" s="23"/>
      <c r="AL315" s="44"/>
      <c r="AM315" s="44"/>
      <c r="AN315" s="44"/>
      <c r="AO315" s="44"/>
      <c r="AP315" s="44"/>
      <c r="AQ315" s="44"/>
      <c r="AR315" s="44"/>
    </row>
    <row r="316" spans="1:44" ht="16.8">
      <c r="A316" s="64" t="s">
        <v>781</v>
      </c>
      <c r="B316" s="62"/>
      <c r="C316" s="1" t="s">
        <v>777</v>
      </c>
      <c r="D316" s="19" t="s">
        <v>778</v>
      </c>
      <c r="E316" s="20" t="s">
        <v>39</v>
      </c>
      <c r="F316" s="21">
        <v>1960</v>
      </c>
      <c r="G316" s="40">
        <v>2023</v>
      </c>
      <c r="H316" s="23">
        <v>966048641632</v>
      </c>
      <c r="I316" s="23">
        <v>2247509844982</v>
      </c>
      <c r="J316" s="23">
        <v>1825793825253</v>
      </c>
      <c r="K316" s="23">
        <f t="shared" si="100"/>
        <v>2156746224577.5</v>
      </c>
      <c r="L316" s="23">
        <v>1528329972366</v>
      </c>
      <c r="M316" s="23">
        <v>421716019729</v>
      </c>
      <c r="N316" s="23">
        <v>3134071262640</v>
      </c>
      <c r="O316" s="25">
        <f t="shared" si="70"/>
        <v>-562281330734</v>
      </c>
      <c r="P316" s="23">
        <v>99167556270</v>
      </c>
      <c r="Q316" s="23">
        <f>4403814403+146820400217</f>
        <v>151224214620</v>
      </c>
      <c r="R316" s="25">
        <f t="shared" si="71"/>
        <v>2982847048020</v>
      </c>
      <c r="S316" s="26">
        <f t="shared" si="72"/>
        <v>0.81236299334992346</v>
      </c>
      <c r="T316" s="27">
        <f t="shared" si="73"/>
        <v>0.63209428533058531</v>
      </c>
      <c r="U316" s="26">
        <f t="shared" si="74"/>
        <v>28.440843983697274</v>
      </c>
      <c r="V316" s="26">
        <f t="shared" si="75"/>
        <v>1.4531479072156275</v>
      </c>
      <c r="W316" s="91" t="s">
        <v>782</v>
      </c>
      <c r="X316" s="29">
        <v>11290</v>
      </c>
      <c r="Y316" s="91">
        <v>10300</v>
      </c>
      <c r="Z316" s="30">
        <f t="shared" si="76"/>
        <v>116287000</v>
      </c>
      <c r="AA316" s="31">
        <f t="shared" si="77"/>
        <v>63</v>
      </c>
      <c r="AB316" s="32">
        <v>3.2500000000000001E-2</v>
      </c>
      <c r="AC316" s="32">
        <v>5.0500000000000003E-2</v>
      </c>
      <c r="AD316" s="33">
        <f t="shared" si="78"/>
        <v>-0.25017969642687071</v>
      </c>
      <c r="AE316" s="34">
        <f t="shared" si="79"/>
        <v>4.4123302281149392E-2</v>
      </c>
      <c r="AF316" s="33">
        <f t="shared" si="80"/>
        <v>1.327178634914451</v>
      </c>
      <c r="AG316" s="33">
        <f t="shared" si="81"/>
        <v>6.3691200173648379E-5</v>
      </c>
      <c r="AH316" s="35">
        <f t="shared" si="82"/>
        <v>1.7165526683746519</v>
      </c>
      <c r="AI316" s="36">
        <f t="shared" si="83"/>
        <v>5.8578373657938076</v>
      </c>
      <c r="AJ316" s="23"/>
      <c r="AK316" s="23"/>
      <c r="AL316" s="44"/>
      <c r="AM316" s="44"/>
      <c r="AN316" s="44"/>
      <c r="AO316" s="44"/>
      <c r="AP316" s="44"/>
      <c r="AQ316" s="44"/>
      <c r="AR316" s="44"/>
    </row>
    <row r="317" spans="1:44" ht="16.8">
      <c r="A317" s="64" t="s">
        <v>783</v>
      </c>
      <c r="B317" s="62">
        <v>123</v>
      </c>
      <c r="C317" s="1" t="s">
        <v>784</v>
      </c>
      <c r="D317" s="19" t="s">
        <v>785</v>
      </c>
      <c r="E317" s="20" t="s">
        <v>39</v>
      </c>
      <c r="F317" s="21">
        <v>2007</v>
      </c>
      <c r="G317" s="40">
        <v>2021</v>
      </c>
      <c r="H317" s="23">
        <v>465722525949</v>
      </c>
      <c r="I317" s="23">
        <v>574180636295</v>
      </c>
      <c r="J317" s="23">
        <v>128154138414</v>
      </c>
      <c r="K317" s="23">
        <f>(J317+125110610197)/2</f>
        <v>126632374305.5</v>
      </c>
      <c r="L317" s="23">
        <v>107261625360</v>
      </c>
      <c r="M317" s="23">
        <v>446026497881</v>
      </c>
      <c r="N317" s="23">
        <v>80924793286</v>
      </c>
      <c r="O317" s="25">
        <f t="shared" si="70"/>
        <v>358460900589</v>
      </c>
      <c r="P317" s="23">
        <v>15221319692</v>
      </c>
      <c r="Q317" s="23">
        <f>16304706069+38600062690</f>
        <v>54904768759</v>
      </c>
      <c r="R317" s="25">
        <f t="shared" si="71"/>
        <v>26020024527</v>
      </c>
      <c r="S317" s="26">
        <f t="shared" si="72"/>
        <v>0.22319481068002706</v>
      </c>
      <c r="T317" s="27">
        <f t="shared" si="73"/>
        <v>4.341930530941565</v>
      </c>
      <c r="U317" s="26">
        <f t="shared" si="74"/>
        <v>27.076209881137192</v>
      </c>
      <c r="V317" s="26">
        <f t="shared" si="75"/>
        <v>0.63905295726959455</v>
      </c>
      <c r="W317" s="91" t="s">
        <v>786</v>
      </c>
      <c r="X317" s="29">
        <v>23860</v>
      </c>
      <c r="Y317" s="91">
        <v>38310</v>
      </c>
      <c r="Z317" s="30">
        <f t="shared" si="76"/>
        <v>914076600</v>
      </c>
      <c r="AA317" s="31">
        <f t="shared" si="77"/>
        <v>14</v>
      </c>
      <c r="AB317" s="32">
        <v>1.84E-2</v>
      </c>
      <c r="AC317" s="32">
        <v>2.58E-2</v>
      </c>
      <c r="AD317" s="33">
        <f t="shared" si="78"/>
        <v>0.6242998769551531</v>
      </c>
      <c r="AE317" s="34">
        <f t="shared" si="79"/>
        <v>2.6509636044535045E-2</v>
      </c>
      <c r="AF317" s="33">
        <f t="shared" si="80"/>
        <v>4.5316792107269091E-2</v>
      </c>
      <c r="AG317" s="33">
        <f t="shared" si="81"/>
        <v>7.1326342739482154E-3</v>
      </c>
      <c r="AH317" s="35">
        <f t="shared" si="82"/>
        <v>0.6314645339393854</v>
      </c>
      <c r="AI317" s="36">
        <f t="shared" si="83"/>
        <v>1.571562871266275</v>
      </c>
      <c r="AJ317" s="23"/>
      <c r="AK317" s="23"/>
      <c r="AL317" s="44"/>
      <c r="AM317" s="44"/>
      <c r="AN317" s="44"/>
      <c r="AO317" s="44"/>
      <c r="AP317" s="44"/>
      <c r="AQ317" s="44"/>
      <c r="AR317" s="44"/>
    </row>
    <row r="318" spans="1:44" ht="16.8">
      <c r="A318" s="64" t="s">
        <v>787</v>
      </c>
      <c r="B318" s="62"/>
      <c r="C318" s="1" t="s">
        <v>784</v>
      </c>
      <c r="D318" s="19" t="s">
        <v>785</v>
      </c>
      <c r="E318" s="20" t="s">
        <v>39</v>
      </c>
      <c r="F318" s="21">
        <v>2007</v>
      </c>
      <c r="G318" s="40">
        <v>2022</v>
      </c>
      <c r="H318" s="23">
        <v>492290672148</v>
      </c>
      <c r="I318" s="23">
        <v>608038137887</v>
      </c>
      <c r="J318" s="23">
        <v>185393688121</v>
      </c>
      <c r="K318" s="23">
        <f t="shared" ref="K318:K319" si="101">SUM(J317:J318)/2</f>
        <v>156773913267.5</v>
      </c>
      <c r="L318" s="23">
        <v>102296263646</v>
      </c>
      <c r="M318" s="23">
        <v>422644449766</v>
      </c>
      <c r="N318" s="23">
        <v>35449570471</v>
      </c>
      <c r="O318" s="25">
        <f t="shared" si="70"/>
        <v>389994408502</v>
      </c>
      <c r="P318" s="23">
        <v>4878951885</v>
      </c>
      <c r="Q318" s="23">
        <f>8397557466+3736310072</f>
        <v>12133867538</v>
      </c>
      <c r="R318" s="25">
        <f t="shared" si="71"/>
        <v>23315702933</v>
      </c>
      <c r="S318" s="26">
        <f t="shared" si="72"/>
        <v>0.30490470345373999</v>
      </c>
      <c r="T318" s="27">
        <f t="shared" si="73"/>
        <v>4.812401299930074</v>
      </c>
      <c r="U318" s="26">
        <f t="shared" si="74"/>
        <v>27.133503443733165</v>
      </c>
      <c r="V318" s="26">
        <f t="shared" si="75"/>
        <v>0.22611906363856052</v>
      </c>
      <c r="W318" s="93">
        <v>45948</v>
      </c>
      <c r="X318" s="42">
        <v>18100</v>
      </c>
      <c r="Y318" s="91">
        <v>1640</v>
      </c>
      <c r="Z318" s="30">
        <f t="shared" si="76"/>
        <v>29684000</v>
      </c>
      <c r="AA318" s="31">
        <f t="shared" si="77"/>
        <v>15</v>
      </c>
      <c r="AB318" s="32">
        <v>3.15E-2</v>
      </c>
      <c r="AC318" s="32">
        <v>8.0199999999999994E-2</v>
      </c>
      <c r="AD318" s="33">
        <f t="shared" si="78"/>
        <v>0.64139793904585307</v>
      </c>
      <c r="AE318" s="34">
        <f t="shared" si="79"/>
        <v>8.0240885908158636E-3</v>
      </c>
      <c r="AF318" s="33">
        <f t="shared" si="80"/>
        <v>3.8345790305234231E-2</v>
      </c>
      <c r="AG318" s="33">
        <f t="shared" si="81"/>
        <v>1.6011332586806455E-4</v>
      </c>
      <c r="AH318" s="35">
        <f t="shared" si="82"/>
        <v>0.19121239148046562</v>
      </c>
      <c r="AI318" s="36">
        <f t="shared" si="83"/>
        <v>1.0987608183654252</v>
      </c>
      <c r="AJ318" s="23"/>
      <c r="AK318" s="23"/>
      <c r="AL318" s="44"/>
      <c r="AM318" s="44"/>
      <c r="AN318" s="44"/>
      <c r="AO318" s="44"/>
      <c r="AP318" s="44"/>
      <c r="AQ318" s="44"/>
      <c r="AR318" s="44"/>
    </row>
    <row r="319" spans="1:44" ht="16.8">
      <c r="A319" s="64" t="s">
        <v>788</v>
      </c>
      <c r="B319" s="62"/>
      <c r="C319" s="1" t="s">
        <v>784</v>
      </c>
      <c r="D319" s="19" t="s">
        <v>785</v>
      </c>
      <c r="E319" s="20" t="s">
        <v>39</v>
      </c>
      <c r="F319" s="21">
        <v>2007</v>
      </c>
      <c r="G319" s="40">
        <v>2023</v>
      </c>
      <c r="H319" s="23">
        <v>483833086689</v>
      </c>
      <c r="I319" s="23">
        <v>592538754703</v>
      </c>
      <c r="J319" s="23">
        <v>167700110113</v>
      </c>
      <c r="K319" s="23">
        <f t="shared" si="101"/>
        <v>176546899117</v>
      </c>
      <c r="L319" s="23">
        <v>66777337541</v>
      </c>
      <c r="M319" s="23">
        <v>424838644590</v>
      </c>
      <c r="N319" s="23">
        <v>13536488470</v>
      </c>
      <c r="O319" s="25">
        <f t="shared" si="70"/>
        <v>417055749148</v>
      </c>
      <c r="P319" s="23">
        <v>3301094824</v>
      </c>
      <c r="Q319" s="23">
        <f>-197636437+3109534634</f>
        <v>2911898197</v>
      </c>
      <c r="R319" s="25">
        <f t="shared" si="71"/>
        <v>10624590273</v>
      </c>
      <c r="S319" s="26">
        <f t="shared" si="72"/>
        <v>0.28301964855793582</v>
      </c>
      <c r="T319" s="27">
        <f t="shared" si="73"/>
        <v>7.2454683655504502</v>
      </c>
      <c r="U319" s="26">
        <f t="shared" si="74"/>
        <v>27.10768211659807</v>
      </c>
      <c r="V319" s="26">
        <f t="shared" si="75"/>
        <v>7.6673612154633128E-2</v>
      </c>
      <c r="W319" s="91" t="s">
        <v>789</v>
      </c>
      <c r="X319" s="29">
        <v>16200</v>
      </c>
      <c r="Y319" s="91">
        <v>26800</v>
      </c>
      <c r="Z319" s="30">
        <f t="shared" si="76"/>
        <v>434160000</v>
      </c>
      <c r="AA319" s="31">
        <f t="shared" si="77"/>
        <v>16</v>
      </c>
      <c r="AB319" s="32">
        <v>3.2500000000000001E-2</v>
      </c>
      <c r="AC319" s="32">
        <v>5.0500000000000003E-2</v>
      </c>
      <c r="AD319" s="33">
        <f t="shared" si="78"/>
        <v>0.70384552206554341</v>
      </c>
      <c r="AE319" s="34">
        <f t="shared" si="79"/>
        <v>5.571103658282432E-3</v>
      </c>
      <c r="AF319" s="33">
        <f t="shared" si="80"/>
        <v>1.7930625108775199E-2</v>
      </c>
      <c r="AG319" s="33">
        <f t="shared" si="81"/>
        <v>2.5889070657583559E-3</v>
      </c>
      <c r="AH319" s="35">
        <f t="shared" si="82"/>
        <v>8.0718423266859032E-2</v>
      </c>
      <c r="AI319" s="36">
        <f t="shared" si="83"/>
        <v>0.99385700196551963</v>
      </c>
      <c r="AJ319" s="23"/>
      <c r="AK319" s="23"/>
      <c r="AL319" s="44"/>
      <c r="AM319" s="44"/>
      <c r="AN319" s="44"/>
      <c r="AO319" s="44"/>
      <c r="AP319" s="44"/>
      <c r="AQ319" s="44"/>
      <c r="AR319" s="44"/>
    </row>
    <row r="320" spans="1:44" ht="16.8">
      <c r="A320" s="64" t="s">
        <v>790</v>
      </c>
      <c r="B320" s="62">
        <v>124</v>
      </c>
      <c r="C320" s="1" t="s">
        <v>791</v>
      </c>
      <c r="D320" s="19" t="s">
        <v>792</v>
      </c>
      <c r="E320" s="20" t="s">
        <v>39</v>
      </c>
      <c r="F320" s="21">
        <v>1960</v>
      </c>
      <c r="G320" s="40">
        <v>2021</v>
      </c>
      <c r="H320" s="23">
        <v>9135287306</v>
      </c>
      <c r="I320" s="23">
        <v>45699810012</v>
      </c>
      <c r="J320" s="23">
        <v>53373487345</v>
      </c>
      <c r="K320" s="23">
        <f>(J320+48819016876)/2</f>
        <v>51096252110.5</v>
      </c>
      <c r="L320" s="23">
        <v>49074987345</v>
      </c>
      <c r="M320" s="23">
        <v>-7673677333</v>
      </c>
      <c r="N320" s="23">
        <v>32584251906</v>
      </c>
      <c r="O320" s="25">
        <f t="shared" si="70"/>
        <v>-39939700039</v>
      </c>
      <c r="P320" s="23">
        <v>-7129215913</v>
      </c>
      <c r="Q320" s="23">
        <f>1741741201+2149689975</f>
        <v>3891431176</v>
      </c>
      <c r="R320" s="25">
        <f t="shared" si="71"/>
        <v>28692820730</v>
      </c>
      <c r="S320" s="26">
        <f t="shared" si="72"/>
        <v>1.1679148629061045</v>
      </c>
      <c r="T320" s="27">
        <f t="shared" si="73"/>
        <v>0.18614956009623398</v>
      </c>
      <c r="U320" s="26">
        <f t="shared" si="74"/>
        <v>24.545359977551275</v>
      </c>
      <c r="V320" s="26">
        <f t="shared" si="75"/>
        <v>0.63770336492652691</v>
      </c>
      <c r="W320" s="91"/>
      <c r="X320" s="29"/>
      <c r="Y320" s="91"/>
      <c r="Z320" s="30"/>
      <c r="AA320" s="31">
        <f t="shared" si="77"/>
        <v>61</v>
      </c>
      <c r="AB320" s="32">
        <v>1.84E-2</v>
      </c>
      <c r="AC320" s="32">
        <v>2.58E-2</v>
      </c>
      <c r="AD320" s="33">
        <f t="shared" si="78"/>
        <v>-0.87395768228604254</v>
      </c>
      <c r="AE320" s="34">
        <f t="shared" si="79"/>
        <v>-0.15600099674655077</v>
      </c>
      <c r="AF320" s="33">
        <f t="shared" si="80"/>
        <v>0.62785426728176219</v>
      </c>
      <c r="AG320" s="33">
        <f t="shared" si="81"/>
        <v>0</v>
      </c>
      <c r="AH320" s="35">
        <f t="shared" si="82"/>
        <v>0.61049508898264782</v>
      </c>
      <c r="AI320" s="36">
        <f t="shared" si="83"/>
        <v>1.415263556824041</v>
      </c>
      <c r="AJ320" s="23"/>
      <c r="AK320" s="23"/>
      <c r="AL320" s="44"/>
      <c r="AM320" s="44"/>
      <c r="AN320" s="44"/>
      <c r="AO320" s="44"/>
      <c r="AP320" s="44"/>
      <c r="AQ320" s="44"/>
      <c r="AR320" s="44"/>
    </row>
    <row r="321" spans="1:44" ht="16.8">
      <c r="A321" s="64" t="s">
        <v>793</v>
      </c>
      <c r="B321" s="62"/>
      <c r="C321" s="1" t="s">
        <v>791</v>
      </c>
      <c r="D321" s="19" t="s">
        <v>792</v>
      </c>
      <c r="E321" s="20" t="s">
        <v>39</v>
      </c>
      <c r="F321" s="21">
        <v>1960</v>
      </c>
      <c r="G321" s="40">
        <v>2022</v>
      </c>
      <c r="H321" s="23">
        <v>8232904073</v>
      </c>
      <c r="I321" s="23">
        <v>42087909886</v>
      </c>
      <c r="J321" s="23">
        <v>61195108158</v>
      </c>
      <c r="K321" s="23">
        <f t="shared" ref="K321:K322" si="102">SUM(J320:J321)/2</f>
        <v>57284297751.5</v>
      </c>
      <c r="L321" s="23">
        <v>57692458029</v>
      </c>
      <c r="M321" s="23">
        <v>-19107198272</v>
      </c>
      <c r="N321" s="23">
        <v>30573828828</v>
      </c>
      <c r="O321" s="25">
        <f t="shared" si="70"/>
        <v>-49459553956</v>
      </c>
      <c r="P321" s="23">
        <v>-11433520939</v>
      </c>
      <c r="Q321" s="23">
        <f>1691504729+3034254366</f>
        <v>4725759095</v>
      </c>
      <c r="R321" s="25">
        <f t="shared" si="71"/>
        <v>25848069733</v>
      </c>
      <c r="S321" s="26">
        <f t="shared" si="72"/>
        <v>1.4539830636340476</v>
      </c>
      <c r="T321" s="27">
        <f t="shared" si="73"/>
        <v>0.1427032987372735</v>
      </c>
      <c r="U321" s="26">
        <f t="shared" si="74"/>
        <v>24.46302636028728</v>
      </c>
      <c r="V321" s="26">
        <f t="shared" si="75"/>
        <v>0.53372093275245602</v>
      </c>
      <c r="W321" s="93"/>
      <c r="X321" s="42"/>
      <c r="Y321" s="91"/>
      <c r="Z321" s="30"/>
      <c r="AA321" s="31">
        <f t="shared" si="77"/>
        <v>62</v>
      </c>
      <c r="AB321" s="32">
        <v>3.15E-2</v>
      </c>
      <c r="AC321" s="32">
        <v>8.0199999999999994E-2</v>
      </c>
      <c r="AD321" s="33">
        <f t="shared" si="78"/>
        <v>-1.1751487324974548</v>
      </c>
      <c r="AE321" s="34">
        <f t="shared" si="79"/>
        <v>-0.27165808352016108</v>
      </c>
      <c r="AF321" s="33">
        <f t="shared" si="80"/>
        <v>0.61414476991165645</v>
      </c>
      <c r="AG321" s="33">
        <f t="shared" si="81"/>
        <v>0</v>
      </c>
      <c r="AH321" s="35">
        <f t="shared" si="82"/>
        <v>0.49961230151046154</v>
      </c>
      <c r="AI321" s="36">
        <f t="shared" si="83"/>
        <v>0.73579024629375678</v>
      </c>
      <c r="AJ321" s="23"/>
      <c r="AK321" s="23"/>
      <c r="AL321" s="44"/>
      <c r="AM321" s="44"/>
      <c r="AN321" s="44"/>
      <c r="AO321" s="44"/>
      <c r="AP321" s="44"/>
      <c r="AQ321" s="44"/>
      <c r="AR321" s="44"/>
    </row>
    <row r="322" spans="1:44" ht="16.8">
      <c r="A322" s="64" t="s">
        <v>794</v>
      </c>
      <c r="B322" s="62"/>
      <c r="C322" s="1" t="s">
        <v>791</v>
      </c>
      <c r="D322" s="19" t="s">
        <v>792</v>
      </c>
      <c r="E322" s="20" t="s">
        <v>39</v>
      </c>
      <c r="F322" s="21">
        <v>1960</v>
      </c>
      <c r="G322" s="40">
        <v>2023</v>
      </c>
      <c r="H322" s="23">
        <v>4779163521</v>
      </c>
      <c r="I322" s="23">
        <v>30967672753</v>
      </c>
      <c r="J322" s="23">
        <v>64288832303</v>
      </c>
      <c r="K322" s="23">
        <f t="shared" si="102"/>
        <v>62741970230.5</v>
      </c>
      <c r="L322" s="23">
        <v>61264011979</v>
      </c>
      <c r="M322" s="23">
        <v>-33321159550</v>
      </c>
      <c r="N322" s="23">
        <v>10674476690</v>
      </c>
      <c r="O322" s="25">
        <f t="shared" si="70"/>
        <v>-56484848458</v>
      </c>
      <c r="P322" s="23">
        <v>-14213961278</v>
      </c>
      <c r="Q322" s="23">
        <f>53824661+2174140762</f>
        <v>2227965423</v>
      </c>
      <c r="R322" s="25">
        <f t="shared" si="71"/>
        <v>8446511267</v>
      </c>
      <c r="S322" s="26">
        <f t="shared" si="72"/>
        <v>2.0759981809344068</v>
      </c>
      <c r="T322" s="27">
        <f t="shared" si="73"/>
        <v>7.8009313569574842E-2</v>
      </c>
      <c r="U322" s="26">
        <f t="shared" si="74"/>
        <v>24.156209682902944</v>
      </c>
      <c r="V322" s="26">
        <f t="shared" si="75"/>
        <v>0.17013295328126218</v>
      </c>
      <c r="W322" s="93"/>
      <c r="X322" s="42"/>
      <c r="Y322" s="91"/>
      <c r="Z322" s="30"/>
      <c r="AA322" s="31">
        <f t="shared" si="77"/>
        <v>63</v>
      </c>
      <c r="AB322" s="32">
        <v>3.2500000000000001E-2</v>
      </c>
      <c r="AC322" s="32">
        <v>5.0500000000000003E-2</v>
      </c>
      <c r="AD322" s="33">
        <f t="shared" si="78"/>
        <v>-1.8239939729577521</v>
      </c>
      <c r="AE322" s="34">
        <f t="shared" si="79"/>
        <v>-0.45899352500174617</v>
      </c>
      <c r="AF322" s="33">
        <f t="shared" si="80"/>
        <v>0.27275253566420299</v>
      </c>
      <c r="AG322" s="33">
        <f t="shared" si="81"/>
        <v>0</v>
      </c>
      <c r="AH322" s="35">
        <f t="shared" si="82"/>
        <v>0.16603936185510532</v>
      </c>
      <c r="AI322" s="36">
        <f t="shared" si="83"/>
        <v>-1.7652609730047721</v>
      </c>
      <c r="AJ322" s="23"/>
      <c r="AK322" s="23"/>
      <c r="AL322" s="44"/>
      <c r="AM322" s="44"/>
      <c r="AN322" s="44"/>
      <c r="AO322" s="44"/>
      <c r="AP322" s="44"/>
      <c r="AQ322" s="44"/>
      <c r="AR322" s="44"/>
    </row>
    <row r="323" spans="1:44" ht="16.8">
      <c r="A323" s="64" t="s">
        <v>795</v>
      </c>
      <c r="B323" s="62">
        <v>125</v>
      </c>
      <c r="C323" s="1" t="s">
        <v>796</v>
      </c>
      <c r="D323" s="19" t="s">
        <v>797</v>
      </c>
      <c r="E323" s="20" t="s">
        <v>39</v>
      </c>
      <c r="F323" s="21">
        <v>2002</v>
      </c>
      <c r="G323" s="22">
        <v>2021</v>
      </c>
      <c r="H323" s="23">
        <v>147325221870</v>
      </c>
      <c r="I323" s="23">
        <v>272700785565</v>
      </c>
      <c r="J323" s="23">
        <v>34961666022</v>
      </c>
      <c r="K323" s="23">
        <f>(J323+30467954501)/2</f>
        <v>32714810261.5</v>
      </c>
      <c r="L323" s="23">
        <v>34606538022</v>
      </c>
      <c r="M323" s="23">
        <v>237739119544</v>
      </c>
      <c r="N323" s="23">
        <v>90715464872</v>
      </c>
      <c r="O323" s="25">
        <f t="shared" si="70"/>
        <v>112718683848</v>
      </c>
      <c r="P323" s="23">
        <v>16794818968</v>
      </c>
      <c r="Q323" s="23">
        <v>6981004587</v>
      </c>
      <c r="R323" s="25">
        <f t="shared" si="71"/>
        <v>83734460285</v>
      </c>
      <c r="S323" s="26">
        <f t="shared" si="72"/>
        <v>0.1282052266536895</v>
      </c>
      <c r="T323" s="27">
        <f t="shared" si="73"/>
        <v>4.2571499575121532</v>
      </c>
      <c r="U323" s="26">
        <f t="shared" si="74"/>
        <v>26.331641007486873</v>
      </c>
      <c r="V323" s="26">
        <f t="shared" si="75"/>
        <v>2.7729173468188297</v>
      </c>
      <c r="W323" s="91" t="s">
        <v>798</v>
      </c>
      <c r="X323" s="29">
        <v>16480</v>
      </c>
      <c r="Y323" s="91">
        <v>30600</v>
      </c>
      <c r="Z323" s="30">
        <f t="shared" ref="Z323:Z577" si="103">X323*Y323</f>
        <v>504288000</v>
      </c>
      <c r="AA323" s="31">
        <f t="shared" si="77"/>
        <v>19</v>
      </c>
      <c r="AB323" s="32">
        <v>1.84E-2</v>
      </c>
      <c r="AC323" s="32">
        <v>2.58E-2</v>
      </c>
      <c r="AD323" s="33">
        <f t="shared" si="78"/>
        <v>0.41334198438211966</v>
      </c>
      <c r="AE323" s="34">
        <f t="shared" si="79"/>
        <v>6.1586984185628045E-2</v>
      </c>
      <c r="AF323" s="33">
        <f t="shared" si="80"/>
        <v>0.30705617554974496</v>
      </c>
      <c r="AG323" s="33">
        <f t="shared" si="81"/>
        <v>1.4424026580503098E-2</v>
      </c>
      <c r="AH323" s="35">
        <f t="shared" si="82"/>
        <v>2.5947123004640664</v>
      </c>
      <c r="AI323" s="36">
        <f t="shared" si="83"/>
        <v>4.1988842548449501</v>
      </c>
      <c r="AJ323" s="23" t="s">
        <v>136</v>
      </c>
      <c r="AK323" s="23"/>
      <c r="AL323" s="44"/>
      <c r="AM323" s="44"/>
      <c r="AN323" s="44"/>
      <c r="AO323" s="44"/>
      <c r="AP323" s="44"/>
      <c r="AQ323" s="44"/>
      <c r="AR323" s="44"/>
    </row>
    <row r="324" spans="1:44" ht="16.8">
      <c r="A324" s="64" t="s">
        <v>799</v>
      </c>
      <c r="B324" s="62"/>
      <c r="C324" s="1" t="s">
        <v>796</v>
      </c>
      <c r="D324" s="19" t="s">
        <v>797</v>
      </c>
      <c r="E324" s="20" t="s">
        <v>39</v>
      </c>
      <c r="F324" s="21">
        <v>2002</v>
      </c>
      <c r="G324" s="22">
        <v>2022</v>
      </c>
      <c r="H324" s="23">
        <v>80923937735</v>
      </c>
      <c r="I324" s="23">
        <v>222558950537</v>
      </c>
      <c r="J324" s="23">
        <v>24502897016</v>
      </c>
      <c r="K324" s="23">
        <f>SUM(J323:J324)/2</f>
        <v>29732281519</v>
      </c>
      <c r="L324" s="23">
        <v>24167769016</v>
      </c>
      <c r="M324" s="23">
        <v>198056053521</v>
      </c>
      <c r="N324" s="23">
        <v>83794836147</v>
      </c>
      <c r="O324" s="25">
        <f t="shared" si="70"/>
        <v>56756168719</v>
      </c>
      <c r="P324" s="23">
        <v>1920939360</v>
      </c>
      <c r="Q324" s="23">
        <v>9329103337</v>
      </c>
      <c r="R324" s="25">
        <f t="shared" si="71"/>
        <v>74465732810</v>
      </c>
      <c r="S324" s="26">
        <f t="shared" si="72"/>
        <v>0.11009621027093422</v>
      </c>
      <c r="T324" s="27">
        <f t="shared" si="73"/>
        <v>3.3484239973257446</v>
      </c>
      <c r="U324" s="26">
        <f t="shared" si="74"/>
        <v>26.12845784969436</v>
      </c>
      <c r="V324" s="26">
        <f t="shared" si="75"/>
        <v>2.8183116755924726</v>
      </c>
      <c r="W324" s="91" t="s">
        <v>800</v>
      </c>
      <c r="X324" s="29">
        <v>11600</v>
      </c>
      <c r="Y324" s="91">
        <v>0</v>
      </c>
      <c r="Z324" s="30">
        <f t="shared" si="103"/>
        <v>0</v>
      </c>
      <c r="AA324" s="31">
        <f t="shared" si="77"/>
        <v>20</v>
      </c>
      <c r="AB324" s="32">
        <v>3.15E-2</v>
      </c>
      <c r="AC324" s="32">
        <v>8.0199999999999994E-2</v>
      </c>
      <c r="AD324" s="33">
        <f t="shared" si="78"/>
        <v>0.25501633873657398</v>
      </c>
      <c r="AE324" s="34">
        <f t="shared" si="79"/>
        <v>8.6311485355456304E-3</v>
      </c>
      <c r="AF324" s="33">
        <f t="shared" si="80"/>
        <v>0.33458880278832109</v>
      </c>
      <c r="AG324" s="33">
        <f t="shared" si="81"/>
        <v>0</v>
      </c>
      <c r="AH324" s="35">
        <f t="shared" si="82"/>
        <v>3.4197930184452603</v>
      </c>
      <c r="AI324" s="36">
        <f t="shared" si="83"/>
        <v>4.8420392820803722</v>
      </c>
      <c r="AJ324" s="23" t="s">
        <v>136</v>
      </c>
      <c r="AK324" s="23"/>
      <c r="AL324" s="44"/>
      <c r="AM324" s="44"/>
      <c r="AN324" s="44"/>
      <c r="AO324" s="44"/>
      <c r="AP324" s="44"/>
      <c r="AQ324" s="44"/>
      <c r="AR324" s="44"/>
    </row>
    <row r="325" spans="1:44" ht="16.8">
      <c r="A325" s="64" t="s">
        <v>801</v>
      </c>
      <c r="B325" s="62"/>
      <c r="C325" s="1" t="s">
        <v>796</v>
      </c>
      <c r="D325" s="19" t="s">
        <v>797</v>
      </c>
      <c r="E325" s="20" t="s">
        <v>39</v>
      </c>
      <c r="F325" s="21">
        <v>2002</v>
      </c>
      <c r="G325" s="22">
        <v>2023</v>
      </c>
      <c r="H325" s="23">
        <v>73897732912</v>
      </c>
      <c r="I325" s="23">
        <v>222803131820</v>
      </c>
      <c r="J325" s="23">
        <v>21105455705</v>
      </c>
      <c r="K325" s="23">
        <f>(J325+24709317971)/2</f>
        <v>22907386838</v>
      </c>
      <c r="L325" s="23">
        <v>20143863226</v>
      </c>
      <c r="M325" s="23">
        <v>201697676115</v>
      </c>
      <c r="N325" s="23">
        <v>80380729810</v>
      </c>
      <c r="O325" s="25">
        <f t="shared" si="70"/>
        <v>53753869686</v>
      </c>
      <c r="P325" s="23">
        <v>3926610448</v>
      </c>
      <c r="Q325" s="23">
        <v>11627134524</v>
      </c>
      <c r="R325" s="25">
        <f t="shared" si="71"/>
        <v>68753595286</v>
      </c>
      <c r="S325" s="26">
        <f t="shared" si="72"/>
        <v>9.4726925661219374E-2</v>
      </c>
      <c r="T325" s="27">
        <f t="shared" si="73"/>
        <v>3.6684985438453057</v>
      </c>
      <c r="U325" s="26">
        <f t="shared" si="74"/>
        <v>26.129554401543476</v>
      </c>
      <c r="V325" s="26">
        <f t="shared" si="75"/>
        <v>3.508943659896647</v>
      </c>
      <c r="W325" s="91" t="s">
        <v>802</v>
      </c>
      <c r="X325" s="29">
        <v>16000</v>
      </c>
      <c r="Y325" s="91">
        <v>21600</v>
      </c>
      <c r="Z325" s="30">
        <f t="shared" si="103"/>
        <v>345600000</v>
      </c>
      <c r="AA325" s="31">
        <f t="shared" si="77"/>
        <v>21</v>
      </c>
      <c r="AB325" s="32">
        <v>3.2500000000000001E-2</v>
      </c>
      <c r="AC325" s="32">
        <v>5.0500000000000003E-2</v>
      </c>
      <c r="AD325" s="33">
        <f t="shared" si="78"/>
        <v>0.24126173293392983</v>
      </c>
      <c r="AE325" s="34">
        <f t="shared" si="79"/>
        <v>1.7623677081757817E-2</v>
      </c>
      <c r="AF325" s="33">
        <f t="shared" si="80"/>
        <v>0.30858451012055438</v>
      </c>
      <c r="AG325" s="33">
        <f t="shared" si="81"/>
        <v>1.6374912952868647E-2</v>
      </c>
      <c r="AH325" s="35">
        <f t="shared" si="82"/>
        <v>3.8085285119409837</v>
      </c>
      <c r="AI325" s="36">
        <f t="shared" si="83"/>
        <v>5.1508695705457113</v>
      </c>
      <c r="AJ325" s="23" t="s">
        <v>136</v>
      </c>
      <c r="AK325" s="23"/>
      <c r="AL325" s="44"/>
      <c r="AM325" s="44"/>
      <c r="AN325" s="44"/>
      <c r="AO325" s="44"/>
      <c r="AP325" s="44"/>
      <c r="AQ325" s="44"/>
      <c r="AR325" s="44"/>
    </row>
    <row r="326" spans="1:44" ht="16.8">
      <c r="A326" s="64" t="s">
        <v>803</v>
      </c>
      <c r="B326" s="62">
        <v>126</v>
      </c>
      <c r="C326" s="1" t="s">
        <v>804</v>
      </c>
      <c r="D326" s="19" t="s">
        <v>805</v>
      </c>
      <c r="E326" s="20" t="s">
        <v>39</v>
      </c>
      <c r="F326" s="21">
        <v>2003</v>
      </c>
      <c r="G326" s="22">
        <v>2021</v>
      </c>
      <c r="H326" s="23">
        <v>265494752989</v>
      </c>
      <c r="I326" s="23">
        <v>460640611305</v>
      </c>
      <c r="J326" s="23">
        <v>330144428238</v>
      </c>
      <c r="K326" s="23">
        <f>(J326+313903494263)/2</f>
        <v>322023961250.5</v>
      </c>
      <c r="L326" s="23">
        <v>327651403794</v>
      </c>
      <c r="M326" s="23">
        <v>130496183067</v>
      </c>
      <c r="N326" s="23">
        <v>273535284091</v>
      </c>
      <c r="O326" s="25">
        <f t="shared" si="70"/>
        <v>-62156650805</v>
      </c>
      <c r="P326" s="23">
        <v>16945335284</v>
      </c>
      <c r="Q326" s="23">
        <f>32283237694+13243174817</f>
        <v>45526412511</v>
      </c>
      <c r="R326" s="25">
        <f t="shared" si="71"/>
        <v>228008871580</v>
      </c>
      <c r="S326" s="26">
        <f t="shared" si="72"/>
        <v>0.71670716852927308</v>
      </c>
      <c r="T326" s="27">
        <f t="shared" si="73"/>
        <v>0.8102964001213957</v>
      </c>
      <c r="U326" s="26">
        <f t="shared" si="74"/>
        <v>26.855883990886941</v>
      </c>
      <c r="V326" s="26">
        <f t="shared" si="75"/>
        <v>0.84942525093099819</v>
      </c>
      <c r="W326" s="91" t="s">
        <v>806</v>
      </c>
      <c r="X326" s="29">
        <v>14000</v>
      </c>
      <c r="Y326" s="91">
        <v>223245</v>
      </c>
      <c r="Z326" s="30">
        <f t="shared" si="103"/>
        <v>3125430000</v>
      </c>
      <c r="AA326" s="31">
        <f t="shared" si="77"/>
        <v>18</v>
      </c>
      <c r="AB326" s="32">
        <v>1.84E-2</v>
      </c>
      <c r="AC326" s="32">
        <v>2.58E-2</v>
      </c>
      <c r="AD326" s="33">
        <f t="shared" si="78"/>
        <v>-0.13493523862107926</v>
      </c>
      <c r="AE326" s="34">
        <f t="shared" si="79"/>
        <v>3.6786455358318662E-2</v>
      </c>
      <c r="AF326" s="33">
        <f t="shared" si="80"/>
        <v>0.49498213137145752</v>
      </c>
      <c r="AG326" s="33">
        <f t="shared" si="81"/>
        <v>9.4668567229215447E-3</v>
      </c>
      <c r="AH326" s="35">
        <f t="shared" si="82"/>
        <v>0.82853218378051607</v>
      </c>
      <c r="AI326" s="36">
        <f t="shared" si="83"/>
        <v>2.3572320824964299</v>
      </c>
      <c r="AJ326" s="23"/>
      <c r="AK326" s="23"/>
      <c r="AL326" s="44"/>
      <c r="AM326" s="44"/>
      <c r="AN326" s="44"/>
      <c r="AO326" s="44"/>
      <c r="AP326" s="44"/>
      <c r="AQ326" s="44"/>
      <c r="AR326" s="44"/>
    </row>
    <row r="327" spans="1:44" ht="16.8">
      <c r="A327" s="64" t="s">
        <v>807</v>
      </c>
      <c r="B327" s="62"/>
      <c r="C327" s="1" t="s">
        <v>804</v>
      </c>
      <c r="D327" s="19" t="s">
        <v>805</v>
      </c>
      <c r="E327" s="20" t="s">
        <v>39</v>
      </c>
      <c r="F327" s="21">
        <v>2003</v>
      </c>
      <c r="G327" s="22">
        <v>2022</v>
      </c>
      <c r="H327" s="23">
        <v>319447791131</v>
      </c>
      <c r="I327" s="23">
        <v>509416772589</v>
      </c>
      <c r="J327" s="23">
        <v>340631983092</v>
      </c>
      <c r="K327" s="23">
        <f t="shared" ref="K327:K328" si="104">SUM(J326:J327)/2</f>
        <v>335388205665</v>
      </c>
      <c r="L327" s="23">
        <v>340631983092</v>
      </c>
      <c r="M327" s="23">
        <v>168784789497</v>
      </c>
      <c r="N327" s="23">
        <v>486626614731</v>
      </c>
      <c r="O327" s="25">
        <f t="shared" si="70"/>
        <v>-21184191961</v>
      </c>
      <c r="P327" s="23">
        <v>38288606430</v>
      </c>
      <c r="Q327" s="23">
        <f>48147270404+1532289136</f>
        <v>49679559540</v>
      </c>
      <c r="R327" s="25">
        <f t="shared" si="71"/>
        <v>436947055191</v>
      </c>
      <c r="S327" s="26">
        <f t="shared" si="72"/>
        <v>0.66867052955640227</v>
      </c>
      <c r="T327" s="27">
        <f t="shared" si="73"/>
        <v>0.93780915177516244</v>
      </c>
      <c r="U327" s="26">
        <f t="shared" si="74"/>
        <v>26.956532325115791</v>
      </c>
      <c r="V327" s="26">
        <f t="shared" si="75"/>
        <v>1.4509353832706429</v>
      </c>
      <c r="W327" s="93">
        <v>45753</v>
      </c>
      <c r="X327" s="42">
        <v>6400</v>
      </c>
      <c r="Y327" s="91">
        <v>52700</v>
      </c>
      <c r="Z327" s="30">
        <f t="shared" si="103"/>
        <v>337280000</v>
      </c>
      <c r="AA327" s="31">
        <f t="shared" si="77"/>
        <v>19</v>
      </c>
      <c r="AB327" s="32">
        <v>3.15E-2</v>
      </c>
      <c r="AC327" s="32">
        <v>8.0199999999999994E-2</v>
      </c>
      <c r="AD327" s="33">
        <f t="shared" si="78"/>
        <v>-4.1585187416063964E-2</v>
      </c>
      <c r="AE327" s="34">
        <f t="shared" si="79"/>
        <v>7.5161652482321067E-2</v>
      </c>
      <c r="AF327" s="33">
        <f t="shared" si="80"/>
        <v>0.85773982856966324</v>
      </c>
      <c r="AG327" s="33">
        <f t="shared" si="81"/>
        <v>9.901595174311782E-4</v>
      </c>
      <c r="AH327" s="35">
        <f t="shared" si="82"/>
        <v>1.4285993062476723</v>
      </c>
      <c r="AI327" s="36">
        <f t="shared" si="83"/>
        <v>4.315058924813993</v>
      </c>
      <c r="AJ327" s="23"/>
      <c r="AK327" s="23"/>
      <c r="AL327" s="44"/>
      <c r="AM327" s="44"/>
      <c r="AN327" s="44"/>
      <c r="AO327" s="44"/>
      <c r="AP327" s="44"/>
      <c r="AQ327" s="44"/>
      <c r="AR327" s="44"/>
    </row>
    <row r="328" spans="1:44" ht="16.8">
      <c r="A328" s="64" t="s">
        <v>808</v>
      </c>
      <c r="B328" s="62"/>
      <c r="C328" s="1" t="s">
        <v>804</v>
      </c>
      <c r="D328" s="19" t="s">
        <v>805</v>
      </c>
      <c r="E328" s="20" t="s">
        <v>39</v>
      </c>
      <c r="F328" s="21">
        <v>2003</v>
      </c>
      <c r="G328" s="22">
        <v>2023</v>
      </c>
      <c r="H328" s="23">
        <v>374550830533</v>
      </c>
      <c r="I328" s="23">
        <v>683303939784</v>
      </c>
      <c r="J328" s="23">
        <v>237212182823</v>
      </c>
      <c r="K328" s="23">
        <f t="shared" si="104"/>
        <v>288922082957.5</v>
      </c>
      <c r="L328" s="23">
        <v>237212182823</v>
      </c>
      <c r="M328" s="23">
        <v>446091756961</v>
      </c>
      <c r="N328" s="23">
        <v>704055662900</v>
      </c>
      <c r="O328" s="25">
        <f t="shared" si="70"/>
        <v>137338647710</v>
      </c>
      <c r="P328" s="23">
        <v>33636967464</v>
      </c>
      <c r="Q328" s="23">
        <f>62627870476+12650492346</f>
        <v>75278362822</v>
      </c>
      <c r="R328" s="25">
        <f t="shared" si="71"/>
        <v>628777300078</v>
      </c>
      <c r="S328" s="26">
        <f t="shared" si="72"/>
        <v>0.34715471258366432</v>
      </c>
      <c r="T328" s="27">
        <f t="shared" si="73"/>
        <v>1.5789696215243616</v>
      </c>
      <c r="U328" s="26">
        <f t="shared" si="74"/>
        <v>27.250205604535342</v>
      </c>
      <c r="V328" s="26">
        <f t="shared" si="75"/>
        <v>2.4368357575615485</v>
      </c>
      <c r="W328" s="93">
        <v>45909</v>
      </c>
      <c r="X328" s="42">
        <v>9900</v>
      </c>
      <c r="Y328" s="91">
        <v>75250</v>
      </c>
      <c r="Z328" s="30">
        <f t="shared" si="103"/>
        <v>744975000</v>
      </c>
      <c r="AA328" s="31">
        <f t="shared" si="77"/>
        <v>20</v>
      </c>
      <c r="AB328" s="32">
        <v>3.2500000000000001E-2</v>
      </c>
      <c r="AC328" s="32">
        <v>5.0500000000000003E-2</v>
      </c>
      <c r="AD328" s="33">
        <f t="shared" si="78"/>
        <v>0.2009920325549627</v>
      </c>
      <c r="AE328" s="34">
        <f t="shared" si="79"/>
        <v>4.9226947929837811E-2</v>
      </c>
      <c r="AF328" s="33">
        <f t="shared" si="80"/>
        <v>0.92020148497426124</v>
      </c>
      <c r="AG328" s="33">
        <f t="shared" si="81"/>
        <v>3.1405427458836548E-3</v>
      </c>
      <c r="AH328" s="35">
        <f t="shared" si="82"/>
        <v>2.9680417528358709</v>
      </c>
      <c r="AI328" s="36">
        <f t="shared" si="83"/>
        <v>6.3166991450661918</v>
      </c>
      <c r="AJ328" s="23"/>
      <c r="AK328" s="23"/>
      <c r="AL328" s="44"/>
      <c r="AM328" s="44"/>
      <c r="AN328" s="44"/>
      <c r="AO328" s="44"/>
      <c r="AP328" s="44"/>
      <c r="AQ328" s="44"/>
      <c r="AR328" s="44"/>
    </row>
    <row r="329" spans="1:44" ht="16.8">
      <c r="A329" s="64" t="s">
        <v>809</v>
      </c>
      <c r="B329" s="62">
        <v>127</v>
      </c>
      <c r="C329" s="1" t="s">
        <v>810</v>
      </c>
      <c r="D329" s="19" t="s">
        <v>811</v>
      </c>
      <c r="E329" s="20" t="s">
        <v>39</v>
      </c>
      <c r="F329" s="21">
        <v>1995</v>
      </c>
      <c r="G329" s="22">
        <v>2021</v>
      </c>
      <c r="H329" s="23">
        <v>637720100903</v>
      </c>
      <c r="I329" s="23">
        <v>1422927059448</v>
      </c>
      <c r="J329" s="23">
        <v>473029842145</v>
      </c>
      <c r="K329" s="23">
        <f>(J329+517127749685)/2</f>
        <v>495078795915</v>
      </c>
      <c r="L329" s="23">
        <v>458528021866</v>
      </c>
      <c r="M329" s="23">
        <v>949897217303</v>
      </c>
      <c r="N329" s="23">
        <v>1838900687683</v>
      </c>
      <c r="O329" s="25">
        <f t="shared" si="70"/>
        <v>179192079037</v>
      </c>
      <c r="P329" s="23">
        <v>1939380392</v>
      </c>
      <c r="Q329" s="23">
        <f>169775872562+69722793402</f>
        <v>239498665964</v>
      </c>
      <c r="R329" s="25">
        <f t="shared" si="71"/>
        <v>1599402021719</v>
      </c>
      <c r="S329" s="26">
        <f t="shared" si="72"/>
        <v>0.3324343570558731</v>
      </c>
      <c r="T329" s="27">
        <f t="shared" si="73"/>
        <v>1.3907985346408491</v>
      </c>
      <c r="U329" s="26">
        <f t="shared" si="74"/>
        <v>27.983737175428768</v>
      </c>
      <c r="V329" s="26">
        <f t="shared" si="75"/>
        <v>3.7143596188246377</v>
      </c>
      <c r="W329" s="93">
        <v>45908</v>
      </c>
      <c r="X329" s="42">
        <v>8900</v>
      </c>
      <c r="Y329" s="91">
        <v>259343</v>
      </c>
      <c r="Z329" s="30">
        <f t="shared" si="103"/>
        <v>2308152700</v>
      </c>
      <c r="AA329" s="31">
        <f t="shared" si="77"/>
        <v>26</v>
      </c>
      <c r="AB329" s="32">
        <v>1.84E-2</v>
      </c>
      <c r="AC329" s="32">
        <v>2.58E-2</v>
      </c>
      <c r="AD329" s="33">
        <f t="shared" si="78"/>
        <v>0.12593202008999285</v>
      </c>
      <c r="AE329" s="34">
        <f t="shared" si="79"/>
        <v>1.3629513748598956E-3</v>
      </c>
      <c r="AF329" s="33">
        <f t="shared" si="80"/>
        <v>1.1240224937035497</v>
      </c>
      <c r="AG329" s="33">
        <f t="shared" si="81"/>
        <v>4.8795075793388772E-3</v>
      </c>
      <c r="AH329" s="35">
        <f t="shared" si="82"/>
        <v>3.8874940307028525</v>
      </c>
      <c r="AI329" s="36">
        <f t="shared" si="83"/>
        <v>7.7527225205049657</v>
      </c>
      <c r="AJ329" s="23"/>
      <c r="AK329" s="23"/>
      <c r="AL329" s="44"/>
      <c r="AM329" s="44"/>
      <c r="AN329" s="44"/>
      <c r="AO329" s="44"/>
      <c r="AP329" s="44"/>
      <c r="AQ329" s="44"/>
      <c r="AR329" s="44"/>
    </row>
    <row r="330" spans="1:44" ht="16.8">
      <c r="A330" s="64" t="s">
        <v>812</v>
      </c>
      <c r="B330" s="62"/>
      <c r="C330" s="1" t="s">
        <v>810</v>
      </c>
      <c r="D330" s="19" t="s">
        <v>811</v>
      </c>
      <c r="E330" s="20" t="s">
        <v>39</v>
      </c>
      <c r="F330" s="21">
        <v>1995</v>
      </c>
      <c r="G330" s="22">
        <v>2022</v>
      </c>
      <c r="H330" s="23">
        <v>731630011051</v>
      </c>
      <c r="I330" s="23">
        <v>1521540206323</v>
      </c>
      <c r="J330" s="23">
        <v>549263491232</v>
      </c>
      <c r="K330" s="23">
        <f>(J330+473531082749)/2</f>
        <v>511397286990.5</v>
      </c>
      <c r="L330" s="23">
        <v>541508001477</v>
      </c>
      <c r="M330" s="23">
        <v>972276715091</v>
      </c>
      <c r="N330" s="23">
        <v>2066573780169</v>
      </c>
      <c r="O330" s="25">
        <f t="shared" si="70"/>
        <v>190122009574</v>
      </c>
      <c r="P330" s="23">
        <v>21276031946</v>
      </c>
      <c r="Q330" s="23">
        <f>220818209064+108990195221</f>
        <v>329808404285</v>
      </c>
      <c r="R330" s="25">
        <f t="shared" si="71"/>
        <v>1736765375884</v>
      </c>
      <c r="S330" s="26">
        <f t="shared" si="72"/>
        <v>0.36099176935939586</v>
      </c>
      <c r="T330" s="27">
        <f t="shared" si="73"/>
        <v>1.3510973227642606</v>
      </c>
      <c r="U330" s="26">
        <f t="shared" si="74"/>
        <v>28.050744231384833</v>
      </c>
      <c r="V330" s="26">
        <f t="shared" si="75"/>
        <v>4.0410339138294837</v>
      </c>
      <c r="W330" s="93">
        <v>45781</v>
      </c>
      <c r="X330" s="42">
        <v>4500</v>
      </c>
      <c r="Y330" s="91">
        <v>18600</v>
      </c>
      <c r="Z330" s="30">
        <f t="shared" si="103"/>
        <v>83700000</v>
      </c>
      <c r="AA330" s="31">
        <f t="shared" si="77"/>
        <v>27</v>
      </c>
      <c r="AB330" s="32">
        <v>3.15E-2</v>
      </c>
      <c r="AC330" s="32">
        <v>8.0199999999999994E-2</v>
      </c>
      <c r="AD330" s="33">
        <f t="shared" si="78"/>
        <v>0.12495365471376835</v>
      </c>
      <c r="AE330" s="34">
        <f t="shared" si="79"/>
        <v>1.3983220330020921E-2</v>
      </c>
      <c r="AF330" s="33">
        <f t="shared" si="80"/>
        <v>1.1414521737030661</v>
      </c>
      <c r="AG330" s="33">
        <f t="shared" si="81"/>
        <v>1.5238587915657856E-4</v>
      </c>
      <c r="AH330" s="35">
        <f t="shared" si="82"/>
        <v>3.7624451891635244</v>
      </c>
      <c r="AI330" s="36">
        <f t="shared" si="83"/>
        <v>7.6988496880296875</v>
      </c>
      <c r="AJ330" s="23"/>
      <c r="AK330" s="23"/>
      <c r="AL330" s="44"/>
      <c r="AM330" s="44"/>
      <c r="AN330" s="44"/>
      <c r="AO330" s="44"/>
      <c r="AP330" s="44"/>
      <c r="AQ330" s="44"/>
      <c r="AR330" s="44"/>
    </row>
    <row r="331" spans="1:44" ht="16.8">
      <c r="A331" s="64" t="s">
        <v>813</v>
      </c>
      <c r="B331" s="62"/>
      <c r="C331" s="1" t="s">
        <v>810</v>
      </c>
      <c r="D331" s="19" t="s">
        <v>811</v>
      </c>
      <c r="E331" s="20" t="s">
        <v>39</v>
      </c>
      <c r="F331" s="21">
        <v>1995</v>
      </c>
      <c r="G331" s="22">
        <v>2023</v>
      </c>
      <c r="H331" s="23">
        <v>677158886701</v>
      </c>
      <c r="I331" s="23">
        <v>1455319263918</v>
      </c>
      <c r="J331" s="23">
        <v>526245810366</v>
      </c>
      <c r="K331" s="23">
        <f>SUM(J330:J331)/2</f>
        <v>537754650799</v>
      </c>
      <c r="L331" s="23">
        <v>516863125101</v>
      </c>
      <c r="M331" s="23">
        <v>929073453552</v>
      </c>
      <c r="N331" s="23">
        <v>1817969472302</v>
      </c>
      <c r="O331" s="25">
        <f t="shared" si="70"/>
        <v>160295761600</v>
      </c>
      <c r="P331" s="23">
        <v>-31144204873</v>
      </c>
      <c r="Q331" s="23">
        <f>210064540149+91305225289</f>
        <v>301369765438</v>
      </c>
      <c r="R331" s="25">
        <f t="shared" si="71"/>
        <v>1516599706864</v>
      </c>
      <c r="S331" s="26">
        <f t="shared" si="72"/>
        <v>0.36160162475225183</v>
      </c>
      <c r="T331" s="27">
        <f t="shared" si="73"/>
        <v>1.3101319359330901</v>
      </c>
      <c r="U331" s="26">
        <f t="shared" si="74"/>
        <v>28.006246417854975</v>
      </c>
      <c r="V331" s="26">
        <f t="shared" si="75"/>
        <v>3.380667130634476</v>
      </c>
      <c r="W331" s="93">
        <v>45873</v>
      </c>
      <c r="X331" s="42">
        <v>4800</v>
      </c>
      <c r="Y331" s="91">
        <v>11100</v>
      </c>
      <c r="Z331" s="30">
        <f t="shared" si="103"/>
        <v>53280000</v>
      </c>
      <c r="AA331" s="31">
        <f t="shared" si="77"/>
        <v>28</v>
      </c>
      <c r="AB331" s="32">
        <v>3.2500000000000001E-2</v>
      </c>
      <c r="AC331" s="32">
        <v>5.0500000000000003E-2</v>
      </c>
      <c r="AD331" s="33">
        <f t="shared" si="78"/>
        <v>0.1101447397655226</v>
      </c>
      <c r="AE331" s="34">
        <f t="shared" si="79"/>
        <v>-2.1400256043580292E-2</v>
      </c>
      <c r="AF331" s="33">
        <f t="shared" si="80"/>
        <v>1.0421079033758003</v>
      </c>
      <c r="AG331" s="33">
        <f t="shared" si="81"/>
        <v>1.0124546162741735E-4</v>
      </c>
      <c r="AH331" s="35">
        <f t="shared" si="82"/>
        <v>3.4546013222178735</v>
      </c>
      <c r="AI331" s="36">
        <f t="shared" si="83"/>
        <v>6.9958314798926056</v>
      </c>
      <c r="AJ331" s="23"/>
      <c r="AK331" s="23"/>
      <c r="AL331" s="44"/>
      <c r="AM331" s="44"/>
      <c r="AN331" s="44"/>
      <c r="AO331" s="44"/>
      <c r="AP331" s="44"/>
      <c r="AQ331" s="44"/>
      <c r="AR331" s="44"/>
    </row>
    <row r="332" spans="1:44" ht="16.8">
      <c r="A332" s="95" t="s">
        <v>814</v>
      </c>
      <c r="B332" s="96">
        <v>128</v>
      </c>
      <c r="C332" s="96" t="s">
        <v>815</v>
      </c>
      <c r="D332" s="97" t="s">
        <v>816</v>
      </c>
      <c r="E332" s="98" t="s">
        <v>39</v>
      </c>
      <c r="F332" s="99">
        <v>2003</v>
      </c>
      <c r="G332" s="100">
        <v>2021</v>
      </c>
      <c r="H332" s="101">
        <v>359847209708</v>
      </c>
      <c r="I332" s="101">
        <v>375673809970</v>
      </c>
      <c r="J332" s="101">
        <v>34869454012</v>
      </c>
      <c r="K332" s="101">
        <f>(J332+15175783715)/2</f>
        <v>25022618863.5</v>
      </c>
      <c r="L332" s="101">
        <v>34869454012</v>
      </c>
      <c r="M332" s="101">
        <v>340804355958</v>
      </c>
      <c r="N332" s="101">
        <v>89174453337</v>
      </c>
      <c r="O332" s="101">
        <f t="shared" si="70"/>
        <v>324977755696</v>
      </c>
      <c r="P332" s="101">
        <v>38923138299</v>
      </c>
      <c r="Q332" s="101">
        <v>16103907656</v>
      </c>
      <c r="R332" s="101">
        <f t="shared" si="71"/>
        <v>73070545681</v>
      </c>
      <c r="S332" s="102">
        <f t="shared" si="72"/>
        <v>9.2818432072186652E-2</v>
      </c>
      <c r="T332" s="103">
        <f t="shared" si="73"/>
        <v>10.319840671556312</v>
      </c>
      <c r="U332" s="102">
        <f t="shared" si="74"/>
        <v>26.651987077141733</v>
      </c>
      <c r="V332" s="102">
        <f t="shared" si="75"/>
        <v>3.5637538110400193</v>
      </c>
      <c r="W332" s="104"/>
      <c r="X332" s="105">
        <v>0</v>
      </c>
      <c r="Y332" s="104"/>
      <c r="Z332" s="106">
        <f t="shared" si="103"/>
        <v>0</v>
      </c>
      <c r="AA332" s="99">
        <f t="shared" si="77"/>
        <v>18</v>
      </c>
      <c r="AB332" s="107">
        <v>1.84E-2</v>
      </c>
      <c r="AC332" s="107">
        <v>2.58E-2</v>
      </c>
      <c r="AD332" s="102">
        <f t="shared" si="78"/>
        <v>0.86505299829645188</v>
      </c>
      <c r="AE332" s="108">
        <f t="shared" si="79"/>
        <v>0.1036088682948334</v>
      </c>
      <c r="AF332" s="102">
        <f t="shared" si="80"/>
        <v>0.19450529619521562</v>
      </c>
      <c r="AG332" s="102">
        <f t="shared" si="81"/>
        <v>0</v>
      </c>
      <c r="AH332" s="109">
        <f t="shared" si="82"/>
        <v>2.5573802591320023</v>
      </c>
      <c r="AI332" s="110">
        <f t="shared" si="83"/>
        <v>4.382363750144723</v>
      </c>
      <c r="AJ332" s="101" t="s">
        <v>136</v>
      </c>
      <c r="AK332" s="101"/>
      <c r="AL332" s="111"/>
      <c r="AM332" s="111"/>
      <c r="AN332" s="111"/>
      <c r="AO332" s="111"/>
      <c r="AP332" s="111"/>
      <c r="AQ332" s="111"/>
      <c r="AR332" s="111"/>
    </row>
    <row r="333" spans="1:44" ht="16.8">
      <c r="A333" s="95" t="s">
        <v>817</v>
      </c>
      <c r="B333" s="96"/>
      <c r="C333" s="96" t="s">
        <v>815</v>
      </c>
      <c r="D333" s="97" t="s">
        <v>816</v>
      </c>
      <c r="E333" s="98" t="s">
        <v>39</v>
      </c>
      <c r="F333" s="99">
        <v>2003</v>
      </c>
      <c r="G333" s="100">
        <v>2022</v>
      </c>
      <c r="H333" s="101">
        <v>236649364920</v>
      </c>
      <c r="I333" s="101">
        <v>247760191152</v>
      </c>
      <c r="J333" s="101">
        <v>18336123055</v>
      </c>
      <c r="K333" s="101">
        <f t="shared" ref="K333:K334" si="105">SUM(J332:J333)/2</f>
        <v>26602788533.5</v>
      </c>
      <c r="L333" s="101">
        <v>18336123055</v>
      </c>
      <c r="M333" s="101">
        <v>229424063097</v>
      </c>
      <c r="N333" s="101">
        <v>62205110423</v>
      </c>
      <c r="O333" s="101">
        <f t="shared" si="70"/>
        <v>218313241865</v>
      </c>
      <c r="P333" s="101">
        <v>-81036208713</v>
      </c>
      <c r="Q333" s="101">
        <v>15293945242</v>
      </c>
      <c r="R333" s="101">
        <f t="shared" si="71"/>
        <v>46911165181</v>
      </c>
      <c r="S333" s="102">
        <f t="shared" si="72"/>
        <v>7.4007543220496033E-2</v>
      </c>
      <c r="T333" s="103">
        <f t="shared" si="73"/>
        <v>12.906183286955477</v>
      </c>
      <c r="U333" s="102">
        <f t="shared" si="74"/>
        <v>26.235727144131886</v>
      </c>
      <c r="V333" s="102">
        <f t="shared" si="75"/>
        <v>2.3382928577080251</v>
      </c>
      <c r="W333" s="104"/>
      <c r="X333" s="105">
        <v>0</v>
      </c>
      <c r="Y333" s="104"/>
      <c r="Z333" s="106">
        <f t="shared" si="103"/>
        <v>0</v>
      </c>
      <c r="AA333" s="99">
        <f t="shared" si="77"/>
        <v>19</v>
      </c>
      <c r="AB333" s="107">
        <v>3.15E-2</v>
      </c>
      <c r="AC333" s="107">
        <v>8.0199999999999994E-2</v>
      </c>
      <c r="AD333" s="102">
        <f t="shared" si="78"/>
        <v>0.88114737420050504</v>
      </c>
      <c r="AE333" s="108">
        <f t="shared" si="79"/>
        <v>-0.32707517836586014</v>
      </c>
      <c r="AF333" s="102">
        <f t="shared" si="80"/>
        <v>0.18934101141462298</v>
      </c>
      <c r="AG333" s="102">
        <f t="shared" si="81"/>
        <v>0</v>
      </c>
      <c r="AH333" s="109">
        <f t="shared" si="82"/>
        <v>3.3924897993110683</v>
      </c>
      <c r="AI333" s="110">
        <f t="shared" si="83"/>
        <v>4.6167867363077253</v>
      </c>
      <c r="AJ333" s="101" t="s">
        <v>136</v>
      </c>
      <c r="AK333" s="101"/>
      <c r="AL333" s="111"/>
      <c r="AM333" s="111"/>
      <c r="AN333" s="111"/>
      <c r="AO333" s="111"/>
      <c r="AP333" s="111"/>
      <c r="AQ333" s="111"/>
      <c r="AR333" s="111"/>
    </row>
    <row r="334" spans="1:44" ht="16.8">
      <c r="A334" s="95" t="s">
        <v>818</v>
      </c>
      <c r="B334" s="96"/>
      <c r="C334" s="96" t="s">
        <v>815</v>
      </c>
      <c r="D334" s="97" t="s">
        <v>816</v>
      </c>
      <c r="E334" s="98" t="s">
        <v>39</v>
      </c>
      <c r="F334" s="99">
        <v>2003</v>
      </c>
      <c r="G334" s="100">
        <v>2023</v>
      </c>
      <c r="H334" s="101">
        <v>263287797204</v>
      </c>
      <c r="I334" s="101">
        <v>272749894955</v>
      </c>
      <c r="J334" s="101">
        <v>9817921735</v>
      </c>
      <c r="K334" s="101">
        <f t="shared" si="105"/>
        <v>14077022395</v>
      </c>
      <c r="L334" s="101">
        <v>9817921735</v>
      </c>
      <c r="M334" s="101">
        <v>262931973220</v>
      </c>
      <c r="N334" s="101">
        <v>104038074710</v>
      </c>
      <c r="O334" s="101">
        <f t="shared" si="70"/>
        <v>253469875469</v>
      </c>
      <c r="P334" s="101">
        <v>33507910123</v>
      </c>
      <c r="Q334" s="101">
        <v>15154912217</v>
      </c>
      <c r="R334" s="101">
        <f t="shared" si="71"/>
        <v>88883162493</v>
      </c>
      <c r="S334" s="102">
        <f t="shared" si="72"/>
        <v>3.5996060554376465E-2</v>
      </c>
      <c r="T334" s="103">
        <f t="shared" si="73"/>
        <v>26.817060097902687</v>
      </c>
      <c r="U334" s="102">
        <f t="shared" si="74"/>
        <v>26.331821076526612</v>
      </c>
      <c r="V334" s="102">
        <f t="shared" si="75"/>
        <v>7.3906307591691514</v>
      </c>
      <c r="W334" s="104"/>
      <c r="X334" s="105">
        <v>0</v>
      </c>
      <c r="Y334" s="104"/>
      <c r="Z334" s="106">
        <f t="shared" si="103"/>
        <v>0</v>
      </c>
      <c r="AA334" s="99">
        <f t="shared" si="77"/>
        <v>20</v>
      </c>
      <c r="AB334" s="107">
        <v>3.2500000000000001E-2</v>
      </c>
      <c r="AC334" s="107">
        <v>5.0500000000000003E-2</v>
      </c>
      <c r="AD334" s="102">
        <f t="shared" si="78"/>
        <v>0.92931245862008149</v>
      </c>
      <c r="AE334" s="108">
        <f t="shared" si="79"/>
        <v>0.12285214675711735</v>
      </c>
      <c r="AF334" s="102">
        <f t="shared" si="80"/>
        <v>0.32587789816624679</v>
      </c>
      <c r="AG334" s="102">
        <f t="shared" si="81"/>
        <v>0</v>
      </c>
      <c r="AH334" s="109">
        <f t="shared" si="82"/>
        <v>10.596751279765625</v>
      </c>
      <c r="AI334" s="110">
        <f t="shared" si="83"/>
        <v>12.959316299518301</v>
      </c>
      <c r="AJ334" s="101" t="s">
        <v>136</v>
      </c>
      <c r="AK334" s="101"/>
      <c r="AL334" s="111"/>
      <c r="AM334" s="111"/>
      <c r="AN334" s="111"/>
      <c r="AO334" s="111"/>
      <c r="AP334" s="111"/>
      <c r="AQ334" s="111"/>
      <c r="AR334" s="111"/>
    </row>
    <row r="335" spans="1:44" ht="16.8">
      <c r="A335" s="64" t="s">
        <v>819</v>
      </c>
      <c r="B335" s="62">
        <v>129</v>
      </c>
      <c r="C335" s="1" t="s">
        <v>820</v>
      </c>
      <c r="D335" s="19" t="s">
        <v>821</v>
      </c>
      <c r="E335" s="20" t="s">
        <v>39</v>
      </c>
      <c r="F335" s="21">
        <v>2008</v>
      </c>
      <c r="G335" s="22">
        <v>2021</v>
      </c>
      <c r="H335" s="23">
        <v>8600932524</v>
      </c>
      <c r="I335" s="23">
        <v>34809052909</v>
      </c>
      <c r="J335" s="23">
        <v>11113650969</v>
      </c>
      <c r="K335" s="23">
        <f>(J335+9704486593)/2</f>
        <v>10409068781</v>
      </c>
      <c r="L335" s="23">
        <v>11113650969</v>
      </c>
      <c r="M335" s="23">
        <v>23695401940</v>
      </c>
      <c r="N335" s="23">
        <v>4260000000</v>
      </c>
      <c r="O335" s="25">
        <f t="shared" si="70"/>
        <v>-2512718445</v>
      </c>
      <c r="P335" s="23">
        <v>249864921</v>
      </c>
      <c r="Q335" s="23">
        <v>1225475649</v>
      </c>
      <c r="R335" s="25">
        <f t="shared" si="71"/>
        <v>3034524351</v>
      </c>
      <c r="S335" s="26">
        <f t="shared" si="72"/>
        <v>0.31927472999779682</v>
      </c>
      <c r="T335" s="27">
        <f t="shared" si="73"/>
        <v>0.77390702191306149</v>
      </c>
      <c r="U335" s="26">
        <f t="shared" si="74"/>
        <v>24.27314333095924</v>
      </c>
      <c r="V335" s="26">
        <f t="shared" si="75"/>
        <v>0.40925851194065616</v>
      </c>
      <c r="W335" s="93">
        <v>45726</v>
      </c>
      <c r="X335" s="42">
        <v>10300</v>
      </c>
      <c r="Y335" s="91"/>
      <c r="Z335" s="30">
        <f t="shared" si="103"/>
        <v>0</v>
      </c>
      <c r="AA335" s="31">
        <f t="shared" si="77"/>
        <v>13</v>
      </c>
      <c r="AB335" s="32">
        <v>1.84E-2</v>
      </c>
      <c r="AC335" s="32">
        <v>2.58E-2</v>
      </c>
      <c r="AD335" s="33">
        <f t="shared" si="78"/>
        <v>-7.2185774533105096E-2</v>
      </c>
      <c r="AE335" s="34">
        <f t="shared" si="79"/>
        <v>7.1781591315688044E-3</v>
      </c>
      <c r="AF335" s="33">
        <f t="shared" si="80"/>
        <v>8.7176297468737313E-2</v>
      </c>
      <c r="AG335" s="33">
        <f t="shared" si="81"/>
        <v>0</v>
      </c>
      <c r="AH335" s="35">
        <f t="shared" si="82"/>
        <v>0.3833123796925676</v>
      </c>
      <c r="AI335" s="36">
        <f t="shared" si="83"/>
        <v>0.59442065468387084</v>
      </c>
      <c r="AJ335" s="23" t="s">
        <v>136</v>
      </c>
      <c r="AK335" s="23"/>
      <c r="AL335" s="44"/>
      <c r="AM335" s="44"/>
      <c r="AN335" s="44"/>
      <c r="AO335" s="44"/>
      <c r="AP335" s="44"/>
      <c r="AQ335" s="44"/>
      <c r="AR335" s="44"/>
    </row>
    <row r="336" spans="1:44" ht="16.8">
      <c r="A336" s="64" t="s">
        <v>822</v>
      </c>
      <c r="B336" s="62"/>
      <c r="C336" s="1" t="s">
        <v>820</v>
      </c>
      <c r="D336" s="19" t="s">
        <v>821</v>
      </c>
      <c r="E336" s="20" t="s">
        <v>39</v>
      </c>
      <c r="F336" s="21">
        <v>2008</v>
      </c>
      <c r="G336" s="22">
        <v>2022</v>
      </c>
      <c r="H336" s="23">
        <v>38082899026</v>
      </c>
      <c r="I336" s="23">
        <v>54181632785</v>
      </c>
      <c r="J336" s="23">
        <v>16109971179</v>
      </c>
      <c r="K336" s="23">
        <f t="shared" ref="K336:K337" si="106">SUM(J335:J336)/2</f>
        <v>13611811074</v>
      </c>
      <c r="L336" s="23">
        <v>16109971179</v>
      </c>
      <c r="M336" s="23">
        <v>38071661606</v>
      </c>
      <c r="N336" s="23">
        <v>90625944423</v>
      </c>
      <c r="O336" s="25">
        <f t="shared" si="70"/>
        <v>21972927847</v>
      </c>
      <c r="P336" s="23">
        <v>14376259666</v>
      </c>
      <c r="Q336" s="23">
        <v>9372007798</v>
      </c>
      <c r="R336" s="25">
        <f t="shared" si="71"/>
        <v>81253936625</v>
      </c>
      <c r="S336" s="26">
        <f t="shared" si="72"/>
        <v>0.29733270023305741</v>
      </c>
      <c r="T336" s="27">
        <f t="shared" si="73"/>
        <v>2.3639334051474035</v>
      </c>
      <c r="U336" s="26">
        <f t="shared" si="74"/>
        <v>24.71560780945418</v>
      </c>
      <c r="V336" s="26">
        <f t="shared" si="75"/>
        <v>6.6578902638536581</v>
      </c>
      <c r="W336" s="91" t="s">
        <v>823</v>
      </c>
      <c r="X336" s="29">
        <v>37200</v>
      </c>
      <c r="Y336" s="91"/>
      <c r="Z336" s="30">
        <f t="shared" si="103"/>
        <v>0</v>
      </c>
      <c r="AA336" s="31">
        <f t="shared" si="77"/>
        <v>14</v>
      </c>
      <c r="AB336" s="32">
        <v>3.15E-2</v>
      </c>
      <c r="AC336" s="32">
        <v>8.0199999999999994E-2</v>
      </c>
      <c r="AD336" s="33">
        <f t="shared" si="78"/>
        <v>0.40554200229054616</v>
      </c>
      <c r="AE336" s="34">
        <f t="shared" si="79"/>
        <v>0.26533455946311052</v>
      </c>
      <c r="AF336" s="33">
        <f t="shared" si="80"/>
        <v>1.4996583242041919</v>
      </c>
      <c r="AG336" s="33">
        <f t="shared" si="81"/>
        <v>0</v>
      </c>
      <c r="AH336" s="35">
        <f t="shared" si="82"/>
        <v>5.6254566452070742</v>
      </c>
      <c r="AI336" s="36">
        <f t="shared" si="83"/>
        <v>11.432447901077918</v>
      </c>
      <c r="AJ336" s="23" t="s">
        <v>136</v>
      </c>
      <c r="AK336" s="23"/>
      <c r="AL336" s="44"/>
      <c r="AM336" s="44"/>
      <c r="AN336" s="44"/>
      <c r="AO336" s="44"/>
      <c r="AP336" s="44"/>
      <c r="AQ336" s="44"/>
      <c r="AR336" s="44"/>
    </row>
    <row r="337" spans="1:44" ht="16.8">
      <c r="A337" s="64" t="s">
        <v>824</v>
      </c>
      <c r="B337" s="62"/>
      <c r="C337" s="1" t="s">
        <v>820</v>
      </c>
      <c r="D337" s="19" t="s">
        <v>821</v>
      </c>
      <c r="E337" s="20" t="s">
        <v>39</v>
      </c>
      <c r="F337" s="21">
        <v>2008</v>
      </c>
      <c r="G337" s="22">
        <v>2023</v>
      </c>
      <c r="H337" s="23">
        <v>48075437504</v>
      </c>
      <c r="I337" s="23">
        <v>62454426468</v>
      </c>
      <c r="J337" s="23">
        <v>23736267065</v>
      </c>
      <c r="K337" s="23">
        <f t="shared" si="106"/>
        <v>19923119122</v>
      </c>
      <c r="L337" s="23">
        <v>23736267065</v>
      </c>
      <c r="M337" s="23">
        <v>38718159403</v>
      </c>
      <c r="N337" s="23">
        <v>5981482080</v>
      </c>
      <c r="O337" s="25">
        <f t="shared" si="70"/>
        <v>24339170439</v>
      </c>
      <c r="P337" s="23">
        <v>646497797</v>
      </c>
      <c r="Q337" s="23">
        <v>909675541</v>
      </c>
      <c r="R337" s="25">
        <f t="shared" si="71"/>
        <v>5071806539</v>
      </c>
      <c r="S337" s="26">
        <f t="shared" si="72"/>
        <v>0.38005740197072879</v>
      </c>
      <c r="T337" s="27">
        <f t="shared" si="73"/>
        <v>2.025400092287005</v>
      </c>
      <c r="U337" s="26">
        <f t="shared" si="74"/>
        <v>24.85770295119827</v>
      </c>
      <c r="V337" s="26">
        <f t="shared" si="75"/>
        <v>0.30022819435913423</v>
      </c>
      <c r="W337" s="91" t="s">
        <v>825</v>
      </c>
      <c r="X337" s="29">
        <v>12000</v>
      </c>
      <c r="Y337" s="91"/>
      <c r="Z337" s="30">
        <f t="shared" si="103"/>
        <v>0</v>
      </c>
      <c r="AA337" s="31">
        <f t="shared" si="77"/>
        <v>15</v>
      </c>
      <c r="AB337" s="32">
        <v>3.2500000000000001E-2</v>
      </c>
      <c r="AC337" s="32">
        <v>5.0500000000000003E-2</v>
      </c>
      <c r="AD337" s="33">
        <f t="shared" si="78"/>
        <v>0.38971089505514472</v>
      </c>
      <c r="AE337" s="34">
        <f t="shared" si="79"/>
        <v>1.0351512832020775E-2</v>
      </c>
      <c r="AF337" s="33">
        <f t="shared" si="80"/>
        <v>8.1208119677452478E-2</v>
      </c>
      <c r="AG337" s="33">
        <f t="shared" si="81"/>
        <v>0</v>
      </c>
      <c r="AH337" s="35">
        <f t="shared" si="82"/>
        <v>0.2519975893269214</v>
      </c>
      <c r="AI337" s="36">
        <f t="shared" si="83"/>
        <v>1.0021295762935174</v>
      </c>
      <c r="AJ337" s="23" t="s">
        <v>136</v>
      </c>
      <c r="AK337" s="23"/>
      <c r="AL337" s="44"/>
      <c r="AM337" s="44"/>
      <c r="AN337" s="44"/>
      <c r="AO337" s="44"/>
      <c r="AP337" s="44"/>
      <c r="AQ337" s="44"/>
      <c r="AR337" s="44"/>
    </row>
    <row r="338" spans="1:44" ht="16.8">
      <c r="A338" s="45"/>
      <c r="B338" s="45">
        <v>130</v>
      </c>
      <c r="C338" s="45" t="s">
        <v>826</v>
      </c>
      <c r="D338" s="46" t="s">
        <v>827</v>
      </c>
      <c r="E338" s="47" t="s">
        <v>39</v>
      </c>
      <c r="F338" s="48"/>
      <c r="G338" s="48"/>
      <c r="H338" s="49"/>
      <c r="I338" s="49"/>
      <c r="J338" s="49"/>
      <c r="K338" s="49"/>
      <c r="L338" s="49"/>
      <c r="M338" s="49"/>
      <c r="N338" s="49"/>
      <c r="O338" s="49">
        <f t="shared" si="70"/>
        <v>0</v>
      </c>
      <c r="P338" s="49"/>
      <c r="Q338" s="49"/>
      <c r="R338" s="49">
        <f t="shared" si="71"/>
        <v>0</v>
      </c>
      <c r="S338" s="50" t="e">
        <f t="shared" si="72"/>
        <v>#DIV/0!</v>
      </c>
      <c r="T338" s="51" t="e">
        <f t="shared" si="73"/>
        <v>#DIV/0!</v>
      </c>
      <c r="U338" s="50" t="e">
        <f t="shared" si="74"/>
        <v>#NUM!</v>
      </c>
      <c r="V338" s="50" t="e">
        <f t="shared" si="75"/>
        <v>#DIV/0!</v>
      </c>
      <c r="W338" s="52"/>
      <c r="X338" s="53">
        <v>0</v>
      </c>
      <c r="Y338" s="52"/>
      <c r="Z338" s="55">
        <f t="shared" si="103"/>
        <v>0</v>
      </c>
      <c r="AA338" s="48">
        <f t="shared" si="77"/>
        <v>0</v>
      </c>
      <c r="AB338" s="49"/>
      <c r="AC338" s="49"/>
      <c r="AD338" s="50" t="e">
        <f t="shared" si="78"/>
        <v>#DIV/0!</v>
      </c>
      <c r="AE338" s="56" t="e">
        <f t="shared" si="79"/>
        <v>#DIV/0!</v>
      </c>
      <c r="AF338" s="50" t="e">
        <f t="shared" si="80"/>
        <v>#DIV/0!</v>
      </c>
      <c r="AG338" s="50" t="e">
        <f t="shared" si="81"/>
        <v>#DIV/0!</v>
      </c>
      <c r="AH338" s="57" t="e">
        <f t="shared" si="82"/>
        <v>#DIV/0!</v>
      </c>
      <c r="AI338" s="58" t="e">
        <f t="shared" si="83"/>
        <v>#DIV/0!</v>
      </c>
      <c r="AJ338" s="49"/>
      <c r="AK338" s="49"/>
      <c r="AL338" s="59"/>
      <c r="AM338" s="59"/>
      <c r="AN338" s="59"/>
      <c r="AO338" s="59"/>
      <c r="AP338" s="59"/>
      <c r="AQ338" s="59"/>
      <c r="AR338" s="59"/>
    </row>
    <row r="339" spans="1:44" ht="16.8">
      <c r="A339" s="45"/>
      <c r="B339" s="45">
        <v>131</v>
      </c>
      <c r="C339" s="45" t="s">
        <v>828</v>
      </c>
      <c r="D339" s="46" t="s">
        <v>829</v>
      </c>
      <c r="E339" s="47" t="s">
        <v>39</v>
      </c>
      <c r="F339" s="48"/>
      <c r="G339" s="48"/>
      <c r="H339" s="49"/>
      <c r="I339" s="49"/>
      <c r="J339" s="49"/>
      <c r="K339" s="49"/>
      <c r="L339" s="49"/>
      <c r="M339" s="49"/>
      <c r="N339" s="49"/>
      <c r="O339" s="49">
        <f t="shared" si="70"/>
        <v>0</v>
      </c>
      <c r="P339" s="49"/>
      <c r="Q339" s="49"/>
      <c r="R339" s="49">
        <f t="shared" si="71"/>
        <v>0</v>
      </c>
      <c r="S339" s="50" t="e">
        <f t="shared" si="72"/>
        <v>#DIV/0!</v>
      </c>
      <c r="T339" s="51" t="e">
        <f t="shared" si="73"/>
        <v>#DIV/0!</v>
      </c>
      <c r="U339" s="50" t="e">
        <f t="shared" si="74"/>
        <v>#NUM!</v>
      </c>
      <c r="V339" s="50" t="e">
        <f t="shared" si="75"/>
        <v>#DIV/0!</v>
      </c>
      <c r="W339" s="52"/>
      <c r="X339" s="53">
        <v>0</v>
      </c>
      <c r="Y339" s="52"/>
      <c r="Z339" s="55">
        <f t="shared" si="103"/>
        <v>0</v>
      </c>
      <c r="AA339" s="48">
        <f t="shared" si="77"/>
        <v>0</v>
      </c>
      <c r="AB339" s="49"/>
      <c r="AC339" s="49"/>
      <c r="AD339" s="50" t="e">
        <f t="shared" si="78"/>
        <v>#DIV/0!</v>
      </c>
      <c r="AE339" s="56" t="e">
        <f t="shared" si="79"/>
        <v>#DIV/0!</v>
      </c>
      <c r="AF339" s="50" t="e">
        <f t="shared" si="80"/>
        <v>#DIV/0!</v>
      </c>
      <c r="AG339" s="50" t="e">
        <f t="shared" si="81"/>
        <v>#DIV/0!</v>
      </c>
      <c r="AH339" s="57" t="e">
        <f t="shared" si="82"/>
        <v>#DIV/0!</v>
      </c>
      <c r="AI339" s="58" t="e">
        <f t="shared" si="83"/>
        <v>#DIV/0!</v>
      </c>
      <c r="AJ339" s="49"/>
      <c r="AK339" s="49"/>
      <c r="AL339" s="59"/>
      <c r="AM339" s="59"/>
      <c r="AN339" s="59"/>
      <c r="AO339" s="59"/>
      <c r="AP339" s="59"/>
      <c r="AQ339" s="59"/>
      <c r="AR339" s="59"/>
    </row>
    <row r="340" spans="1:44" ht="16.8">
      <c r="A340" s="45"/>
      <c r="B340" s="45">
        <v>132</v>
      </c>
      <c r="C340" s="45" t="s">
        <v>830</v>
      </c>
      <c r="D340" s="46" t="s">
        <v>831</v>
      </c>
      <c r="E340" s="47" t="s">
        <v>39</v>
      </c>
      <c r="F340" s="48"/>
      <c r="G340" s="48"/>
      <c r="H340" s="49"/>
      <c r="I340" s="49"/>
      <c r="J340" s="49"/>
      <c r="K340" s="49"/>
      <c r="L340" s="49"/>
      <c r="M340" s="49"/>
      <c r="N340" s="49"/>
      <c r="O340" s="49">
        <f t="shared" si="70"/>
        <v>0</v>
      </c>
      <c r="P340" s="49"/>
      <c r="Q340" s="49"/>
      <c r="R340" s="49">
        <f t="shared" si="71"/>
        <v>0</v>
      </c>
      <c r="S340" s="50" t="e">
        <f t="shared" si="72"/>
        <v>#DIV/0!</v>
      </c>
      <c r="T340" s="51" t="e">
        <f t="shared" si="73"/>
        <v>#DIV/0!</v>
      </c>
      <c r="U340" s="50" t="e">
        <f t="shared" si="74"/>
        <v>#NUM!</v>
      </c>
      <c r="V340" s="50" t="e">
        <f t="shared" si="75"/>
        <v>#DIV/0!</v>
      </c>
      <c r="W340" s="52" t="s">
        <v>825</v>
      </c>
      <c r="X340" s="53">
        <v>12000</v>
      </c>
      <c r="Y340" s="52"/>
      <c r="Z340" s="55">
        <f t="shared" si="103"/>
        <v>0</v>
      </c>
      <c r="AA340" s="48">
        <f t="shared" si="77"/>
        <v>0</v>
      </c>
      <c r="AB340" s="49"/>
      <c r="AC340" s="49"/>
      <c r="AD340" s="50" t="e">
        <f t="shared" si="78"/>
        <v>#DIV/0!</v>
      </c>
      <c r="AE340" s="56" t="e">
        <f t="shared" si="79"/>
        <v>#DIV/0!</v>
      </c>
      <c r="AF340" s="50" t="e">
        <f t="shared" si="80"/>
        <v>#DIV/0!</v>
      </c>
      <c r="AG340" s="50" t="e">
        <f t="shared" si="81"/>
        <v>#DIV/0!</v>
      </c>
      <c r="AH340" s="57" t="e">
        <f t="shared" si="82"/>
        <v>#DIV/0!</v>
      </c>
      <c r="AI340" s="58" t="e">
        <f t="shared" si="83"/>
        <v>#DIV/0!</v>
      </c>
      <c r="AJ340" s="49"/>
      <c r="AK340" s="49"/>
      <c r="AL340" s="59"/>
      <c r="AM340" s="59"/>
      <c r="AN340" s="59"/>
      <c r="AO340" s="59"/>
      <c r="AP340" s="59"/>
      <c r="AQ340" s="59"/>
      <c r="AR340" s="59"/>
    </row>
    <row r="341" spans="1:44" ht="16.8">
      <c r="A341" s="95" t="s">
        <v>832</v>
      </c>
      <c r="B341" s="96">
        <v>133</v>
      </c>
      <c r="C341" s="96" t="s">
        <v>833</v>
      </c>
      <c r="D341" s="97" t="s">
        <v>834</v>
      </c>
      <c r="E341" s="98" t="s">
        <v>39</v>
      </c>
      <c r="F341" s="99">
        <v>2005</v>
      </c>
      <c r="G341" s="100">
        <v>2021</v>
      </c>
      <c r="H341" s="101">
        <v>31124122795</v>
      </c>
      <c r="I341" s="101">
        <v>56153812906</v>
      </c>
      <c r="J341" s="101">
        <v>37195871119</v>
      </c>
      <c r="K341" s="101">
        <f>(J341+34661765534)/2</f>
        <v>35928818326.5</v>
      </c>
      <c r="L341" s="101">
        <v>21668871119</v>
      </c>
      <c r="M341" s="101">
        <v>18957941787</v>
      </c>
      <c r="N341" s="101">
        <v>89585575923</v>
      </c>
      <c r="O341" s="101">
        <f t="shared" si="70"/>
        <v>9455251676</v>
      </c>
      <c r="P341" s="101">
        <v>807501380</v>
      </c>
      <c r="Q341" s="101">
        <f>404032118+3791249320</f>
        <v>4195281438</v>
      </c>
      <c r="R341" s="101">
        <f t="shared" si="71"/>
        <v>85390294485</v>
      </c>
      <c r="S341" s="102">
        <f t="shared" si="72"/>
        <v>0.66239261759953694</v>
      </c>
      <c r="T341" s="103">
        <f t="shared" si="73"/>
        <v>1.4363518350390352</v>
      </c>
      <c r="U341" s="102">
        <f t="shared" si="74"/>
        <v>24.751360421542206</v>
      </c>
      <c r="V341" s="102">
        <f t="shared" si="75"/>
        <v>2.4934183782193697</v>
      </c>
      <c r="W341" s="104"/>
      <c r="X341" s="105">
        <v>0</v>
      </c>
      <c r="Y341" s="104"/>
      <c r="Z341" s="106">
        <f t="shared" si="103"/>
        <v>0</v>
      </c>
      <c r="AA341" s="99">
        <f t="shared" si="77"/>
        <v>16</v>
      </c>
      <c r="AB341" s="107">
        <v>1.84E-2</v>
      </c>
      <c r="AC341" s="107">
        <v>2.58E-2</v>
      </c>
      <c r="AD341" s="102">
        <f t="shared" si="78"/>
        <v>0.16838129392616386</v>
      </c>
      <c r="AE341" s="108">
        <f t="shared" si="79"/>
        <v>1.438017007592585E-2</v>
      </c>
      <c r="AF341" s="102">
        <f t="shared" si="80"/>
        <v>1.5206499802238025</v>
      </c>
      <c r="AG341" s="102">
        <f t="shared" si="81"/>
        <v>0</v>
      </c>
      <c r="AH341" s="109">
        <f t="shared" si="82"/>
        <v>2.4084817273506158</v>
      </c>
      <c r="AI341" s="110">
        <f t="shared" si="83"/>
        <v>7.648816452906857</v>
      </c>
      <c r="AJ341" s="101"/>
      <c r="AK341" s="101"/>
      <c r="AL341" s="111"/>
      <c r="AM341" s="111"/>
      <c r="AN341" s="111"/>
      <c r="AO341" s="111"/>
      <c r="AP341" s="111"/>
      <c r="AQ341" s="111"/>
      <c r="AR341" s="111"/>
    </row>
    <row r="342" spans="1:44" ht="16.8">
      <c r="A342" s="95" t="s">
        <v>835</v>
      </c>
      <c r="B342" s="96"/>
      <c r="C342" s="96" t="s">
        <v>833</v>
      </c>
      <c r="D342" s="97" t="s">
        <v>834</v>
      </c>
      <c r="E342" s="98" t="s">
        <v>39</v>
      </c>
      <c r="F342" s="99">
        <v>2005</v>
      </c>
      <c r="G342" s="100">
        <v>2022</v>
      </c>
      <c r="H342" s="101">
        <v>37159407205</v>
      </c>
      <c r="I342" s="101">
        <v>62742028052</v>
      </c>
      <c r="J342" s="101">
        <v>44031114563</v>
      </c>
      <c r="K342" s="101">
        <f t="shared" ref="K342:K343" si="107">SUM(J341:J342)/2</f>
        <v>40613492841</v>
      </c>
      <c r="L342" s="101">
        <v>26458514563</v>
      </c>
      <c r="M342" s="101">
        <v>18710913489</v>
      </c>
      <c r="N342" s="101">
        <v>91004820928</v>
      </c>
      <c r="O342" s="101">
        <f t="shared" si="70"/>
        <v>10700892642</v>
      </c>
      <c r="P342" s="101">
        <v>1341411702</v>
      </c>
      <c r="Q342" s="101">
        <f>475155931+4294538836</f>
        <v>4769694767</v>
      </c>
      <c r="R342" s="101">
        <f t="shared" si="71"/>
        <v>86235126161</v>
      </c>
      <c r="S342" s="102">
        <f t="shared" si="72"/>
        <v>0.70178022499539583</v>
      </c>
      <c r="T342" s="103">
        <f t="shared" si="73"/>
        <v>1.4044404162040258</v>
      </c>
      <c r="U342" s="102">
        <f t="shared" si="74"/>
        <v>24.862297363891642</v>
      </c>
      <c r="V342" s="102">
        <f t="shared" si="75"/>
        <v>2.2407533694351232</v>
      </c>
      <c r="W342" s="104"/>
      <c r="X342" s="105">
        <v>0</v>
      </c>
      <c r="Y342" s="104"/>
      <c r="Z342" s="106">
        <f t="shared" si="103"/>
        <v>0</v>
      </c>
      <c r="AA342" s="99">
        <f t="shared" si="77"/>
        <v>17</v>
      </c>
      <c r="AB342" s="107">
        <v>3.15E-2</v>
      </c>
      <c r="AC342" s="107">
        <v>8.0199999999999994E-2</v>
      </c>
      <c r="AD342" s="102">
        <f t="shared" si="78"/>
        <v>0.1705538213258137</v>
      </c>
      <c r="AE342" s="108">
        <f t="shared" si="79"/>
        <v>2.1379795069554505E-2</v>
      </c>
      <c r="AF342" s="102">
        <f t="shared" si="80"/>
        <v>1.3744395716620628</v>
      </c>
      <c r="AG342" s="102">
        <f t="shared" si="81"/>
        <v>0</v>
      </c>
      <c r="AH342" s="109">
        <f t="shared" si="82"/>
        <v>2.0668298277525934</v>
      </c>
      <c r="AI342" s="110">
        <f t="shared" si="83"/>
        <v>6.8370767129257537</v>
      </c>
      <c r="AJ342" s="101"/>
      <c r="AK342" s="101"/>
      <c r="AL342" s="111"/>
      <c r="AM342" s="111"/>
      <c r="AN342" s="111"/>
      <c r="AO342" s="111"/>
      <c r="AP342" s="111"/>
      <c r="AQ342" s="111"/>
      <c r="AR342" s="111"/>
    </row>
    <row r="343" spans="1:44" ht="16.8">
      <c r="A343" s="95" t="s">
        <v>836</v>
      </c>
      <c r="B343" s="96"/>
      <c r="C343" s="96" t="s">
        <v>833</v>
      </c>
      <c r="D343" s="97" t="s">
        <v>834</v>
      </c>
      <c r="E343" s="98" t="s">
        <v>39</v>
      </c>
      <c r="F343" s="99">
        <v>2005</v>
      </c>
      <c r="G343" s="100">
        <v>2023</v>
      </c>
      <c r="H343" s="101">
        <v>38144606815</v>
      </c>
      <c r="I343" s="101">
        <v>62448690566</v>
      </c>
      <c r="J343" s="101">
        <v>43335892468</v>
      </c>
      <c r="K343" s="101">
        <f t="shared" si="107"/>
        <v>43683503515.5</v>
      </c>
      <c r="L343" s="101">
        <v>28971600568</v>
      </c>
      <c r="M343" s="101">
        <v>19112798098</v>
      </c>
      <c r="N343" s="101">
        <v>96332304557</v>
      </c>
      <c r="O343" s="101">
        <f t="shared" si="70"/>
        <v>9173006247</v>
      </c>
      <c r="P343" s="101">
        <v>1990324609</v>
      </c>
      <c r="Q343" s="101">
        <f>519173114+4969817846</f>
        <v>5488990960</v>
      </c>
      <c r="R343" s="101">
        <f t="shared" si="71"/>
        <v>90843313597</v>
      </c>
      <c r="S343" s="102">
        <f t="shared" si="72"/>
        <v>0.69394397344808534</v>
      </c>
      <c r="T343" s="103">
        <f t="shared" si="73"/>
        <v>1.3166206238923459</v>
      </c>
      <c r="U343" s="102">
        <f t="shared" si="74"/>
        <v>24.857611105579998</v>
      </c>
      <c r="V343" s="102">
        <f t="shared" si="75"/>
        <v>2.2052330240137192</v>
      </c>
      <c r="W343" s="104"/>
      <c r="X343" s="105">
        <v>0</v>
      </c>
      <c r="Y343" s="104"/>
      <c r="Z343" s="106">
        <f t="shared" si="103"/>
        <v>0</v>
      </c>
      <c r="AA343" s="99">
        <f t="shared" si="77"/>
        <v>18</v>
      </c>
      <c r="AB343" s="107">
        <v>3.2500000000000001E-2</v>
      </c>
      <c r="AC343" s="107">
        <v>5.0500000000000003E-2</v>
      </c>
      <c r="AD343" s="102">
        <f t="shared" si="78"/>
        <v>0.14688868835937155</v>
      </c>
      <c r="AE343" s="108">
        <f t="shared" si="79"/>
        <v>3.1871358565901238E-2</v>
      </c>
      <c r="AF343" s="102">
        <f t="shared" si="80"/>
        <v>1.4546872444185301</v>
      </c>
      <c r="AG343" s="102">
        <f t="shared" si="81"/>
        <v>0</v>
      </c>
      <c r="AH343" s="109">
        <f t="shared" si="82"/>
        <v>2.2229219030883809</v>
      </c>
      <c r="AI343" s="110">
        <f t="shared" si="83"/>
        <v>7.2442761376930367</v>
      </c>
      <c r="AJ343" s="101"/>
      <c r="AK343" s="101"/>
      <c r="AL343" s="111"/>
      <c r="AM343" s="111"/>
      <c r="AN343" s="111"/>
      <c r="AO343" s="111"/>
      <c r="AP343" s="111"/>
      <c r="AQ343" s="111"/>
      <c r="AR343" s="111"/>
    </row>
    <row r="344" spans="1:44" ht="16.8">
      <c r="A344" s="45"/>
      <c r="B344" s="45">
        <v>134</v>
      </c>
      <c r="C344" s="45" t="s">
        <v>837</v>
      </c>
      <c r="D344" s="46" t="s">
        <v>838</v>
      </c>
      <c r="E344" s="47" t="s">
        <v>39</v>
      </c>
      <c r="F344" s="48"/>
      <c r="G344" s="48"/>
      <c r="H344" s="49"/>
      <c r="I344" s="49"/>
      <c r="J344" s="49"/>
      <c r="K344" s="49"/>
      <c r="L344" s="49"/>
      <c r="M344" s="49"/>
      <c r="N344" s="49"/>
      <c r="O344" s="49">
        <f t="shared" si="70"/>
        <v>0</v>
      </c>
      <c r="P344" s="49"/>
      <c r="Q344" s="49"/>
      <c r="R344" s="49">
        <f t="shared" si="71"/>
        <v>0</v>
      </c>
      <c r="S344" s="50" t="e">
        <f t="shared" si="72"/>
        <v>#DIV/0!</v>
      </c>
      <c r="T344" s="51" t="e">
        <f t="shared" si="73"/>
        <v>#DIV/0!</v>
      </c>
      <c r="U344" s="50" t="e">
        <f t="shared" si="74"/>
        <v>#NUM!</v>
      </c>
      <c r="V344" s="50" t="e">
        <f t="shared" si="75"/>
        <v>#DIV/0!</v>
      </c>
      <c r="W344" s="52"/>
      <c r="X344" s="53">
        <v>0</v>
      </c>
      <c r="Y344" s="52"/>
      <c r="Z344" s="55">
        <f t="shared" si="103"/>
        <v>0</v>
      </c>
      <c r="AA344" s="48">
        <f t="shared" si="77"/>
        <v>0</v>
      </c>
      <c r="AB344" s="49"/>
      <c r="AC344" s="49"/>
      <c r="AD344" s="50" t="e">
        <f t="shared" si="78"/>
        <v>#DIV/0!</v>
      </c>
      <c r="AE344" s="56" t="e">
        <f t="shared" si="79"/>
        <v>#DIV/0!</v>
      </c>
      <c r="AF344" s="50" t="e">
        <f t="shared" si="80"/>
        <v>#DIV/0!</v>
      </c>
      <c r="AG344" s="50" t="e">
        <f t="shared" si="81"/>
        <v>#DIV/0!</v>
      </c>
      <c r="AH344" s="57" t="e">
        <f t="shared" si="82"/>
        <v>#DIV/0!</v>
      </c>
      <c r="AI344" s="58" t="e">
        <f t="shared" si="83"/>
        <v>#DIV/0!</v>
      </c>
      <c r="AJ344" s="49"/>
      <c r="AK344" s="49"/>
      <c r="AL344" s="59"/>
      <c r="AM344" s="59"/>
      <c r="AN344" s="59"/>
      <c r="AO344" s="59"/>
      <c r="AP344" s="59"/>
      <c r="AQ344" s="59"/>
      <c r="AR344" s="59"/>
    </row>
    <row r="345" spans="1:44" ht="16.8">
      <c r="A345" s="64" t="s">
        <v>839</v>
      </c>
      <c r="B345" s="62">
        <v>135</v>
      </c>
      <c r="C345" s="1" t="s">
        <v>840</v>
      </c>
      <c r="D345" s="19" t="s">
        <v>841</v>
      </c>
      <c r="E345" s="20" t="s">
        <v>39</v>
      </c>
      <c r="F345" s="21">
        <v>1979</v>
      </c>
      <c r="G345" s="22">
        <v>2021</v>
      </c>
      <c r="H345" s="23">
        <v>186474033257</v>
      </c>
      <c r="I345" s="23">
        <v>593588391817</v>
      </c>
      <c r="J345" s="23">
        <v>307239670440</v>
      </c>
      <c r="K345" s="23">
        <f>(J345+239060354163)/2</f>
        <v>273150012301.5</v>
      </c>
      <c r="L345" s="23">
        <v>196905877602</v>
      </c>
      <c r="M345" s="23">
        <v>273838224007</v>
      </c>
      <c r="N345" s="23">
        <v>1364794132969</v>
      </c>
      <c r="O345" s="25">
        <f t="shared" si="70"/>
        <v>-10431844345</v>
      </c>
      <c r="P345" s="23">
        <v>34711539861</v>
      </c>
      <c r="Q345" s="23">
        <f>33546550141+18292543106</f>
        <v>51839093247</v>
      </c>
      <c r="R345" s="25">
        <f t="shared" si="71"/>
        <v>1312955039722</v>
      </c>
      <c r="S345" s="26">
        <f t="shared" si="72"/>
        <v>0.51759716779421161</v>
      </c>
      <c r="T345" s="27">
        <f t="shared" si="73"/>
        <v>0.94702116324792718</v>
      </c>
      <c r="U345" s="26">
        <f t="shared" si="74"/>
        <v>27.109451973044017</v>
      </c>
      <c r="V345" s="26">
        <f t="shared" si="75"/>
        <v>4.9965003533024008</v>
      </c>
      <c r="W345" s="91" t="s">
        <v>842</v>
      </c>
      <c r="X345" s="29">
        <v>18220</v>
      </c>
      <c r="Y345" s="91">
        <v>200</v>
      </c>
      <c r="Z345" s="30">
        <f t="shared" si="103"/>
        <v>3644000</v>
      </c>
      <c r="AA345" s="31">
        <f t="shared" si="77"/>
        <v>42</v>
      </c>
      <c r="AB345" s="32">
        <v>1.84E-2</v>
      </c>
      <c r="AC345" s="32">
        <v>2.58E-2</v>
      </c>
      <c r="AD345" s="33">
        <f t="shared" si="78"/>
        <v>-1.7574205440688738E-2</v>
      </c>
      <c r="AE345" s="34">
        <f t="shared" si="79"/>
        <v>5.8477457341688334E-2</v>
      </c>
      <c r="AF345" s="33">
        <f t="shared" si="80"/>
        <v>2.2118947368613244</v>
      </c>
      <c r="AG345" s="33">
        <f t="shared" si="81"/>
        <v>1.1860447561284657E-5</v>
      </c>
      <c r="AH345" s="35">
        <f t="shared" si="82"/>
        <v>4.4421155998978552</v>
      </c>
      <c r="AI345" s="36">
        <f t="shared" si="83"/>
        <v>11.802154741558301</v>
      </c>
      <c r="AJ345" s="23"/>
      <c r="AK345" s="23"/>
      <c r="AL345" s="44"/>
      <c r="AM345" s="44"/>
      <c r="AN345" s="44"/>
      <c r="AO345" s="44"/>
      <c r="AP345" s="44"/>
      <c r="AQ345" s="44"/>
      <c r="AR345" s="44"/>
    </row>
    <row r="346" spans="1:44" ht="16.8">
      <c r="A346" s="64" t="s">
        <v>843</v>
      </c>
      <c r="B346" s="62"/>
      <c r="C346" s="1" t="s">
        <v>840</v>
      </c>
      <c r="D346" s="19" t="s">
        <v>841</v>
      </c>
      <c r="E346" s="20" t="s">
        <v>39</v>
      </c>
      <c r="F346" s="21">
        <v>1979</v>
      </c>
      <c r="G346" s="22">
        <v>2022</v>
      </c>
      <c r="H346" s="23">
        <v>238616696068</v>
      </c>
      <c r="I346" s="23">
        <v>619277377184</v>
      </c>
      <c r="J346" s="23">
        <v>326440379294</v>
      </c>
      <c r="K346" s="23">
        <f t="shared" ref="K346:K347" si="108">SUM(J345:J346)/2</f>
        <v>316840024867</v>
      </c>
      <c r="L346" s="23">
        <v>220544855105</v>
      </c>
      <c r="M346" s="23">
        <v>280326500520</v>
      </c>
      <c r="N346" s="23">
        <v>1434340779669</v>
      </c>
      <c r="O346" s="25">
        <f t="shared" si="70"/>
        <v>18071840963</v>
      </c>
      <c r="P346" s="23">
        <v>36442119270</v>
      </c>
      <c r="Q346" s="23">
        <f>36934038093+38373362329</f>
        <v>75307400422</v>
      </c>
      <c r="R346" s="25">
        <f t="shared" si="71"/>
        <v>1359033379247</v>
      </c>
      <c r="S346" s="26">
        <f t="shared" si="72"/>
        <v>0.52713112301696086</v>
      </c>
      <c r="T346" s="27">
        <f t="shared" si="73"/>
        <v>1.0819417934478504</v>
      </c>
      <c r="U346" s="26">
        <f t="shared" si="74"/>
        <v>27.151819114567139</v>
      </c>
      <c r="V346" s="26">
        <f t="shared" si="75"/>
        <v>4.5270188962745266</v>
      </c>
      <c r="W346" s="91" t="s">
        <v>844</v>
      </c>
      <c r="X346" s="29">
        <v>12910</v>
      </c>
      <c r="Y346" s="91">
        <v>0</v>
      </c>
      <c r="Z346" s="30">
        <f t="shared" si="103"/>
        <v>0</v>
      </c>
      <c r="AA346" s="31">
        <f t="shared" si="77"/>
        <v>43</v>
      </c>
      <c r="AB346" s="32">
        <v>3.15E-2</v>
      </c>
      <c r="AC346" s="32">
        <v>8.0199999999999994E-2</v>
      </c>
      <c r="AD346" s="33">
        <f t="shared" si="78"/>
        <v>2.9182142976345939E-2</v>
      </c>
      <c r="AE346" s="34">
        <f t="shared" si="79"/>
        <v>5.8846198186200335E-2</v>
      </c>
      <c r="AF346" s="33">
        <f t="shared" si="80"/>
        <v>2.1945471113878643</v>
      </c>
      <c r="AG346" s="33">
        <f t="shared" si="81"/>
        <v>0</v>
      </c>
      <c r="AH346" s="35">
        <f t="shared" si="82"/>
        <v>4.393882836342371</v>
      </c>
      <c r="AI346" s="36">
        <f t="shared" si="83"/>
        <v>11.753291552954618</v>
      </c>
      <c r="AJ346" s="23"/>
      <c r="AK346" s="23"/>
      <c r="AL346" s="44"/>
      <c r="AM346" s="44"/>
      <c r="AN346" s="44"/>
      <c r="AO346" s="44"/>
      <c r="AP346" s="44"/>
      <c r="AQ346" s="44"/>
      <c r="AR346" s="44"/>
    </row>
    <row r="347" spans="1:44" ht="16.8">
      <c r="A347" s="64" t="s">
        <v>845</v>
      </c>
      <c r="B347" s="62"/>
      <c r="C347" s="1" t="s">
        <v>840</v>
      </c>
      <c r="D347" s="19" t="s">
        <v>841</v>
      </c>
      <c r="E347" s="20" t="s">
        <v>39</v>
      </c>
      <c r="F347" s="21">
        <v>1979</v>
      </c>
      <c r="G347" s="22">
        <v>2023</v>
      </c>
      <c r="H347" s="23">
        <v>276263041607</v>
      </c>
      <c r="I347" s="23">
        <v>596823448567</v>
      </c>
      <c r="J347" s="23">
        <v>287532103428</v>
      </c>
      <c r="K347" s="23">
        <f t="shared" si="108"/>
        <v>306986241361</v>
      </c>
      <c r="L347" s="23">
        <v>183288663682</v>
      </c>
      <c r="M347" s="23">
        <v>296780847769</v>
      </c>
      <c r="N347" s="23">
        <v>1042187407642</v>
      </c>
      <c r="O347" s="25">
        <f t="shared" si="70"/>
        <v>92974377925</v>
      </c>
      <c r="P347" s="23">
        <v>46168682712</v>
      </c>
      <c r="Q347" s="23">
        <f>43917932111+45604187468</f>
        <v>89522119579</v>
      </c>
      <c r="R347" s="25">
        <f t="shared" si="71"/>
        <v>952665288063</v>
      </c>
      <c r="S347" s="26">
        <f t="shared" si="72"/>
        <v>0.48177078852779248</v>
      </c>
      <c r="T347" s="27">
        <f t="shared" si="73"/>
        <v>1.5072565649030405</v>
      </c>
      <c r="U347" s="26">
        <f t="shared" si="74"/>
        <v>27.114887175558415</v>
      </c>
      <c r="V347" s="26">
        <f t="shared" si="75"/>
        <v>3.394899403378933</v>
      </c>
      <c r="W347" s="91" t="s">
        <v>846</v>
      </c>
      <c r="X347" s="29">
        <v>20730</v>
      </c>
      <c r="Y347" s="91">
        <v>2</v>
      </c>
      <c r="Z347" s="30">
        <f t="shared" si="103"/>
        <v>41460</v>
      </c>
      <c r="AA347" s="31">
        <f t="shared" si="77"/>
        <v>44</v>
      </c>
      <c r="AB347" s="32">
        <v>3.2500000000000001E-2</v>
      </c>
      <c r="AC347" s="32">
        <v>5.0500000000000003E-2</v>
      </c>
      <c r="AD347" s="33">
        <f t="shared" si="78"/>
        <v>0.15578204601081891</v>
      </c>
      <c r="AE347" s="34">
        <f t="shared" si="79"/>
        <v>7.7357353875510571E-2</v>
      </c>
      <c r="AF347" s="33">
        <f t="shared" si="80"/>
        <v>1.5962263050327401</v>
      </c>
      <c r="AG347" s="33">
        <f t="shared" si="81"/>
        <v>1.4419259451625674E-7</v>
      </c>
      <c r="AH347" s="35">
        <f t="shared" si="82"/>
        <v>3.6245949416322163</v>
      </c>
      <c r="AI347" s="36">
        <f t="shared" si="83"/>
        <v>9.1873805853945125</v>
      </c>
      <c r="AJ347" s="23"/>
      <c r="AK347" s="23"/>
      <c r="AL347" s="44"/>
      <c r="AM347" s="44"/>
      <c r="AN347" s="44"/>
      <c r="AO347" s="44"/>
      <c r="AP347" s="44"/>
      <c r="AQ347" s="44"/>
      <c r="AR347" s="44"/>
    </row>
    <row r="348" spans="1:44" ht="16.8">
      <c r="A348" s="64" t="s">
        <v>847</v>
      </c>
      <c r="B348" s="62">
        <v>136</v>
      </c>
      <c r="C348" s="1" t="s">
        <v>848</v>
      </c>
      <c r="D348" s="19" t="s">
        <v>849</v>
      </c>
      <c r="E348" s="20" t="s">
        <v>39</v>
      </c>
      <c r="F348" s="21">
        <v>1996</v>
      </c>
      <c r="G348" s="22">
        <v>2021</v>
      </c>
      <c r="H348" s="23">
        <v>1201623242485</v>
      </c>
      <c r="I348" s="23">
        <v>5439007804692</v>
      </c>
      <c r="J348" s="23">
        <v>3103813825061</v>
      </c>
      <c r="K348" s="23">
        <f>(J348+952789490)/2</f>
        <v>1552383307275.5</v>
      </c>
      <c r="L348" s="23">
        <v>349099381520</v>
      </c>
      <c r="M348" s="23">
        <v>2335193979631</v>
      </c>
      <c r="N348" s="23">
        <v>23819833667</v>
      </c>
      <c r="O348" s="25">
        <f t="shared" si="70"/>
        <v>852523860965</v>
      </c>
      <c r="P348" s="23">
        <v>55675197113</v>
      </c>
      <c r="Q348" s="23">
        <f>19668182+6572625360</f>
        <v>6592293542</v>
      </c>
      <c r="R348" s="25">
        <f t="shared" si="71"/>
        <v>17227540125</v>
      </c>
      <c r="S348" s="26">
        <f t="shared" si="72"/>
        <v>0.57065809362940645</v>
      </c>
      <c r="T348" s="27">
        <f t="shared" si="73"/>
        <v>3.4420663744892903</v>
      </c>
      <c r="U348" s="26">
        <f t="shared" si="74"/>
        <v>29.324617771318149</v>
      </c>
      <c r="V348" s="26">
        <f t="shared" si="75"/>
        <v>1.5344041355871599E-2</v>
      </c>
      <c r="W348" s="91" t="s">
        <v>850</v>
      </c>
      <c r="X348" s="29">
        <v>40900</v>
      </c>
      <c r="Y348" s="91">
        <v>5100</v>
      </c>
      <c r="Z348" s="30">
        <f t="shared" si="103"/>
        <v>208590000</v>
      </c>
      <c r="AA348" s="31">
        <f t="shared" si="77"/>
        <v>25</v>
      </c>
      <c r="AB348" s="32">
        <v>1.84E-2</v>
      </c>
      <c r="AC348" s="32">
        <v>2.58E-2</v>
      </c>
      <c r="AD348" s="33">
        <f t="shared" si="78"/>
        <v>0.15674253311965539</v>
      </c>
      <c r="AE348" s="34">
        <f t="shared" si="79"/>
        <v>1.0236278216951883E-2</v>
      </c>
      <c r="AF348" s="33">
        <f t="shared" si="80"/>
        <v>3.1674049281816686E-3</v>
      </c>
      <c r="AG348" s="33">
        <f t="shared" si="81"/>
        <v>6.7204417454355699E-5</v>
      </c>
      <c r="AH348" s="35">
        <f t="shared" si="82"/>
        <v>7.674375787192024E-3</v>
      </c>
      <c r="AI348" s="36">
        <f t="shared" si="83"/>
        <v>0.22058896394798325</v>
      </c>
      <c r="AJ348" s="23"/>
      <c r="AK348" s="23"/>
      <c r="AL348" s="44"/>
      <c r="AM348" s="44"/>
      <c r="AN348" s="44"/>
      <c r="AO348" s="44"/>
      <c r="AP348" s="44"/>
      <c r="AQ348" s="44"/>
      <c r="AR348" s="44"/>
    </row>
    <row r="349" spans="1:44" ht="16.8">
      <c r="A349" s="64" t="s">
        <v>851</v>
      </c>
      <c r="B349" s="62"/>
      <c r="C349" s="1" t="s">
        <v>848</v>
      </c>
      <c r="D349" s="19" t="s">
        <v>849</v>
      </c>
      <c r="E349" s="20" t="s">
        <v>39</v>
      </c>
      <c r="F349" s="21">
        <v>1996</v>
      </c>
      <c r="G349" s="22">
        <v>2022</v>
      </c>
      <c r="H349" s="23">
        <v>1837334672424</v>
      </c>
      <c r="I349" s="23">
        <v>6178609235243</v>
      </c>
      <c r="J349" s="23">
        <v>3842249008034</v>
      </c>
      <c r="K349" s="23">
        <f t="shared" ref="K349:K350" si="109">SUM(J348:J349)/2</f>
        <v>3473031416547.5</v>
      </c>
      <c r="L349" s="23">
        <v>1235176216373</v>
      </c>
      <c r="M349" s="23">
        <v>2336360227209</v>
      </c>
      <c r="N349" s="23">
        <v>83797049753</v>
      </c>
      <c r="O349" s="25">
        <f t="shared" si="70"/>
        <v>602158456051</v>
      </c>
      <c r="P349" s="23">
        <v>1166247578</v>
      </c>
      <c r="Q349" s="23">
        <f>17000000+14160908826</f>
        <v>14177908826</v>
      </c>
      <c r="R349" s="25">
        <f t="shared" si="71"/>
        <v>69619140927</v>
      </c>
      <c r="S349" s="26">
        <f t="shared" si="72"/>
        <v>0.62186308629419051</v>
      </c>
      <c r="T349" s="27">
        <f t="shared" si="73"/>
        <v>1.4875081369516585</v>
      </c>
      <c r="U349" s="26">
        <f t="shared" si="74"/>
        <v>29.452114319231271</v>
      </c>
      <c r="V349" s="26">
        <f t="shared" si="75"/>
        <v>2.4127927364475634E-2</v>
      </c>
      <c r="W349" s="91" t="s">
        <v>852</v>
      </c>
      <c r="X349" s="29">
        <v>37400</v>
      </c>
      <c r="Y349" s="91">
        <v>3200</v>
      </c>
      <c r="Z349" s="30">
        <f t="shared" si="103"/>
        <v>119680000</v>
      </c>
      <c r="AA349" s="31">
        <f t="shared" si="77"/>
        <v>26</v>
      </c>
      <c r="AB349" s="32">
        <v>3.15E-2</v>
      </c>
      <c r="AC349" s="32">
        <v>8.0199999999999994E-2</v>
      </c>
      <c r="AD349" s="33">
        <f t="shared" si="78"/>
        <v>9.7458575728704033E-2</v>
      </c>
      <c r="AE349" s="34">
        <f t="shared" si="79"/>
        <v>1.8875567843774349E-4</v>
      </c>
      <c r="AF349" s="33">
        <f t="shared" si="80"/>
        <v>1.1267768890430879E-2</v>
      </c>
      <c r="AG349" s="33">
        <f t="shared" si="81"/>
        <v>3.1148423683564903E-5</v>
      </c>
      <c r="AH349" s="35">
        <f t="shared" si="82"/>
        <v>2.1809375076363734E-2</v>
      </c>
      <c r="AI349" s="36">
        <f t="shared" si="83"/>
        <v>0.17622625029325348</v>
      </c>
      <c r="AJ349" s="23"/>
      <c r="AK349" s="23"/>
      <c r="AL349" s="44"/>
      <c r="AM349" s="44"/>
      <c r="AN349" s="44"/>
      <c r="AO349" s="44"/>
      <c r="AP349" s="44"/>
      <c r="AQ349" s="44"/>
      <c r="AR349" s="44"/>
    </row>
    <row r="350" spans="1:44" ht="16.8">
      <c r="A350" s="64" t="s">
        <v>853</v>
      </c>
      <c r="B350" s="62"/>
      <c r="C350" s="1" t="s">
        <v>848</v>
      </c>
      <c r="D350" s="19" t="s">
        <v>849</v>
      </c>
      <c r="E350" s="20" t="s">
        <v>39</v>
      </c>
      <c r="F350" s="21">
        <v>1996</v>
      </c>
      <c r="G350" s="22">
        <v>2023</v>
      </c>
      <c r="H350" s="23">
        <v>1929739056409</v>
      </c>
      <c r="I350" s="23">
        <v>6575348403704</v>
      </c>
      <c r="J350" s="23">
        <v>4233831320614</v>
      </c>
      <c r="K350" s="23">
        <f t="shared" si="109"/>
        <v>4038040164324</v>
      </c>
      <c r="L350" s="23">
        <v>2523015974125</v>
      </c>
      <c r="M350" s="23">
        <v>2341517083090</v>
      </c>
      <c r="N350" s="23">
        <v>101035119485</v>
      </c>
      <c r="O350" s="25">
        <f t="shared" si="70"/>
        <v>-593276917716</v>
      </c>
      <c r="P350" s="23">
        <v>5156855881</v>
      </c>
      <c r="Q350" s="23">
        <f>28450000+21032151237</f>
        <v>21060601237</v>
      </c>
      <c r="R350" s="25">
        <f t="shared" si="71"/>
        <v>79974518248</v>
      </c>
      <c r="S350" s="26">
        <f t="shared" si="72"/>
        <v>0.64389459853245412</v>
      </c>
      <c r="T350" s="27">
        <f t="shared" si="73"/>
        <v>0.76485407789708793</v>
      </c>
      <c r="U350" s="26">
        <f t="shared" si="74"/>
        <v>29.514348681745002</v>
      </c>
      <c r="V350" s="26">
        <f t="shared" si="75"/>
        <v>2.5020830743003292E-2</v>
      </c>
      <c r="W350" s="93">
        <v>45681</v>
      </c>
      <c r="X350" s="42">
        <v>24100</v>
      </c>
      <c r="Y350" s="91">
        <v>114145</v>
      </c>
      <c r="Z350" s="30">
        <f t="shared" si="103"/>
        <v>2750894500</v>
      </c>
      <c r="AA350" s="31">
        <f t="shared" si="77"/>
        <v>27</v>
      </c>
      <c r="AB350" s="32">
        <v>3.2500000000000001E-2</v>
      </c>
      <c r="AC350" s="32">
        <v>5.0500000000000003E-2</v>
      </c>
      <c r="AD350" s="33">
        <f t="shared" si="78"/>
        <v>-9.0227449754874969E-2</v>
      </c>
      <c r="AE350" s="34">
        <f t="shared" si="79"/>
        <v>7.8427112365560129E-4</v>
      </c>
      <c r="AF350" s="33">
        <f t="shared" si="80"/>
        <v>1.2162780333122587E-2</v>
      </c>
      <c r="AG350" s="33">
        <f t="shared" si="81"/>
        <v>6.4974116625908919E-4</v>
      </c>
      <c r="AH350" s="35">
        <f t="shared" si="82"/>
        <v>2.3863756449878513E-2</v>
      </c>
      <c r="AI350" s="36">
        <f t="shared" si="83"/>
        <v>-4.2784183883793625E-2</v>
      </c>
      <c r="AJ350" s="23"/>
      <c r="AK350" s="23"/>
      <c r="AL350" s="44"/>
      <c r="AM350" s="44"/>
      <c r="AN350" s="44"/>
      <c r="AO350" s="44"/>
      <c r="AP350" s="44"/>
      <c r="AQ350" s="44"/>
      <c r="AR350" s="44"/>
    </row>
    <row r="351" spans="1:44" ht="16.8">
      <c r="A351" s="64" t="s">
        <v>854</v>
      </c>
      <c r="B351" s="62">
        <v>137</v>
      </c>
      <c r="C351" s="1" t="s">
        <v>855</v>
      </c>
      <c r="D351" s="19" t="s">
        <v>856</v>
      </c>
      <c r="E351" s="20" t="s">
        <v>39</v>
      </c>
      <c r="F351" s="21">
        <v>1971</v>
      </c>
      <c r="G351" s="22">
        <v>2021</v>
      </c>
      <c r="H351" s="23">
        <v>2290746531503</v>
      </c>
      <c r="I351" s="23">
        <v>10815399528954</v>
      </c>
      <c r="J351" s="23">
        <v>7007867084477</v>
      </c>
      <c r="K351" s="23">
        <f>(J351+7197644656393)/2</f>
        <v>7102755870435</v>
      </c>
      <c r="L351" s="23">
        <v>1244612485921</v>
      </c>
      <c r="M351" s="23">
        <v>3807532444477</v>
      </c>
      <c r="N351" s="23">
        <v>873627989784</v>
      </c>
      <c r="O351" s="25">
        <f t="shared" si="70"/>
        <v>1046134045582</v>
      </c>
      <c r="P351" s="23">
        <v>44153012510</v>
      </c>
      <c r="Q351" s="23">
        <f>63163220097+102738547163</f>
        <v>165901767260</v>
      </c>
      <c r="R351" s="25">
        <f t="shared" si="71"/>
        <v>707726222524</v>
      </c>
      <c r="S351" s="26">
        <f t="shared" si="72"/>
        <v>0.64795267763490183</v>
      </c>
      <c r="T351" s="27">
        <f t="shared" si="73"/>
        <v>1.8405299299306579</v>
      </c>
      <c r="U351" s="26">
        <f t="shared" si="74"/>
        <v>30.011992116764404</v>
      </c>
      <c r="V351" s="26">
        <f t="shared" si="75"/>
        <v>0.12299845380022835</v>
      </c>
      <c r="W351" s="93">
        <v>45889</v>
      </c>
      <c r="X351" s="42">
        <v>20800</v>
      </c>
      <c r="Y351" s="91">
        <v>2754450</v>
      </c>
      <c r="Z351" s="30">
        <f t="shared" si="103"/>
        <v>57292560000</v>
      </c>
      <c r="AA351" s="31">
        <f t="shared" si="77"/>
        <v>50</v>
      </c>
      <c r="AB351" s="32">
        <v>1.84E-2</v>
      </c>
      <c r="AC351" s="32">
        <v>2.58E-2</v>
      </c>
      <c r="AD351" s="33">
        <f t="shared" si="78"/>
        <v>9.6726343098226322E-2</v>
      </c>
      <c r="AE351" s="34">
        <f t="shared" si="79"/>
        <v>4.0824208474035178E-3</v>
      </c>
      <c r="AF351" s="33">
        <f t="shared" si="80"/>
        <v>6.5436900470420903E-2</v>
      </c>
      <c r="AG351" s="33">
        <f t="shared" si="81"/>
        <v>8.1754632771086251E-3</v>
      </c>
      <c r="AH351" s="35">
        <f t="shared" si="82"/>
        <v>0.12466389262992125</v>
      </c>
      <c r="AI351" s="36">
        <f t="shared" si="83"/>
        <v>0.46729794305281191</v>
      </c>
      <c r="AJ351" s="23"/>
      <c r="AK351" s="23"/>
      <c r="AL351" s="44"/>
      <c r="AM351" s="44"/>
      <c r="AN351" s="44"/>
      <c r="AO351" s="44"/>
      <c r="AP351" s="44"/>
      <c r="AQ351" s="44"/>
      <c r="AR351" s="44"/>
    </row>
    <row r="352" spans="1:44" ht="16.8">
      <c r="A352" s="64" t="s">
        <v>857</v>
      </c>
      <c r="B352" s="62"/>
      <c r="C352" s="1" t="s">
        <v>855</v>
      </c>
      <c r="D352" s="19" t="s">
        <v>856</v>
      </c>
      <c r="E352" s="20" t="s">
        <v>39</v>
      </c>
      <c r="F352" s="21">
        <v>1971</v>
      </c>
      <c r="G352" s="22">
        <v>2022</v>
      </c>
      <c r="H352" s="23">
        <v>3139808104404</v>
      </c>
      <c r="I352" s="23">
        <v>11632371921053</v>
      </c>
      <c r="J352" s="23">
        <v>7758904854694</v>
      </c>
      <c r="K352" s="23">
        <f t="shared" ref="K352:K353" si="110">SUM(J351:J352)/2</f>
        <v>7383385969585.5</v>
      </c>
      <c r="L352" s="23">
        <v>2208582904728</v>
      </c>
      <c r="M352" s="23">
        <v>3873467066359</v>
      </c>
      <c r="N352" s="23">
        <v>1073192908035</v>
      </c>
      <c r="O352" s="25">
        <f t="shared" si="70"/>
        <v>931225199676</v>
      </c>
      <c r="P352" s="23">
        <v>143845522308</v>
      </c>
      <c r="Q352" s="23">
        <f>25096674652+242564882403</f>
        <v>267661557055</v>
      </c>
      <c r="R352" s="25">
        <f t="shared" si="71"/>
        <v>805531350980</v>
      </c>
      <c r="S352" s="26">
        <f t="shared" si="72"/>
        <v>0.66700969564525747</v>
      </c>
      <c r="T352" s="27">
        <f t="shared" si="73"/>
        <v>1.4216392319629432</v>
      </c>
      <c r="U352" s="26">
        <f t="shared" si="74"/>
        <v>30.084813010164282</v>
      </c>
      <c r="V352" s="26">
        <f t="shared" si="75"/>
        <v>0.1453524050423235</v>
      </c>
      <c r="W352" s="93">
        <v>45671</v>
      </c>
      <c r="X352" s="42">
        <v>14100</v>
      </c>
      <c r="Y352" s="91">
        <v>1336842</v>
      </c>
      <c r="Z352" s="30">
        <f t="shared" si="103"/>
        <v>18849472200</v>
      </c>
      <c r="AA352" s="31">
        <f t="shared" si="77"/>
        <v>51</v>
      </c>
      <c r="AB352" s="32">
        <v>3.15E-2</v>
      </c>
      <c r="AC352" s="32">
        <v>8.0199999999999994E-2</v>
      </c>
      <c r="AD352" s="33">
        <f t="shared" si="78"/>
        <v>8.0054627379185658E-2</v>
      </c>
      <c r="AE352" s="34">
        <f t="shared" si="79"/>
        <v>1.2365966570210784E-2</v>
      </c>
      <c r="AF352" s="33">
        <f t="shared" si="80"/>
        <v>6.9249105551903695E-2</v>
      </c>
      <c r="AG352" s="33">
        <f t="shared" si="81"/>
        <v>2.4293985495383932E-3</v>
      </c>
      <c r="AH352" s="35">
        <f t="shared" si="82"/>
        <v>0.13831757549981261</v>
      </c>
      <c r="AI352" s="36">
        <f t="shared" si="83"/>
        <v>0.48167516900413571</v>
      </c>
      <c r="AJ352" s="23"/>
      <c r="AK352" s="23"/>
      <c r="AL352" s="44"/>
      <c r="AM352" s="44"/>
      <c r="AN352" s="44"/>
      <c r="AO352" s="44"/>
      <c r="AP352" s="44"/>
      <c r="AQ352" s="44"/>
      <c r="AR352" s="44"/>
    </row>
    <row r="353" spans="1:44" ht="16.8">
      <c r="A353" s="64" t="s">
        <v>858</v>
      </c>
      <c r="B353" s="62"/>
      <c r="C353" s="1" t="s">
        <v>855</v>
      </c>
      <c r="D353" s="19" t="s">
        <v>856</v>
      </c>
      <c r="E353" s="20" t="s">
        <v>39</v>
      </c>
      <c r="F353" s="21">
        <v>1971</v>
      </c>
      <c r="G353" s="22">
        <v>2023</v>
      </c>
      <c r="H353" s="23">
        <v>10300054191510</v>
      </c>
      <c r="I353" s="23">
        <v>26748999132286</v>
      </c>
      <c r="J353" s="23">
        <v>15435698347191</v>
      </c>
      <c r="K353" s="23">
        <f t="shared" si="110"/>
        <v>11597301600942.5</v>
      </c>
      <c r="L353" s="23">
        <v>8203106901569</v>
      </c>
      <c r="M353" s="23">
        <v>11313300785095</v>
      </c>
      <c r="N353" s="23">
        <v>10995242821798</v>
      </c>
      <c r="O353" s="25">
        <f t="shared" si="70"/>
        <v>2096947289941</v>
      </c>
      <c r="P353" s="23">
        <v>56348664563</v>
      </c>
      <c r="Q353" s="23">
        <f>378473665460+538226514225</f>
        <v>916700179685</v>
      </c>
      <c r="R353" s="25">
        <f t="shared" si="71"/>
        <v>10078542642113</v>
      </c>
      <c r="S353" s="26">
        <f t="shared" si="72"/>
        <v>0.57705704317587481</v>
      </c>
      <c r="T353" s="27">
        <f t="shared" si="73"/>
        <v>1.255628424096231</v>
      </c>
      <c r="U353" s="26">
        <f t="shared" si="74"/>
        <v>30.917518172955106</v>
      </c>
      <c r="V353" s="26">
        <f t="shared" si="75"/>
        <v>0.94808630491289703</v>
      </c>
      <c r="W353" s="93">
        <v>45708</v>
      </c>
      <c r="X353" s="42">
        <v>20200</v>
      </c>
      <c r="Y353" s="91">
        <v>10614005</v>
      </c>
      <c r="Z353" s="30">
        <f t="shared" si="103"/>
        <v>214402901000</v>
      </c>
      <c r="AA353" s="31">
        <f t="shared" si="77"/>
        <v>52</v>
      </c>
      <c r="AB353" s="32">
        <v>3.2500000000000001E-2</v>
      </c>
      <c r="AC353" s="32">
        <v>5.0500000000000003E-2</v>
      </c>
      <c r="AD353" s="33">
        <f t="shared" si="78"/>
        <v>7.839348603552003E-2</v>
      </c>
      <c r="AE353" s="34">
        <f t="shared" si="79"/>
        <v>2.1065709518449703E-3</v>
      </c>
      <c r="AF353" s="33">
        <f t="shared" si="80"/>
        <v>0.37678204677004962</v>
      </c>
      <c r="AG353" s="33">
        <f t="shared" si="81"/>
        <v>1.3890068086165807E-2</v>
      </c>
      <c r="AH353" s="35">
        <f t="shared" si="82"/>
        <v>0.71232558284600855</v>
      </c>
      <c r="AI353" s="36">
        <f t="shared" si="83"/>
        <v>2.0610617606140789</v>
      </c>
      <c r="AJ353" s="23"/>
      <c r="AK353" s="23"/>
      <c r="AL353" s="44"/>
      <c r="AM353" s="44"/>
      <c r="AN353" s="44"/>
      <c r="AO353" s="44"/>
      <c r="AP353" s="44"/>
      <c r="AQ353" s="44"/>
      <c r="AR353" s="44"/>
    </row>
    <row r="354" spans="1:44" ht="16.8">
      <c r="A354" s="45"/>
      <c r="B354" s="45">
        <v>138</v>
      </c>
      <c r="C354" s="45" t="s">
        <v>859</v>
      </c>
      <c r="D354" s="46" t="s">
        <v>860</v>
      </c>
      <c r="E354" s="47" t="s">
        <v>39</v>
      </c>
      <c r="F354" s="48"/>
      <c r="G354" s="48"/>
      <c r="H354" s="49"/>
      <c r="I354" s="49"/>
      <c r="J354" s="49"/>
      <c r="K354" s="49"/>
      <c r="L354" s="49"/>
      <c r="M354" s="49"/>
      <c r="N354" s="49"/>
      <c r="O354" s="49">
        <f t="shared" si="70"/>
        <v>0</v>
      </c>
      <c r="P354" s="49"/>
      <c r="Q354" s="49"/>
      <c r="R354" s="49">
        <f t="shared" si="71"/>
        <v>0</v>
      </c>
      <c r="S354" s="50" t="e">
        <f t="shared" si="72"/>
        <v>#DIV/0!</v>
      </c>
      <c r="T354" s="51" t="e">
        <f t="shared" si="73"/>
        <v>#DIV/0!</v>
      </c>
      <c r="U354" s="50" t="e">
        <f t="shared" si="74"/>
        <v>#NUM!</v>
      </c>
      <c r="V354" s="50" t="e">
        <f t="shared" si="75"/>
        <v>#DIV/0!</v>
      </c>
      <c r="W354" s="52"/>
      <c r="X354" s="53">
        <v>0</v>
      </c>
      <c r="Y354" s="52"/>
      <c r="Z354" s="55">
        <f t="shared" si="103"/>
        <v>0</v>
      </c>
      <c r="AA354" s="48">
        <f t="shared" si="77"/>
        <v>0</v>
      </c>
      <c r="AB354" s="49"/>
      <c r="AC354" s="49"/>
      <c r="AD354" s="50" t="e">
        <f t="shared" si="78"/>
        <v>#DIV/0!</v>
      </c>
      <c r="AE354" s="56" t="e">
        <f t="shared" si="79"/>
        <v>#DIV/0!</v>
      </c>
      <c r="AF354" s="50" t="e">
        <f t="shared" si="80"/>
        <v>#DIV/0!</v>
      </c>
      <c r="AG354" s="50" t="e">
        <f t="shared" si="81"/>
        <v>#DIV/0!</v>
      </c>
      <c r="AH354" s="57" t="e">
        <f t="shared" si="82"/>
        <v>#DIV/0!</v>
      </c>
      <c r="AI354" s="58" t="e">
        <f t="shared" si="83"/>
        <v>#DIV/0!</v>
      </c>
      <c r="AJ354" s="49"/>
      <c r="AK354" s="49"/>
      <c r="AL354" s="59"/>
      <c r="AM354" s="59"/>
      <c r="AN354" s="59"/>
      <c r="AO354" s="59"/>
      <c r="AP354" s="59"/>
      <c r="AQ354" s="59"/>
      <c r="AR354" s="59"/>
    </row>
    <row r="355" spans="1:44" ht="16.8">
      <c r="A355" s="64" t="s">
        <v>861</v>
      </c>
      <c r="B355" s="62">
        <v>139</v>
      </c>
      <c r="C355" s="1" t="s">
        <v>862</v>
      </c>
      <c r="D355" s="19" t="s">
        <v>863</v>
      </c>
      <c r="E355" s="20" t="s">
        <v>39</v>
      </c>
      <c r="F355" s="21">
        <v>1961</v>
      </c>
      <c r="G355" s="22">
        <v>2021</v>
      </c>
      <c r="H355" s="23">
        <v>302535475556</v>
      </c>
      <c r="I355" s="23">
        <v>516049128933</v>
      </c>
      <c r="J355" s="23">
        <v>232339378604</v>
      </c>
      <c r="K355" s="23">
        <f>(J355+234389954432)/2</f>
        <v>233364666518</v>
      </c>
      <c r="L355" s="23">
        <v>208159164570</v>
      </c>
      <c r="M355" s="23">
        <v>283709750329</v>
      </c>
      <c r="N355" s="23">
        <v>880045877073</v>
      </c>
      <c r="O355" s="25">
        <f t="shared" si="70"/>
        <v>94376310986</v>
      </c>
      <c r="P355" s="23">
        <v>68386988963</v>
      </c>
      <c r="Q355" s="23">
        <f>50145635627+43403026942</f>
        <v>93548662569</v>
      </c>
      <c r="R355" s="25">
        <f t="shared" si="71"/>
        <v>786497214504</v>
      </c>
      <c r="S355" s="26">
        <f t="shared" si="72"/>
        <v>0.45022724693750082</v>
      </c>
      <c r="T355" s="27">
        <f t="shared" si="73"/>
        <v>1.4533853274294009</v>
      </c>
      <c r="U355" s="26">
        <f t="shared" si="74"/>
        <v>26.969467809006147</v>
      </c>
      <c r="V355" s="26">
        <f t="shared" si="75"/>
        <v>3.7711187824790944</v>
      </c>
      <c r="W355" s="91" t="s">
        <v>864</v>
      </c>
      <c r="X355" s="29">
        <v>18460</v>
      </c>
      <c r="Y355" s="91">
        <v>0</v>
      </c>
      <c r="Z355" s="30">
        <f t="shared" si="103"/>
        <v>0</v>
      </c>
      <c r="AA355" s="31">
        <f t="shared" si="77"/>
        <v>60</v>
      </c>
      <c r="AB355" s="32">
        <v>1.84E-2</v>
      </c>
      <c r="AC355" s="32">
        <v>2.58E-2</v>
      </c>
      <c r="AD355" s="33">
        <f t="shared" si="78"/>
        <v>0.18288241505442618</v>
      </c>
      <c r="AE355" s="34">
        <f t="shared" si="79"/>
        <v>0.13252030694131617</v>
      </c>
      <c r="AF355" s="33">
        <f t="shared" si="80"/>
        <v>1.5240742991470353</v>
      </c>
      <c r="AG355" s="33">
        <f t="shared" si="81"/>
        <v>0</v>
      </c>
      <c r="AH355" s="35">
        <f t="shared" si="82"/>
        <v>3.7877603114922378</v>
      </c>
      <c r="AI355" s="36">
        <f t="shared" si="83"/>
        <v>9.2221928264606081</v>
      </c>
      <c r="AJ355" s="23"/>
      <c r="AK355" s="23"/>
      <c r="AL355" s="44"/>
      <c r="AM355" s="44"/>
      <c r="AN355" s="44"/>
      <c r="AO355" s="44"/>
      <c r="AP355" s="44"/>
      <c r="AQ355" s="44"/>
      <c r="AR355" s="44"/>
    </row>
    <row r="356" spans="1:44" ht="16.8">
      <c r="A356" s="64" t="s">
        <v>865</v>
      </c>
      <c r="B356" s="62"/>
      <c r="C356" s="1" t="s">
        <v>862</v>
      </c>
      <c r="D356" s="19" t="s">
        <v>863</v>
      </c>
      <c r="E356" s="20" t="s">
        <v>39</v>
      </c>
      <c r="F356" s="21">
        <v>1961</v>
      </c>
      <c r="G356" s="22">
        <v>2022</v>
      </c>
      <c r="H356" s="23">
        <v>459477881010</v>
      </c>
      <c r="I356" s="23">
        <v>688403792658</v>
      </c>
      <c r="J356" s="23">
        <v>251222156053</v>
      </c>
      <c r="K356" s="23">
        <f t="shared" ref="K356:K357" si="111">SUM(J355:J356)/2</f>
        <v>241780767328.5</v>
      </c>
      <c r="L356" s="23">
        <v>250412711813</v>
      </c>
      <c r="M356" s="23">
        <v>437181636605</v>
      </c>
      <c r="N356" s="23">
        <v>1470522794027</v>
      </c>
      <c r="O356" s="25">
        <f t="shared" si="70"/>
        <v>209065169197</v>
      </c>
      <c r="P356" s="23">
        <v>177008673672</v>
      </c>
      <c r="Q356" s="23">
        <f>89745412259+47410629983</f>
        <v>137156042242</v>
      </c>
      <c r="R356" s="25">
        <f t="shared" si="71"/>
        <v>1333366751785</v>
      </c>
      <c r="S356" s="26">
        <f t="shared" si="72"/>
        <v>0.36493429979954733</v>
      </c>
      <c r="T356" s="27">
        <f t="shared" si="73"/>
        <v>1.834882413450013</v>
      </c>
      <c r="U356" s="26">
        <f t="shared" si="74"/>
        <v>27.257641410649793</v>
      </c>
      <c r="V356" s="26">
        <f t="shared" si="75"/>
        <v>6.0820503230062402</v>
      </c>
      <c r="W356" s="91" t="s">
        <v>866</v>
      </c>
      <c r="X356" s="29">
        <v>15770</v>
      </c>
      <c r="Y356" s="91">
        <v>1000</v>
      </c>
      <c r="Z356" s="30">
        <f t="shared" si="103"/>
        <v>15770000</v>
      </c>
      <c r="AA356" s="31">
        <f t="shared" si="77"/>
        <v>61</v>
      </c>
      <c r="AB356" s="32">
        <v>3.15E-2</v>
      </c>
      <c r="AC356" s="32">
        <v>8.0199999999999994E-2</v>
      </c>
      <c r="AD356" s="33">
        <f t="shared" si="78"/>
        <v>0.30369555110929475</v>
      </c>
      <c r="AE356" s="34">
        <f t="shared" si="79"/>
        <v>0.25712913781103786</v>
      </c>
      <c r="AF356" s="33">
        <f t="shared" si="80"/>
        <v>1.9368962896568738</v>
      </c>
      <c r="AG356" s="33">
        <f t="shared" si="81"/>
        <v>6.277312577746138E-5</v>
      </c>
      <c r="AH356" s="35">
        <f t="shared" si="82"/>
        <v>5.8534757329157134</v>
      </c>
      <c r="AI356" s="36">
        <f t="shared" si="83"/>
        <v>12.969686606925471</v>
      </c>
      <c r="AJ356" s="23"/>
      <c r="AK356" s="23"/>
      <c r="AL356" s="44"/>
      <c r="AM356" s="44"/>
      <c r="AN356" s="44"/>
      <c r="AO356" s="44"/>
      <c r="AP356" s="44"/>
      <c r="AQ356" s="44"/>
      <c r="AR356" s="44"/>
    </row>
    <row r="357" spans="1:44" ht="16.8">
      <c r="A357" s="64" t="s">
        <v>867</v>
      </c>
      <c r="B357" s="62"/>
      <c r="C357" s="1" t="s">
        <v>862</v>
      </c>
      <c r="D357" s="19" t="s">
        <v>863</v>
      </c>
      <c r="E357" s="20" t="s">
        <v>39</v>
      </c>
      <c r="F357" s="21">
        <v>1961</v>
      </c>
      <c r="G357" s="22">
        <v>2023</v>
      </c>
      <c r="H357" s="23">
        <v>400133799337</v>
      </c>
      <c r="I357" s="23">
        <v>754638726867</v>
      </c>
      <c r="J357" s="23">
        <v>355713078039</v>
      </c>
      <c r="K357" s="23">
        <f t="shared" si="111"/>
        <v>303467617046</v>
      </c>
      <c r="L357" s="23">
        <v>312672154337</v>
      </c>
      <c r="M357" s="23">
        <v>398925648828</v>
      </c>
      <c r="N357" s="23">
        <v>1357690315145</v>
      </c>
      <c r="O357" s="25">
        <f t="shared" si="70"/>
        <v>87461645000</v>
      </c>
      <c r="P357" s="23">
        <v>67657101590</v>
      </c>
      <c r="Q357" s="23">
        <f>87435648349+52191474327</f>
        <v>139627122676</v>
      </c>
      <c r="R357" s="25">
        <f t="shared" si="71"/>
        <v>1218063192469</v>
      </c>
      <c r="S357" s="26">
        <f t="shared" si="72"/>
        <v>0.47136870316184032</v>
      </c>
      <c r="T357" s="27">
        <f t="shared" si="73"/>
        <v>1.2797231662200828</v>
      </c>
      <c r="U357" s="26">
        <f t="shared" si="74"/>
        <v>27.349504964213278</v>
      </c>
      <c r="V357" s="26">
        <f t="shared" si="75"/>
        <v>4.473921561585267</v>
      </c>
      <c r="W357" s="91" t="s">
        <v>868</v>
      </c>
      <c r="X357" s="29">
        <v>19530</v>
      </c>
      <c r="Y357" s="91">
        <v>100</v>
      </c>
      <c r="Z357" s="30">
        <f t="shared" si="103"/>
        <v>1953000</v>
      </c>
      <c r="AA357" s="31">
        <f t="shared" si="77"/>
        <v>62</v>
      </c>
      <c r="AB357" s="32">
        <v>3.2500000000000001E-2</v>
      </c>
      <c r="AC357" s="32">
        <v>5.0500000000000003E-2</v>
      </c>
      <c r="AD357" s="33">
        <f t="shared" si="78"/>
        <v>0.11589869680172739</v>
      </c>
      <c r="AE357" s="34">
        <f t="shared" si="79"/>
        <v>8.965495565128094E-2</v>
      </c>
      <c r="AF357" s="33">
        <f t="shared" si="80"/>
        <v>1.6141010911618314</v>
      </c>
      <c r="AG357" s="33">
        <f t="shared" si="81"/>
        <v>5.4903800860138049E-6</v>
      </c>
      <c r="AH357" s="35">
        <f t="shared" si="82"/>
        <v>3.8168130410885377</v>
      </c>
      <c r="AI357" s="36">
        <f t="shared" si="83"/>
        <v>9.4079453102244983</v>
      </c>
      <c r="AJ357" s="23"/>
      <c r="AK357" s="23"/>
      <c r="AL357" s="44"/>
      <c r="AM357" s="44"/>
      <c r="AN357" s="44"/>
      <c r="AO357" s="44"/>
      <c r="AP357" s="44"/>
      <c r="AQ357" s="44"/>
      <c r="AR357" s="44"/>
    </row>
    <row r="358" spans="1:44" ht="16.8">
      <c r="A358" s="64" t="s">
        <v>869</v>
      </c>
      <c r="B358" s="62">
        <v>140</v>
      </c>
      <c r="C358" s="1" t="s">
        <v>870</v>
      </c>
      <c r="D358" s="19" t="s">
        <v>871</v>
      </c>
      <c r="E358" s="20" t="s">
        <v>39</v>
      </c>
      <c r="F358" s="21">
        <v>1997</v>
      </c>
      <c r="G358" s="22">
        <v>2021</v>
      </c>
      <c r="H358" s="23">
        <v>179719047480</v>
      </c>
      <c r="I358" s="23">
        <v>300104815200</v>
      </c>
      <c r="J358" s="23">
        <v>15966621815</v>
      </c>
      <c r="K358" s="23">
        <f>(J358+57708619610)/2</f>
        <v>36837620712.5</v>
      </c>
      <c r="L358" s="23">
        <v>15966621815</v>
      </c>
      <c r="M358" s="23">
        <v>284138193385</v>
      </c>
      <c r="N358" s="23">
        <v>4299806173</v>
      </c>
      <c r="O358" s="25">
        <f t="shared" si="70"/>
        <v>163752425665</v>
      </c>
      <c r="P358" s="23">
        <v>13382919670</v>
      </c>
      <c r="Q358" s="23">
        <v>10512969398</v>
      </c>
      <c r="R358" s="25">
        <f t="shared" si="71"/>
        <v>-6213163225</v>
      </c>
      <c r="S358" s="26">
        <f t="shared" si="72"/>
        <v>5.3203484270518298E-2</v>
      </c>
      <c r="T358" s="27">
        <f t="shared" si="73"/>
        <v>11.255921857631849</v>
      </c>
      <c r="U358" s="26">
        <f t="shared" si="74"/>
        <v>26.427397634582235</v>
      </c>
      <c r="V358" s="26">
        <f t="shared" si="75"/>
        <v>0.11672323265820909</v>
      </c>
      <c r="W358" s="112" t="s">
        <v>872</v>
      </c>
      <c r="X358" s="29">
        <v>13510</v>
      </c>
      <c r="Y358" s="112">
        <v>6000</v>
      </c>
      <c r="Z358" s="30">
        <f t="shared" si="103"/>
        <v>81060000</v>
      </c>
      <c r="AA358" s="31">
        <f t="shared" si="77"/>
        <v>24</v>
      </c>
      <c r="AB358" s="32">
        <v>1.84E-2</v>
      </c>
      <c r="AC358" s="32">
        <v>2.58E-2</v>
      </c>
      <c r="AD358" s="33">
        <f t="shared" si="78"/>
        <v>0.54565077723218081</v>
      </c>
      <c r="AE358" s="34">
        <f t="shared" si="79"/>
        <v>4.4594151750218233E-2</v>
      </c>
      <c r="AF358" s="33">
        <f t="shared" si="80"/>
        <v>-2.0703310677835467E-2</v>
      </c>
      <c r="AG358" s="33">
        <f t="shared" si="81"/>
        <v>5.076840983597882E-3</v>
      </c>
      <c r="AH358" s="35">
        <f t="shared" si="82"/>
        <v>0.26929968172481578</v>
      </c>
      <c r="AI358" s="36">
        <f t="shared" si="83"/>
        <v>0.92123760620703987</v>
      </c>
      <c r="AJ358" s="23" t="s">
        <v>136</v>
      </c>
      <c r="AK358" s="23"/>
      <c r="AL358" s="44"/>
      <c r="AM358" s="44"/>
      <c r="AN358" s="44"/>
      <c r="AO358" s="44"/>
      <c r="AP358" s="44"/>
      <c r="AQ358" s="44"/>
      <c r="AR358" s="44"/>
    </row>
    <row r="359" spans="1:44" ht="16.8">
      <c r="A359" s="64" t="s">
        <v>873</v>
      </c>
      <c r="B359" s="62"/>
      <c r="C359" s="1" t="s">
        <v>870</v>
      </c>
      <c r="D359" s="19" t="s">
        <v>871</v>
      </c>
      <c r="E359" s="20" t="s">
        <v>39</v>
      </c>
      <c r="F359" s="21">
        <v>1997</v>
      </c>
      <c r="G359" s="22">
        <v>2022</v>
      </c>
      <c r="H359" s="23">
        <v>265913409050</v>
      </c>
      <c r="I359" s="23">
        <v>485617839405</v>
      </c>
      <c r="J359" s="23">
        <v>177754419323</v>
      </c>
      <c r="K359" s="23">
        <f t="shared" ref="K359:K360" si="112">SUM(J358:J359)/2</f>
        <v>96860520569</v>
      </c>
      <c r="L359" s="23">
        <v>177754419323</v>
      </c>
      <c r="M359" s="23">
        <v>307863420082</v>
      </c>
      <c r="N359" s="23">
        <v>11134605098</v>
      </c>
      <c r="O359" s="25">
        <f t="shared" si="70"/>
        <v>88158989727</v>
      </c>
      <c r="P359" s="23">
        <v>1725033746</v>
      </c>
      <c r="Q359" s="23">
        <v>7567734034</v>
      </c>
      <c r="R359" s="25">
        <f t="shared" si="71"/>
        <v>3566871064</v>
      </c>
      <c r="S359" s="26">
        <f t="shared" si="72"/>
        <v>0.36603766356852213</v>
      </c>
      <c r="T359" s="27">
        <f t="shared" si="73"/>
        <v>1.4959594819794892</v>
      </c>
      <c r="U359" s="26">
        <f t="shared" si="74"/>
        <v>26.908687812847642</v>
      </c>
      <c r="V359" s="26">
        <f t="shared" si="75"/>
        <v>0.11495504084213652</v>
      </c>
      <c r="W359" s="112" t="s">
        <v>874</v>
      </c>
      <c r="X359" s="29">
        <v>4790</v>
      </c>
      <c r="Y359" s="112">
        <v>0</v>
      </c>
      <c r="Z359" s="30">
        <f t="shared" si="103"/>
        <v>0</v>
      </c>
      <c r="AA359" s="31">
        <f t="shared" si="77"/>
        <v>25</v>
      </c>
      <c r="AB359" s="32">
        <v>3.15E-2</v>
      </c>
      <c r="AC359" s="32">
        <v>8.0199999999999994E-2</v>
      </c>
      <c r="AD359" s="33">
        <f t="shared" si="78"/>
        <v>0.18153985000842682</v>
      </c>
      <c r="AE359" s="34">
        <f t="shared" si="79"/>
        <v>3.5522454202127048E-3</v>
      </c>
      <c r="AF359" s="33">
        <f t="shared" si="80"/>
        <v>7.345016542988381E-3</v>
      </c>
      <c r="AG359" s="33">
        <f t="shared" si="81"/>
        <v>0</v>
      </c>
      <c r="AH359" s="35">
        <f t="shared" si="82"/>
        <v>6.2640384078255493E-2</v>
      </c>
      <c r="AI359" s="36">
        <f t="shared" si="83"/>
        <v>0.30969990226852712</v>
      </c>
      <c r="AJ359" s="23" t="s">
        <v>136</v>
      </c>
      <c r="AK359" s="23"/>
      <c r="AL359" s="44"/>
      <c r="AM359" s="44"/>
      <c r="AN359" s="44"/>
      <c r="AO359" s="44"/>
      <c r="AP359" s="44"/>
      <c r="AQ359" s="44"/>
      <c r="AR359" s="44"/>
    </row>
    <row r="360" spans="1:44" ht="16.8">
      <c r="A360" s="64" t="s">
        <v>875</v>
      </c>
      <c r="B360" s="62"/>
      <c r="C360" s="1" t="s">
        <v>870</v>
      </c>
      <c r="D360" s="19" t="s">
        <v>871</v>
      </c>
      <c r="E360" s="20" t="s">
        <v>39</v>
      </c>
      <c r="F360" s="21">
        <v>1997</v>
      </c>
      <c r="G360" s="22">
        <v>2023</v>
      </c>
      <c r="H360" s="23">
        <v>341003754942</v>
      </c>
      <c r="I360" s="23">
        <v>542717078277</v>
      </c>
      <c r="J360" s="23">
        <v>252375763523</v>
      </c>
      <c r="K360" s="23">
        <f t="shared" si="112"/>
        <v>215065091423</v>
      </c>
      <c r="L360" s="23">
        <v>229676767723</v>
      </c>
      <c r="M360" s="23">
        <v>290341314754</v>
      </c>
      <c r="N360" s="23">
        <v>6336061310</v>
      </c>
      <c r="O360" s="25">
        <f t="shared" si="70"/>
        <v>111326987219</v>
      </c>
      <c r="P360" s="23">
        <v>-8138886001</v>
      </c>
      <c r="Q360" s="23">
        <v>7763599935</v>
      </c>
      <c r="R360" s="25">
        <f t="shared" si="71"/>
        <v>-1427538625</v>
      </c>
      <c r="S360" s="26">
        <f t="shared" si="72"/>
        <v>0.465022704507907</v>
      </c>
      <c r="T360" s="27">
        <f t="shared" si="73"/>
        <v>1.4847115723661921</v>
      </c>
      <c r="U360" s="26">
        <f t="shared" si="74"/>
        <v>27.019853986614052</v>
      </c>
      <c r="V360" s="26">
        <f t="shared" si="75"/>
        <v>2.9461133222862007E-2</v>
      </c>
      <c r="W360" s="112" t="s">
        <v>876</v>
      </c>
      <c r="X360" s="29">
        <v>6820</v>
      </c>
      <c r="Y360" s="112">
        <v>17721</v>
      </c>
      <c r="Z360" s="30">
        <f t="shared" si="103"/>
        <v>120857220</v>
      </c>
      <c r="AA360" s="31">
        <f t="shared" si="77"/>
        <v>26</v>
      </c>
      <c r="AB360" s="32">
        <v>3.2500000000000001E-2</v>
      </c>
      <c r="AC360" s="32">
        <v>5.0500000000000003E-2</v>
      </c>
      <c r="AD360" s="33">
        <f t="shared" si="78"/>
        <v>0.2051289551683857</v>
      </c>
      <c r="AE360" s="34">
        <f t="shared" si="79"/>
        <v>-1.4996554055087159E-2</v>
      </c>
      <c r="AF360" s="33">
        <f t="shared" si="80"/>
        <v>-2.6303550821214282E-3</v>
      </c>
      <c r="AG360" s="33">
        <f t="shared" si="81"/>
        <v>4.7887807574274386E-4</v>
      </c>
      <c r="AH360" s="35">
        <f t="shared" si="82"/>
        <v>2.5105664749866401E-2</v>
      </c>
      <c r="AI360" s="36">
        <f t="shared" si="83"/>
        <v>0.24187239034925209</v>
      </c>
      <c r="AJ360" s="23" t="s">
        <v>136</v>
      </c>
      <c r="AK360" s="23"/>
      <c r="AL360" s="44"/>
      <c r="AM360" s="44"/>
      <c r="AN360" s="44"/>
      <c r="AO360" s="44"/>
      <c r="AP360" s="44"/>
      <c r="AQ360" s="44"/>
      <c r="AR360" s="44"/>
    </row>
    <row r="361" spans="1:44" ht="16.8">
      <c r="A361" s="64" t="s">
        <v>877</v>
      </c>
      <c r="B361" s="62">
        <v>141</v>
      </c>
      <c r="C361" s="1" t="s">
        <v>878</v>
      </c>
      <c r="D361" s="19" t="s">
        <v>879</v>
      </c>
      <c r="E361" s="20" t="s">
        <v>39</v>
      </c>
      <c r="F361" s="21">
        <v>2007</v>
      </c>
      <c r="G361" s="22">
        <v>2021</v>
      </c>
      <c r="H361" s="23">
        <v>2248030493693</v>
      </c>
      <c r="I361" s="23">
        <v>3455629114530</v>
      </c>
      <c r="J361" s="23">
        <v>2467475549288</v>
      </c>
      <c r="K361" s="23">
        <f>(J361+2052246734595)/2</f>
        <v>2259861141941.5</v>
      </c>
      <c r="L361" s="23">
        <v>2133713754578</v>
      </c>
      <c r="M361" s="23">
        <v>988153565242</v>
      </c>
      <c r="N361" s="23">
        <v>893402743536</v>
      </c>
      <c r="O361" s="25">
        <f t="shared" si="70"/>
        <v>114316739115</v>
      </c>
      <c r="P361" s="23">
        <v>202885726036</v>
      </c>
      <c r="Q361" s="23">
        <f>33178719722+46086083941</f>
        <v>79264803663</v>
      </c>
      <c r="R361" s="25">
        <f t="shared" si="71"/>
        <v>814137939873</v>
      </c>
      <c r="S361" s="26">
        <f t="shared" si="72"/>
        <v>0.71404524834940264</v>
      </c>
      <c r="T361" s="27">
        <f t="shared" si="73"/>
        <v>1.0535764175816589</v>
      </c>
      <c r="U361" s="26">
        <f t="shared" si="74"/>
        <v>28.871025644713971</v>
      </c>
      <c r="V361" s="26">
        <f t="shared" si="75"/>
        <v>0.39533523850428115</v>
      </c>
      <c r="W361" s="113">
        <v>45897</v>
      </c>
      <c r="X361" s="42">
        <v>28080</v>
      </c>
      <c r="Y361" s="112">
        <v>850425</v>
      </c>
      <c r="Z361" s="30">
        <f t="shared" si="103"/>
        <v>23879934000</v>
      </c>
      <c r="AA361" s="31">
        <f t="shared" si="77"/>
        <v>14</v>
      </c>
      <c r="AB361" s="32">
        <v>1.84E-2</v>
      </c>
      <c r="AC361" s="32">
        <v>2.58E-2</v>
      </c>
      <c r="AD361" s="33">
        <f t="shared" si="78"/>
        <v>3.3081310327641514E-2</v>
      </c>
      <c r="AE361" s="34">
        <f t="shared" si="79"/>
        <v>5.8711661266806547E-2</v>
      </c>
      <c r="AF361" s="33">
        <f t="shared" si="80"/>
        <v>0.23559760405124694</v>
      </c>
      <c r="AG361" s="33">
        <f t="shared" si="81"/>
        <v>9.6778807015496671E-3</v>
      </c>
      <c r="AH361" s="35">
        <f t="shared" si="82"/>
        <v>0.36207156897412618</v>
      </c>
      <c r="AI361" s="36">
        <f t="shared" si="83"/>
        <v>1.2672442889308697</v>
      </c>
      <c r="AJ361" s="23"/>
      <c r="AK361" s="23"/>
      <c r="AL361" s="44"/>
      <c r="AM361" s="44"/>
      <c r="AN361" s="44"/>
      <c r="AO361" s="44"/>
      <c r="AP361" s="44"/>
      <c r="AQ361" s="44"/>
      <c r="AR361" s="44"/>
    </row>
    <row r="362" spans="1:44" ht="16.8">
      <c r="A362" s="64" t="s">
        <v>880</v>
      </c>
      <c r="B362" s="62"/>
      <c r="C362" s="1" t="s">
        <v>878</v>
      </c>
      <c r="D362" s="19" t="s">
        <v>879</v>
      </c>
      <c r="E362" s="20" t="s">
        <v>39</v>
      </c>
      <c r="F362" s="21">
        <v>2007</v>
      </c>
      <c r="G362" s="22">
        <v>2022</v>
      </c>
      <c r="H362" s="23">
        <v>3303068860623</v>
      </c>
      <c r="I362" s="23">
        <v>4729213684921</v>
      </c>
      <c r="J362" s="23">
        <v>2784904514158</v>
      </c>
      <c r="K362" s="23">
        <f t="shared" ref="K362:K363" si="113">SUM(J361:J362)/2</f>
        <v>2626190031723</v>
      </c>
      <c r="L362" s="23">
        <v>2600019865081</v>
      </c>
      <c r="M362" s="23">
        <v>1944309170663</v>
      </c>
      <c r="N362" s="23">
        <v>816873483814</v>
      </c>
      <c r="O362" s="25">
        <f t="shared" si="70"/>
        <v>703048995542</v>
      </c>
      <c r="P362" s="23">
        <v>147512945421</v>
      </c>
      <c r="Q362" s="23">
        <f>89982377815+49280799438</f>
        <v>139263177253</v>
      </c>
      <c r="R362" s="25">
        <f t="shared" si="71"/>
        <v>677610306561</v>
      </c>
      <c r="S362" s="26">
        <f t="shared" si="72"/>
        <v>0.58887263289404967</v>
      </c>
      <c r="T362" s="27">
        <f t="shared" si="73"/>
        <v>1.2704013938447727</v>
      </c>
      <c r="U362" s="26">
        <f t="shared" si="74"/>
        <v>29.184780064638574</v>
      </c>
      <c r="V362" s="26">
        <f t="shared" si="75"/>
        <v>0.31104888600847469</v>
      </c>
      <c r="W362" s="112" t="s">
        <v>881</v>
      </c>
      <c r="X362" s="29">
        <v>7700</v>
      </c>
      <c r="Y362" s="112">
        <v>848613</v>
      </c>
      <c r="Z362" s="30">
        <f t="shared" si="103"/>
        <v>6534320100</v>
      </c>
      <c r="AA362" s="31">
        <f t="shared" si="77"/>
        <v>15</v>
      </c>
      <c r="AB362" s="32">
        <v>3.15E-2</v>
      </c>
      <c r="AC362" s="32">
        <v>8.0199999999999994E-2</v>
      </c>
      <c r="AD362" s="33">
        <f t="shared" si="78"/>
        <v>0.14866086465571585</v>
      </c>
      <c r="AE362" s="34">
        <f t="shared" si="79"/>
        <v>3.1191854555302073E-2</v>
      </c>
      <c r="AF362" s="33">
        <f t="shared" si="80"/>
        <v>0.14328181209522134</v>
      </c>
      <c r="AG362" s="33">
        <f t="shared" si="81"/>
        <v>2.3463354189634088E-3</v>
      </c>
      <c r="AH362" s="35">
        <f t="shared" si="82"/>
        <v>0.29332190014456455</v>
      </c>
      <c r="AI362" s="36">
        <f t="shared" si="83"/>
        <v>0.98962131527445485</v>
      </c>
      <c r="AJ362" s="23"/>
      <c r="AK362" s="23"/>
      <c r="AL362" s="44"/>
      <c r="AM362" s="44"/>
      <c r="AN362" s="44"/>
      <c r="AO362" s="44"/>
      <c r="AP362" s="44"/>
      <c r="AQ362" s="44"/>
      <c r="AR362" s="44"/>
    </row>
    <row r="363" spans="1:44" ht="16.8">
      <c r="A363" s="64" t="s">
        <v>882</v>
      </c>
      <c r="B363" s="62"/>
      <c r="C363" s="1" t="s">
        <v>878</v>
      </c>
      <c r="D363" s="19" t="s">
        <v>879</v>
      </c>
      <c r="E363" s="20" t="s">
        <v>39</v>
      </c>
      <c r="F363" s="21">
        <v>2007</v>
      </c>
      <c r="G363" s="22">
        <v>2023</v>
      </c>
      <c r="H363" s="23">
        <v>3235200595454</v>
      </c>
      <c r="I363" s="23">
        <v>4684043953359</v>
      </c>
      <c r="J363" s="23">
        <v>2630325870524</v>
      </c>
      <c r="K363" s="23">
        <f t="shared" si="113"/>
        <v>2707615192341</v>
      </c>
      <c r="L363" s="23">
        <v>2544451410365</v>
      </c>
      <c r="M363" s="23">
        <v>2053718082835</v>
      </c>
      <c r="N363" s="23">
        <v>862043543600</v>
      </c>
      <c r="O363" s="25">
        <f t="shared" si="70"/>
        <v>690749185089</v>
      </c>
      <c r="P363" s="23">
        <v>109408912172</v>
      </c>
      <c r="Q363" s="23">
        <f>143165880503+43646538816</f>
        <v>186812419319</v>
      </c>
      <c r="R363" s="25">
        <f t="shared" si="71"/>
        <v>675231124281</v>
      </c>
      <c r="S363" s="26">
        <f t="shared" si="72"/>
        <v>0.56155021103885094</v>
      </c>
      <c r="T363" s="27">
        <f t="shared" si="73"/>
        <v>1.271472735645564</v>
      </c>
      <c r="U363" s="26">
        <f t="shared" si="74"/>
        <v>29.175182945343092</v>
      </c>
      <c r="V363" s="26">
        <f t="shared" si="75"/>
        <v>0.31837742159168431</v>
      </c>
      <c r="W363" s="112" t="s">
        <v>883</v>
      </c>
      <c r="X363" s="29">
        <v>6300</v>
      </c>
      <c r="Y363" s="112">
        <v>1789804</v>
      </c>
      <c r="Z363" s="30">
        <f t="shared" si="103"/>
        <v>11275765200</v>
      </c>
      <c r="AA363" s="31">
        <f t="shared" si="77"/>
        <v>16</v>
      </c>
      <c r="AB363" s="32">
        <v>3.2500000000000001E-2</v>
      </c>
      <c r="AC363" s="32">
        <v>5.0500000000000003E-2</v>
      </c>
      <c r="AD363" s="33">
        <f t="shared" si="78"/>
        <v>0.1474685532345727</v>
      </c>
      <c r="AE363" s="34">
        <f t="shared" si="79"/>
        <v>2.3357789393402509E-2</v>
      </c>
      <c r="AF363" s="33">
        <f t="shared" si="80"/>
        <v>0.1441555909817587</v>
      </c>
      <c r="AG363" s="33">
        <f t="shared" si="81"/>
        <v>4.286832033383643E-3</v>
      </c>
      <c r="AH363" s="35">
        <f t="shared" si="82"/>
        <v>0.3277326027395488</v>
      </c>
      <c r="AI363" s="36">
        <f t="shared" si="83"/>
        <v>1.0156813212316336</v>
      </c>
      <c r="AJ363" s="23"/>
      <c r="AK363" s="23"/>
      <c r="AL363" s="44"/>
      <c r="AM363" s="44"/>
      <c r="AN363" s="44"/>
      <c r="AO363" s="44"/>
      <c r="AP363" s="44"/>
      <c r="AQ363" s="44"/>
      <c r="AR363" s="44"/>
    </row>
    <row r="364" spans="1:44" ht="16.8">
      <c r="A364" s="114" t="s">
        <v>884</v>
      </c>
      <c r="B364" s="115">
        <v>142</v>
      </c>
      <c r="C364" s="115" t="s">
        <v>885</v>
      </c>
      <c r="D364" s="116" t="s">
        <v>886</v>
      </c>
      <c r="E364" s="117" t="s">
        <v>39</v>
      </c>
      <c r="F364" s="118">
        <v>2003</v>
      </c>
      <c r="G364" s="119">
        <v>2021</v>
      </c>
      <c r="H364" s="120">
        <v>588089701857</v>
      </c>
      <c r="I364" s="120">
        <v>1408767706633</v>
      </c>
      <c r="J364" s="120">
        <v>857467141072</v>
      </c>
      <c r="K364" s="120">
        <f>(J364+837129715222)/2</f>
        <v>847298428147</v>
      </c>
      <c r="L364" s="120">
        <v>135891401239</v>
      </c>
      <c r="M364" s="120">
        <v>551300565561</v>
      </c>
      <c r="N364" s="120">
        <v>120917840262</v>
      </c>
      <c r="O364" s="120">
        <f t="shared" si="70"/>
        <v>452198300618</v>
      </c>
      <c r="P364" s="120">
        <v>155620988680</v>
      </c>
      <c r="Q364" s="120">
        <f>616773848+13247782796</f>
        <v>13864556644</v>
      </c>
      <c r="R364" s="120">
        <f t="shared" si="71"/>
        <v>107053283618</v>
      </c>
      <c r="S364" s="121">
        <f t="shared" si="72"/>
        <v>0.60866467696180659</v>
      </c>
      <c r="T364" s="122">
        <f t="shared" si="73"/>
        <v>4.3276446963902666</v>
      </c>
      <c r="U364" s="121">
        <f t="shared" si="74"/>
        <v>27.973736471259915</v>
      </c>
      <c r="V364" s="121">
        <f t="shared" si="75"/>
        <v>0.14270986023949245</v>
      </c>
      <c r="W364" s="123" t="s">
        <v>887</v>
      </c>
      <c r="X364" s="124">
        <v>37710</v>
      </c>
      <c r="Y364" s="123">
        <v>16187</v>
      </c>
      <c r="Z364" s="125">
        <f t="shared" si="103"/>
        <v>610411770</v>
      </c>
      <c r="AA364" s="118">
        <f t="shared" si="77"/>
        <v>18</v>
      </c>
      <c r="AB364" s="126">
        <v>1.84E-2</v>
      </c>
      <c r="AC364" s="126">
        <v>2.58E-2</v>
      </c>
      <c r="AD364" s="121">
        <f t="shared" si="78"/>
        <v>0.32098854799757476</v>
      </c>
      <c r="AE364" s="127">
        <f t="shared" si="79"/>
        <v>0.11046603918252723</v>
      </c>
      <c r="AF364" s="121">
        <f t="shared" si="80"/>
        <v>7.5990728005726926E-2</v>
      </c>
      <c r="AG364" s="121">
        <f t="shared" si="81"/>
        <v>7.1187773940452933E-4</v>
      </c>
      <c r="AH364" s="128">
        <f t="shared" si="82"/>
        <v>0.14101746232611231</v>
      </c>
      <c r="AI364" s="129">
        <f t="shared" si="83"/>
        <v>0.9320527038412818</v>
      </c>
      <c r="AJ364" s="120"/>
      <c r="AK364" s="120"/>
      <c r="AL364" s="130"/>
      <c r="AM364" s="130"/>
      <c r="AN364" s="130"/>
      <c r="AO364" s="130"/>
      <c r="AP364" s="130"/>
      <c r="AQ364" s="130"/>
      <c r="AR364" s="130"/>
    </row>
    <row r="365" spans="1:44" ht="16.8">
      <c r="A365" s="114" t="s">
        <v>888</v>
      </c>
      <c r="B365" s="115"/>
      <c r="C365" s="115" t="s">
        <v>885</v>
      </c>
      <c r="D365" s="116" t="s">
        <v>886</v>
      </c>
      <c r="E365" s="117" t="s">
        <v>39</v>
      </c>
      <c r="F365" s="118">
        <v>2003</v>
      </c>
      <c r="G365" s="119">
        <v>2022</v>
      </c>
      <c r="H365" s="120">
        <v>390662156470</v>
      </c>
      <c r="I365" s="120">
        <v>1582775109291</v>
      </c>
      <c r="J365" s="120">
        <v>931351247626</v>
      </c>
      <c r="K365" s="120">
        <f t="shared" ref="K365:K366" si="114">SUM(J364:J365)/2</f>
        <v>894409194349</v>
      </c>
      <c r="L365" s="120">
        <v>164086251276</v>
      </c>
      <c r="M365" s="120">
        <v>651423861665</v>
      </c>
      <c r="N365" s="120">
        <v>111888982745</v>
      </c>
      <c r="O365" s="120">
        <f t="shared" si="70"/>
        <v>226575905194</v>
      </c>
      <c r="P365" s="120">
        <v>140404902117</v>
      </c>
      <c r="Q365" s="120">
        <f>783048989+19889629032</f>
        <v>20672678021</v>
      </c>
      <c r="R365" s="120">
        <f t="shared" si="71"/>
        <v>91216304724</v>
      </c>
      <c r="S365" s="121">
        <f t="shared" si="72"/>
        <v>0.5884292987417501</v>
      </c>
      <c r="T365" s="122">
        <f t="shared" si="73"/>
        <v>2.3808341858751456</v>
      </c>
      <c r="U365" s="121">
        <f t="shared" si="74"/>
        <v>28.090200820589146</v>
      </c>
      <c r="V365" s="121">
        <f t="shared" si="75"/>
        <v>0.12509820275991118</v>
      </c>
      <c r="W365" s="123" t="s">
        <v>889</v>
      </c>
      <c r="X365" s="124">
        <v>19660</v>
      </c>
      <c r="Y365" s="123">
        <v>18180</v>
      </c>
      <c r="Z365" s="125">
        <f t="shared" si="103"/>
        <v>357418800</v>
      </c>
      <c r="AA365" s="118">
        <f t="shared" si="77"/>
        <v>19</v>
      </c>
      <c r="AB365" s="126">
        <v>3.15E-2</v>
      </c>
      <c r="AC365" s="126">
        <v>8.0199999999999994E-2</v>
      </c>
      <c r="AD365" s="121">
        <f t="shared" si="78"/>
        <v>0.14315104139810114</v>
      </c>
      <c r="AE365" s="127">
        <f t="shared" si="79"/>
        <v>8.8708055422917292E-2</v>
      </c>
      <c r="AF365" s="121">
        <f t="shared" si="80"/>
        <v>5.763061611757346E-2</v>
      </c>
      <c r="AG365" s="121">
        <f t="shared" si="81"/>
        <v>3.8376369915330553E-4</v>
      </c>
      <c r="AH365" s="128">
        <f t="shared" si="82"/>
        <v>0.12013618173616376</v>
      </c>
      <c r="AI365" s="129">
        <f t="shared" si="83"/>
        <v>0.60652000041345377</v>
      </c>
      <c r="AJ365" s="120"/>
      <c r="AK365" s="120"/>
      <c r="AL365" s="130"/>
      <c r="AM365" s="130"/>
      <c r="AN365" s="130"/>
      <c r="AO365" s="130"/>
      <c r="AP365" s="130"/>
      <c r="AQ365" s="130"/>
      <c r="AR365" s="130"/>
    </row>
    <row r="366" spans="1:44" ht="16.8">
      <c r="A366" s="114" t="s">
        <v>890</v>
      </c>
      <c r="B366" s="115"/>
      <c r="C366" s="115" t="s">
        <v>885</v>
      </c>
      <c r="D366" s="116" t="s">
        <v>886</v>
      </c>
      <c r="E366" s="117" t="s">
        <v>39</v>
      </c>
      <c r="F366" s="118">
        <v>2003</v>
      </c>
      <c r="G366" s="119">
        <v>2023</v>
      </c>
      <c r="H366" s="120">
        <v>475314895067</v>
      </c>
      <c r="I366" s="120">
        <v>1815890174438</v>
      </c>
      <c r="J366" s="120">
        <v>1021438293372</v>
      </c>
      <c r="K366" s="120">
        <f t="shared" si="114"/>
        <v>976394770499</v>
      </c>
      <c r="L366" s="120">
        <v>189046810412</v>
      </c>
      <c r="M366" s="120">
        <v>794451881066</v>
      </c>
      <c r="N366" s="120">
        <v>184344971901</v>
      </c>
      <c r="O366" s="120">
        <f t="shared" si="70"/>
        <v>286268084655</v>
      </c>
      <c r="P366" s="120">
        <v>157694943998</v>
      </c>
      <c r="Q366" s="120">
        <f>1737857162+22430625499</f>
        <v>24168482661</v>
      </c>
      <c r="R366" s="120">
        <f t="shared" si="71"/>
        <v>160176489240</v>
      </c>
      <c r="S366" s="121">
        <f t="shared" si="72"/>
        <v>0.56250003868660448</v>
      </c>
      <c r="T366" s="122">
        <f t="shared" si="73"/>
        <v>2.5142709048151639</v>
      </c>
      <c r="U366" s="121">
        <f t="shared" si="74"/>
        <v>28.227596917647809</v>
      </c>
      <c r="V366" s="121">
        <f t="shared" si="75"/>
        <v>0.18880167886068047</v>
      </c>
      <c r="W366" s="123" t="s">
        <v>891</v>
      </c>
      <c r="X366" s="124">
        <v>30620</v>
      </c>
      <c r="Y366" s="123">
        <v>7809</v>
      </c>
      <c r="Z366" s="125">
        <f t="shared" si="103"/>
        <v>239111580</v>
      </c>
      <c r="AA366" s="118">
        <f t="shared" si="77"/>
        <v>20</v>
      </c>
      <c r="AB366" s="126">
        <v>3.2500000000000001E-2</v>
      </c>
      <c r="AC366" s="126">
        <v>5.0500000000000003E-2</v>
      </c>
      <c r="AD366" s="121">
        <f t="shared" si="78"/>
        <v>0.15764614440055391</v>
      </c>
      <c r="AE366" s="127">
        <f t="shared" si="79"/>
        <v>8.6841674798314838E-2</v>
      </c>
      <c r="AF366" s="121">
        <f t="shared" si="80"/>
        <v>8.8208247114709482E-2</v>
      </c>
      <c r="AG366" s="121">
        <f t="shared" si="81"/>
        <v>2.3409302505258376E-4</v>
      </c>
      <c r="AH366" s="128">
        <f t="shared" si="82"/>
        <v>0.1804758771011368</v>
      </c>
      <c r="AI366" s="129">
        <f t="shared" si="83"/>
        <v>0.78245726639301505</v>
      </c>
      <c r="AJ366" s="120"/>
      <c r="AK366" s="120"/>
      <c r="AL366" s="130"/>
      <c r="AM366" s="130"/>
      <c r="AN366" s="130"/>
      <c r="AO366" s="130"/>
      <c r="AP366" s="130"/>
      <c r="AQ366" s="130"/>
      <c r="AR366" s="130"/>
    </row>
    <row r="367" spans="1:44" ht="16.8">
      <c r="A367" s="64" t="s">
        <v>892</v>
      </c>
      <c r="B367" s="62">
        <v>143</v>
      </c>
      <c r="C367" s="1" t="s">
        <v>893</v>
      </c>
      <c r="D367" s="19" t="s">
        <v>894</v>
      </c>
      <c r="E367" s="20" t="s">
        <v>178</v>
      </c>
      <c r="F367" s="21">
        <v>1993</v>
      </c>
      <c r="G367" s="22">
        <v>2021</v>
      </c>
      <c r="H367" s="23">
        <v>91271987319</v>
      </c>
      <c r="I367" s="23">
        <v>102721152703</v>
      </c>
      <c r="J367" s="23">
        <v>70789672457</v>
      </c>
      <c r="K367" s="23">
        <f>(J367+25959019395)/2</f>
        <v>48374345926</v>
      </c>
      <c r="L367" s="23">
        <v>64260717016</v>
      </c>
      <c r="M367" s="23">
        <v>31931480246</v>
      </c>
      <c r="N367" s="23">
        <v>183740829256</v>
      </c>
      <c r="O367" s="25">
        <f t="shared" si="70"/>
        <v>27011270303</v>
      </c>
      <c r="P367" s="23">
        <v>12876975769</v>
      </c>
      <c r="Q367" s="23">
        <v>8821696022</v>
      </c>
      <c r="R367" s="25">
        <f t="shared" si="71"/>
        <v>174919133234</v>
      </c>
      <c r="S367" s="26">
        <f t="shared" si="72"/>
        <v>0.68914406229139369</v>
      </c>
      <c r="T367" s="27">
        <f t="shared" si="73"/>
        <v>1.4203387630467084</v>
      </c>
      <c r="U367" s="26">
        <f t="shared" si="74"/>
        <v>25.355283898622218</v>
      </c>
      <c r="V367" s="26">
        <f t="shared" si="75"/>
        <v>3.7983113929245689</v>
      </c>
      <c r="W367" s="112" t="s">
        <v>895</v>
      </c>
      <c r="X367" s="29">
        <v>9000</v>
      </c>
      <c r="Y367" s="112">
        <v>100</v>
      </c>
      <c r="Z367" s="30">
        <f t="shared" si="103"/>
        <v>900000</v>
      </c>
      <c r="AA367" s="31">
        <f t="shared" si="77"/>
        <v>28</v>
      </c>
      <c r="AB367" s="32">
        <v>1.84E-2</v>
      </c>
      <c r="AC367" s="32">
        <v>2.58E-2</v>
      </c>
      <c r="AD367" s="33">
        <f t="shared" si="78"/>
        <v>0.2629572351188299</v>
      </c>
      <c r="AE367" s="34">
        <f t="shared" si="79"/>
        <v>0.12535855985019456</v>
      </c>
      <c r="AF367" s="33">
        <f t="shared" si="80"/>
        <v>1.7028540727122452</v>
      </c>
      <c r="AG367" s="33">
        <f t="shared" si="81"/>
        <v>1.2713718947445192E-5</v>
      </c>
      <c r="AH367" s="35">
        <f t="shared" si="82"/>
        <v>2.595588069256999</v>
      </c>
      <c r="AI367" s="36">
        <f t="shared" si="83"/>
        <v>8.7060648033716443</v>
      </c>
      <c r="AJ367" s="23"/>
      <c r="AK367" s="23"/>
      <c r="AL367" s="44"/>
      <c r="AM367" s="44"/>
      <c r="AN367" s="44"/>
      <c r="AO367" s="44"/>
      <c r="AP367" s="44"/>
      <c r="AQ367" s="44"/>
      <c r="AR367" s="44"/>
    </row>
    <row r="368" spans="1:44" ht="16.8">
      <c r="A368" s="64" t="s">
        <v>896</v>
      </c>
      <c r="B368" s="62"/>
      <c r="C368" s="1" t="s">
        <v>893</v>
      </c>
      <c r="D368" s="19" t="s">
        <v>894</v>
      </c>
      <c r="E368" s="20" t="s">
        <v>178</v>
      </c>
      <c r="F368" s="21">
        <v>1993</v>
      </c>
      <c r="G368" s="22">
        <v>2022</v>
      </c>
      <c r="H368" s="23">
        <v>70129350109</v>
      </c>
      <c r="I368" s="23">
        <v>82103824155</v>
      </c>
      <c r="J368" s="23">
        <v>31213579635</v>
      </c>
      <c r="K368" s="23">
        <f t="shared" ref="K368:K369" si="115">SUM(J367:J368)/2</f>
        <v>51001626046</v>
      </c>
      <c r="L368" s="23">
        <v>24862385967</v>
      </c>
      <c r="M368" s="23">
        <v>50890244520</v>
      </c>
      <c r="N368" s="23">
        <v>231361292113</v>
      </c>
      <c r="O368" s="25">
        <f t="shared" si="70"/>
        <v>45266964142</v>
      </c>
      <c r="P368" s="23">
        <v>18958764274</v>
      </c>
      <c r="Q368" s="23">
        <v>10077189878</v>
      </c>
      <c r="R368" s="25">
        <f t="shared" si="71"/>
        <v>221284102235</v>
      </c>
      <c r="S368" s="26">
        <f t="shared" si="72"/>
        <v>0.38017205600646969</v>
      </c>
      <c r="T368" s="27">
        <f t="shared" si="73"/>
        <v>2.8207007244631761</v>
      </c>
      <c r="U368" s="26">
        <f t="shared" si="74"/>
        <v>25.131250431552658</v>
      </c>
      <c r="V368" s="26">
        <f t="shared" si="75"/>
        <v>4.5363512901398053</v>
      </c>
      <c r="W368" s="131">
        <v>45846</v>
      </c>
      <c r="X368" s="42">
        <v>8700</v>
      </c>
      <c r="Y368" s="112">
        <v>3200</v>
      </c>
      <c r="Z368" s="30">
        <f t="shared" si="103"/>
        <v>27840000</v>
      </c>
      <c r="AA368" s="31">
        <f t="shared" si="77"/>
        <v>29</v>
      </c>
      <c r="AB368" s="32">
        <v>3.15E-2</v>
      </c>
      <c r="AC368" s="32">
        <v>8.0199999999999994E-2</v>
      </c>
      <c r="AD368" s="33">
        <f t="shared" si="78"/>
        <v>0.55133807234779464</v>
      </c>
      <c r="AE368" s="34">
        <f t="shared" si="79"/>
        <v>0.23091207345237208</v>
      </c>
      <c r="AF368" s="33">
        <f t="shared" si="80"/>
        <v>2.6951741226723862</v>
      </c>
      <c r="AG368" s="33">
        <f t="shared" si="81"/>
        <v>8.9191948906695785E-4</v>
      </c>
      <c r="AH368" s="35">
        <f t="shared" si="82"/>
        <v>7.4121999084518011</v>
      </c>
      <c r="AI368" s="36">
        <f t="shared" si="83"/>
        <v>17.291692254614787</v>
      </c>
      <c r="AJ368" s="23"/>
      <c r="AK368" s="23"/>
      <c r="AL368" s="44"/>
      <c r="AM368" s="44"/>
      <c r="AN368" s="44"/>
      <c r="AO368" s="44"/>
      <c r="AP368" s="44"/>
      <c r="AQ368" s="44"/>
      <c r="AR368" s="44"/>
    </row>
    <row r="369" spans="1:44" ht="16.8">
      <c r="A369" s="64" t="s">
        <v>897</v>
      </c>
      <c r="B369" s="62"/>
      <c r="C369" s="1" t="s">
        <v>893</v>
      </c>
      <c r="D369" s="19" t="s">
        <v>894</v>
      </c>
      <c r="E369" s="20" t="s">
        <v>178</v>
      </c>
      <c r="F369" s="21">
        <v>1993</v>
      </c>
      <c r="G369" s="22">
        <v>2023</v>
      </c>
      <c r="H369" s="23">
        <v>78144255350</v>
      </c>
      <c r="I369" s="23">
        <v>793222479862</v>
      </c>
      <c r="J369" s="23">
        <v>27814359506</v>
      </c>
      <c r="K369" s="23">
        <f t="shared" si="115"/>
        <v>29513969570.5</v>
      </c>
      <c r="L369" s="23">
        <v>20097844624</v>
      </c>
      <c r="M369" s="23">
        <v>51508120356</v>
      </c>
      <c r="N369" s="23">
        <v>184376018555</v>
      </c>
      <c r="O369" s="25">
        <f t="shared" si="70"/>
        <v>58046410726</v>
      </c>
      <c r="P369" s="23">
        <v>517116974</v>
      </c>
      <c r="Q369" s="23">
        <v>11685733465</v>
      </c>
      <c r="R369" s="25">
        <f t="shared" si="71"/>
        <v>172690285090</v>
      </c>
      <c r="S369" s="26">
        <f t="shared" si="72"/>
        <v>3.5065016703559604E-2</v>
      </c>
      <c r="T369" s="27">
        <f t="shared" si="73"/>
        <v>3.888190838966056</v>
      </c>
      <c r="U369" s="26">
        <f t="shared" si="74"/>
        <v>27.399369573914111</v>
      </c>
      <c r="V369" s="26">
        <f t="shared" si="75"/>
        <v>6.247076257044351</v>
      </c>
      <c r="W369" s="131">
        <v>45814</v>
      </c>
      <c r="X369" s="42">
        <v>6600</v>
      </c>
      <c r="Y369" s="112">
        <v>100</v>
      </c>
      <c r="Z369" s="30">
        <f t="shared" si="103"/>
        <v>660000</v>
      </c>
      <c r="AA369" s="31">
        <f t="shared" si="77"/>
        <v>30</v>
      </c>
      <c r="AB369" s="32">
        <v>3.2500000000000001E-2</v>
      </c>
      <c r="AC369" s="32">
        <v>5.0500000000000003E-2</v>
      </c>
      <c r="AD369" s="33">
        <f t="shared" si="78"/>
        <v>7.3177969863005593E-2</v>
      </c>
      <c r="AE369" s="34">
        <f t="shared" si="79"/>
        <v>6.5191921198446724E-4</v>
      </c>
      <c r="AF369" s="33">
        <f t="shared" si="80"/>
        <v>0.2177072504551858</v>
      </c>
      <c r="AG369" s="33">
        <f t="shared" si="81"/>
        <v>2.3728750606593242E-5</v>
      </c>
      <c r="AH369" s="35">
        <f t="shared" si="82"/>
        <v>6.6288069123154596</v>
      </c>
      <c r="AI369" s="36">
        <f t="shared" si="83"/>
        <v>7.4359813268003219</v>
      </c>
      <c r="AJ369" s="23"/>
      <c r="AK369" s="23"/>
      <c r="AL369" s="44"/>
      <c r="AM369" s="44"/>
      <c r="AN369" s="44"/>
      <c r="AO369" s="44"/>
      <c r="AP369" s="44"/>
      <c r="AQ369" s="44"/>
      <c r="AR369" s="44"/>
    </row>
    <row r="370" spans="1:44" ht="16.8">
      <c r="A370" s="64" t="s">
        <v>898</v>
      </c>
      <c r="B370" s="62">
        <v>144</v>
      </c>
      <c r="C370" s="1" t="s">
        <v>899</v>
      </c>
      <c r="D370" s="19" t="s">
        <v>900</v>
      </c>
      <c r="E370" s="20" t="s">
        <v>39</v>
      </c>
      <c r="F370" s="21">
        <v>2003</v>
      </c>
      <c r="G370" s="22">
        <v>2021</v>
      </c>
      <c r="H370" s="23">
        <v>28781130645</v>
      </c>
      <c r="I370" s="23">
        <v>36169009874</v>
      </c>
      <c r="J370" s="23">
        <v>10230350357</v>
      </c>
      <c r="K370" s="23">
        <f>(J370+12837824578)/2</f>
        <v>11534087467.5</v>
      </c>
      <c r="L370" s="23">
        <v>10230350357</v>
      </c>
      <c r="M370" s="23">
        <v>25938659517</v>
      </c>
      <c r="N370" s="23">
        <v>24219504174</v>
      </c>
      <c r="O370" s="25">
        <f t="shared" si="70"/>
        <v>18550780288</v>
      </c>
      <c r="P370" s="23">
        <v>2602376331</v>
      </c>
      <c r="Q370" s="23">
        <v>5834462803</v>
      </c>
      <c r="R370" s="25">
        <f t="shared" si="71"/>
        <v>18385041371</v>
      </c>
      <c r="S370" s="26">
        <f t="shared" si="72"/>
        <v>0.28284850463529171</v>
      </c>
      <c r="T370" s="27">
        <f t="shared" si="73"/>
        <v>2.8133084049567119</v>
      </c>
      <c r="U370" s="26">
        <f t="shared" si="74"/>
        <v>24.311468508302948</v>
      </c>
      <c r="V370" s="26">
        <f t="shared" si="75"/>
        <v>2.0998197076486669</v>
      </c>
      <c r="W370" s="112" t="s">
        <v>901</v>
      </c>
      <c r="X370" s="29">
        <v>9820</v>
      </c>
      <c r="Y370" s="112">
        <v>1700</v>
      </c>
      <c r="Z370" s="30">
        <f t="shared" si="103"/>
        <v>16694000</v>
      </c>
      <c r="AA370" s="31">
        <f t="shared" si="77"/>
        <v>18</v>
      </c>
      <c r="AB370" s="32">
        <v>1.84E-2</v>
      </c>
      <c r="AC370" s="32">
        <v>2.58E-2</v>
      </c>
      <c r="AD370" s="33">
        <f t="shared" si="78"/>
        <v>0.51289157078461201</v>
      </c>
      <c r="AE370" s="34">
        <f t="shared" si="79"/>
        <v>7.1950444318651691E-2</v>
      </c>
      <c r="AF370" s="33">
        <f t="shared" si="80"/>
        <v>0.50830922480452079</v>
      </c>
      <c r="AG370" s="33">
        <f t="shared" si="81"/>
        <v>1.6318111714108913E-3</v>
      </c>
      <c r="AH370" s="35">
        <f t="shared" si="82"/>
        <v>2.3674168849386552</v>
      </c>
      <c r="AI370" s="36">
        <f t="shared" si="83"/>
        <v>4.7620169204840668</v>
      </c>
      <c r="AJ370" s="23"/>
      <c r="AK370" s="23"/>
      <c r="AL370" s="44"/>
      <c r="AM370" s="44"/>
      <c r="AN370" s="44"/>
      <c r="AO370" s="44"/>
      <c r="AP370" s="44"/>
      <c r="AQ370" s="44"/>
      <c r="AR370" s="44"/>
    </row>
    <row r="371" spans="1:44" ht="16.8">
      <c r="A371" s="64" t="s">
        <v>902</v>
      </c>
      <c r="B371" s="62"/>
      <c r="C371" s="1" t="s">
        <v>899</v>
      </c>
      <c r="D371" s="19" t="s">
        <v>900</v>
      </c>
      <c r="E371" s="20" t="s">
        <v>39</v>
      </c>
      <c r="F371" s="21">
        <v>2003</v>
      </c>
      <c r="G371" s="22">
        <v>2022</v>
      </c>
      <c r="H371" s="23">
        <v>29451726789</v>
      </c>
      <c r="I371" s="23">
        <v>36337497654</v>
      </c>
      <c r="J371" s="23">
        <v>10845419188</v>
      </c>
      <c r="K371" s="23">
        <f t="shared" ref="K371:K372" si="116">SUM(J370:J371)/2</f>
        <v>10537884772.5</v>
      </c>
      <c r="L371" s="23">
        <v>10845419188</v>
      </c>
      <c r="M371" s="23">
        <v>25492078466</v>
      </c>
      <c r="N371" s="23">
        <v>27095221462</v>
      </c>
      <c r="O371" s="25">
        <f t="shared" si="70"/>
        <v>18606307601</v>
      </c>
      <c r="P371" s="23">
        <v>2683536949</v>
      </c>
      <c r="Q371" s="23">
        <v>5985772514</v>
      </c>
      <c r="R371" s="25">
        <f t="shared" si="71"/>
        <v>21109448948</v>
      </c>
      <c r="S371" s="26">
        <f t="shared" si="72"/>
        <v>0.29846356761460008</v>
      </c>
      <c r="T371" s="27">
        <f t="shared" si="73"/>
        <v>2.7155913735069914</v>
      </c>
      <c r="U371" s="26">
        <f t="shared" si="74"/>
        <v>24.31611603827</v>
      </c>
      <c r="V371" s="26">
        <f t="shared" si="75"/>
        <v>2.5712201306953513</v>
      </c>
      <c r="W371" s="112" t="s">
        <v>903</v>
      </c>
      <c r="X371" s="29">
        <v>21250</v>
      </c>
      <c r="Y371" s="112">
        <v>31500</v>
      </c>
      <c r="Z371" s="30">
        <f t="shared" si="103"/>
        <v>669375000</v>
      </c>
      <c r="AA371" s="31">
        <f t="shared" si="77"/>
        <v>19</v>
      </c>
      <c r="AB371" s="32">
        <v>3.15E-2</v>
      </c>
      <c r="AC371" s="32">
        <v>8.0199999999999994E-2</v>
      </c>
      <c r="AD371" s="33">
        <f t="shared" si="78"/>
        <v>0.51204152190572849</v>
      </c>
      <c r="AE371" s="34">
        <f t="shared" si="79"/>
        <v>7.3850350801594022E-2</v>
      </c>
      <c r="AF371" s="33">
        <f t="shared" si="80"/>
        <v>0.5809274251353489</v>
      </c>
      <c r="AG371" s="33">
        <f t="shared" si="81"/>
        <v>6.1719606074851885E-2</v>
      </c>
      <c r="AH371" s="35">
        <f t="shared" si="82"/>
        <v>2.4983102075002988</v>
      </c>
      <c r="AI371" s="36">
        <f t="shared" si="83"/>
        <v>5.170242791500967</v>
      </c>
      <c r="AJ371" s="23"/>
      <c r="AK371" s="23"/>
      <c r="AL371" s="44"/>
      <c r="AM371" s="44"/>
      <c r="AN371" s="44"/>
      <c r="AO371" s="44"/>
      <c r="AP371" s="44"/>
      <c r="AQ371" s="44"/>
      <c r="AR371" s="44"/>
    </row>
    <row r="372" spans="1:44" ht="16.8">
      <c r="A372" s="64" t="s">
        <v>904</v>
      </c>
      <c r="B372" s="62"/>
      <c r="C372" s="1" t="s">
        <v>899</v>
      </c>
      <c r="D372" s="19" t="s">
        <v>900</v>
      </c>
      <c r="E372" s="20" t="s">
        <v>39</v>
      </c>
      <c r="F372" s="21">
        <v>2003</v>
      </c>
      <c r="G372" s="22">
        <v>2023</v>
      </c>
      <c r="H372" s="23">
        <v>30823138059</v>
      </c>
      <c r="I372" s="23">
        <v>37088784744</v>
      </c>
      <c r="J372" s="23">
        <v>12710358682</v>
      </c>
      <c r="K372" s="23">
        <f t="shared" si="116"/>
        <v>11777888935</v>
      </c>
      <c r="L372" s="23">
        <v>12710358682</v>
      </c>
      <c r="M372" s="23">
        <v>24378426062</v>
      </c>
      <c r="N372" s="23">
        <v>24666620987</v>
      </c>
      <c r="O372" s="25">
        <f t="shared" si="70"/>
        <v>18112779377</v>
      </c>
      <c r="P372" s="23">
        <v>2016347596</v>
      </c>
      <c r="Q372" s="23">
        <v>4997160654</v>
      </c>
      <c r="R372" s="25">
        <f t="shared" si="71"/>
        <v>19669460333</v>
      </c>
      <c r="S372" s="26">
        <f t="shared" si="72"/>
        <v>0.34270086684509676</v>
      </c>
      <c r="T372" s="27">
        <f t="shared" si="73"/>
        <v>2.4250407742348559</v>
      </c>
      <c r="U372" s="26">
        <f t="shared" si="74"/>
        <v>24.336580462853156</v>
      </c>
      <c r="V372" s="26">
        <f t="shared" si="75"/>
        <v>2.0943159782818923</v>
      </c>
      <c r="W372" s="112" t="s">
        <v>905</v>
      </c>
      <c r="X372" s="29">
        <v>19470</v>
      </c>
      <c r="Y372" s="112">
        <v>0</v>
      </c>
      <c r="Z372" s="30">
        <f t="shared" si="103"/>
        <v>0</v>
      </c>
      <c r="AA372" s="31">
        <f t="shared" si="77"/>
        <v>20</v>
      </c>
      <c r="AB372" s="32">
        <v>3.2500000000000001E-2</v>
      </c>
      <c r="AC372" s="32">
        <v>5.0500000000000003E-2</v>
      </c>
      <c r="AD372" s="33">
        <f t="shared" si="78"/>
        <v>0.48836270861989289</v>
      </c>
      <c r="AE372" s="34">
        <f t="shared" si="79"/>
        <v>5.4365426365882548E-2</v>
      </c>
      <c r="AF372" s="33">
        <f t="shared" si="80"/>
        <v>0.53033445201199281</v>
      </c>
      <c r="AG372" s="33">
        <f t="shared" si="81"/>
        <v>0</v>
      </c>
      <c r="AH372" s="35">
        <f t="shared" si="82"/>
        <v>1.9406707241025443</v>
      </c>
      <c r="AI372" s="36">
        <f t="shared" si="83"/>
        <v>4.3529212629982279</v>
      </c>
      <c r="AJ372" s="23"/>
      <c r="AK372" s="23"/>
      <c r="AL372" s="44"/>
      <c r="AM372" s="44"/>
      <c r="AN372" s="44"/>
      <c r="AO372" s="44"/>
      <c r="AP372" s="44"/>
      <c r="AQ372" s="44"/>
      <c r="AR372" s="44"/>
    </row>
    <row r="373" spans="1:44" ht="16.8">
      <c r="A373" s="64" t="s">
        <v>906</v>
      </c>
      <c r="B373" s="62">
        <v>145</v>
      </c>
      <c r="C373" s="1" t="s">
        <v>907</v>
      </c>
      <c r="D373" s="19" t="s">
        <v>908</v>
      </c>
      <c r="E373" s="20" t="s">
        <v>39</v>
      </c>
      <c r="F373" s="21">
        <v>1969</v>
      </c>
      <c r="G373" s="22">
        <v>2021</v>
      </c>
      <c r="H373" s="23">
        <v>712764359961</v>
      </c>
      <c r="I373" s="23">
        <v>1122460164137</v>
      </c>
      <c r="J373" s="23">
        <v>572430418695</v>
      </c>
      <c r="K373" s="23">
        <f>(J373+283850128385)/2</f>
        <v>428140273540</v>
      </c>
      <c r="L373" s="23">
        <v>495550849482</v>
      </c>
      <c r="M373" s="23">
        <v>550029745442</v>
      </c>
      <c r="N373" s="23">
        <v>1538796225789</v>
      </c>
      <c r="O373" s="25">
        <f t="shared" si="70"/>
        <v>217213510479</v>
      </c>
      <c r="P373" s="23">
        <v>70897067418</v>
      </c>
      <c r="Q373" s="23">
        <f>49531681146+82309761365</f>
        <v>131841442511</v>
      </c>
      <c r="R373" s="25">
        <f t="shared" si="71"/>
        <v>1406954783278</v>
      </c>
      <c r="S373" s="26">
        <f t="shared" si="72"/>
        <v>0.50997838229306902</v>
      </c>
      <c r="T373" s="27">
        <f t="shared" si="73"/>
        <v>1.4383273900267826</v>
      </c>
      <c r="U373" s="26">
        <f t="shared" si="74"/>
        <v>27.746543967413711</v>
      </c>
      <c r="V373" s="26">
        <f t="shared" si="75"/>
        <v>3.5941403341146656</v>
      </c>
      <c r="W373" s="112" t="s">
        <v>909</v>
      </c>
      <c r="X373" s="29">
        <v>33290</v>
      </c>
      <c r="Y373" s="112">
        <v>1300</v>
      </c>
      <c r="Z373" s="30">
        <f t="shared" si="103"/>
        <v>43277000</v>
      </c>
      <c r="AA373" s="31">
        <f t="shared" si="77"/>
        <v>52</v>
      </c>
      <c r="AB373" s="32">
        <v>1.84E-2</v>
      </c>
      <c r="AC373" s="32">
        <v>2.58E-2</v>
      </c>
      <c r="AD373" s="33">
        <f t="shared" si="78"/>
        <v>0.19351556288503471</v>
      </c>
      <c r="AE373" s="34">
        <f t="shared" si="79"/>
        <v>6.3162212507121784E-2</v>
      </c>
      <c r="AF373" s="33">
        <f t="shared" si="80"/>
        <v>1.2534563169640258</v>
      </c>
      <c r="AG373" s="33">
        <f t="shared" si="81"/>
        <v>7.5602201746477541E-5</v>
      </c>
      <c r="AH373" s="35">
        <f t="shared" si="82"/>
        <v>2.6881803893250038</v>
      </c>
      <c r="AI373" s="36">
        <f t="shared" si="83"/>
        <v>7.1452773695993486</v>
      </c>
      <c r="AJ373" s="23"/>
      <c r="AK373" s="23"/>
      <c r="AL373" s="44"/>
      <c r="AM373" s="44"/>
      <c r="AN373" s="44"/>
      <c r="AO373" s="44"/>
      <c r="AP373" s="44"/>
      <c r="AQ373" s="44"/>
      <c r="AR373" s="44"/>
    </row>
    <row r="374" spans="1:44" ht="16.8">
      <c r="A374" s="64" t="s">
        <v>910</v>
      </c>
      <c r="B374" s="62"/>
      <c r="C374" s="1" t="s">
        <v>907</v>
      </c>
      <c r="D374" s="19" t="s">
        <v>908</v>
      </c>
      <c r="E374" s="20" t="s">
        <v>39</v>
      </c>
      <c r="F374" s="21">
        <v>1969</v>
      </c>
      <c r="G374" s="22">
        <v>2022</v>
      </c>
      <c r="H374" s="23">
        <v>598054188083</v>
      </c>
      <c r="I374" s="23">
        <v>992749063214</v>
      </c>
      <c r="J374" s="23">
        <v>400678215633</v>
      </c>
      <c r="K374" s="23">
        <f t="shared" ref="K374:K375" si="117">SUM(J373:J374)/2</f>
        <v>486554317164</v>
      </c>
      <c r="L374" s="23">
        <v>399398215633</v>
      </c>
      <c r="M374" s="23">
        <v>592070847581</v>
      </c>
      <c r="N374" s="23">
        <v>1710685506923</v>
      </c>
      <c r="O374" s="25">
        <f t="shared" si="70"/>
        <v>198655972450</v>
      </c>
      <c r="P374" s="23">
        <v>82551581693</v>
      </c>
      <c r="Q374" s="23">
        <f>52625342723+100741155174</f>
        <v>153366497897</v>
      </c>
      <c r="R374" s="25">
        <f t="shared" si="71"/>
        <v>1557319009026</v>
      </c>
      <c r="S374" s="26">
        <f t="shared" si="72"/>
        <v>0.4036047280022752</v>
      </c>
      <c r="T374" s="27">
        <f t="shared" si="73"/>
        <v>1.4973882322812917</v>
      </c>
      <c r="U374" s="26">
        <f t="shared" si="74"/>
        <v>27.62374376333003</v>
      </c>
      <c r="V374" s="26">
        <f t="shared" si="75"/>
        <v>3.5159188739587099</v>
      </c>
      <c r="W374" s="112" t="s">
        <v>911</v>
      </c>
      <c r="X374" s="29">
        <v>35230</v>
      </c>
      <c r="Y374" s="112">
        <v>2000</v>
      </c>
      <c r="Z374" s="30">
        <f t="shared" si="103"/>
        <v>70460000</v>
      </c>
      <c r="AA374" s="31">
        <f t="shared" si="77"/>
        <v>53</v>
      </c>
      <c r="AB374" s="32">
        <v>3.15E-2</v>
      </c>
      <c r="AC374" s="32">
        <v>8.0199999999999994E-2</v>
      </c>
      <c r="AD374" s="33">
        <f t="shared" si="78"/>
        <v>0.20010693518748465</v>
      </c>
      <c r="AE374" s="34">
        <f t="shared" si="79"/>
        <v>8.3154529933013824E-2</v>
      </c>
      <c r="AF374" s="33">
        <f t="shared" si="80"/>
        <v>1.5686935064780811</v>
      </c>
      <c r="AG374" s="33">
        <f t="shared" si="81"/>
        <v>1.7585183633875824E-4</v>
      </c>
      <c r="AH374" s="35">
        <f t="shared" si="82"/>
        <v>4.2694747060815939</v>
      </c>
      <c r="AI374" s="36">
        <f t="shared" si="83"/>
        <v>9.8028134526922663</v>
      </c>
      <c r="AJ374" s="23"/>
      <c r="AK374" s="23"/>
      <c r="AL374" s="44"/>
      <c r="AM374" s="44"/>
      <c r="AN374" s="44"/>
      <c r="AO374" s="44"/>
      <c r="AP374" s="44"/>
      <c r="AQ374" s="44"/>
      <c r="AR374" s="44"/>
    </row>
    <row r="375" spans="1:44" ht="16.8">
      <c r="A375" s="64" t="s">
        <v>912</v>
      </c>
      <c r="B375" s="62"/>
      <c r="C375" s="1" t="s">
        <v>907</v>
      </c>
      <c r="D375" s="19" t="s">
        <v>908</v>
      </c>
      <c r="E375" s="20" t="s">
        <v>39</v>
      </c>
      <c r="F375" s="21">
        <v>1969</v>
      </c>
      <c r="G375" s="22">
        <v>2023</v>
      </c>
      <c r="H375" s="23">
        <v>769517691216</v>
      </c>
      <c r="I375" s="23">
        <v>1089703549133</v>
      </c>
      <c r="J375" s="23">
        <v>432742297875</v>
      </c>
      <c r="K375" s="23">
        <f t="shared" si="117"/>
        <v>416710256754</v>
      </c>
      <c r="L375" s="23">
        <v>431462297875</v>
      </c>
      <c r="M375" s="23">
        <v>656961251258</v>
      </c>
      <c r="N375" s="23">
        <v>1533265809102</v>
      </c>
      <c r="O375" s="25">
        <f t="shared" si="70"/>
        <v>338055393341</v>
      </c>
      <c r="P375" s="23">
        <v>99240927593</v>
      </c>
      <c r="Q375" s="23">
        <f>57339448889+115414602315</f>
        <v>172754051204</v>
      </c>
      <c r="R375" s="25">
        <f t="shared" si="71"/>
        <v>1360511757898</v>
      </c>
      <c r="S375" s="26">
        <f t="shared" si="72"/>
        <v>0.39711928828652748</v>
      </c>
      <c r="T375" s="27">
        <f t="shared" si="73"/>
        <v>1.7835108536851552</v>
      </c>
      <c r="U375" s="26">
        <f t="shared" si="74"/>
        <v>27.716926801905686</v>
      </c>
      <c r="V375" s="26">
        <f t="shared" si="75"/>
        <v>3.679453011417344</v>
      </c>
      <c r="W375" s="112" t="s">
        <v>913</v>
      </c>
      <c r="X375" s="29">
        <v>42540</v>
      </c>
      <c r="Y375" s="112">
        <v>13000</v>
      </c>
      <c r="Z375" s="30">
        <f t="shared" si="103"/>
        <v>553020000</v>
      </c>
      <c r="AA375" s="31">
        <f t="shared" si="77"/>
        <v>54</v>
      </c>
      <c r="AB375" s="32">
        <v>3.2500000000000001E-2</v>
      </c>
      <c r="AC375" s="32">
        <v>5.0500000000000003E-2</v>
      </c>
      <c r="AD375" s="33">
        <f t="shared" si="78"/>
        <v>0.3102269361331958</v>
      </c>
      <c r="AE375" s="34">
        <f t="shared" si="79"/>
        <v>9.1071491573978064E-2</v>
      </c>
      <c r="AF375" s="33">
        <f t="shared" si="80"/>
        <v>1.2485154875199433</v>
      </c>
      <c r="AG375" s="33">
        <f t="shared" si="81"/>
        <v>1.27794302224587E-3</v>
      </c>
      <c r="AH375" s="35">
        <f t="shared" si="82"/>
        <v>3.5431382987777456</v>
      </c>
      <c r="AI375" s="36">
        <f t="shared" si="83"/>
        <v>8.1637785849703093</v>
      </c>
      <c r="AJ375" s="23"/>
      <c r="AK375" s="23"/>
      <c r="AL375" s="44"/>
      <c r="AM375" s="44"/>
      <c r="AN375" s="44"/>
      <c r="AO375" s="44"/>
      <c r="AP375" s="44"/>
      <c r="AQ375" s="44"/>
      <c r="AR375" s="44"/>
    </row>
    <row r="376" spans="1:44" ht="16.8">
      <c r="A376" s="64" t="s">
        <v>914</v>
      </c>
      <c r="B376" s="62">
        <v>146</v>
      </c>
      <c r="C376" s="1" t="s">
        <v>915</v>
      </c>
      <c r="D376" s="19" t="s">
        <v>916</v>
      </c>
      <c r="E376" s="20" t="s">
        <v>39</v>
      </c>
      <c r="F376" s="21">
        <v>2001</v>
      </c>
      <c r="G376" s="22">
        <v>2021</v>
      </c>
      <c r="H376" s="23">
        <v>397758776521</v>
      </c>
      <c r="I376" s="23">
        <v>505630566876</v>
      </c>
      <c r="J376" s="23">
        <v>235229321874</v>
      </c>
      <c r="K376" s="23">
        <f>(J376+125708359211)/2</f>
        <v>180468840542.5</v>
      </c>
      <c r="L376" s="23">
        <v>234417321874</v>
      </c>
      <c r="M376" s="23">
        <v>270401245002</v>
      </c>
      <c r="N376" s="23">
        <v>689036600819</v>
      </c>
      <c r="O376" s="25">
        <f t="shared" si="70"/>
        <v>163341454647</v>
      </c>
      <c r="P376" s="23">
        <v>12574093331</v>
      </c>
      <c r="Q376" s="23">
        <f>12958199358+18187723154</f>
        <v>31145922512</v>
      </c>
      <c r="R376" s="25">
        <f t="shared" si="71"/>
        <v>657890678307</v>
      </c>
      <c r="S376" s="26">
        <f t="shared" si="72"/>
        <v>0.46521974200916388</v>
      </c>
      <c r="T376" s="27">
        <f t="shared" si="73"/>
        <v>1.6967977167438015</v>
      </c>
      <c r="U376" s="26">
        <f t="shared" si="74"/>
        <v>26.949072134589287</v>
      </c>
      <c r="V376" s="26">
        <f t="shared" si="75"/>
        <v>3.8180363920315288</v>
      </c>
      <c r="W376" s="131">
        <v>45909</v>
      </c>
      <c r="X376" s="42">
        <v>9900</v>
      </c>
      <c r="Y376" s="112">
        <v>629887</v>
      </c>
      <c r="Z376" s="30">
        <f t="shared" si="103"/>
        <v>6235881300</v>
      </c>
      <c r="AA376" s="31">
        <f t="shared" si="77"/>
        <v>20</v>
      </c>
      <c r="AB376" s="32">
        <v>1.84E-2</v>
      </c>
      <c r="AC376" s="32">
        <v>2.58E-2</v>
      </c>
      <c r="AD376" s="33">
        <f t="shared" si="78"/>
        <v>0.32304505571368591</v>
      </c>
      <c r="AE376" s="34">
        <f t="shared" si="79"/>
        <v>2.48681431755364E-2</v>
      </c>
      <c r="AF376" s="33">
        <f t="shared" si="80"/>
        <v>1.3011291670353862</v>
      </c>
      <c r="AG376" s="33">
        <f t="shared" si="81"/>
        <v>2.6509795846540909E-2</v>
      </c>
      <c r="AH376" s="35">
        <f t="shared" si="82"/>
        <v>2.9292122059004222</v>
      </c>
      <c r="AI376" s="36">
        <f t="shared" si="83"/>
        <v>7.6613138019272942</v>
      </c>
      <c r="AJ376" s="23"/>
      <c r="AK376" s="23"/>
      <c r="AL376" s="44"/>
      <c r="AM376" s="44"/>
      <c r="AN376" s="44"/>
      <c r="AO376" s="44"/>
      <c r="AP376" s="44"/>
      <c r="AQ376" s="44"/>
      <c r="AR376" s="44"/>
    </row>
    <row r="377" spans="1:44" ht="16.8">
      <c r="A377" s="64" t="s">
        <v>917</v>
      </c>
      <c r="B377" s="62"/>
      <c r="C377" s="1" t="s">
        <v>915</v>
      </c>
      <c r="D377" s="19" t="s">
        <v>916</v>
      </c>
      <c r="E377" s="20" t="s">
        <v>39</v>
      </c>
      <c r="F377" s="21">
        <v>2001</v>
      </c>
      <c r="G377" s="22">
        <v>2022</v>
      </c>
      <c r="H377" s="23">
        <v>421207934512</v>
      </c>
      <c r="I377" s="23">
        <v>550287874047</v>
      </c>
      <c r="J377" s="23">
        <v>220264031949</v>
      </c>
      <c r="K377" s="23">
        <f t="shared" ref="K377:K378" si="118">SUM(J376:J377)/2</f>
        <v>227746676911.5</v>
      </c>
      <c r="L377" s="23">
        <v>220264031949</v>
      </c>
      <c r="M377" s="23">
        <v>330023842098</v>
      </c>
      <c r="N377" s="23">
        <v>669695784816</v>
      </c>
      <c r="O377" s="25">
        <f t="shared" si="70"/>
        <v>200943902563</v>
      </c>
      <c r="P377" s="23">
        <v>-17742069331</v>
      </c>
      <c r="Q377" s="23">
        <f>11138981042+11430728818</f>
        <v>22569709860</v>
      </c>
      <c r="R377" s="25">
        <f t="shared" si="71"/>
        <v>647126074956</v>
      </c>
      <c r="S377" s="26">
        <f t="shared" si="72"/>
        <v>0.40027055353610658</v>
      </c>
      <c r="T377" s="27">
        <f t="shared" si="73"/>
        <v>1.9122864990028268</v>
      </c>
      <c r="U377" s="26">
        <f t="shared" si="74"/>
        <v>27.033707385601257</v>
      </c>
      <c r="V377" s="26">
        <f t="shared" si="75"/>
        <v>2.9405293367957102</v>
      </c>
      <c r="W377" s="131">
        <v>45810</v>
      </c>
      <c r="X377" s="42">
        <v>2600</v>
      </c>
      <c r="Y377" s="112">
        <v>11000</v>
      </c>
      <c r="Z377" s="30">
        <f t="shared" si="103"/>
        <v>28600000</v>
      </c>
      <c r="AA377" s="31">
        <f t="shared" si="77"/>
        <v>21</v>
      </c>
      <c r="AB377" s="32">
        <v>3.15E-2</v>
      </c>
      <c r="AC377" s="32">
        <v>8.0199999999999994E-2</v>
      </c>
      <c r="AD377" s="33">
        <f t="shared" si="78"/>
        <v>0.36516142193937823</v>
      </c>
      <c r="AE377" s="34">
        <f t="shared" si="79"/>
        <v>-3.224143247155152E-2</v>
      </c>
      <c r="AF377" s="33">
        <f t="shared" si="80"/>
        <v>1.1759773483591773</v>
      </c>
      <c r="AG377" s="33">
        <f t="shared" si="81"/>
        <v>1.2984416814190551E-4</v>
      </c>
      <c r="AH377" s="35">
        <f t="shared" si="82"/>
        <v>3.0404228002648273</v>
      </c>
      <c r="AI377" s="36">
        <f t="shared" si="83"/>
        <v>7.3142816572180793</v>
      </c>
      <c r="AJ377" s="23"/>
      <c r="AK377" s="23"/>
      <c r="AL377" s="44"/>
      <c r="AM377" s="44"/>
      <c r="AN377" s="44"/>
      <c r="AO377" s="44"/>
      <c r="AP377" s="44"/>
      <c r="AQ377" s="44"/>
      <c r="AR377" s="44"/>
    </row>
    <row r="378" spans="1:44" ht="16.8">
      <c r="A378" s="64" t="s">
        <v>918</v>
      </c>
      <c r="B378" s="62"/>
      <c r="C378" s="1" t="s">
        <v>915</v>
      </c>
      <c r="D378" s="19" t="s">
        <v>916</v>
      </c>
      <c r="E378" s="20" t="s">
        <v>39</v>
      </c>
      <c r="F378" s="21">
        <v>2001</v>
      </c>
      <c r="G378" s="22">
        <v>2023</v>
      </c>
      <c r="H378" s="23">
        <v>395535219900</v>
      </c>
      <c r="I378" s="23">
        <v>516624383677</v>
      </c>
      <c r="J378" s="23">
        <v>184935286005</v>
      </c>
      <c r="K378" s="23">
        <f t="shared" si="118"/>
        <v>202599658977</v>
      </c>
      <c r="L378" s="23">
        <v>184935286005</v>
      </c>
      <c r="M378" s="23">
        <v>331689097672</v>
      </c>
      <c r="N378" s="23">
        <v>544672306175</v>
      </c>
      <c r="O378" s="25">
        <f t="shared" si="70"/>
        <v>210599933895</v>
      </c>
      <c r="P378" s="23">
        <v>1922679814</v>
      </c>
      <c r="Q378" s="23">
        <f>8611064864+9696028604</f>
        <v>18307093468</v>
      </c>
      <c r="R378" s="25">
        <f t="shared" si="71"/>
        <v>526365212707</v>
      </c>
      <c r="S378" s="26">
        <f t="shared" si="72"/>
        <v>0.35796855868232469</v>
      </c>
      <c r="T378" s="27">
        <f t="shared" si="73"/>
        <v>2.1387763711534538</v>
      </c>
      <c r="U378" s="26">
        <f t="shared" si="74"/>
        <v>26.970581916798164</v>
      </c>
      <c r="V378" s="26">
        <f t="shared" si="75"/>
        <v>2.6884166978624262</v>
      </c>
      <c r="W378" s="131">
        <v>45810</v>
      </c>
      <c r="X378" s="42">
        <v>2600</v>
      </c>
      <c r="Y378" s="112">
        <v>31500</v>
      </c>
      <c r="Z378" s="30">
        <f t="shared" si="103"/>
        <v>81900000</v>
      </c>
      <c r="AA378" s="31">
        <f t="shared" si="77"/>
        <v>22</v>
      </c>
      <c r="AB378" s="32">
        <v>3.2500000000000001E-2</v>
      </c>
      <c r="AC378" s="32">
        <v>5.0500000000000003E-2</v>
      </c>
      <c r="AD378" s="33">
        <f t="shared" si="78"/>
        <v>0.40764613624328988</v>
      </c>
      <c r="AE378" s="34">
        <f t="shared" si="79"/>
        <v>3.7216203391632467E-3</v>
      </c>
      <c r="AF378" s="33">
        <f t="shared" si="80"/>
        <v>1.0188547605141496</v>
      </c>
      <c r="AG378" s="33">
        <f t="shared" si="81"/>
        <v>4.4285761667887279E-4</v>
      </c>
      <c r="AH378" s="35">
        <f t="shared" si="82"/>
        <v>2.9452048764791918</v>
      </c>
      <c r="AI378" s="36">
        <f t="shared" si="83"/>
        <v>6.8020769327126693</v>
      </c>
      <c r="AJ378" s="23"/>
      <c r="AK378" s="23"/>
      <c r="AL378" s="44"/>
      <c r="AM378" s="44"/>
      <c r="AN378" s="44"/>
      <c r="AO378" s="44"/>
      <c r="AP378" s="44"/>
      <c r="AQ378" s="44"/>
      <c r="AR378" s="44"/>
    </row>
    <row r="379" spans="1:44" ht="16.8">
      <c r="A379" s="64" t="s">
        <v>919</v>
      </c>
      <c r="B379" s="62">
        <v>147</v>
      </c>
      <c r="C379" s="1" t="s">
        <v>920</v>
      </c>
      <c r="D379" s="19" t="s">
        <v>921</v>
      </c>
      <c r="E379" s="20" t="s">
        <v>39</v>
      </c>
      <c r="F379" s="21">
        <v>2007</v>
      </c>
      <c r="G379" s="22">
        <v>2021</v>
      </c>
      <c r="H379" s="23">
        <v>208073235704</v>
      </c>
      <c r="I379" s="23">
        <v>215294561780</v>
      </c>
      <c r="J379" s="23">
        <v>22992336089</v>
      </c>
      <c r="K379" s="23">
        <f>(J379+21638503793)/2</f>
        <v>22315419941</v>
      </c>
      <c r="L379" s="23">
        <v>22992336089</v>
      </c>
      <c r="M379" s="23">
        <v>192302225691</v>
      </c>
      <c r="N379" s="23">
        <v>11644653946</v>
      </c>
      <c r="O379" s="25">
        <f t="shared" si="70"/>
        <v>185080899615</v>
      </c>
      <c r="P379" s="23">
        <v>1424433191</v>
      </c>
      <c r="Q379" s="23">
        <v>638004718</v>
      </c>
      <c r="R379" s="25">
        <f t="shared" si="71"/>
        <v>11006649228</v>
      </c>
      <c r="S379" s="26">
        <f t="shared" si="72"/>
        <v>0.10679478338377563</v>
      </c>
      <c r="T379" s="27">
        <f t="shared" si="73"/>
        <v>9.0496778969556928</v>
      </c>
      <c r="U379" s="26">
        <f t="shared" si="74"/>
        <v>26.095272982196047</v>
      </c>
      <c r="V379" s="26">
        <f t="shared" si="75"/>
        <v>0.52182096401445444</v>
      </c>
      <c r="W379" s="131">
        <v>45706</v>
      </c>
      <c r="X379" s="42">
        <v>18200</v>
      </c>
      <c r="Y379" s="112">
        <v>205825</v>
      </c>
      <c r="Z379" s="30">
        <f t="shared" si="103"/>
        <v>3746015000</v>
      </c>
      <c r="AA379" s="31">
        <f t="shared" si="77"/>
        <v>14</v>
      </c>
      <c r="AB379" s="32">
        <v>1.84E-2</v>
      </c>
      <c r="AC379" s="32">
        <v>2.58E-2</v>
      </c>
      <c r="AD379" s="33">
        <f t="shared" si="78"/>
        <v>0.85966360731454983</v>
      </c>
      <c r="AE379" s="34">
        <f t="shared" si="79"/>
        <v>6.6162060909627871E-3</v>
      </c>
      <c r="AF379" s="33">
        <f t="shared" si="80"/>
        <v>5.1123675103541204E-2</v>
      </c>
      <c r="AG379" s="33">
        <f t="shared" si="81"/>
        <v>0.16292450603973946</v>
      </c>
      <c r="AH379" s="35">
        <f t="shared" si="82"/>
        <v>0.50645806067401034</v>
      </c>
      <c r="AI379" s="36">
        <f t="shared" si="83"/>
        <v>1.8137799094443476</v>
      </c>
      <c r="AJ379" s="23"/>
      <c r="AK379" s="23"/>
      <c r="AL379" s="44"/>
      <c r="AM379" s="44"/>
      <c r="AN379" s="44"/>
      <c r="AO379" s="44"/>
      <c r="AP379" s="44"/>
      <c r="AQ379" s="44"/>
      <c r="AR379" s="44"/>
    </row>
    <row r="380" spans="1:44" ht="16.8">
      <c r="A380" s="64" t="s">
        <v>922</v>
      </c>
      <c r="B380" s="62"/>
      <c r="C380" s="1" t="s">
        <v>920</v>
      </c>
      <c r="D380" s="19" t="s">
        <v>921</v>
      </c>
      <c r="E380" s="20" t="s">
        <v>39</v>
      </c>
      <c r="F380" s="21">
        <v>2007</v>
      </c>
      <c r="G380" s="22">
        <v>2022</v>
      </c>
      <c r="H380" s="23">
        <v>308147743574</v>
      </c>
      <c r="I380" s="23">
        <v>317243295384</v>
      </c>
      <c r="J380" s="23">
        <v>12293049410</v>
      </c>
      <c r="K380" s="23">
        <f t="shared" ref="K380:K381" si="119">SUM(J379:J380)/2</f>
        <v>17642692749.5</v>
      </c>
      <c r="L380" s="23">
        <v>12293049410</v>
      </c>
      <c r="M380" s="23">
        <v>304950245974</v>
      </c>
      <c r="N380" s="23">
        <v>72012829029</v>
      </c>
      <c r="O380" s="25">
        <f t="shared" si="70"/>
        <v>295854694164</v>
      </c>
      <c r="P380" s="23">
        <v>2648020283</v>
      </c>
      <c r="Q380" s="23">
        <v>55065544440</v>
      </c>
      <c r="R380" s="25">
        <f t="shared" si="71"/>
        <v>16947284589</v>
      </c>
      <c r="S380" s="26">
        <f t="shared" si="72"/>
        <v>3.8749595622249972E-2</v>
      </c>
      <c r="T380" s="27">
        <f t="shared" si="73"/>
        <v>25.066827057843902</v>
      </c>
      <c r="U380" s="26">
        <f t="shared" si="74"/>
        <v>26.482934809776221</v>
      </c>
      <c r="V380" s="26">
        <f t="shared" si="75"/>
        <v>4.0817368443397548</v>
      </c>
      <c r="W380" s="131">
        <v>45752</v>
      </c>
      <c r="X380" s="42">
        <v>5400</v>
      </c>
      <c r="Y380" s="112">
        <v>8500</v>
      </c>
      <c r="Z380" s="30">
        <f t="shared" si="103"/>
        <v>45900000</v>
      </c>
      <c r="AA380" s="31">
        <f t="shared" si="77"/>
        <v>15</v>
      </c>
      <c r="AB380" s="32">
        <v>3.15E-2</v>
      </c>
      <c r="AC380" s="32">
        <v>8.0199999999999994E-2</v>
      </c>
      <c r="AD380" s="33">
        <f t="shared" si="78"/>
        <v>0.9325798164020751</v>
      </c>
      <c r="AE380" s="34">
        <f t="shared" si="79"/>
        <v>8.3469700432747158E-3</v>
      </c>
      <c r="AF380" s="33">
        <f t="shared" si="80"/>
        <v>5.3420465729580008E-2</v>
      </c>
      <c r="AG380" s="33">
        <f t="shared" si="81"/>
        <v>3.7338172547050717E-3</v>
      </c>
      <c r="AH380" s="35">
        <f t="shared" si="82"/>
        <v>5.85801184288903</v>
      </c>
      <c r="AI380" s="36">
        <f t="shared" si="83"/>
        <v>7.1673212078925417</v>
      </c>
      <c r="AJ380" s="23"/>
      <c r="AK380" s="23"/>
      <c r="AL380" s="44"/>
      <c r="AM380" s="44"/>
      <c r="AN380" s="44"/>
      <c r="AO380" s="44"/>
      <c r="AP380" s="44"/>
      <c r="AQ380" s="44"/>
      <c r="AR380" s="44"/>
    </row>
    <row r="381" spans="1:44" ht="16.8">
      <c r="A381" s="64" t="s">
        <v>923</v>
      </c>
      <c r="B381" s="62"/>
      <c r="C381" s="1" t="s">
        <v>920</v>
      </c>
      <c r="D381" s="19" t="s">
        <v>921</v>
      </c>
      <c r="E381" s="20" t="s">
        <v>39</v>
      </c>
      <c r="F381" s="21">
        <v>2007</v>
      </c>
      <c r="G381" s="22">
        <v>2023</v>
      </c>
      <c r="H381" s="23">
        <v>198087566345</v>
      </c>
      <c r="I381" s="23">
        <v>347803279753</v>
      </c>
      <c r="J381" s="23">
        <v>11789934897</v>
      </c>
      <c r="K381" s="23">
        <f t="shared" si="119"/>
        <v>12041492153.5</v>
      </c>
      <c r="L381" s="23">
        <v>11789934897</v>
      </c>
      <c r="M381" s="23">
        <v>336013344856</v>
      </c>
      <c r="N381" s="23">
        <v>41389079587</v>
      </c>
      <c r="O381" s="25">
        <f t="shared" si="70"/>
        <v>186297631448</v>
      </c>
      <c r="P381" s="23">
        <v>31063098882</v>
      </c>
      <c r="Q381" s="23">
        <v>10218032188</v>
      </c>
      <c r="R381" s="25">
        <f t="shared" si="71"/>
        <v>31171047399</v>
      </c>
      <c r="S381" s="26">
        <f t="shared" si="72"/>
        <v>3.3898285563531423E-2</v>
      </c>
      <c r="T381" s="27">
        <f t="shared" si="73"/>
        <v>16.801413076114969</v>
      </c>
      <c r="U381" s="26">
        <f t="shared" si="74"/>
        <v>26.574902868819258</v>
      </c>
      <c r="V381" s="26">
        <f t="shared" si="75"/>
        <v>3.4372052117286627</v>
      </c>
      <c r="W381" s="131">
        <v>45757</v>
      </c>
      <c r="X381" s="42">
        <v>10400</v>
      </c>
      <c r="Y381" s="112">
        <v>102400</v>
      </c>
      <c r="Z381" s="30">
        <f t="shared" si="103"/>
        <v>1064960000</v>
      </c>
      <c r="AA381" s="31">
        <f t="shared" si="77"/>
        <v>16</v>
      </c>
      <c r="AB381" s="32">
        <v>3.2500000000000001E-2</v>
      </c>
      <c r="AC381" s="32">
        <v>5.0500000000000003E-2</v>
      </c>
      <c r="AD381" s="33">
        <f t="shared" si="78"/>
        <v>0.53564081276146469</v>
      </c>
      <c r="AE381" s="34">
        <f t="shared" si="79"/>
        <v>8.9312265554425271E-2</v>
      </c>
      <c r="AF381" s="33">
        <f t="shared" si="80"/>
        <v>8.9622637892134857E-2</v>
      </c>
      <c r="AG381" s="33">
        <f t="shared" si="81"/>
        <v>9.0327894878451248E-2</v>
      </c>
      <c r="AH381" s="35">
        <f t="shared" si="82"/>
        <v>3.5105435228087334</v>
      </c>
      <c r="AI381" s="36">
        <f t="shared" si="83"/>
        <v>4.6283011118698019</v>
      </c>
      <c r="AJ381" s="23"/>
      <c r="AK381" s="23"/>
      <c r="AL381" s="44"/>
      <c r="AM381" s="44"/>
      <c r="AN381" s="44"/>
      <c r="AO381" s="44"/>
      <c r="AP381" s="44"/>
      <c r="AQ381" s="44"/>
      <c r="AR381" s="44"/>
    </row>
    <row r="382" spans="1:44" ht="16.8">
      <c r="A382" s="45"/>
      <c r="B382" s="45">
        <v>148</v>
      </c>
      <c r="C382" s="45" t="s">
        <v>924</v>
      </c>
      <c r="D382" s="46" t="s">
        <v>925</v>
      </c>
      <c r="E382" s="47" t="s">
        <v>39</v>
      </c>
      <c r="F382" s="48"/>
      <c r="G382" s="68"/>
      <c r="H382" s="49"/>
      <c r="I382" s="49"/>
      <c r="J382" s="49"/>
      <c r="K382" s="49"/>
      <c r="L382" s="49"/>
      <c r="M382" s="49"/>
      <c r="N382" s="49"/>
      <c r="O382" s="49">
        <f t="shared" si="70"/>
        <v>0</v>
      </c>
      <c r="P382" s="49"/>
      <c r="Q382" s="49"/>
      <c r="R382" s="49">
        <f t="shared" si="71"/>
        <v>0</v>
      </c>
      <c r="S382" s="50" t="e">
        <f t="shared" si="72"/>
        <v>#DIV/0!</v>
      </c>
      <c r="T382" s="51" t="e">
        <f t="shared" si="73"/>
        <v>#DIV/0!</v>
      </c>
      <c r="U382" s="50" t="e">
        <f t="shared" si="74"/>
        <v>#NUM!</v>
      </c>
      <c r="V382" s="50" t="e">
        <f t="shared" si="75"/>
        <v>#DIV/0!</v>
      </c>
      <c r="W382" s="52"/>
      <c r="X382" s="53">
        <v>0</v>
      </c>
      <c r="Y382" s="52"/>
      <c r="Z382" s="55">
        <f t="shared" si="103"/>
        <v>0</v>
      </c>
      <c r="AA382" s="48">
        <f t="shared" si="77"/>
        <v>0</v>
      </c>
      <c r="AB382" s="49"/>
      <c r="AC382" s="49"/>
      <c r="AD382" s="50" t="e">
        <f t="shared" si="78"/>
        <v>#DIV/0!</v>
      </c>
      <c r="AE382" s="56" t="e">
        <f t="shared" si="79"/>
        <v>#DIV/0!</v>
      </c>
      <c r="AF382" s="50" t="e">
        <f t="shared" si="80"/>
        <v>#DIV/0!</v>
      </c>
      <c r="AG382" s="50" t="e">
        <f t="shared" si="81"/>
        <v>#DIV/0!</v>
      </c>
      <c r="AH382" s="57" t="e">
        <f t="shared" si="82"/>
        <v>#DIV/0!</v>
      </c>
      <c r="AI382" s="58" t="e">
        <f t="shared" si="83"/>
        <v>#DIV/0!</v>
      </c>
      <c r="AJ382" s="49"/>
      <c r="AK382" s="49"/>
      <c r="AL382" s="59"/>
      <c r="AM382" s="59"/>
      <c r="AN382" s="59"/>
      <c r="AO382" s="59"/>
      <c r="AP382" s="59"/>
      <c r="AQ382" s="59"/>
      <c r="AR382" s="59"/>
    </row>
    <row r="383" spans="1:44" ht="16.8">
      <c r="A383" s="64" t="s">
        <v>926</v>
      </c>
      <c r="B383" s="62">
        <v>149</v>
      </c>
      <c r="C383" s="1" t="s">
        <v>927</v>
      </c>
      <c r="D383" s="19" t="s">
        <v>928</v>
      </c>
      <c r="E383" s="20" t="s">
        <v>39</v>
      </c>
      <c r="F383" s="21">
        <v>2009</v>
      </c>
      <c r="G383" s="22">
        <v>2021</v>
      </c>
      <c r="H383" s="23">
        <v>67733642275</v>
      </c>
      <c r="I383" s="23">
        <v>82277307490</v>
      </c>
      <c r="J383" s="23">
        <v>4636472453</v>
      </c>
      <c r="K383" s="23">
        <f>(J383+22049290809)/2</f>
        <v>13342881631</v>
      </c>
      <c r="L383" s="23">
        <v>4636472453</v>
      </c>
      <c r="M383" s="23">
        <v>77640835037</v>
      </c>
      <c r="N383" s="23">
        <v>21207000000</v>
      </c>
      <c r="O383" s="25">
        <f t="shared" si="70"/>
        <v>63097169822</v>
      </c>
      <c r="P383" s="23">
        <v>-252156381</v>
      </c>
      <c r="Q383" s="23">
        <f>49500000+2439228599</f>
        <v>2488728599</v>
      </c>
      <c r="R383" s="25">
        <f t="shared" si="71"/>
        <v>18718271401</v>
      </c>
      <c r="S383" s="26">
        <f t="shared" si="72"/>
        <v>5.63517766252076E-2</v>
      </c>
      <c r="T383" s="27">
        <f t="shared" si="73"/>
        <v>14.608874087275851</v>
      </c>
      <c r="U383" s="26">
        <f t="shared" si="74"/>
        <v>25.133361177447558</v>
      </c>
      <c r="V383" s="26">
        <f t="shared" si="75"/>
        <v>1.5893868046261468</v>
      </c>
      <c r="W383" s="112" t="s">
        <v>929</v>
      </c>
      <c r="X383" s="29">
        <v>9440</v>
      </c>
      <c r="Y383" s="112">
        <v>145911</v>
      </c>
      <c r="Z383" s="30">
        <f t="shared" si="103"/>
        <v>1377399840</v>
      </c>
      <c r="AA383" s="31">
        <f t="shared" si="77"/>
        <v>12</v>
      </c>
      <c r="AB383" s="32">
        <v>1.84E-2</v>
      </c>
      <c r="AC383" s="32">
        <v>2.58E-2</v>
      </c>
      <c r="AD383" s="33">
        <f t="shared" si="78"/>
        <v>0.76688423268674466</v>
      </c>
      <c r="AE383" s="34">
        <f t="shared" si="79"/>
        <v>-3.0647135728237964E-3</v>
      </c>
      <c r="AF383" s="33">
        <f t="shared" si="80"/>
        <v>0.22750223569572961</v>
      </c>
      <c r="AG383" s="33">
        <f t="shared" si="81"/>
        <v>0.29707926747386632</v>
      </c>
      <c r="AH383" s="35">
        <f t="shared" si="82"/>
        <v>4.5739514717224612</v>
      </c>
      <c r="AI383" s="36">
        <f t="shared" si="83"/>
        <v>6.4189268902248289</v>
      </c>
      <c r="AJ383" s="23"/>
      <c r="AK383" s="23"/>
      <c r="AL383" s="44"/>
      <c r="AM383" s="44"/>
      <c r="AN383" s="44"/>
      <c r="AO383" s="44"/>
      <c r="AP383" s="44"/>
      <c r="AQ383" s="44"/>
      <c r="AR383" s="44"/>
    </row>
    <row r="384" spans="1:44" ht="16.8">
      <c r="A384" s="64" t="s">
        <v>930</v>
      </c>
      <c r="B384" s="62"/>
      <c r="C384" s="1" t="s">
        <v>927</v>
      </c>
      <c r="D384" s="19" t="s">
        <v>928</v>
      </c>
      <c r="E384" s="20" t="s">
        <v>39</v>
      </c>
      <c r="F384" s="21">
        <v>2009</v>
      </c>
      <c r="G384" s="22">
        <v>2022</v>
      </c>
      <c r="H384" s="23">
        <v>68881570100</v>
      </c>
      <c r="I384" s="23">
        <v>79956570100</v>
      </c>
      <c r="J384" s="23">
        <v>5572896423</v>
      </c>
      <c r="K384" s="23">
        <f t="shared" ref="K384:K385" si="120">SUM(J383:J384)/2</f>
        <v>5104684438</v>
      </c>
      <c r="L384" s="23">
        <v>5572896423</v>
      </c>
      <c r="M384" s="23">
        <v>74383673677</v>
      </c>
      <c r="N384" s="23">
        <v>43966214409</v>
      </c>
      <c r="O384" s="25">
        <f t="shared" si="70"/>
        <v>63308673677</v>
      </c>
      <c r="P384" s="23">
        <v>-3257161360</v>
      </c>
      <c r="Q384" s="23">
        <f>18081819+1189886390</f>
        <v>1207968209</v>
      </c>
      <c r="R384" s="25">
        <f t="shared" si="71"/>
        <v>42758246200</v>
      </c>
      <c r="S384" s="26">
        <f t="shared" si="72"/>
        <v>6.9699043068381941E-2</v>
      </c>
      <c r="T384" s="27">
        <f t="shared" si="73"/>
        <v>12.360102336680374</v>
      </c>
      <c r="U384" s="26">
        <f t="shared" si="74"/>
        <v>25.104749450460986</v>
      </c>
      <c r="V384" s="26">
        <f t="shared" si="75"/>
        <v>8.6129152434397742</v>
      </c>
      <c r="W384" s="112" t="s">
        <v>931</v>
      </c>
      <c r="X384" s="29">
        <v>9250</v>
      </c>
      <c r="Y384" s="112">
        <v>0</v>
      </c>
      <c r="Z384" s="30">
        <f t="shared" si="103"/>
        <v>0</v>
      </c>
      <c r="AA384" s="31">
        <f t="shared" si="77"/>
        <v>13</v>
      </c>
      <c r="AB384" s="32">
        <v>3.15E-2</v>
      </c>
      <c r="AC384" s="32">
        <v>8.0199999999999994E-2</v>
      </c>
      <c r="AD384" s="33">
        <f t="shared" si="78"/>
        <v>0.79178826202551178</v>
      </c>
      <c r="AE384" s="34">
        <f t="shared" si="79"/>
        <v>-4.0736631848093743E-2</v>
      </c>
      <c r="AF384" s="33">
        <f t="shared" si="80"/>
        <v>0.5347683892208378</v>
      </c>
      <c r="AG384" s="33">
        <f t="shared" si="81"/>
        <v>0</v>
      </c>
      <c r="AH384" s="35">
        <f t="shared" si="82"/>
        <v>7.8892932995392222</v>
      </c>
      <c r="AI384" s="36">
        <f t="shared" si="83"/>
        <v>10.54714361381127</v>
      </c>
      <c r="AJ384" s="23"/>
      <c r="AK384" s="23"/>
      <c r="AL384" s="44"/>
      <c r="AM384" s="44"/>
      <c r="AN384" s="44"/>
      <c r="AO384" s="44"/>
      <c r="AP384" s="44"/>
      <c r="AQ384" s="44"/>
      <c r="AR384" s="44"/>
    </row>
    <row r="385" spans="1:44" ht="16.8">
      <c r="A385" s="64" t="s">
        <v>932</v>
      </c>
      <c r="B385" s="62"/>
      <c r="C385" s="1" t="s">
        <v>927</v>
      </c>
      <c r="D385" s="19" t="s">
        <v>928</v>
      </c>
      <c r="E385" s="20" t="s">
        <v>39</v>
      </c>
      <c r="F385" s="21">
        <v>2009</v>
      </c>
      <c r="G385" s="22">
        <v>2023</v>
      </c>
      <c r="H385" s="23">
        <v>73469864115</v>
      </c>
      <c r="I385" s="23">
        <v>78575266200</v>
      </c>
      <c r="J385" s="23">
        <v>2575038928</v>
      </c>
      <c r="K385" s="23">
        <f t="shared" si="120"/>
        <v>4073967675.5</v>
      </c>
      <c r="L385" s="23">
        <v>2575038928</v>
      </c>
      <c r="M385" s="23">
        <v>76000227272</v>
      </c>
      <c r="N385" s="23">
        <v>74681632847</v>
      </c>
      <c r="O385" s="25">
        <f t="shared" si="70"/>
        <v>70894825187</v>
      </c>
      <c r="P385" s="23">
        <v>1616553595</v>
      </c>
      <c r="Q385" s="23">
        <f>17834350+1332036918</f>
        <v>1349871268</v>
      </c>
      <c r="R385" s="25">
        <f t="shared" si="71"/>
        <v>73331761579</v>
      </c>
      <c r="S385" s="26">
        <f t="shared" si="72"/>
        <v>3.2771622070559399E-2</v>
      </c>
      <c r="T385" s="27">
        <f t="shared" si="73"/>
        <v>28.531554733451394</v>
      </c>
      <c r="U385" s="26">
        <f t="shared" si="74"/>
        <v>25.087322807470311</v>
      </c>
      <c r="V385" s="26">
        <f t="shared" si="75"/>
        <v>18.331424988008596</v>
      </c>
      <c r="W385" s="113">
        <v>45737</v>
      </c>
      <c r="X385" s="42">
        <v>21030</v>
      </c>
      <c r="Y385" s="112">
        <v>79005</v>
      </c>
      <c r="Z385" s="30">
        <f t="shared" si="103"/>
        <v>1661475150</v>
      </c>
      <c r="AA385" s="31">
        <f t="shared" si="77"/>
        <v>14</v>
      </c>
      <c r="AB385" s="32">
        <v>3.2500000000000001E-2</v>
      </c>
      <c r="AC385" s="32">
        <v>5.0500000000000003E-2</v>
      </c>
      <c r="AD385" s="33">
        <f t="shared" si="78"/>
        <v>0.90225370673958971</v>
      </c>
      <c r="AE385" s="34">
        <f t="shared" si="79"/>
        <v>2.0573313628812116E-2</v>
      </c>
      <c r="AF385" s="33">
        <f t="shared" si="80"/>
        <v>0.93326774601496676</v>
      </c>
      <c r="AG385" s="33">
        <f t="shared" si="81"/>
        <v>0.64522331368809505</v>
      </c>
      <c r="AH385" s="35">
        <f t="shared" si="82"/>
        <v>29.002137418172655</v>
      </c>
      <c r="AI385" s="36">
        <f t="shared" si="83"/>
        <v>33.580562055402744</v>
      </c>
      <c r="AJ385" s="23"/>
      <c r="AK385" s="23"/>
      <c r="AL385" s="44"/>
      <c r="AM385" s="44"/>
      <c r="AN385" s="44"/>
      <c r="AO385" s="44"/>
      <c r="AP385" s="44"/>
      <c r="AQ385" s="44"/>
      <c r="AR385" s="44"/>
    </row>
    <row r="386" spans="1:44" ht="16.8">
      <c r="A386" s="45"/>
      <c r="B386" s="45">
        <v>150</v>
      </c>
      <c r="C386" s="45" t="s">
        <v>933</v>
      </c>
      <c r="D386" s="46" t="s">
        <v>934</v>
      </c>
      <c r="E386" s="47" t="s">
        <v>39</v>
      </c>
      <c r="F386" s="48"/>
      <c r="G386" s="68"/>
      <c r="H386" s="49"/>
      <c r="I386" s="49"/>
      <c r="J386" s="49"/>
      <c r="K386" s="49"/>
      <c r="L386" s="49"/>
      <c r="M386" s="49"/>
      <c r="N386" s="49"/>
      <c r="O386" s="49">
        <f t="shared" si="70"/>
        <v>0</v>
      </c>
      <c r="P386" s="49"/>
      <c r="Q386" s="49"/>
      <c r="R386" s="49">
        <f t="shared" si="71"/>
        <v>0</v>
      </c>
      <c r="S386" s="50" t="e">
        <f t="shared" si="72"/>
        <v>#DIV/0!</v>
      </c>
      <c r="T386" s="51" t="e">
        <f t="shared" si="73"/>
        <v>#DIV/0!</v>
      </c>
      <c r="U386" s="50" t="e">
        <f t="shared" si="74"/>
        <v>#NUM!</v>
      </c>
      <c r="V386" s="50" t="e">
        <f t="shared" si="75"/>
        <v>#DIV/0!</v>
      </c>
      <c r="W386" s="52"/>
      <c r="X386" s="53">
        <v>0</v>
      </c>
      <c r="Y386" s="52"/>
      <c r="Z386" s="55">
        <f t="shared" si="103"/>
        <v>0</v>
      </c>
      <c r="AA386" s="48">
        <f t="shared" si="77"/>
        <v>0</v>
      </c>
      <c r="AB386" s="49"/>
      <c r="AC386" s="49"/>
      <c r="AD386" s="50" t="e">
        <f t="shared" si="78"/>
        <v>#DIV/0!</v>
      </c>
      <c r="AE386" s="56" t="e">
        <f t="shared" si="79"/>
        <v>#DIV/0!</v>
      </c>
      <c r="AF386" s="50" t="e">
        <f t="shared" si="80"/>
        <v>#DIV/0!</v>
      </c>
      <c r="AG386" s="50" t="e">
        <f t="shared" si="81"/>
        <v>#DIV/0!</v>
      </c>
      <c r="AH386" s="57" t="e">
        <f t="shared" si="82"/>
        <v>#DIV/0!</v>
      </c>
      <c r="AI386" s="58" t="e">
        <f t="shared" si="83"/>
        <v>#DIV/0!</v>
      </c>
      <c r="AJ386" s="49"/>
      <c r="AK386" s="49"/>
      <c r="AL386" s="59"/>
      <c r="AM386" s="59"/>
      <c r="AN386" s="59"/>
      <c r="AO386" s="59"/>
      <c r="AP386" s="59"/>
      <c r="AQ386" s="59"/>
      <c r="AR386" s="59"/>
    </row>
    <row r="387" spans="1:44" ht="16.8">
      <c r="A387" s="45"/>
      <c r="B387" s="45">
        <v>151</v>
      </c>
      <c r="C387" s="45" t="s">
        <v>935</v>
      </c>
      <c r="D387" s="46" t="s">
        <v>936</v>
      </c>
      <c r="E387" s="47" t="s">
        <v>39</v>
      </c>
      <c r="F387" s="48"/>
      <c r="G387" s="68"/>
      <c r="H387" s="49"/>
      <c r="I387" s="49"/>
      <c r="J387" s="49"/>
      <c r="K387" s="49"/>
      <c r="L387" s="49"/>
      <c r="M387" s="49"/>
      <c r="N387" s="49"/>
      <c r="O387" s="49">
        <f t="shared" si="70"/>
        <v>0</v>
      </c>
      <c r="P387" s="49"/>
      <c r="Q387" s="49"/>
      <c r="R387" s="49">
        <f t="shared" si="71"/>
        <v>0</v>
      </c>
      <c r="S387" s="50" t="e">
        <f t="shared" si="72"/>
        <v>#DIV/0!</v>
      </c>
      <c r="T387" s="51" t="e">
        <f t="shared" si="73"/>
        <v>#DIV/0!</v>
      </c>
      <c r="U387" s="50" t="e">
        <f t="shared" si="74"/>
        <v>#NUM!</v>
      </c>
      <c r="V387" s="50" t="e">
        <f t="shared" si="75"/>
        <v>#DIV/0!</v>
      </c>
      <c r="W387" s="52"/>
      <c r="X387" s="53">
        <v>0</v>
      </c>
      <c r="Y387" s="52"/>
      <c r="Z387" s="55">
        <f t="shared" si="103"/>
        <v>0</v>
      </c>
      <c r="AA387" s="48">
        <f t="shared" si="77"/>
        <v>0</v>
      </c>
      <c r="AB387" s="49"/>
      <c r="AC387" s="49"/>
      <c r="AD387" s="50" t="e">
        <f t="shared" si="78"/>
        <v>#DIV/0!</v>
      </c>
      <c r="AE387" s="56" t="e">
        <f t="shared" si="79"/>
        <v>#DIV/0!</v>
      </c>
      <c r="AF387" s="50" t="e">
        <f t="shared" si="80"/>
        <v>#DIV/0!</v>
      </c>
      <c r="AG387" s="50" t="e">
        <f t="shared" si="81"/>
        <v>#DIV/0!</v>
      </c>
      <c r="AH387" s="57" t="e">
        <f t="shared" si="82"/>
        <v>#DIV/0!</v>
      </c>
      <c r="AI387" s="58" t="e">
        <f t="shared" si="83"/>
        <v>#DIV/0!</v>
      </c>
      <c r="AJ387" s="49"/>
      <c r="AK387" s="49"/>
      <c r="AL387" s="59"/>
      <c r="AM387" s="59"/>
      <c r="AN387" s="59"/>
      <c r="AO387" s="59"/>
      <c r="AP387" s="59"/>
      <c r="AQ387" s="59"/>
      <c r="AR387" s="59"/>
    </row>
    <row r="388" spans="1:44" ht="16.8">
      <c r="A388" s="64" t="s">
        <v>937</v>
      </c>
      <c r="B388" s="62">
        <v>152</v>
      </c>
      <c r="C388" s="1" t="s">
        <v>938</v>
      </c>
      <c r="D388" s="19" t="s">
        <v>939</v>
      </c>
      <c r="E388" s="20" t="s">
        <v>39</v>
      </c>
      <c r="F388" s="21">
        <v>2001</v>
      </c>
      <c r="G388" s="22">
        <v>2021</v>
      </c>
      <c r="H388" s="23">
        <v>263516498914</v>
      </c>
      <c r="I388" s="23">
        <v>274198659482</v>
      </c>
      <c r="J388" s="23">
        <v>200674586809</v>
      </c>
      <c r="K388" s="23">
        <f>(J388+51520089926)/2</f>
        <v>126097338367.5</v>
      </c>
      <c r="L388" s="23">
        <v>200674586809</v>
      </c>
      <c r="M388" s="23">
        <v>73524072673</v>
      </c>
      <c r="N388" s="23">
        <v>349643463787</v>
      </c>
      <c r="O388" s="25">
        <f t="shared" si="70"/>
        <v>62841912105</v>
      </c>
      <c r="P388" s="23">
        <v>5742049424</v>
      </c>
      <c r="Q388" s="23">
        <f>4462264491+5494617283</f>
        <v>9956881774</v>
      </c>
      <c r="R388" s="25">
        <f t="shared" si="71"/>
        <v>339686582013</v>
      </c>
      <c r="S388" s="26">
        <f t="shared" si="72"/>
        <v>0.73185838030026351</v>
      </c>
      <c r="T388" s="27">
        <f t="shared" si="73"/>
        <v>1.3131533150473722</v>
      </c>
      <c r="U388" s="26">
        <f t="shared" si="74"/>
        <v>26.337118715229707</v>
      </c>
      <c r="V388" s="26">
        <f t="shared" si="75"/>
        <v>2.7728060585069114</v>
      </c>
      <c r="W388" s="131">
        <v>45683</v>
      </c>
      <c r="X388" s="42">
        <v>26100</v>
      </c>
      <c r="Y388" s="112">
        <v>1400</v>
      </c>
      <c r="Z388" s="30">
        <f t="shared" si="103"/>
        <v>36540000</v>
      </c>
      <c r="AA388" s="31">
        <f t="shared" si="77"/>
        <v>20</v>
      </c>
      <c r="AB388" s="32">
        <v>1.84E-2</v>
      </c>
      <c r="AC388" s="32">
        <v>2.58E-2</v>
      </c>
      <c r="AD388" s="33">
        <f t="shared" si="78"/>
        <v>0.22918387793622788</v>
      </c>
      <c r="AE388" s="34">
        <f t="shared" si="79"/>
        <v>2.0941201663230383E-2</v>
      </c>
      <c r="AF388" s="33">
        <f t="shared" si="80"/>
        <v>1.2388338537274979</v>
      </c>
      <c r="AG388" s="33">
        <f t="shared" si="81"/>
        <v>1.8208583648301414E-4</v>
      </c>
      <c r="AH388" s="35">
        <f t="shared" si="82"/>
        <v>1.7423405192795391</v>
      </c>
      <c r="AI388" s="36">
        <f t="shared" si="83"/>
        <v>6.1349398239341681</v>
      </c>
      <c r="AJ388" s="23"/>
      <c r="AK388" s="23"/>
      <c r="AL388" s="44"/>
      <c r="AM388" s="44"/>
      <c r="AN388" s="44"/>
      <c r="AO388" s="44"/>
      <c r="AP388" s="44"/>
      <c r="AQ388" s="44"/>
      <c r="AR388" s="44"/>
    </row>
    <row r="389" spans="1:44" ht="16.8">
      <c r="A389" s="64" t="s">
        <v>940</v>
      </c>
      <c r="B389" s="62"/>
      <c r="C389" s="1" t="s">
        <v>938</v>
      </c>
      <c r="D389" s="19" t="s">
        <v>939</v>
      </c>
      <c r="E389" s="20" t="s">
        <v>39</v>
      </c>
      <c r="F389" s="21">
        <v>2001</v>
      </c>
      <c r="G389" s="22">
        <v>2022</v>
      </c>
      <c r="H389" s="23">
        <v>62514006193</v>
      </c>
      <c r="I389" s="23">
        <v>68942359743</v>
      </c>
      <c r="J389" s="23">
        <v>27719320943</v>
      </c>
      <c r="K389" s="23">
        <f t="shared" ref="K389:K390" si="121">SUM(J388:J389)/2</f>
        <v>114196953876</v>
      </c>
      <c r="L389" s="23">
        <v>27719320943</v>
      </c>
      <c r="M389" s="23">
        <v>41223038800</v>
      </c>
      <c r="N389" s="23">
        <v>226338407520</v>
      </c>
      <c r="O389" s="25">
        <f t="shared" si="70"/>
        <v>34794685250</v>
      </c>
      <c r="P389" s="23">
        <v>-32301033873</v>
      </c>
      <c r="Q389" s="23">
        <f>3858323987+4290793356</f>
        <v>8149117343</v>
      </c>
      <c r="R389" s="25">
        <f t="shared" si="71"/>
        <v>218189290177</v>
      </c>
      <c r="S389" s="26">
        <f t="shared" si="72"/>
        <v>0.40206516061142594</v>
      </c>
      <c r="T389" s="27">
        <f t="shared" si="73"/>
        <v>2.2552502754865196</v>
      </c>
      <c r="U389" s="26">
        <f t="shared" si="74"/>
        <v>24.956536626387543</v>
      </c>
      <c r="V389" s="26">
        <f t="shared" si="75"/>
        <v>1.9820003935110917</v>
      </c>
      <c r="W389" s="131">
        <v>45844</v>
      </c>
      <c r="X389" s="42">
        <v>6700</v>
      </c>
      <c r="Y389" s="112">
        <v>100</v>
      </c>
      <c r="Z389" s="30">
        <f t="shared" si="103"/>
        <v>670000</v>
      </c>
      <c r="AA389" s="31">
        <f t="shared" si="77"/>
        <v>21</v>
      </c>
      <c r="AB389" s="32">
        <v>3.15E-2</v>
      </c>
      <c r="AC389" s="32">
        <v>8.0199999999999994E-2</v>
      </c>
      <c r="AD389" s="33">
        <f t="shared" si="78"/>
        <v>0.50469240362102408</v>
      </c>
      <c r="AE389" s="34">
        <f t="shared" si="79"/>
        <v>-0.46852231332681726</v>
      </c>
      <c r="AF389" s="33">
        <f t="shared" si="80"/>
        <v>3.1648073983883855</v>
      </c>
      <c r="AG389" s="33">
        <f t="shared" si="81"/>
        <v>2.4170866284125049E-5</v>
      </c>
      <c r="AH389" s="35">
        <f t="shared" si="82"/>
        <v>8.1653662434742138</v>
      </c>
      <c r="AI389" s="36">
        <f t="shared" si="83"/>
        <v>18.558944806363343</v>
      </c>
      <c r="AJ389" s="23"/>
      <c r="AK389" s="23"/>
      <c r="AL389" s="44"/>
      <c r="AM389" s="44"/>
      <c r="AN389" s="44"/>
      <c r="AO389" s="44"/>
      <c r="AP389" s="44"/>
      <c r="AQ389" s="44"/>
      <c r="AR389" s="44"/>
    </row>
    <row r="390" spans="1:44" ht="16.8">
      <c r="A390" s="64" t="s">
        <v>941</v>
      </c>
      <c r="B390" s="62"/>
      <c r="C390" s="1" t="s">
        <v>938</v>
      </c>
      <c r="D390" s="19" t="s">
        <v>939</v>
      </c>
      <c r="E390" s="20" t="s">
        <v>39</v>
      </c>
      <c r="F390" s="21">
        <v>2001</v>
      </c>
      <c r="G390" s="22">
        <v>2023</v>
      </c>
      <c r="H390" s="23">
        <v>49373094886</v>
      </c>
      <c r="I390" s="23">
        <v>69863638649</v>
      </c>
      <c r="J390" s="23">
        <v>28310227897</v>
      </c>
      <c r="K390" s="23">
        <f t="shared" si="121"/>
        <v>28014774420</v>
      </c>
      <c r="L390" s="23">
        <v>28310227897</v>
      </c>
      <c r="M390" s="23">
        <v>41553410752</v>
      </c>
      <c r="N390" s="23">
        <v>103196794073</v>
      </c>
      <c r="O390" s="25">
        <f t="shared" si="70"/>
        <v>21062866989</v>
      </c>
      <c r="P390" s="23">
        <v>330371952</v>
      </c>
      <c r="Q390" s="23">
        <f>2434714500+3398495126</f>
        <v>5833209626</v>
      </c>
      <c r="R390" s="25">
        <f t="shared" si="71"/>
        <v>97363584447</v>
      </c>
      <c r="S390" s="26">
        <f t="shared" si="72"/>
        <v>0.40522120582972559</v>
      </c>
      <c r="T390" s="27">
        <f t="shared" si="73"/>
        <v>1.7440020287237605</v>
      </c>
      <c r="U390" s="26">
        <f t="shared" si="74"/>
        <v>24.969811159838468</v>
      </c>
      <c r="V390" s="26">
        <f t="shared" si="75"/>
        <v>3.6836560782487284</v>
      </c>
      <c r="W390" s="131">
        <v>45844</v>
      </c>
      <c r="X390" s="42">
        <v>6700</v>
      </c>
      <c r="Y390" s="112">
        <v>13</v>
      </c>
      <c r="Z390" s="30">
        <f t="shared" si="103"/>
        <v>87100</v>
      </c>
      <c r="AA390" s="31">
        <f t="shared" si="77"/>
        <v>22</v>
      </c>
      <c r="AB390" s="32">
        <v>3.2500000000000001E-2</v>
      </c>
      <c r="AC390" s="32">
        <v>5.0500000000000003E-2</v>
      </c>
      <c r="AD390" s="33">
        <f t="shared" si="78"/>
        <v>0.30148539921920436</v>
      </c>
      <c r="AE390" s="34">
        <f t="shared" si="79"/>
        <v>4.728811129632293E-3</v>
      </c>
      <c r="AF390" s="33">
        <f t="shared" si="80"/>
        <v>1.3936231540438615</v>
      </c>
      <c r="AG390" s="33">
        <f t="shared" si="81"/>
        <v>3.0766265929363951E-6</v>
      </c>
      <c r="AH390" s="35">
        <f t="shared" si="82"/>
        <v>3.6452124104566335</v>
      </c>
      <c r="AI390" s="36">
        <f t="shared" si="83"/>
        <v>8.6125734794218616</v>
      </c>
      <c r="AJ390" s="23"/>
      <c r="AK390" s="23"/>
      <c r="AL390" s="44"/>
      <c r="AM390" s="44"/>
      <c r="AN390" s="44"/>
      <c r="AO390" s="44"/>
      <c r="AP390" s="44"/>
      <c r="AQ390" s="44"/>
      <c r="AR390" s="44"/>
    </row>
    <row r="391" spans="1:44" ht="16.8">
      <c r="A391" s="45"/>
      <c r="B391" s="45">
        <v>153</v>
      </c>
      <c r="C391" s="45" t="s">
        <v>942</v>
      </c>
      <c r="D391" s="46" t="s">
        <v>943</v>
      </c>
      <c r="E391" s="47" t="s">
        <v>39</v>
      </c>
      <c r="F391" s="48"/>
      <c r="G391" s="68"/>
      <c r="H391" s="49"/>
      <c r="I391" s="49"/>
      <c r="J391" s="49"/>
      <c r="K391" s="49"/>
      <c r="L391" s="49"/>
      <c r="M391" s="49"/>
      <c r="N391" s="49"/>
      <c r="O391" s="49">
        <f t="shared" si="70"/>
        <v>0</v>
      </c>
      <c r="P391" s="49"/>
      <c r="Q391" s="49"/>
      <c r="R391" s="49">
        <f t="shared" si="71"/>
        <v>0</v>
      </c>
      <c r="S391" s="50" t="e">
        <f t="shared" si="72"/>
        <v>#DIV/0!</v>
      </c>
      <c r="T391" s="51" t="e">
        <f t="shared" si="73"/>
        <v>#DIV/0!</v>
      </c>
      <c r="U391" s="50" t="e">
        <f t="shared" si="74"/>
        <v>#NUM!</v>
      </c>
      <c r="V391" s="50" t="e">
        <f t="shared" si="75"/>
        <v>#DIV/0!</v>
      </c>
      <c r="W391" s="52"/>
      <c r="X391" s="53">
        <v>0</v>
      </c>
      <c r="Y391" s="52"/>
      <c r="Z391" s="55">
        <f t="shared" si="103"/>
        <v>0</v>
      </c>
      <c r="AA391" s="48">
        <f t="shared" si="77"/>
        <v>0</v>
      </c>
      <c r="AB391" s="49"/>
      <c r="AC391" s="49"/>
      <c r="AD391" s="50" t="e">
        <f t="shared" si="78"/>
        <v>#DIV/0!</v>
      </c>
      <c r="AE391" s="56" t="e">
        <f t="shared" si="79"/>
        <v>#DIV/0!</v>
      </c>
      <c r="AF391" s="50" t="e">
        <f t="shared" si="80"/>
        <v>#DIV/0!</v>
      </c>
      <c r="AG391" s="50" t="e">
        <f t="shared" si="81"/>
        <v>#DIV/0!</v>
      </c>
      <c r="AH391" s="57" t="e">
        <f t="shared" si="82"/>
        <v>#DIV/0!</v>
      </c>
      <c r="AI391" s="58" t="e">
        <f t="shared" si="83"/>
        <v>#DIV/0!</v>
      </c>
      <c r="AJ391" s="49"/>
      <c r="AK391" s="49"/>
      <c r="AL391" s="59"/>
      <c r="AM391" s="59"/>
      <c r="AN391" s="59"/>
      <c r="AO391" s="59"/>
      <c r="AP391" s="59"/>
      <c r="AQ391" s="59"/>
      <c r="AR391" s="59"/>
    </row>
    <row r="392" spans="1:44" ht="16.8">
      <c r="A392" s="45"/>
      <c r="B392" s="45">
        <v>154</v>
      </c>
      <c r="C392" s="45" t="s">
        <v>944</v>
      </c>
      <c r="D392" s="46" t="s">
        <v>945</v>
      </c>
      <c r="E392" s="47" t="s">
        <v>39</v>
      </c>
      <c r="F392" s="48"/>
      <c r="G392" s="68"/>
      <c r="H392" s="49"/>
      <c r="I392" s="49"/>
      <c r="J392" s="49"/>
      <c r="K392" s="49"/>
      <c r="L392" s="49"/>
      <c r="M392" s="49"/>
      <c r="N392" s="49"/>
      <c r="O392" s="49">
        <f t="shared" si="70"/>
        <v>0</v>
      </c>
      <c r="P392" s="49"/>
      <c r="Q392" s="49"/>
      <c r="R392" s="49">
        <f t="shared" si="71"/>
        <v>0</v>
      </c>
      <c r="S392" s="50" t="e">
        <f t="shared" si="72"/>
        <v>#DIV/0!</v>
      </c>
      <c r="T392" s="51" t="e">
        <f t="shared" si="73"/>
        <v>#DIV/0!</v>
      </c>
      <c r="U392" s="50" t="e">
        <f t="shared" si="74"/>
        <v>#NUM!</v>
      </c>
      <c r="V392" s="50" t="e">
        <f t="shared" si="75"/>
        <v>#DIV/0!</v>
      </c>
      <c r="W392" s="52"/>
      <c r="X392" s="53">
        <v>0</v>
      </c>
      <c r="Y392" s="52"/>
      <c r="Z392" s="55">
        <f t="shared" si="103"/>
        <v>0</v>
      </c>
      <c r="AA392" s="48">
        <f t="shared" si="77"/>
        <v>0</v>
      </c>
      <c r="AB392" s="49"/>
      <c r="AC392" s="49"/>
      <c r="AD392" s="50" t="e">
        <f t="shared" si="78"/>
        <v>#DIV/0!</v>
      </c>
      <c r="AE392" s="56" t="e">
        <f t="shared" si="79"/>
        <v>#DIV/0!</v>
      </c>
      <c r="AF392" s="50" t="e">
        <f t="shared" si="80"/>
        <v>#DIV/0!</v>
      </c>
      <c r="AG392" s="50" t="e">
        <f t="shared" si="81"/>
        <v>#DIV/0!</v>
      </c>
      <c r="AH392" s="57" t="e">
        <f t="shared" si="82"/>
        <v>#DIV/0!</v>
      </c>
      <c r="AI392" s="58" t="e">
        <f t="shared" si="83"/>
        <v>#DIV/0!</v>
      </c>
      <c r="AJ392" s="49"/>
      <c r="AK392" s="49"/>
      <c r="AL392" s="59"/>
      <c r="AM392" s="59"/>
      <c r="AN392" s="59"/>
      <c r="AO392" s="59"/>
      <c r="AP392" s="59"/>
      <c r="AQ392" s="59"/>
      <c r="AR392" s="59"/>
    </row>
    <row r="393" spans="1:44" ht="16.8">
      <c r="A393" s="95" t="s">
        <v>946</v>
      </c>
      <c r="B393" s="96">
        <v>155</v>
      </c>
      <c r="C393" s="96" t="s">
        <v>947</v>
      </c>
      <c r="D393" s="97" t="s">
        <v>948</v>
      </c>
      <c r="E393" s="98" t="s">
        <v>949</v>
      </c>
      <c r="F393" s="99">
        <v>2004</v>
      </c>
      <c r="G393" s="100">
        <v>2021</v>
      </c>
      <c r="H393" s="101">
        <v>788809707350</v>
      </c>
      <c r="I393" s="101">
        <v>1074983254681</v>
      </c>
      <c r="J393" s="101">
        <v>457038359501</v>
      </c>
      <c r="K393" s="101">
        <f>(J393+505365588824)/2</f>
        <v>481201974162.5</v>
      </c>
      <c r="L393" s="101">
        <v>450149312216</v>
      </c>
      <c r="M393" s="101">
        <v>617944895180</v>
      </c>
      <c r="N393" s="101">
        <v>494512891008</v>
      </c>
      <c r="O393" s="101">
        <f t="shared" si="70"/>
        <v>338660395134</v>
      </c>
      <c r="P393" s="101">
        <v>18072462878</v>
      </c>
      <c r="Q393" s="101">
        <f>29117767675+20237345140</f>
        <v>49355112815</v>
      </c>
      <c r="R393" s="101">
        <f t="shared" si="71"/>
        <v>445157778193</v>
      </c>
      <c r="S393" s="102">
        <f t="shared" si="72"/>
        <v>0.42515858503919263</v>
      </c>
      <c r="T393" s="103">
        <f t="shared" si="73"/>
        <v>1.7523290293765836</v>
      </c>
      <c r="U393" s="102">
        <f t="shared" si="74"/>
        <v>27.70332620034592</v>
      </c>
      <c r="V393" s="102">
        <f t="shared" si="75"/>
        <v>1.0276618084717271</v>
      </c>
      <c r="W393" s="104"/>
      <c r="X393" s="105">
        <v>0</v>
      </c>
      <c r="Y393" s="104"/>
      <c r="Z393" s="106">
        <f t="shared" si="103"/>
        <v>0</v>
      </c>
      <c r="AA393" s="99">
        <f t="shared" si="77"/>
        <v>17</v>
      </c>
      <c r="AB393" s="107">
        <v>1.84E-2</v>
      </c>
      <c r="AC393" s="107">
        <v>2.58E-2</v>
      </c>
      <c r="AD393" s="102">
        <f t="shared" si="78"/>
        <v>0.31503783306326671</v>
      </c>
      <c r="AE393" s="108">
        <f t="shared" si="79"/>
        <v>1.6811855253841122E-2</v>
      </c>
      <c r="AF393" s="102">
        <f t="shared" si="80"/>
        <v>0.41410670934134697</v>
      </c>
      <c r="AG393" s="102">
        <f t="shared" si="81"/>
        <v>0</v>
      </c>
      <c r="AH393" s="109">
        <f t="shared" si="82"/>
        <v>1.0819942806286875</v>
      </c>
      <c r="AI393" s="110">
        <f t="shared" si="83"/>
        <v>2.8501284184864302</v>
      </c>
      <c r="AJ393" s="101"/>
      <c r="AK393" s="101"/>
      <c r="AL393" s="111"/>
      <c r="AM393" s="111"/>
      <c r="AN393" s="111"/>
      <c r="AO393" s="111"/>
      <c r="AP393" s="111"/>
      <c r="AQ393" s="111"/>
      <c r="AR393" s="111"/>
    </row>
    <row r="394" spans="1:44" ht="16.8">
      <c r="A394" s="95" t="s">
        <v>950</v>
      </c>
      <c r="B394" s="96"/>
      <c r="C394" s="96" t="s">
        <v>947</v>
      </c>
      <c r="D394" s="97" t="s">
        <v>948</v>
      </c>
      <c r="E394" s="98" t="s">
        <v>949</v>
      </c>
      <c r="F394" s="99">
        <v>2004</v>
      </c>
      <c r="G394" s="100">
        <v>2022</v>
      </c>
      <c r="H394" s="101">
        <v>675732790882</v>
      </c>
      <c r="I394" s="101">
        <v>926751669991</v>
      </c>
      <c r="J394" s="101">
        <v>293803003931</v>
      </c>
      <c r="K394" s="101">
        <f t="shared" ref="K394:K395" si="122">SUM(J393:J394)/2</f>
        <v>375420681716</v>
      </c>
      <c r="L394" s="101">
        <v>288807003931</v>
      </c>
      <c r="M394" s="101">
        <v>632948666060</v>
      </c>
      <c r="N394" s="101">
        <v>598974736935</v>
      </c>
      <c r="O394" s="101">
        <f t="shared" si="70"/>
        <v>386925786951</v>
      </c>
      <c r="P394" s="101">
        <v>16847017168</v>
      </c>
      <c r="Q394" s="101">
        <f>26797677496+23921075045</f>
        <v>50718752541</v>
      </c>
      <c r="R394" s="101">
        <f t="shared" si="71"/>
        <v>548255984394</v>
      </c>
      <c r="S394" s="102">
        <f t="shared" si="72"/>
        <v>0.31702452063976666</v>
      </c>
      <c r="T394" s="103">
        <f t="shared" si="73"/>
        <v>2.3397382393241473</v>
      </c>
      <c r="U394" s="102">
        <f t="shared" si="74"/>
        <v>27.554951480962142</v>
      </c>
      <c r="V394" s="102">
        <f t="shared" si="75"/>
        <v>1.5954761314618122</v>
      </c>
      <c r="W394" s="104"/>
      <c r="X394" s="105">
        <v>0</v>
      </c>
      <c r="Y394" s="104"/>
      <c r="Z394" s="106">
        <f t="shared" si="103"/>
        <v>0</v>
      </c>
      <c r="AA394" s="99">
        <f t="shared" si="77"/>
        <v>18</v>
      </c>
      <c r="AB394" s="107">
        <v>3.15E-2</v>
      </c>
      <c r="AC394" s="107">
        <v>8.0199999999999994E-2</v>
      </c>
      <c r="AD394" s="102">
        <f t="shared" si="78"/>
        <v>0.41750751520605034</v>
      </c>
      <c r="AE394" s="108">
        <f t="shared" si="79"/>
        <v>1.8178566830274617E-2</v>
      </c>
      <c r="AF394" s="102">
        <f t="shared" si="80"/>
        <v>0.59158888205653226</v>
      </c>
      <c r="AG394" s="102">
        <f t="shared" si="81"/>
        <v>0</v>
      </c>
      <c r="AH394" s="109">
        <f t="shared" si="82"/>
        <v>2.038695074321534</v>
      </c>
      <c r="AI394" s="110">
        <f t="shared" si="83"/>
        <v>4.517397396917735</v>
      </c>
      <c r="AJ394" s="101"/>
      <c r="AK394" s="101"/>
      <c r="AL394" s="111"/>
      <c r="AM394" s="111"/>
      <c r="AN394" s="111"/>
      <c r="AO394" s="111"/>
      <c r="AP394" s="111"/>
      <c r="AQ394" s="111"/>
      <c r="AR394" s="111"/>
    </row>
    <row r="395" spans="1:44" ht="16.8">
      <c r="A395" s="95" t="s">
        <v>951</v>
      </c>
      <c r="B395" s="96"/>
      <c r="C395" s="96" t="s">
        <v>947</v>
      </c>
      <c r="D395" s="97" t="s">
        <v>948</v>
      </c>
      <c r="E395" s="98" t="s">
        <v>949</v>
      </c>
      <c r="F395" s="99">
        <v>2004</v>
      </c>
      <c r="G395" s="100">
        <v>2023</v>
      </c>
      <c r="H395" s="101">
        <v>663046581128</v>
      </c>
      <c r="I395" s="101">
        <v>879404481518</v>
      </c>
      <c r="J395" s="101">
        <v>238361615011</v>
      </c>
      <c r="K395" s="101">
        <f t="shared" si="122"/>
        <v>266082309471</v>
      </c>
      <c r="L395" s="101">
        <v>234276115011</v>
      </c>
      <c r="M395" s="101">
        <v>641042866507</v>
      </c>
      <c r="N395" s="101">
        <v>493678640808</v>
      </c>
      <c r="O395" s="101">
        <f t="shared" si="70"/>
        <v>428770466117</v>
      </c>
      <c r="P395" s="101">
        <v>9814902164</v>
      </c>
      <c r="Q395" s="101">
        <f>19742883259+21182749301</f>
        <v>40925632560</v>
      </c>
      <c r="R395" s="101">
        <f t="shared" si="71"/>
        <v>452753008248</v>
      </c>
      <c r="S395" s="102">
        <f t="shared" si="72"/>
        <v>0.27104889731690673</v>
      </c>
      <c r="T395" s="103">
        <f t="shared" si="73"/>
        <v>2.8301928307837438</v>
      </c>
      <c r="U395" s="102">
        <f t="shared" si="74"/>
        <v>27.502510789788847</v>
      </c>
      <c r="V395" s="102">
        <f t="shared" si="75"/>
        <v>1.855360628030799</v>
      </c>
      <c r="W395" s="104"/>
      <c r="X395" s="105">
        <v>0</v>
      </c>
      <c r="Y395" s="104"/>
      <c r="Z395" s="106">
        <f t="shared" si="103"/>
        <v>0</v>
      </c>
      <c r="AA395" s="99">
        <f t="shared" si="77"/>
        <v>19</v>
      </c>
      <c r="AB395" s="107">
        <v>3.2500000000000001E-2</v>
      </c>
      <c r="AC395" s="107">
        <v>5.0500000000000003E-2</v>
      </c>
      <c r="AD395" s="102">
        <f t="shared" si="78"/>
        <v>0.48756911651947699</v>
      </c>
      <c r="AE395" s="108">
        <f t="shared" si="79"/>
        <v>1.1160850746470871E-2</v>
      </c>
      <c r="AF395" s="102">
        <f t="shared" si="80"/>
        <v>0.51484046051991017</v>
      </c>
      <c r="AG395" s="102">
        <f t="shared" si="81"/>
        <v>0</v>
      </c>
      <c r="AH395" s="109">
        <f t="shared" si="82"/>
        <v>2.0711331427470716</v>
      </c>
      <c r="AI395" s="110">
        <f t="shared" si="83"/>
        <v>4.3708147933312063</v>
      </c>
      <c r="AJ395" s="101"/>
      <c r="AK395" s="101"/>
      <c r="AL395" s="111"/>
      <c r="AM395" s="111"/>
      <c r="AN395" s="111"/>
      <c r="AO395" s="111"/>
      <c r="AP395" s="111"/>
      <c r="AQ395" s="111"/>
      <c r="AR395" s="111"/>
    </row>
    <row r="396" spans="1:44" ht="16.8">
      <c r="A396" s="64" t="s">
        <v>952</v>
      </c>
      <c r="B396" s="62">
        <v>156</v>
      </c>
      <c r="C396" s="1" t="s">
        <v>953</v>
      </c>
      <c r="D396" s="19" t="s">
        <v>954</v>
      </c>
      <c r="E396" s="20" t="s">
        <v>39</v>
      </c>
      <c r="F396" s="21">
        <v>1995</v>
      </c>
      <c r="G396" s="22">
        <v>2021</v>
      </c>
      <c r="H396" s="23">
        <v>683767844836</v>
      </c>
      <c r="I396" s="23">
        <v>761703035642</v>
      </c>
      <c r="J396" s="23">
        <v>625848394332</v>
      </c>
      <c r="K396" s="23">
        <f>(J396+566351131575)/2</f>
        <v>596099762953.5</v>
      </c>
      <c r="L396" s="23">
        <v>625848394332</v>
      </c>
      <c r="M396" s="23">
        <v>135854641310</v>
      </c>
      <c r="N396" s="23">
        <v>2524065728295</v>
      </c>
      <c r="O396" s="25">
        <f t="shared" si="70"/>
        <v>57919450504</v>
      </c>
      <c r="P396" s="23">
        <v>11950109474</v>
      </c>
      <c r="Q396" s="23">
        <f>49500578619+5353450253</f>
        <v>54854028872</v>
      </c>
      <c r="R396" s="25">
        <f t="shared" si="71"/>
        <v>2469211699423</v>
      </c>
      <c r="S396" s="26">
        <f t="shared" si="72"/>
        <v>0.82164356060955546</v>
      </c>
      <c r="T396" s="27">
        <f t="shared" si="73"/>
        <v>1.0925454966866543</v>
      </c>
      <c r="U396" s="26">
        <f t="shared" si="74"/>
        <v>27.3588225996684</v>
      </c>
      <c r="V396" s="26">
        <f t="shared" si="75"/>
        <v>4.2343008421761361</v>
      </c>
      <c r="W396" s="113">
        <v>45847</v>
      </c>
      <c r="X396" s="42">
        <v>9070</v>
      </c>
      <c r="Y396" s="112">
        <v>8200</v>
      </c>
      <c r="Z396" s="30">
        <f t="shared" si="103"/>
        <v>74374000</v>
      </c>
      <c r="AA396" s="31">
        <f t="shared" si="77"/>
        <v>26</v>
      </c>
      <c r="AB396" s="32">
        <v>1.84E-2</v>
      </c>
      <c r="AC396" s="32">
        <v>2.58E-2</v>
      </c>
      <c r="AD396" s="33">
        <f t="shared" si="78"/>
        <v>7.6039411416002428E-2</v>
      </c>
      <c r="AE396" s="34">
        <f t="shared" si="79"/>
        <v>1.5688672507295276E-2</v>
      </c>
      <c r="AF396" s="33">
        <f t="shared" si="80"/>
        <v>3.2416986461683579</v>
      </c>
      <c r="AG396" s="33">
        <f t="shared" si="81"/>
        <v>1.1883708686251912E-4</v>
      </c>
      <c r="AH396" s="35">
        <f t="shared" si="82"/>
        <v>4.0330306047825921</v>
      </c>
      <c r="AI396" s="36">
        <f t="shared" si="83"/>
        <v>14.843918874599707</v>
      </c>
      <c r="AJ396" s="23"/>
      <c r="AK396" s="23"/>
      <c r="AL396" s="44"/>
      <c r="AM396" s="44"/>
      <c r="AN396" s="44"/>
      <c r="AO396" s="44"/>
      <c r="AP396" s="44"/>
      <c r="AQ396" s="44"/>
      <c r="AR396" s="44"/>
    </row>
    <row r="397" spans="1:44" ht="16.8">
      <c r="A397" s="64" t="s">
        <v>955</v>
      </c>
      <c r="B397" s="62"/>
      <c r="C397" s="1" t="s">
        <v>953</v>
      </c>
      <c r="D397" s="19" t="s">
        <v>954</v>
      </c>
      <c r="E397" s="20" t="s">
        <v>39</v>
      </c>
      <c r="F397" s="21">
        <v>1995</v>
      </c>
      <c r="G397" s="22">
        <v>2022</v>
      </c>
      <c r="H397" s="23">
        <v>684270529543</v>
      </c>
      <c r="I397" s="23">
        <v>761400957242</v>
      </c>
      <c r="J397" s="23">
        <v>626906120439</v>
      </c>
      <c r="K397" s="23">
        <f t="shared" ref="K397:K398" si="123">SUM(J396:J397)/2</f>
        <v>626377257385.5</v>
      </c>
      <c r="L397" s="23">
        <v>626906120439</v>
      </c>
      <c r="M397" s="23">
        <v>134494836803</v>
      </c>
      <c r="N397" s="23">
        <v>2837816579607</v>
      </c>
      <c r="O397" s="25">
        <f t="shared" si="70"/>
        <v>57364409104</v>
      </c>
      <c r="P397" s="23">
        <v>12140726093</v>
      </c>
      <c r="Q397" s="23">
        <f>53496886501+3134594840</f>
        <v>56631481341</v>
      </c>
      <c r="R397" s="25">
        <f t="shared" si="71"/>
        <v>2781185098266</v>
      </c>
      <c r="S397" s="26">
        <f t="shared" si="72"/>
        <v>0.82335872377915487</v>
      </c>
      <c r="T397" s="27">
        <f t="shared" si="73"/>
        <v>1.0915039863765084</v>
      </c>
      <c r="U397" s="26">
        <f t="shared" si="74"/>
        <v>27.358425938107047</v>
      </c>
      <c r="V397" s="26">
        <f t="shared" si="75"/>
        <v>4.5305230133227576</v>
      </c>
      <c r="W397" s="113">
        <v>45724</v>
      </c>
      <c r="X397" s="42">
        <v>8030</v>
      </c>
      <c r="Y397" s="112">
        <v>100</v>
      </c>
      <c r="Z397" s="30">
        <f t="shared" si="103"/>
        <v>803000</v>
      </c>
      <c r="AA397" s="31">
        <f t="shared" si="77"/>
        <v>27</v>
      </c>
      <c r="AB397" s="32">
        <v>3.15E-2</v>
      </c>
      <c r="AC397" s="32">
        <v>8.0199999999999994E-2</v>
      </c>
      <c r="AD397" s="33">
        <f t="shared" si="78"/>
        <v>7.534060544366715E-2</v>
      </c>
      <c r="AE397" s="34">
        <f t="shared" si="79"/>
        <v>1.5945246689703398E-2</v>
      </c>
      <c r="AF397" s="33">
        <f t="shared" si="80"/>
        <v>3.6527207797849428</v>
      </c>
      <c r="AG397" s="33">
        <f t="shared" si="81"/>
        <v>1.28089354022846E-6</v>
      </c>
      <c r="AH397" s="35">
        <f t="shared" si="82"/>
        <v>4.5267010276112449</v>
      </c>
      <c r="AI397" s="36">
        <f t="shared" si="83"/>
        <v>16.693412441335663</v>
      </c>
      <c r="AJ397" s="23"/>
      <c r="AK397" s="23"/>
      <c r="AL397" s="44"/>
      <c r="AM397" s="44"/>
      <c r="AN397" s="44"/>
      <c r="AO397" s="44"/>
      <c r="AP397" s="44"/>
      <c r="AQ397" s="44"/>
      <c r="AR397" s="44"/>
    </row>
    <row r="398" spans="1:44" ht="16.8">
      <c r="A398" s="64" t="s">
        <v>956</v>
      </c>
      <c r="B398" s="62"/>
      <c r="C398" s="1" t="s">
        <v>953</v>
      </c>
      <c r="D398" s="19" t="s">
        <v>954</v>
      </c>
      <c r="E398" s="20" t="s">
        <v>39</v>
      </c>
      <c r="F398" s="21">
        <v>1995</v>
      </c>
      <c r="G398" s="22">
        <v>2023</v>
      </c>
      <c r="H398" s="23">
        <v>725682530787</v>
      </c>
      <c r="I398" s="23">
        <v>801169140503</v>
      </c>
      <c r="J398" s="23">
        <v>666482623238</v>
      </c>
      <c r="K398" s="23">
        <f t="shared" si="123"/>
        <v>646694371838.5</v>
      </c>
      <c r="L398" s="23">
        <v>666482623238</v>
      </c>
      <c r="M398" s="23">
        <v>134686517265</v>
      </c>
      <c r="N398" s="23">
        <v>3931185600435</v>
      </c>
      <c r="O398" s="25">
        <f t="shared" si="70"/>
        <v>59199907549</v>
      </c>
      <c r="P398" s="23">
        <v>8868930062</v>
      </c>
      <c r="Q398" s="23">
        <f>55926676127+2755864431</f>
        <v>58682540558</v>
      </c>
      <c r="R398" s="25">
        <f t="shared" si="71"/>
        <v>3872503059877</v>
      </c>
      <c r="S398" s="26">
        <f t="shared" si="72"/>
        <v>0.83188753728028086</v>
      </c>
      <c r="T398" s="27">
        <f t="shared" si="73"/>
        <v>1.0888243826393953</v>
      </c>
      <c r="U398" s="26">
        <f t="shared" si="74"/>
        <v>27.409337923399935</v>
      </c>
      <c r="V398" s="26">
        <f t="shared" si="75"/>
        <v>6.078892552070549</v>
      </c>
      <c r="W398" s="112" t="s">
        <v>957</v>
      </c>
      <c r="X398" s="29">
        <v>9330</v>
      </c>
      <c r="Y398" s="112">
        <v>100</v>
      </c>
      <c r="Z398" s="30">
        <f t="shared" si="103"/>
        <v>933000</v>
      </c>
      <c r="AA398" s="31">
        <f t="shared" si="77"/>
        <v>28</v>
      </c>
      <c r="AB398" s="32">
        <v>3.2500000000000001E-2</v>
      </c>
      <c r="AC398" s="32">
        <v>5.0500000000000003E-2</v>
      </c>
      <c r="AD398" s="33">
        <f t="shared" si="78"/>
        <v>7.3891896924327835E-2</v>
      </c>
      <c r="AE398" s="34">
        <f t="shared" si="79"/>
        <v>1.1069984618268993E-2</v>
      </c>
      <c r="AF398" s="33">
        <f t="shared" si="80"/>
        <v>4.8335649291805183</v>
      </c>
      <c r="AG398" s="33">
        <f t="shared" si="81"/>
        <v>1.3998864598557238E-6</v>
      </c>
      <c r="AH398" s="35">
        <f t="shared" si="82"/>
        <v>5.8984067451540731</v>
      </c>
      <c r="AI398" s="36">
        <f t="shared" si="83"/>
        <v>21.953340106156428</v>
      </c>
      <c r="AJ398" s="23"/>
      <c r="AK398" s="23"/>
      <c r="AL398" s="44"/>
      <c r="AM398" s="44"/>
      <c r="AN398" s="44"/>
      <c r="AO398" s="44"/>
      <c r="AP398" s="44"/>
      <c r="AQ398" s="44"/>
      <c r="AR398" s="44"/>
    </row>
    <row r="399" spans="1:44" ht="16.8">
      <c r="A399" s="64" t="s">
        <v>958</v>
      </c>
      <c r="B399" s="62">
        <v>157</v>
      </c>
      <c r="C399" s="1" t="s">
        <v>959</v>
      </c>
      <c r="D399" s="19" t="s">
        <v>960</v>
      </c>
      <c r="E399" s="20" t="s">
        <v>39</v>
      </c>
      <c r="F399" s="21">
        <v>2006</v>
      </c>
      <c r="G399" s="22">
        <v>2021</v>
      </c>
      <c r="H399" s="23">
        <v>53679832612</v>
      </c>
      <c r="I399" s="23">
        <v>132297297912</v>
      </c>
      <c r="J399" s="23">
        <v>11676890093</v>
      </c>
      <c r="K399" s="23">
        <f>(J399+2514349848)/2</f>
        <v>7095619970.5</v>
      </c>
      <c r="L399" s="23">
        <v>11676890093</v>
      </c>
      <c r="M399" s="23">
        <v>120620407819</v>
      </c>
      <c r="N399" s="23">
        <v>68826576091</v>
      </c>
      <c r="O399" s="25">
        <f t="shared" si="70"/>
        <v>42002942519</v>
      </c>
      <c r="P399" s="23">
        <v>19173837829</v>
      </c>
      <c r="Q399" s="23">
        <f>3371952241+3684238320</f>
        <v>7056190561</v>
      </c>
      <c r="R399" s="25">
        <f t="shared" si="71"/>
        <v>61770385530</v>
      </c>
      <c r="S399" s="26">
        <f t="shared" si="72"/>
        <v>8.8262498760685953E-2</v>
      </c>
      <c r="T399" s="27">
        <f t="shared" si="73"/>
        <v>4.5971000998099401</v>
      </c>
      <c r="U399" s="26">
        <f t="shared" si="74"/>
        <v>25.608317483913172</v>
      </c>
      <c r="V399" s="26">
        <f t="shared" si="75"/>
        <v>9.6998678589250975</v>
      </c>
      <c r="W399" s="131">
        <v>45754</v>
      </c>
      <c r="X399" s="42">
        <v>7400</v>
      </c>
      <c r="Y399" s="112">
        <v>32315</v>
      </c>
      <c r="Z399" s="30">
        <f t="shared" si="103"/>
        <v>239131000</v>
      </c>
      <c r="AA399" s="31">
        <f t="shared" si="77"/>
        <v>15</v>
      </c>
      <c r="AB399" s="32">
        <v>1.84E-2</v>
      </c>
      <c r="AC399" s="32">
        <v>2.58E-2</v>
      </c>
      <c r="AD399" s="33">
        <f t="shared" si="78"/>
        <v>0.31748904310153814</v>
      </c>
      <c r="AE399" s="34">
        <f t="shared" si="79"/>
        <v>0.14492992775826632</v>
      </c>
      <c r="AF399" s="33">
        <f t="shared" si="80"/>
        <v>0.46690587415540202</v>
      </c>
      <c r="AG399" s="33">
        <f t="shared" si="81"/>
        <v>2.0478997241170659E-2</v>
      </c>
      <c r="AH399" s="35">
        <f t="shared" si="82"/>
        <v>5.8942557087404452</v>
      </c>
      <c r="AI399" s="36">
        <f t="shared" si="83"/>
        <v>8.0312212423813918</v>
      </c>
      <c r="AJ399" s="23"/>
      <c r="AK399" s="23"/>
      <c r="AL399" s="44"/>
      <c r="AM399" s="44"/>
      <c r="AN399" s="44"/>
      <c r="AO399" s="44"/>
      <c r="AP399" s="44"/>
      <c r="AQ399" s="44"/>
      <c r="AR399" s="44"/>
    </row>
    <row r="400" spans="1:44" ht="16.8">
      <c r="A400" s="64" t="s">
        <v>961</v>
      </c>
      <c r="B400" s="62"/>
      <c r="C400" s="1" t="s">
        <v>959</v>
      </c>
      <c r="D400" s="19" t="s">
        <v>960</v>
      </c>
      <c r="E400" s="20" t="s">
        <v>39</v>
      </c>
      <c r="F400" s="21">
        <v>2006</v>
      </c>
      <c r="G400" s="22">
        <v>2022</v>
      </c>
      <c r="H400" s="23">
        <v>60086875454</v>
      </c>
      <c r="I400" s="23">
        <v>132495117391</v>
      </c>
      <c r="J400" s="23">
        <v>11719520611</v>
      </c>
      <c r="K400" s="23">
        <f t="shared" ref="K400:K401" si="124">SUM(J399:J400)/2</f>
        <v>11698205352</v>
      </c>
      <c r="L400" s="23">
        <v>11719520611</v>
      </c>
      <c r="M400" s="23">
        <v>120775596780</v>
      </c>
      <c r="N400" s="23">
        <v>102955130039</v>
      </c>
      <c r="O400" s="25">
        <f t="shared" si="70"/>
        <v>48367354843</v>
      </c>
      <c r="P400" s="23">
        <v>155188961</v>
      </c>
      <c r="Q400" s="23">
        <f>2992030937+4047387612</f>
        <v>7039418549</v>
      </c>
      <c r="R400" s="25">
        <f t="shared" si="71"/>
        <v>95915711490</v>
      </c>
      <c r="S400" s="26">
        <f t="shared" si="72"/>
        <v>8.8452471621388765E-2</v>
      </c>
      <c r="T400" s="27">
        <f t="shared" si="73"/>
        <v>5.127076221667477</v>
      </c>
      <c r="U400" s="26">
        <f t="shared" si="74"/>
        <v>25.60981163181447</v>
      </c>
      <c r="V400" s="26">
        <f t="shared" si="75"/>
        <v>8.8009337279583768</v>
      </c>
      <c r="W400" s="131">
        <v>45874</v>
      </c>
      <c r="X400" s="42">
        <v>5800</v>
      </c>
      <c r="Y400" s="112">
        <v>6100</v>
      </c>
      <c r="Z400" s="30">
        <f t="shared" si="103"/>
        <v>35380000</v>
      </c>
      <c r="AA400" s="31">
        <f t="shared" si="77"/>
        <v>16</v>
      </c>
      <c r="AB400" s="32">
        <v>3.15E-2</v>
      </c>
      <c r="AC400" s="32">
        <v>8.0199999999999994E-2</v>
      </c>
      <c r="AD400" s="33">
        <f t="shared" si="78"/>
        <v>0.36505009237635083</v>
      </c>
      <c r="AE400" s="34">
        <f t="shared" si="79"/>
        <v>1.1712806030582191E-3</v>
      </c>
      <c r="AF400" s="33">
        <f t="shared" si="80"/>
        <v>0.72391883851046179</v>
      </c>
      <c r="AG400" s="33">
        <f t="shared" si="81"/>
        <v>3.0188948144169105E-3</v>
      </c>
      <c r="AH400" s="35">
        <f t="shared" si="82"/>
        <v>8.7849267437070591</v>
      </c>
      <c r="AI400" s="36">
        <f t="shared" si="83"/>
        <v>11.615370151376135</v>
      </c>
      <c r="AJ400" s="23"/>
      <c r="AK400" s="23"/>
      <c r="AL400" s="44"/>
      <c r="AM400" s="44"/>
      <c r="AN400" s="44"/>
      <c r="AO400" s="44"/>
      <c r="AP400" s="44"/>
      <c r="AQ400" s="44"/>
      <c r="AR400" s="44"/>
    </row>
    <row r="401" spans="1:44" ht="16.8">
      <c r="A401" s="64" t="s">
        <v>962</v>
      </c>
      <c r="B401" s="62"/>
      <c r="C401" s="1" t="s">
        <v>959</v>
      </c>
      <c r="D401" s="19" t="s">
        <v>960</v>
      </c>
      <c r="E401" s="20" t="s">
        <v>39</v>
      </c>
      <c r="F401" s="21">
        <v>2006</v>
      </c>
      <c r="G401" s="22">
        <v>2023</v>
      </c>
      <c r="H401" s="23">
        <v>81244822096</v>
      </c>
      <c r="I401" s="23">
        <v>131977056560</v>
      </c>
      <c r="J401" s="23">
        <v>11047095608</v>
      </c>
      <c r="K401" s="23">
        <f t="shared" si="124"/>
        <v>11383308109.5</v>
      </c>
      <c r="L401" s="23">
        <v>11047095608</v>
      </c>
      <c r="M401" s="23">
        <v>120929960952</v>
      </c>
      <c r="N401" s="23">
        <v>52357797331</v>
      </c>
      <c r="O401" s="25">
        <f t="shared" si="70"/>
        <v>70197726488</v>
      </c>
      <c r="P401" s="23">
        <v>154364172</v>
      </c>
      <c r="Q401" s="23">
        <f>889447107+3710019524</f>
        <v>4599466631</v>
      </c>
      <c r="R401" s="25">
        <f t="shared" si="71"/>
        <v>47758330700</v>
      </c>
      <c r="S401" s="26">
        <f t="shared" si="72"/>
        <v>8.3704667280389902E-2</v>
      </c>
      <c r="T401" s="27">
        <f t="shared" si="73"/>
        <v>7.3544056265037439</v>
      </c>
      <c r="U401" s="26">
        <f t="shared" si="74"/>
        <v>25.605893930485994</v>
      </c>
      <c r="V401" s="26">
        <f t="shared" si="75"/>
        <v>4.599523866643346</v>
      </c>
      <c r="W401" s="131">
        <v>45811</v>
      </c>
      <c r="X401" s="42">
        <v>3600</v>
      </c>
      <c r="Y401" s="112">
        <v>700</v>
      </c>
      <c r="Z401" s="30">
        <f t="shared" si="103"/>
        <v>2520000</v>
      </c>
      <c r="AA401" s="31">
        <f t="shared" si="77"/>
        <v>17</v>
      </c>
      <c r="AB401" s="32">
        <v>3.2500000000000001E-2</v>
      </c>
      <c r="AC401" s="32">
        <v>5.0500000000000003E-2</v>
      </c>
      <c r="AD401" s="33">
        <f t="shared" si="78"/>
        <v>0.53189340873113344</v>
      </c>
      <c r="AE401" s="34">
        <f t="shared" si="79"/>
        <v>1.1696288432514197E-3</v>
      </c>
      <c r="AF401" s="33">
        <f t="shared" si="80"/>
        <v>0.36186843338400937</v>
      </c>
      <c r="AG401" s="33">
        <f t="shared" si="81"/>
        <v>2.2811425640012438E-4</v>
      </c>
      <c r="AH401" s="35">
        <f t="shared" si="82"/>
        <v>4.7395079384561436</v>
      </c>
      <c r="AI401" s="36">
        <f t="shared" si="83"/>
        <v>6.5737202080351267</v>
      </c>
      <c r="AJ401" s="23"/>
      <c r="AK401" s="23"/>
      <c r="AL401" s="44"/>
      <c r="AM401" s="44"/>
      <c r="AN401" s="44"/>
      <c r="AO401" s="44"/>
      <c r="AP401" s="44"/>
      <c r="AQ401" s="44"/>
      <c r="AR401" s="44"/>
    </row>
    <row r="402" spans="1:44" ht="16.8">
      <c r="A402" s="45"/>
      <c r="B402" s="45">
        <v>158</v>
      </c>
      <c r="C402" s="45" t="s">
        <v>963</v>
      </c>
      <c r="D402" s="46" t="s">
        <v>964</v>
      </c>
      <c r="E402" s="47" t="s">
        <v>39</v>
      </c>
      <c r="F402" s="48"/>
      <c r="G402" s="68"/>
      <c r="H402" s="49"/>
      <c r="I402" s="49"/>
      <c r="J402" s="49"/>
      <c r="K402" s="49"/>
      <c r="L402" s="49"/>
      <c r="M402" s="49"/>
      <c r="N402" s="49"/>
      <c r="O402" s="49">
        <f t="shared" si="70"/>
        <v>0</v>
      </c>
      <c r="P402" s="49"/>
      <c r="Q402" s="49"/>
      <c r="R402" s="49">
        <f t="shared" si="71"/>
        <v>0</v>
      </c>
      <c r="S402" s="50" t="e">
        <f t="shared" si="72"/>
        <v>#DIV/0!</v>
      </c>
      <c r="T402" s="51" t="e">
        <f t="shared" si="73"/>
        <v>#DIV/0!</v>
      </c>
      <c r="U402" s="50" t="e">
        <f t="shared" si="74"/>
        <v>#NUM!</v>
      </c>
      <c r="V402" s="50" t="e">
        <f t="shared" si="75"/>
        <v>#DIV/0!</v>
      </c>
      <c r="W402" s="52"/>
      <c r="X402" s="53">
        <v>0</v>
      </c>
      <c r="Y402" s="52"/>
      <c r="Z402" s="55">
        <f t="shared" si="103"/>
        <v>0</v>
      </c>
      <c r="AA402" s="48">
        <f t="shared" si="77"/>
        <v>0</v>
      </c>
      <c r="AB402" s="49"/>
      <c r="AC402" s="49"/>
      <c r="AD402" s="50" t="e">
        <f t="shared" si="78"/>
        <v>#DIV/0!</v>
      </c>
      <c r="AE402" s="56" t="e">
        <f t="shared" si="79"/>
        <v>#DIV/0!</v>
      </c>
      <c r="AF402" s="50" t="e">
        <f t="shared" si="80"/>
        <v>#DIV/0!</v>
      </c>
      <c r="AG402" s="50" t="e">
        <f t="shared" si="81"/>
        <v>#DIV/0!</v>
      </c>
      <c r="AH402" s="57" t="e">
        <f t="shared" si="82"/>
        <v>#DIV/0!</v>
      </c>
      <c r="AI402" s="58" t="e">
        <f t="shared" si="83"/>
        <v>#DIV/0!</v>
      </c>
      <c r="AJ402" s="49"/>
      <c r="AK402" s="49"/>
      <c r="AL402" s="59"/>
      <c r="AM402" s="59"/>
      <c r="AN402" s="59"/>
      <c r="AO402" s="59"/>
      <c r="AP402" s="59"/>
      <c r="AQ402" s="59"/>
      <c r="AR402" s="59"/>
    </row>
    <row r="403" spans="1:44" ht="16.8">
      <c r="A403" s="64" t="s">
        <v>965</v>
      </c>
      <c r="B403" s="62">
        <v>159</v>
      </c>
      <c r="C403" s="1" t="s">
        <v>966</v>
      </c>
      <c r="D403" s="19" t="s">
        <v>967</v>
      </c>
      <c r="E403" s="20" t="s">
        <v>39</v>
      </c>
      <c r="F403" s="21">
        <v>2006</v>
      </c>
      <c r="G403" s="22">
        <v>2021</v>
      </c>
      <c r="H403" s="23">
        <v>363345089525</v>
      </c>
      <c r="I403" s="23">
        <v>363345089525</v>
      </c>
      <c r="J403" s="23">
        <v>41121696148</v>
      </c>
      <c r="K403" s="23">
        <f>(J403+4231700974)/2</f>
        <v>22676698561</v>
      </c>
      <c r="L403" s="23">
        <v>41121696148</v>
      </c>
      <c r="M403" s="23">
        <v>322223393377</v>
      </c>
      <c r="N403" s="23">
        <v>34791328000</v>
      </c>
      <c r="O403" s="25">
        <f t="shared" si="70"/>
        <v>322223393377</v>
      </c>
      <c r="P403" s="23">
        <v>3753726870</v>
      </c>
      <c r="Q403" s="23">
        <v>1723275166</v>
      </c>
      <c r="R403" s="25">
        <f t="shared" si="71"/>
        <v>33068052834</v>
      </c>
      <c r="S403" s="26">
        <f t="shared" si="72"/>
        <v>0.11317531826770599</v>
      </c>
      <c r="T403" s="27">
        <f t="shared" si="73"/>
        <v>8.8358487990693373</v>
      </c>
      <c r="U403" s="26">
        <f t="shared" si="74"/>
        <v>26.618618879468858</v>
      </c>
      <c r="V403" s="26">
        <f t="shared" si="75"/>
        <v>1.5342325033078257</v>
      </c>
      <c r="W403" s="131">
        <v>45697</v>
      </c>
      <c r="X403" s="42">
        <v>9200</v>
      </c>
      <c r="Y403" s="112">
        <v>634700</v>
      </c>
      <c r="Z403" s="30">
        <f t="shared" si="103"/>
        <v>5839240000</v>
      </c>
      <c r="AA403" s="31">
        <f t="shared" si="77"/>
        <v>15</v>
      </c>
      <c r="AB403" s="32">
        <v>1.84E-2</v>
      </c>
      <c r="AC403" s="32">
        <v>2.58E-2</v>
      </c>
      <c r="AD403" s="33">
        <f t="shared" si="78"/>
        <v>0.88682468173229401</v>
      </c>
      <c r="AE403" s="34">
        <f t="shared" si="79"/>
        <v>1.0331024082112233E-2</v>
      </c>
      <c r="AF403" s="33">
        <f t="shared" si="80"/>
        <v>9.1010044685700231E-2</v>
      </c>
      <c r="AG403" s="33">
        <f t="shared" si="81"/>
        <v>0.14199900653378078</v>
      </c>
      <c r="AH403" s="35">
        <f t="shared" si="82"/>
        <v>0.84605770819334536</v>
      </c>
      <c r="AI403" s="36">
        <f t="shared" si="83"/>
        <v>2.3102433113701344</v>
      </c>
      <c r="AJ403" s="23"/>
      <c r="AK403" s="23"/>
      <c r="AL403" s="44"/>
      <c r="AM403" s="44"/>
      <c r="AN403" s="44"/>
      <c r="AO403" s="44"/>
      <c r="AP403" s="44"/>
      <c r="AQ403" s="44"/>
      <c r="AR403" s="44"/>
    </row>
    <row r="404" spans="1:44" ht="16.8">
      <c r="A404" s="64" t="s">
        <v>968</v>
      </c>
      <c r="B404" s="62"/>
      <c r="C404" s="1" t="s">
        <v>966</v>
      </c>
      <c r="D404" s="19" t="s">
        <v>967</v>
      </c>
      <c r="E404" s="20" t="s">
        <v>39</v>
      </c>
      <c r="F404" s="21">
        <v>2006</v>
      </c>
      <c r="G404" s="22">
        <v>2022</v>
      </c>
      <c r="H404" s="23">
        <v>323629051602</v>
      </c>
      <c r="I404" s="23">
        <v>323629051602</v>
      </c>
      <c r="J404" s="23">
        <v>62331074785</v>
      </c>
      <c r="K404" s="23">
        <f t="shared" ref="K404:K405" si="125">SUM(J403:J404)/2</f>
        <v>51726385466.5</v>
      </c>
      <c r="L404" s="23">
        <v>62331074785</v>
      </c>
      <c r="M404" s="23">
        <v>261297976817</v>
      </c>
      <c r="N404" s="23">
        <v>56805702015</v>
      </c>
      <c r="O404" s="25">
        <f t="shared" si="70"/>
        <v>261297976817</v>
      </c>
      <c r="P404" s="23">
        <v>-60925416560</v>
      </c>
      <c r="Q404" s="23">
        <v>757349971</v>
      </c>
      <c r="R404" s="25">
        <f t="shared" si="71"/>
        <v>56048352044</v>
      </c>
      <c r="S404" s="26">
        <f t="shared" si="72"/>
        <v>0.19260036908446324</v>
      </c>
      <c r="T404" s="27">
        <f t="shared" si="73"/>
        <v>5.192098046091794</v>
      </c>
      <c r="U404" s="26">
        <f t="shared" si="74"/>
        <v>26.502863794374274</v>
      </c>
      <c r="V404" s="26">
        <f t="shared" si="75"/>
        <v>1.0981958530968603</v>
      </c>
      <c r="W404" s="131">
        <v>45870</v>
      </c>
      <c r="X404" s="42">
        <v>1800</v>
      </c>
      <c r="Y404" s="112">
        <v>57300</v>
      </c>
      <c r="Z404" s="30">
        <f t="shared" si="103"/>
        <v>103140000</v>
      </c>
      <c r="AA404" s="31">
        <f t="shared" si="77"/>
        <v>16</v>
      </c>
      <c r="AB404" s="32">
        <v>3.15E-2</v>
      </c>
      <c r="AC404" s="32">
        <v>8.0199999999999994E-2</v>
      </c>
      <c r="AD404" s="33">
        <f t="shared" si="78"/>
        <v>0.80739963091553679</v>
      </c>
      <c r="AE404" s="34">
        <f t="shared" si="79"/>
        <v>-0.18825694497577511</v>
      </c>
      <c r="AF404" s="33">
        <f t="shared" si="80"/>
        <v>0.17318702312587325</v>
      </c>
      <c r="AG404" s="33">
        <f t="shared" si="81"/>
        <v>1.6547123622649403E-3</v>
      </c>
      <c r="AH404" s="35">
        <f t="shared" si="82"/>
        <v>0.91135444416675315</v>
      </c>
      <c r="AI404" s="36">
        <f t="shared" si="83"/>
        <v>2.1891842820320528</v>
      </c>
      <c r="AJ404" s="23"/>
      <c r="AK404" s="23"/>
      <c r="AL404" s="44"/>
      <c r="AM404" s="44"/>
      <c r="AN404" s="44"/>
      <c r="AO404" s="44"/>
      <c r="AP404" s="44"/>
      <c r="AQ404" s="44"/>
      <c r="AR404" s="44"/>
    </row>
    <row r="405" spans="1:44" ht="16.8">
      <c r="A405" s="64" t="s">
        <v>969</v>
      </c>
      <c r="B405" s="62"/>
      <c r="C405" s="1" t="s">
        <v>966</v>
      </c>
      <c r="D405" s="19" t="s">
        <v>967</v>
      </c>
      <c r="E405" s="20" t="s">
        <v>39</v>
      </c>
      <c r="F405" s="21">
        <v>2006</v>
      </c>
      <c r="G405" s="22">
        <v>2023</v>
      </c>
      <c r="H405" s="23">
        <v>15418865556</v>
      </c>
      <c r="I405" s="23">
        <v>315418865556</v>
      </c>
      <c r="J405" s="23">
        <v>46179337622</v>
      </c>
      <c r="K405" s="23">
        <f t="shared" si="125"/>
        <v>54255206203.5</v>
      </c>
      <c r="L405" s="23">
        <v>46179337622</v>
      </c>
      <c r="M405" s="23">
        <v>269239527934</v>
      </c>
      <c r="N405" s="23">
        <v>3337437643</v>
      </c>
      <c r="O405" s="25">
        <f t="shared" si="70"/>
        <v>-30760472066</v>
      </c>
      <c r="P405" s="23">
        <v>7936400287</v>
      </c>
      <c r="Q405" s="23">
        <v>1319694575</v>
      </c>
      <c r="R405" s="25">
        <f t="shared" si="71"/>
        <v>2017743068</v>
      </c>
      <c r="S405" s="26">
        <f t="shared" si="72"/>
        <v>0.1464063905644897</v>
      </c>
      <c r="T405" s="27">
        <f t="shared" si="73"/>
        <v>0.33389100732043409</v>
      </c>
      <c r="U405" s="26">
        <f t="shared" si="74"/>
        <v>26.477167324385317</v>
      </c>
      <c r="V405" s="26">
        <f t="shared" si="75"/>
        <v>6.1513684612716522E-2</v>
      </c>
      <c r="W405" s="131">
        <v>45901</v>
      </c>
      <c r="X405" s="42">
        <v>1900</v>
      </c>
      <c r="Y405" s="112">
        <v>45898</v>
      </c>
      <c r="Z405" s="30">
        <f t="shared" si="103"/>
        <v>87206200</v>
      </c>
      <c r="AA405" s="31">
        <f t="shared" si="77"/>
        <v>17</v>
      </c>
      <c r="AB405" s="32">
        <v>3.2500000000000001E-2</v>
      </c>
      <c r="AC405" s="32">
        <v>5.0500000000000003E-2</v>
      </c>
      <c r="AD405" s="33">
        <f t="shared" si="78"/>
        <v>-9.7522613340763328E-2</v>
      </c>
      <c r="AE405" s="34">
        <f t="shared" si="79"/>
        <v>2.516146354470658E-2</v>
      </c>
      <c r="AF405" s="33">
        <f t="shared" si="80"/>
        <v>6.3970272178972328E-3</v>
      </c>
      <c r="AG405" s="33">
        <f t="shared" si="81"/>
        <v>1.8884246611292808E-3</v>
      </c>
      <c r="AH405" s="35">
        <f t="shared" si="82"/>
        <v>7.2271232435565144E-2</v>
      </c>
      <c r="AI405" s="36">
        <f t="shared" si="83"/>
        <v>1.2713390004976802E-2</v>
      </c>
      <c r="AJ405" s="23"/>
      <c r="AK405" s="23"/>
      <c r="AL405" s="44"/>
      <c r="AM405" s="44"/>
      <c r="AN405" s="44"/>
      <c r="AO405" s="44"/>
      <c r="AP405" s="44"/>
      <c r="AQ405" s="44"/>
      <c r="AR405" s="44"/>
    </row>
    <row r="406" spans="1:44" ht="16.8">
      <c r="A406" s="64" t="s">
        <v>970</v>
      </c>
      <c r="B406" s="62">
        <v>160</v>
      </c>
      <c r="C406" s="1" t="s">
        <v>971</v>
      </c>
      <c r="D406" s="19" t="s">
        <v>972</v>
      </c>
      <c r="E406" s="20" t="s">
        <v>39</v>
      </c>
      <c r="F406" s="21">
        <v>1976</v>
      </c>
      <c r="G406" s="22">
        <v>2021</v>
      </c>
      <c r="H406" s="23">
        <v>92705377890</v>
      </c>
      <c r="I406" s="23">
        <v>102088192304</v>
      </c>
      <c r="J406" s="23">
        <v>35417893801</v>
      </c>
      <c r="K406" s="23">
        <f>(J406+96211785478)/2</f>
        <v>65814839639.5</v>
      </c>
      <c r="L406" s="23">
        <v>35417893801</v>
      </c>
      <c r="M406" s="23">
        <v>66670298503</v>
      </c>
      <c r="N406" s="23">
        <v>88354630161</v>
      </c>
      <c r="O406" s="25">
        <f t="shared" si="70"/>
        <v>57287484089</v>
      </c>
      <c r="P406" s="23">
        <v>3947626650</v>
      </c>
      <c r="Q406" s="23">
        <v>13359222903</v>
      </c>
      <c r="R406" s="25">
        <f t="shared" si="71"/>
        <v>74995407258</v>
      </c>
      <c r="S406" s="26">
        <f t="shared" si="72"/>
        <v>0.34693428301220164</v>
      </c>
      <c r="T406" s="27">
        <f t="shared" si="73"/>
        <v>2.6174729195043924</v>
      </c>
      <c r="U406" s="26">
        <f t="shared" si="74"/>
        <v>25.349102907084486</v>
      </c>
      <c r="V406" s="26">
        <f t="shared" si="75"/>
        <v>1.342472771261944</v>
      </c>
      <c r="W406" s="112" t="s">
        <v>973</v>
      </c>
      <c r="X406" s="29">
        <v>9800</v>
      </c>
      <c r="Y406" s="112">
        <v>14900</v>
      </c>
      <c r="Z406" s="30">
        <f t="shared" si="103"/>
        <v>146020000</v>
      </c>
      <c r="AA406" s="31">
        <f t="shared" si="77"/>
        <v>45</v>
      </c>
      <c r="AB406" s="32">
        <v>1.84E-2</v>
      </c>
      <c r="AC406" s="32">
        <v>2.58E-2</v>
      </c>
      <c r="AD406" s="33">
        <f t="shared" si="78"/>
        <v>0.56115680761990894</v>
      </c>
      <c r="AE406" s="34">
        <f t="shared" si="79"/>
        <v>3.8668787848105769E-2</v>
      </c>
      <c r="AF406" s="33">
        <f t="shared" si="80"/>
        <v>0.73461392121311508</v>
      </c>
      <c r="AG406" s="33">
        <f t="shared" si="81"/>
        <v>4.1227747991010475E-3</v>
      </c>
      <c r="AH406" s="35">
        <f t="shared" si="82"/>
        <v>2.4946325339793458</v>
      </c>
      <c r="AI406" s="36">
        <f t="shared" si="83"/>
        <v>5.6488566109933247</v>
      </c>
      <c r="AJ406" s="23"/>
      <c r="AK406" s="23"/>
      <c r="AL406" s="44"/>
      <c r="AM406" s="44"/>
      <c r="AN406" s="44"/>
      <c r="AO406" s="44"/>
      <c r="AP406" s="44"/>
      <c r="AQ406" s="44"/>
      <c r="AR406" s="44"/>
    </row>
    <row r="407" spans="1:44" ht="16.8">
      <c r="A407" s="64" t="s">
        <v>974</v>
      </c>
      <c r="B407" s="62"/>
      <c r="C407" s="1" t="s">
        <v>971</v>
      </c>
      <c r="D407" s="19" t="s">
        <v>972</v>
      </c>
      <c r="E407" s="20" t="s">
        <v>39</v>
      </c>
      <c r="F407" s="21">
        <v>1976</v>
      </c>
      <c r="G407" s="22">
        <v>2022</v>
      </c>
      <c r="H407" s="23">
        <v>240884726811</v>
      </c>
      <c r="I407" s="23">
        <v>249342990277</v>
      </c>
      <c r="J407" s="23">
        <v>176537194473</v>
      </c>
      <c r="K407" s="23">
        <f t="shared" ref="K407:K408" si="126">SUM(J406:J407)/2</f>
        <v>105977544137</v>
      </c>
      <c r="L407" s="23">
        <v>176537194473</v>
      </c>
      <c r="M407" s="23">
        <v>72805795804</v>
      </c>
      <c r="N407" s="23">
        <v>286632849002</v>
      </c>
      <c r="O407" s="25">
        <f t="shared" si="70"/>
        <v>64347532338</v>
      </c>
      <c r="P407" s="23">
        <v>10082684182</v>
      </c>
      <c r="Q407" s="23">
        <v>19096009367</v>
      </c>
      <c r="R407" s="25">
        <f t="shared" si="71"/>
        <v>267536839635</v>
      </c>
      <c r="S407" s="26">
        <f t="shared" si="72"/>
        <v>0.70800945427373507</v>
      </c>
      <c r="T407" s="27">
        <f t="shared" si="73"/>
        <v>1.364498441986068</v>
      </c>
      <c r="U407" s="26">
        <f t="shared" si="74"/>
        <v>26.242095256560237</v>
      </c>
      <c r="V407" s="26">
        <f t="shared" si="75"/>
        <v>2.7046564565740652</v>
      </c>
      <c r="W407" s="112" t="s">
        <v>975</v>
      </c>
      <c r="X407" s="29">
        <v>11860</v>
      </c>
      <c r="Y407" s="112">
        <v>0</v>
      </c>
      <c r="Z407" s="30">
        <f t="shared" si="103"/>
        <v>0</v>
      </c>
      <c r="AA407" s="31">
        <f t="shared" si="77"/>
        <v>46</v>
      </c>
      <c r="AB407" s="32">
        <v>3.15E-2</v>
      </c>
      <c r="AC407" s="32">
        <v>8.0199999999999994E-2</v>
      </c>
      <c r="AD407" s="33">
        <f t="shared" si="78"/>
        <v>0.25806834299418269</v>
      </c>
      <c r="AE407" s="34">
        <f t="shared" si="79"/>
        <v>4.0437006754426699E-2</v>
      </c>
      <c r="AF407" s="33">
        <f t="shared" si="80"/>
        <v>1.0729671579609601</v>
      </c>
      <c r="AG407" s="33">
        <f t="shared" si="81"/>
        <v>0</v>
      </c>
      <c r="AH407" s="35">
        <f t="shared" si="82"/>
        <v>1.6236399918875921</v>
      </c>
      <c r="AI407" s="36">
        <f t="shared" si="83"/>
        <v>5.5307254342079775</v>
      </c>
      <c r="AJ407" s="23"/>
      <c r="AK407" s="23"/>
      <c r="AL407" s="44"/>
      <c r="AM407" s="44"/>
      <c r="AN407" s="44"/>
      <c r="AO407" s="44"/>
      <c r="AP407" s="44"/>
      <c r="AQ407" s="44"/>
      <c r="AR407" s="44"/>
    </row>
    <row r="408" spans="1:44" ht="16.8">
      <c r="A408" s="64" t="s">
        <v>976</v>
      </c>
      <c r="B408" s="62"/>
      <c r="C408" s="1" t="s">
        <v>971</v>
      </c>
      <c r="D408" s="19" t="s">
        <v>972</v>
      </c>
      <c r="E408" s="20" t="s">
        <v>39</v>
      </c>
      <c r="F408" s="21">
        <v>1976</v>
      </c>
      <c r="G408" s="22">
        <v>2023</v>
      </c>
      <c r="H408" s="23">
        <v>240501817900</v>
      </c>
      <c r="I408" s="23">
        <v>249744680652</v>
      </c>
      <c r="J408" s="23">
        <v>178437111024</v>
      </c>
      <c r="K408" s="23">
        <f t="shared" si="126"/>
        <v>177487152748.5</v>
      </c>
      <c r="L408" s="23">
        <v>178437111024</v>
      </c>
      <c r="M408" s="23">
        <v>71307569628</v>
      </c>
      <c r="N408" s="23">
        <v>182080407062</v>
      </c>
      <c r="O408" s="25">
        <f t="shared" si="70"/>
        <v>62064706876</v>
      </c>
      <c r="P408" s="23">
        <v>5559652751</v>
      </c>
      <c r="Q408" s="23">
        <v>14574632542</v>
      </c>
      <c r="R408" s="25">
        <f t="shared" si="71"/>
        <v>167505774520</v>
      </c>
      <c r="S408" s="26">
        <f t="shared" si="72"/>
        <v>0.71447812445158099</v>
      </c>
      <c r="T408" s="27">
        <f t="shared" si="73"/>
        <v>1.3478239841467297</v>
      </c>
      <c r="U408" s="26">
        <f t="shared" si="74"/>
        <v>26.243704955557565</v>
      </c>
      <c r="V408" s="26">
        <f t="shared" si="75"/>
        <v>1.0258793622094364</v>
      </c>
      <c r="W408" s="112" t="s">
        <v>977</v>
      </c>
      <c r="X408" s="29">
        <v>13330</v>
      </c>
      <c r="Y408" s="112">
        <v>100</v>
      </c>
      <c r="Z408" s="30">
        <f t="shared" si="103"/>
        <v>1333000</v>
      </c>
      <c r="AA408" s="31">
        <f t="shared" si="77"/>
        <v>47</v>
      </c>
      <c r="AB408" s="32">
        <v>3.2500000000000001E-2</v>
      </c>
      <c r="AC408" s="32">
        <v>5.0500000000000003E-2</v>
      </c>
      <c r="AD408" s="33">
        <f t="shared" si="78"/>
        <v>0.24851262783243178</v>
      </c>
      <c r="AE408" s="34">
        <f t="shared" si="79"/>
        <v>2.2261346013398974E-2</v>
      </c>
      <c r="AF408" s="33">
        <f t="shared" si="80"/>
        <v>0.67070807707574931</v>
      </c>
      <c r="AG408" s="33">
        <f t="shared" si="81"/>
        <v>7.4704190868720683E-6</v>
      </c>
      <c r="AH408" s="35">
        <f t="shared" si="82"/>
        <v>1.020417815649963</v>
      </c>
      <c r="AI408" s="36">
        <f t="shared" si="83"/>
        <v>3.5631399900690646</v>
      </c>
      <c r="AJ408" s="23"/>
      <c r="AK408" s="23"/>
      <c r="AL408" s="44"/>
      <c r="AM408" s="44"/>
      <c r="AN408" s="44"/>
      <c r="AO408" s="44"/>
      <c r="AP408" s="44"/>
      <c r="AQ408" s="44"/>
      <c r="AR408" s="44"/>
    </row>
    <row r="409" spans="1:44" ht="16.8">
      <c r="A409" s="114" t="s">
        <v>978</v>
      </c>
      <c r="B409" s="115">
        <v>161</v>
      </c>
      <c r="C409" s="115" t="s">
        <v>979</v>
      </c>
      <c r="D409" s="116" t="s">
        <v>980</v>
      </c>
      <c r="E409" s="117" t="s">
        <v>39</v>
      </c>
      <c r="F409" s="118">
        <v>1995</v>
      </c>
      <c r="G409" s="119">
        <v>2021</v>
      </c>
      <c r="H409" s="120">
        <v>215220685952</v>
      </c>
      <c r="I409" s="120">
        <v>439578508307</v>
      </c>
      <c r="J409" s="120">
        <v>276421184280</v>
      </c>
      <c r="K409" s="120">
        <f>(J409+240133928905)/2</f>
        <v>258277556592.5</v>
      </c>
      <c r="L409" s="120">
        <v>218593184280</v>
      </c>
      <c r="M409" s="120">
        <v>163157324027</v>
      </c>
      <c r="N409" s="120">
        <v>248218462434</v>
      </c>
      <c r="O409" s="120">
        <f t="shared" si="70"/>
        <v>-3372498328</v>
      </c>
      <c r="P409" s="120">
        <v>5671643333</v>
      </c>
      <c r="Q409" s="120">
        <f>1005271168+5554662771</f>
        <v>6559933939</v>
      </c>
      <c r="R409" s="120">
        <f t="shared" si="71"/>
        <v>241658528495</v>
      </c>
      <c r="S409" s="121">
        <f t="shared" si="72"/>
        <v>0.62883234520407549</v>
      </c>
      <c r="T409" s="122">
        <f t="shared" si="73"/>
        <v>0.98457180474721429</v>
      </c>
      <c r="U409" s="121">
        <f t="shared" si="74"/>
        <v>26.809082169079215</v>
      </c>
      <c r="V409" s="121">
        <f t="shared" si="75"/>
        <v>0.96105316198894186</v>
      </c>
      <c r="W409" s="123" t="s">
        <v>981</v>
      </c>
      <c r="X409" s="124">
        <v>21930</v>
      </c>
      <c r="Y409" s="123">
        <v>19700</v>
      </c>
      <c r="Z409" s="125">
        <f t="shared" si="103"/>
        <v>432021000</v>
      </c>
      <c r="AA409" s="118">
        <f t="shared" si="77"/>
        <v>26</v>
      </c>
      <c r="AB409" s="126">
        <v>1.84E-2</v>
      </c>
      <c r="AC409" s="126">
        <v>2.58E-2</v>
      </c>
      <c r="AD409" s="121">
        <f t="shared" si="78"/>
        <v>-7.6721183230474494E-3</v>
      </c>
      <c r="AE409" s="127">
        <f t="shared" si="79"/>
        <v>1.2902458208987199E-2</v>
      </c>
      <c r="AF409" s="121">
        <f t="shared" si="80"/>
        <v>0.54975055406081541</v>
      </c>
      <c r="AG409" s="121">
        <f t="shared" si="81"/>
        <v>1.5629084331046988E-3</v>
      </c>
      <c r="AH409" s="128">
        <f t="shared" si="82"/>
        <v>0.89797192310184104</v>
      </c>
      <c r="AI409" s="129">
        <f t="shared" si="83"/>
        <v>2.7219433960673198</v>
      </c>
      <c r="AJ409" s="120"/>
      <c r="AK409" s="120"/>
      <c r="AL409" s="130"/>
      <c r="AM409" s="130"/>
      <c r="AN409" s="130"/>
      <c r="AO409" s="130"/>
      <c r="AP409" s="130"/>
      <c r="AQ409" s="130"/>
      <c r="AR409" s="130"/>
    </row>
    <row r="410" spans="1:44" ht="16.8">
      <c r="A410" s="114" t="s">
        <v>982</v>
      </c>
      <c r="B410" s="115"/>
      <c r="C410" s="115" t="s">
        <v>979</v>
      </c>
      <c r="D410" s="116" t="s">
        <v>980</v>
      </c>
      <c r="E410" s="117" t="s">
        <v>39</v>
      </c>
      <c r="F410" s="118">
        <v>1995</v>
      </c>
      <c r="G410" s="119">
        <v>2022</v>
      </c>
      <c r="H410" s="120">
        <v>193257047508</v>
      </c>
      <c r="I410" s="120">
        <v>401185394205</v>
      </c>
      <c r="J410" s="120">
        <v>231619223186</v>
      </c>
      <c r="K410" s="120">
        <f t="shared" ref="K410:K411" si="127">SUM(J409:J410)/2</f>
        <v>254020203733</v>
      </c>
      <c r="L410" s="120">
        <v>183791223186</v>
      </c>
      <c r="M410" s="120">
        <v>169566082837</v>
      </c>
      <c r="N410" s="120">
        <v>176395520303</v>
      </c>
      <c r="O410" s="120">
        <f t="shared" si="70"/>
        <v>9465824322</v>
      </c>
      <c r="P410" s="120">
        <v>8009977458</v>
      </c>
      <c r="Q410" s="120">
        <f>681965842+6163576105</f>
        <v>6845541947</v>
      </c>
      <c r="R410" s="120">
        <f t="shared" si="71"/>
        <v>169549978356</v>
      </c>
      <c r="S410" s="121">
        <f t="shared" si="72"/>
        <v>0.57733712775108126</v>
      </c>
      <c r="T410" s="122">
        <f t="shared" si="73"/>
        <v>1.0515031357749898</v>
      </c>
      <c r="U410" s="121">
        <f t="shared" si="74"/>
        <v>26.717689487099818</v>
      </c>
      <c r="V410" s="121">
        <f t="shared" si="75"/>
        <v>0.69441531701316517</v>
      </c>
      <c r="W410" s="123" t="s">
        <v>983</v>
      </c>
      <c r="X410" s="124">
        <v>14390</v>
      </c>
      <c r="Y410" s="123">
        <v>100</v>
      </c>
      <c r="Z410" s="125">
        <f t="shared" si="103"/>
        <v>1439000</v>
      </c>
      <c r="AA410" s="118">
        <f t="shared" si="77"/>
        <v>27</v>
      </c>
      <c r="AB410" s="126">
        <v>3.15E-2</v>
      </c>
      <c r="AC410" s="126">
        <v>8.0199999999999994E-2</v>
      </c>
      <c r="AD410" s="121">
        <f t="shared" si="78"/>
        <v>2.3594638435822764E-2</v>
      </c>
      <c r="AE410" s="127">
        <f t="shared" si="79"/>
        <v>1.9965775358977839E-2</v>
      </c>
      <c r="AF410" s="121">
        <f t="shared" si="80"/>
        <v>0.4226225102037548</v>
      </c>
      <c r="AG410" s="121">
        <f t="shared" si="81"/>
        <v>6.2127831196654277E-6</v>
      </c>
      <c r="AH410" s="128">
        <f t="shared" si="82"/>
        <v>0.76157547666648961</v>
      </c>
      <c r="AI410" s="129">
        <f t="shared" si="83"/>
        <v>2.2124991396343083</v>
      </c>
      <c r="AJ410" s="120"/>
      <c r="AK410" s="120"/>
      <c r="AL410" s="130"/>
      <c r="AM410" s="130"/>
      <c r="AN410" s="130"/>
      <c r="AO410" s="130"/>
      <c r="AP410" s="130"/>
      <c r="AQ410" s="130"/>
      <c r="AR410" s="130"/>
    </row>
    <row r="411" spans="1:44" ht="16.8">
      <c r="A411" s="114" t="s">
        <v>984</v>
      </c>
      <c r="B411" s="115"/>
      <c r="C411" s="115" t="s">
        <v>979</v>
      </c>
      <c r="D411" s="116" t="s">
        <v>980</v>
      </c>
      <c r="E411" s="117" t="s">
        <v>39</v>
      </c>
      <c r="F411" s="118">
        <v>1995</v>
      </c>
      <c r="G411" s="119">
        <v>2023</v>
      </c>
      <c r="H411" s="120">
        <v>283159881612</v>
      </c>
      <c r="I411" s="120">
        <v>481511913983</v>
      </c>
      <c r="J411" s="120">
        <v>277642704223</v>
      </c>
      <c r="K411" s="120">
        <f t="shared" si="127"/>
        <v>254630963704.5</v>
      </c>
      <c r="L411" s="120">
        <v>239814704223</v>
      </c>
      <c r="M411" s="120">
        <v>203869121578</v>
      </c>
      <c r="N411" s="120">
        <v>547677775904</v>
      </c>
      <c r="O411" s="120">
        <f t="shared" si="70"/>
        <v>43345177389</v>
      </c>
      <c r="P411" s="120">
        <v>38196713389</v>
      </c>
      <c r="Q411" s="120">
        <f>2043981448+7239368417</f>
        <v>9283349865</v>
      </c>
      <c r="R411" s="120">
        <f t="shared" si="71"/>
        <v>538394426039</v>
      </c>
      <c r="S411" s="121">
        <f t="shared" si="72"/>
        <v>0.57660609459562051</v>
      </c>
      <c r="T411" s="122">
        <f t="shared" si="73"/>
        <v>1.1807444523864308</v>
      </c>
      <c r="U411" s="121">
        <f t="shared" si="74"/>
        <v>26.900196811353034</v>
      </c>
      <c r="V411" s="121">
        <f t="shared" si="75"/>
        <v>2.1508687236465933</v>
      </c>
      <c r="W411" s="123" t="s">
        <v>985</v>
      </c>
      <c r="X411" s="124">
        <v>46500</v>
      </c>
      <c r="Y411" s="123">
        <v>3900</v>
      </c>
      <c r="Z411" s="125">
        <f t="shared" si="103"/>
        <v>181350000</v>
      </c>
      <c r="AA411" s="118">
        <f t="shared" si="77"/>
        <v>28</v>
      </c>
      <c r="AB411" s="126">
        <v>3.2500000000000001E-2</v>
      </c>
      <c r="AC411" s="126">
        <v>5.0500000000000003E-2</v>
      </c>
      <c r="AD411" s="121">
        <f t="shared" si="78"/>
        <v>9.0018909460525459E-2</v>
      </c>
      <c r="AE411" s="127">
        <f t="shared" si="79"/>
        <v>7.9326621584587739E-2</v>
      </c>
      <c r="AF411" s="121">
        <f t="shared" si="80"/>
        <v>1.1181331352436863</v>
      </c>
      <c r="AG411" s="121">
        <f t="shared" si="81"/>
        <v>6.5317761728160301E-4</v>
      </c>
      <c r="AH411" s="128">
        <f t="shared" si="82"/>
        <v>1.9725991988037632</v>
      </c>
      <c r="AI411" s="129">
        <f t="shared" si="83"/>
        <v>5.8819104132493498</v>
      </c>
      <c r="AJ411" s="120"/>
      <c r="AK411" s="120"/>
      <c r="AL411" s="130"/>
      <c r="AM411" s="130"/>
      <c r="AN411" s="130"/>
      <c r="AO411" s="130"/>
      <c r="AP411" s="130"/>
      <c r="AQ411" s="130"/>
      <c r="AR411" s="130"/>
    </row>
    <row r="412" spans="1:44" ht="16.8">
      <c r="A412" s="64" t="s">
        <v>986</v>
      </c>
      <c r="B412" s="62">
        <v>162</v>
      </c>
      <c r="C412" s="1" t="s">
        <v>987</v>
      </c>
      <c r="D412" s="19" t="s">
        <v>988</v>
      </c>
      <c r="E412" s="20" t="s">
        <v>178</v>
      </c>
      <c r="F412" s="21">
        <v>2003</v>
      </c>
      <c r="G412" s="22">
        <v>2021</v>
      </c>
      <c r="H412" s="23">
        <v>298566976270</v>
      </c>
      <c r="I412" s="23">
        <v>314579205437</v>
      </c>
      <c r="J412" s="23">
        <v>277442695225</v>
      </c>
      <c r="K412" s="23">
        <f>(J412+73941417235)/2</f>
        <v>175692056230</v>
      </c>
      <c r="L412" s="23">
        <v>277442695225</v>
      </c>
      <c r="M412" s="23">
        <v>37136510212</v>
      </c>
      <c r="N412" s="23">
        <v>453773143062</v>
      </c>
      <c r="O412" s="25">
        <f t="shared" si="70"/>
        <v>21124281045</v>
      </c>
      <c r="P412" s="23">
        <v>2349459762</v>
      </c>
      <c r="Q412" s="23">
        <f>1101252636+2166197512</f>
        <v>3267450148</v>
      </c>
      <c r="R412" s="25">
        <f t="shared" si="71"/>
        <v>450505692914</v>
      </c>
      <c r="S412" s="26">
        <f t="shared" si="72"/>
        <v>0.88194861716809425</v>
      </c>
      <c r="T412" s="27">
        <f t="shared" si="73"/>
        <v>1.0761392583353786</v>
      </c>
      <c r="U412" s="26">
        <f t="shared" si="74"/>
        <v>26.474501726965777</v>
      </c>
      <c r="V412" s="26">
        <f t="shared" si="75"/>
        <v>2.5827755266747041</v>
      </c>
      <c r="W412" s="112" t="s">
        <v>989</v>
      </c>
      <c r="X412" s="29">
        <v>18000</v>
      </c>
      <c r="Y412" s="112">
        <v>8900</v>
      </c>
      <c r="Z412" s="30">
        <f t="shared" si="103"/>
        <v>160200000</v>
      </c>
      <c r="AA412" s="31">
        <f t="shared" si="77"/>
        <v>18</v>
      </c>
      <c r="AB412" s="32">
        <v>1.84E-2</v>
      </c>
      <c r="AC412" s="32">
        <v>2.58E-2</v>
      </c>
      <c r="AD412" s="33">
        <f t="shared" si="78"/>
        <v>6.7150913601091503E-2</v>
      </c>
      <c r="AE412" s="34">
        <f t="shared" si="79"/>
        <v>7.4685793637765431E-3</v>
      </c>
      <c r="AF412" s="33">
        <f t="shared" si="80"/>
        <v>1.4320898683947552</v>
      </c>
      <c r="AG412" s="33">
        <f t="shared" si="81"/>
        <v>5.7741653594476966E-4</v>
      </c>
      <c r="AH412" s="35">
        <f t="shared" si="82"/>
        <v>1.6355562819702276</v>
      </c>
      <c r="AI412" s="36">
        <f t="shared" si="83"/>
        <v>6.4528364050250833</v>
      </c>
      <c r="AJ412" s="23"/>
      <c r="AK412" s="23"/>
      <c r="AL412" s="44"/>
      <c r="AM412" s="44"/>
      <c r="AN412" s="44"/>
      <c r="AO412" s="44"/>
      <c r="AP412" s="44"/>
      <c r="AQ412" s="44"/>
      <c r="AR412" s="44"/>
    </row>
    <row r="413" spans="1:44" ht="16.8">
      <c r="A413" s="64" t="s">
        <v>990</v>
      </c>
      <c r="B413" s="62"/>
      <c r="C413" s="1" t="s">
        <v>987</v>
      </c>
      <c r="D413" s="19" t="s">
        <v>988</v>
      </c>
      <c r="E413" s="20" t="s">
        <v>178</v>
      </c>
      <c r="F413" s="21">
        <v>2003</v>
      </c>
      <c r="G413" s="22">
        <v>2022</v>
      </c>
      <c r="H413" s="23">
        <v>387656390078</v>
      </c>
      <c r="I413" s="23">
        <v>403468744193</v>
      </c>
      <c r="J413" s="23">
        <v>373971685875</v>
      </c>
      <c r="K413" s="23">
        <f t="shared" ref="K413:K414" si="128">SUM(J412:J413)/2</f>
        <v>325707190550</v>
      </c>
      <c r="L413" s="23">
        <v>373971685875</v>
      </c>
      <c r="M413" s="23">
        <v>29497058318</v>
      </c>
      <c r="N413" s="23">
        <v>901045923950</v>
      </c>
      <c r="O413" s="25">
        <f t="shared" si="70"/>
        <v>13684704203</v>
      </c>
      <c r="P413" s="23">
        <v>-7639451894</v>
      </c>
      <c r="Q413" s="23">
        <f>1201237788+2338032835</f>
        <v>3539270623</v>
      </c>
      <c r="R413" s="25">
        <f t="shared" si="71"/>
        <v>897506653327</v>
      </c>
      <c r="S413" s="26">
        <f t="shared" si="72"/>
        <v>0.92689134228476933</v>
      </c>
      <c r="T413" s="27">
        <f t="shared" si="73"/>
        <v>1.0365928884989815</v>
      </c>
      <c r="U413" s="26">
        <f t="shared" si="74"/>
        <v>26.723364859928715</v>
      </c>
      <c r="V413" s="26">
        <f t="shared" si="75"/>
        <v>2.766429326992947</v>
      </c>
      <c r="W413" s="131">
        <v>45752</v>
      </c>
      <c r="X413" s="42">
        <v>5400</v>
      </c>
      <c r="Y413" s="112">
        <v>400</v>
      </c>
      <c r="Z413" s="30">
        <f t="shared" si="103"/>
        <v>2160000</v>
      </c>
      <c r="AA413" s="31">
        <f t="shared" si="77"/>
        <v>19</v>
      </c>
      <c r="AB413" s="32">
        <v>3.15E-2</v>
      </c>
      <c r="AC413" s="32">
        <v>8.0199999999999994E-2</v>
      </c>
      <c r="AD413" s="33">
        <f t="shared" si="78"/>
        <v>3.3917631538897833E-2</v>
      </c>
      <c r="AE413" s="34">
        <f t="shared" si="79"/>
        <v>-1.8934432973934791E-2</v>
      </c>
      <c r="AF413" s="33">
        <f t="shared" si="80"/>
        <v>2.2244762853245357</v>
      </c>
      <c r="AG413" s="33">
        <f t="shared" si="81"/>
        <v>5.7758383363867281E-6</v>
      </c>
      <c r="AH413" s="35">
        <f t="shared" si="82"/>
        <v>2.4093961066645417</v>
      </c>
      <c r="AI413" s="36">
        <f t="shared" si="83"/>
        <v>9.7643642654216798</v>
      </c>
      <c r="AJ413" s="23"/>
      <c r="AK413" s="23"/>
      <c r="AL413" s="44"/>
      <c r="AM413" s="44"/>
      <c r="AN413" s="44"/>
      <c r="AO413" s="44"/>
      <c r="AP413" s="44"/>
      <c r="AQ413" s="44"/>
      <c r="AR413" s="44"/>
    </row>
    <row r="414" spans="1:44" ht="16.8">
      <c r="A414" s="64" t="s">
        <v>991</v>
      </c>
      <c r="B414" s="62"/>
      <c r="C414" s="1" t="s">
        <v>987</v>
      </c>
      <c r="D414" s="19" t="s">
        <v>988</v>
      </c>
      <c r="E414" s="20" t="s">
        <v>178</v>
      </c>
      <c r="F414" s="21">
        <v>2003</v>
      </c>
      <c r="G414" s="22">
        <v>2023</v>
      </c>
      <c r="H414" s="23">
        <v>369839653822</v>
      </c>
      <c r="I414" s="23">
        <v>369839653822</v>
      </c>
      <c r="J414" s="23">
        <v>364277116738</v>
      </c>
      <c r="K414" s="23">
        <f t="shared" si="128"/>
        <v>369124401306.5</v>
      </c>
      <c r="L414" s="23">
        <v>364277116738</v>
      </c>
      <c r="M414" s="23">
        <v>5562537084</v>
      </c>
      <c r="N414" s="23">
        <v>65473634180</v>
      </c>
      <c r="O414" s="25">
        <f t="shared" si="70"/>
        <v>5562537084</v>
      </c>
      <c r="P414" s="23">
        <v>-15176043736</v>
      </c>
      <c r="Q414" s="23">
        <f>138493941+1680433981</f>
        <v>1818927922</v>
      </c>
      <c r="R414" s="25">
        <f t="shared" si="71"/>
        <v>63654706258</v>
      </c>
      <c r="S414" s="26">
        <f t="shared" si="72"/>
        <v>0.98495959795950605</v>
      </c>
      <c r="T414" s="27">
        <f t="shared" si="73"/>
        <v>1.0152700700329764</v>
      </c>
      <c r="U414" s="26">
        <f t="shared" si="74"/>
        <v>26.636335380604962</v>
      </c>
      <c r="V414" s="26">
        <f t="shared" si="75"/>
        <v>0.17737552420880029</v>
      </c>
      <c r="W414" s="131">
        <v>45871</v>
      </c>
      <c r="X414" s="42">
        <v>2800</v>
      </c>
      <c r="Y414" s="112">
        <v>1600</v>
      </c>
      <c r="Z414" s="30">
        <f t="shared" si="103"/>
        <v>4480000</v>
      </c>
      <c r="AA414" s="31">
        <f t="shared" si="77"/>
        <v>20</v>
      </c>
      <c r="AB414" s="32">
        <v>3.2500000000000001E-2</v>
      </c>
      <c r="AC414" s="32">
        <v>5.0500000000000003E-2</v>
      </c>
      <c r="AD414" s="33">
        <f t="shared" si="78"/>
        <v>1.5040402040493991E-2</v>
      </c>
      <c r="AE414" s="34">
        <f t="shared" si="79"/>
        <v>-4.1034117296962623E-2</v>
      </c>
      <c r="AF414" s="33">
        <f t="shared" si="80"/>
        <v>0.17211433549696203</v>
      </c>
      <c r="AG414" s="33">
        <f t="shared" si="81"/>
        <v>1.2298329469929791E-5</v>
      </c>
      <c r="AH414" s="35">
        <f t="shared" si="82"/>
        <v>0.17973578677216437</v>
      </c>
      <c r="AI414" s="36">
        <f t="shared" si="83"/>
        <v>0.70832119114266612</v>
      </c>
      <c r="AJ414" s="23"/>
      <c r="AK414" s="23"/>
      <c r="AL414" s="44"/>
      <c r="AM414" s="44"/>
      <c r="AN414" s="44"/>
      <c r="AO414" s="44"/>
      <c r="AP414" s="44"/>
      <c r="AQ414" s="44"/>
      <c r="AR414" s="44"/>
    </row>
    <row r="415" spans="1:44" ht="16.8">
      <c r="A415" s="64" t="s">
        <v>992</v>
      </c>
      <c r="B415" s="62">
        <v>163</v>
      </c>
      <c r="C415" s="1" t="s">
        <v>993</v>
      </c>
      <c r="D415" s="19" t="s">
        <v>994</v>
      </c>
      <c r="E415" s="20" t="s">
        <v>178</v>
      </c>
      <c r="F415" s="21">
        <v>1989</v>
      </c>
      <c r="G415" s="22">
        <v>2021</v>
      </c>
      <c r="H415" s="23">
        <v>318185128603</v>
      </c>
      <c r="I415" s="23">
        <v>623748372805</v>
      </c>
      <c r="J415" s="23">
        <v>133996849729</v>
      </c>
      <c r="K415" s="23">
        <f>(J415+202807844708)/2</f>
        <v>168402347218.5</v>
      </c>
      <c r="L415" s="23">
        <v>133084979329</v>
      </c>
      <c r="M415" s="23">
        <v>489751523076</v>
      </c>
      <c r="N415" s="23">
        <v>190572200122</v>
      </c>
      <c r="O415" s="25">
        <f t="shared" si="70"/>
        <v>185100149274</v>
      </c>
      <c r="P415" s="23">
        <v>-33068262587</v>
      </c>
      <c r="Q415" s="23">
        <f>648981761+7405207219</f>
        <v>8054188980</v>
      </c>
      <c r="R415" s="25">
        <f t="shared" si="71"/>
        <v>182518011142</v>
      </c>
      <c r="S415" s="26">
        <f t="shared" si="72"/>
        <v>0.21482516920471537</v>
      </c>
      <c r="T415" s="27">
        <f t="shared" si="73"/>
        <v>2.3908417779921884</v>
      </c>
      <c r="U415" s="26">
        <f t="shared" si="74"/>
        <v>27.159012875279277</v>
      </c>
      <c r="V415" s="26">
        <f t="shared" si="75"/>
        <v>1.1316481229013684</v>
      </c>
      <c r="W415" s="112" t="s">
        <v>995</v>
      </c>
      <c r="X415" s="29">
        <v>8000</v>
      </c>
      <c r="Y415" s="112">
        <v>2800980</v>
      </c>
      <c r="Z415" s="30">
        <f t="shared" si="103"/>
        <v>22407840000</v>
      </c>
      <c r="AA415" s="31">
        <f t="shared" si="77"/>
        <v>32</v>
      </c>
      <c r="AB415" s="32">
        <v>1.84E-2</v>
      </c>
      <c r="AC415" s="32">
        <v>2.58E-2</v>
      </c>
      <c r="AD415" s="33">
        <f t="shared" si="78"/>
        <v>0.29675452048332179</v>
      </c>
      <c r="AE415" s="34">
        <f t="shared" si="79"/>
        <v>-5.3015388943287875E-2</v>
      </c>
      <c r="AF415" s="33">
        <f t="shared" si="80"/>
        <v>0.29261480927191114</v>
      </c>
      <c r="AG415" s="33">
        <f t="shared" si="81"/>
        <v>0.16722661797884364</v>
      </c>
      <c r="AH415" s="35">
        <f t="shared" si="82"/>
        <v>1.4222140334449653</v>
      </c>
      <c r="AI415" s="36">
        <f t="shared" si="83"/>
        <v>2.7700627548889614</v>
      </c>
      <c r="AJ415" s="23"/>
      <c r="AK415" s="23"/>
      <c r="AL415" s="44"/>
      <c r="AM415" s="44"/>
      <c r="AN415" s="44"/>
      <c r="AO415" s="44"/>
      <c r="AP415" s="44"/>
      <c r="AQ415" s="44"/>
      <c r="AR415" s="44"/>
    </row>
    <row r="416" spans="1:44" ht="16.8">
      <c r="A416" s="64" t="s">
        <v>996</v>
      </c>
      <c r="B416" s="62"/>
      <c r="C416" s="1" t="s">
        <v>993</v>
      </c>
      <c r="D416" s="19" t="s">
        <v>994</v>
      </c>
      <c r="E416" s="20" t="s">
        <v>178</v>
      </c>
      <c r="F416" s="21">
        <v>1989</v>
      </c>
      <c r="G416" s="22">
        <v>2022</v>
      </c>
      <c r="H416" s="23">
        <v>337191082703</v>
      </c>
      <c r="I416" s="23">
        <v>615701478425</v>
      </c>
      <c r="J416" s="23">
        <v>138139300197</v>
      </c>
      <c r="K416" s="23">
        <f t="shared" ref="K416:K417" si="129">SUM(J415:J416)/2</f>
        <v>136068074963</v>
      </c>
      <c r="L416" s="23">
        <v>137329386197</v>
      </c>
      <c r="M416" s="23">
        <v>477562178228</v>
      </c>
      <c r="N416" s="23">
        <v>229235455445</v>
      </c>
      <c r="O416" s="25">
        <f t="shared" si="70"/>
        <v>199861696506</v>
      </c>
      <c r="P416" s="23">
        <v>-12021344848</v>
      </c>
      <c r="Q416" s="23">
        <f>662916289+7302939753</f>
        <v>7965856042</v>
      </c>
      <c r="R416" s="25">
        <f t="shared" si="71"/>
        <v>221269599403</v>
      </c>
      <c r="S416" s="26">
        <f t="shared" si="72"/>
        <v>0.22436083887660677</v>
      </c>
      <c r="T416" s="27">
        <f t="shared" si="73"/>
        <v>2.4553454438316424</v>
      </c>
      <c r="U416" s="26">
        <f t="shared" si="74"/>
        <v>27.146028070070699</v>
      </c>
      <c r="V416" s="26">
        <f t="shared" si="75"/>
        <v>1.6847115350704736</v>
      </c>
      <c r="W416" s="131">
        <v>45839</v>
      </c>
      <c r="X416" s="42">
        <v>1700</v>
      </c>
      <c r="Y416" s="112">
        <v>334400</v>
      </c>
      <c r="Z416" s="30">
        <f t="shared" si="103"/>
        <v>568480000</v>
      </c>
      <c r="AA416" s="31">
        <f t="shared" si="77"/>
        <v>33</v>
      </c>
      <c r="AB416" s="32">
        <v>3.15E-2</v>
      </c>
      <c r="AC416" s="32">
        <v>8.0199999999999994E-2</v>
      </c>
      <c r="AD416" s="33">
        <f t="shared" si="78"/>
        <v>0.32460811531142947</v>
      </c>
      <c r="AE416" s="34">
        <f t="shared" si="79"/>
        <v>-1.9524632097280805E-2</v>
      </c>
      <c r="AF416" s="33">
        <f t="shared" si="80"/>
        <v>0.35937805439256121</v>
      </c>
      <c r="AG416" s="33">
        <f t="shared" si="81"/>
        <v>4.1152662507287392E-3</v>
      </c>
      <c r="AH416" s="35">
        <f t="shared" si="82"/>
        <v>1.6594514024472984</v>
      </c>
      <c r="AI416" s="36">
        <f t="shared" si="83"/>
        <v>3.2100633951307094</v>
      </c>
      <c r="AJ416" s="23"/>
      <c r="AK416" s="23"/>
      <c r="AL416" s="44"/>
      <c r="AM416" s="44"/>
      <c r="AN416" s="44"/>
      <c r="AO416" s="44"/>
      <c r="AP416" s="44"/>
      <c r="AQ416" s="44"/>
      <c r="AR416" s="44"/>
    </row>
    <row r="417" spans="1:44" ht="16.8">
      <c r="A417" s="64" t="s">
        <v>997</v>
      </c>
      <c r="B417" s="62"/>
      <c r="C417" s="1" t="s">
        <v>993</v>
      </c>
      <c r="D417" s="19" t="s">
        <v>994</v>
      </c>
      <c r="E417" s="20" t="s">
        <v>178</v>
      </c>
      <c r="F417" s="21">
        <v>1989</v>
      </c>
      <c r="G417" s="22">
        <v>2023</v>
      </c>
      <c r="H417" s="23">
        <v>323995964622</v>
      </c>
      <c r="I417" s="23">
        <v>561761325195</v>
      </c>
      <c r="J417" s="23">
        <v>98160034494</v>
      </c>
      <c r="K417" s="23">
        <f t="shared" si="129"/>
        <v>118149667345.5</v>
      </c>
      <c r="L417" s="23">
        <v>77350120494</v>
      </c>
      <c r="M417" s="23">
        <v>463601290701</v>
      </c>
      <c r="N417" s="23">
        <v>208043921655</v>
      </c>
      <c r="O417" s="25">
        <f t="shared" si="70"/>
        <v>246645844128</v>
      </c>
      <c r="P417" s="23">
        <v>-13960887527</v>
      </c>
      <c r="Q417" s="23">
        <f>639214070+11501370587</f>
        <v>12140584657</v>
      </c>
      <c r="R417" s="25">
        <f t="shared" si="71"/>
        <v>195903336998</v>
      </c>
      <c r="S417" s="26">
        <f t="shared" si="72"/>
        <v>0.17473619149542993</v>
      </c>
      <c r="T417" s="27">
        <f t="shared" si="73"/>
        <v>4.1886937286300956</v>
      </c>
      <c r="U417" s="26">
        <f t="shared" si="74"/>
        <v>27.054342908369374</v>
      </c>
      <c r="V417" s="26">
        <f t="shared" si="75"/>
        <v>1.7608506763427958</v>
      </c>
      <c r="W417" s="131">
        <v>45690</v>
      </c>
      <c r="X417" s="42">
        <v>2200</v>
      </c>
      <c r="Y417" s="112">
        <v>217373</v>
      </c>
      <c r="Z417" s="30">
        <f t="shared" si="103"/>
        <v>478220600</v>
      </c>
      <c r="AA417" s="31">
        <f t="shared" si="77"/>
        <v>34</v>
      </c>
      <c r="AB417" s="32">
        <v>3.2500000000000001E-2</v>
      </c>
      <c r="AC417" s="32">
        <v>5.0500000000000003E-2</v>
      </c>
      <c r="AD417" s="33">
        <f t="shared" si="78"/>
        <v>0.43905807157939125</v>
      </c>
      <c r="AE417" s="34">
        <f t="shared" si="79"/>
        <v>-2.4851991229823202E-2</v>
      </c>
      <c r="AF417" s="33">
        <f t="shared" si="80"/>
        <v>0.34873055194747971</v>
      </c>
      <c r="AG417" s="33">
        <f t="shared" si="81"/>
        <v>4.8718462912646088E-3</v>
      </c>
      <c r="AH417" s="35">
        <f t="shared" si="82"/>
        <v>2.1194361098937535</v>
      </c>
      <c r="AI417" s="36">
        <f t="shared" si="83"/>
        <v>3.7652469372687123</v>
      </c>
      <c r="AJ417" s="23"/>
      <c r="AK417" s="23"/>
      <c r="AL417" s="44"/>
      <c r="AM417" s="44"/>
      <c r="AN417" s="44"/>
      <c r="AO417" s="44"/>
      <c r="AP417" s="44"/>
      <c r="AQ417" s="44"/>
      <c r="AR417" s="44"/>
    </row>
    <row r="418" spans="1:44" ht="16.8">
      <c r="A418" s="64" t="s">
        <v>998</v>
      </c>
      <c r="B418" s="62">
        <v>164</v>
      </c>
      <c r="C418" s="1" t="s">
        <v>999</v>
      </c>
      <c r="D418" s="19" t="s">
        <v>1000</v>
      </c>
      <c r="E418" s="20" t="s">
        <v>39</v>
      </c>
      <c r="F418" s="21">
        <v>1982</v>
      </c>
      <c r="G418" s="22">
        <v>2021</v>
      </c>
      <c r="H418" s="23">
        <v>460747815668</v>
      </c>
      <c r="I418" s="23">
        <v>573486966269</v>
      </c>
      <c r="J418" s="23">
        <v>187347392000</v>
      </c>
      <c r="K418" s="23">
        <f>(J418+162984978877)/2</f>
        <v>175166185438.5</v>
      </c>
      <c r="L418" s="23">
        <v>179623312000</v>
      </c>
      <c r="M418" s="23">
        <v>386139574269</v>
      </c>
      <c r="N418" s="23">
        <v>124451760202</v>
      </c>
      <c r="O418" s="25">
        <f t="shared" si="70"/>
        <v>281124503668</v>
      </c>
      <c r="P418" s="23">
        <v>50326747681</v>
      </c>
      <c r="Q418" s="23">
        <f>16711745317+2837613595</f>
        <v>19549358912</v>
      </c>
      <c r="R418" s="25">
        <f t="shared" si="71"/>
        <v>104902401290</v>
      </c>
      <c r="S418" s="26">
        <f t="shared" si="72"/>
        <v>0.32668116804615011</v>
      </c>
      <c r="T418" s="27">
        <f t="shared" si="73"/>
        <v>2.5650780543897329</v>
      </c>
      <c r="U418" s="26">
        <f t="shared" si="74"/>
        <v>27.075001046612421</v>
      </c>
      <c r="V418" s="26">
        <f t="shared" si="75"/>
        <v>0.71047822323957843</v>
      </c>
      <c r="W418" s="60" t="s">
        <v>1001</v>
      </c>
      <c r="X418" s="29">
        <v>222730</v>
      </c>
      <c r="Y418" s="60">
        <v>119856</v>
      </c>
      <c r="Z418" s="30">
        <f t="shared" si="103"/>
        <v>26695526880</v>
      </c>
      <c r="AA418" s="31">
        <f t="shared" si="77"/>
        <v>39</v>
      </c>
      <c r="AB418" s="32">
        <v>1.84E-2</v>
      </c>
      <c r="AC418" s="32">
        <v>2.58E-2</v>
      </c>
      <c r="AD418" s="33">
        <f t="shared" si="78"/>
        <v>0.49020207991289488</v>
      </c>
      <c r="AE418" s="34">
        <f t="shared" si="79"/>
        <v>8.7755695667185774E-2</v>
      </c>
      <c r="AF418" s="33">
        <f t="shared" si="80"/>
        <v>0.18292028844609251</v>
      </c>
      <c r="AG418" s="33">
        <f t="shared" si="81"/>
        <v>0.14249211902560138</v>
      </c>
      <c r="AH418" s="35">
        <f t="shared" si="82"/>
        <v>0.66428338752641936</v>
      </c>
      <c r="AI418" s="36">
        <f t="shared" si="83"/>
        <v>2.0645160806434193</v>
      </c>
      <c r="AJ418" s="23"/>
      <c r="AK418" s="23"/>
      <c r="AL418" s="44"/>
      <c r="AM418" s="44"/>
      <c r="AN418" s="44"/>
      <c r="AO418" s="44"/>
      <c r="AP418" s="44"/>
      <c r="AQ418" s="44"/>
      <c r="AR418" s="44"/>
    </row>
    <row r="419" spans="1:44" ht="16.8">
      <c r="A419" s="64" t="s">
        <v>1002</v>
      </c>
      <c r="B419" s="62"/>
      <c r="C419" s="1" t="s">
        <v>999</v>
      </c>
      <c r="D419" s="19" t="s">
        <v>1000</v>
      </c>
      <c r="E419" s="20" t="s">
        <v>39</v>
      </c>
      <c r="F419" s="21">
        <v>1982</v>
      </c>
      <c r="G419" s="22">
        <v>2022</v>
      </c>
      <c r="H419" s="23">
        <v>451281861812</v>
      </c>
      <c r="I419" s="23">
        <v>566832279414</v>
      </c>
      <c r="J419" s="23">
        <v>162653439397</v>
      </c>
      <c r="K419" s="23">
        <f t="shared" ref="K419:K420" si="130">SUM(J418:J419)/2</f>
        <v>175000415698.5</v>
      </c>
      <c r="L419" s="23">
        <v>152011479397</v>
      </c>
      <c r="M419" s="23">
        <v>404178840017</v>
      </c>
      <c r="N419" s="23">
        <v>173462585618</v>
      </c>
      <c r="O419" s="25">
        <f t="shared" si="70"/>
        <v>299270382415</v>
      </c>
      <c r="P419" s="23">
        <v>18988700787</v>
      </c>
      <c r="Q419" s="23">
        <f>26610971213+7019132060</f>
        <v>33630103273</v>
      </c>
      <c r="R419" s="25">
        <f t="shared" si="71"/>
        <v>139832482345</v>
      </c>
      <c r="S419" s="26">
        <f t="shared" si="72"/>
        <v>0.28695161744344139</v>
      </c>
      <c r="T419" s="27">
        <f t="shared" si="73"/>
        <v>2.9687354113133262</v>
      </c>
      <c r="U419" s="26">
        <f t="shared" si="74"/>
        <v>27.063329293413034</v>
      </c>
      <c r="V419" s="26">
        <f t="shared" si="75"/>
        <v>0.99121242041419233</v>
      </c>
      <c r="W419" s="60" t="s">
        <v>1003</v>
      </c>
      <c r="X419" s="29">
        <v>50850</v>
      </c>
      <c r="Y419" s="60">
        <v>350886</v>
      </c>
      <c r="Z419" s="30">
        <f t="shared" si="103"/>
        <v>17842553100</v>
      </c>
      <c r="AA419" s="31">
        <f t="shared" si="77"/>
        <v>40</v>
      </c>
      <c r="AB419" s="32">
        <v>3.15E-2</v>
      </c>
      <c r="AC419" s="32">
        <v>8.0199999999999994E-2</v>
      </c>
      <c r="AD419" s="33">
        <f t="shared" si="78"/>
        <v>0.52796990094563834</v>
      </c>
      <c r="AE419" s="34">
        <f t="shared" si="79"/>
        <v>3.349968143421686E-2</v>
      </c>
      <c r="AF419" s="33">
        <f t="shared" si="80"/>
        <v>0.24669110674071171</v>
      </c>
      <c r="AG419" s="33">
        <f t="shared" si="81"/>
        <v>0.1096967464453696</v>
      </c>
      <c r="AH419" s="35">
        <f t="shared" si="82"/>
        <v>1.0664550731977904</v>
      </c>
      <c r="AI419" s="36">
        <f t="shared" si="83"/>
        <v>2.6268172084520303</v>
      </c>
      <c r="AJ419" s="23"/>
      <c r="AK419" s="23"/>
      <c r="AL419" s="44"/>
      <c r="AM419" s="44"/>
      <c r="AN419" s="44"/>
      <c r="AO419" s="44"/>
      <c r="AP419" s="44"/>
      <c r="AQ419" s="44"/>
      <c r="AR419" s="44"/>
    </row>
    <row r="420" spans="1:44" ht="16.8">
      <c r="A420" s="64" t="s">
        <v>1004</v>
      </c>
      <c r="B420" s="62"/>
      <c r="C420" s="1" t="s">
        <v>999</v>
      </c>
      <c r="D420" s="19" t="s">
        <v>1000</v>
      </c>
      <c r="E420" s="20" t="s">
        <v>39</v>
      </c>
      <c r="F420" s="21">
        <v>1982</v>
      </c>
      <c r="G420" s="22">
        <v>2023</v>
      </c>
      <c r="H420" s="23">
        <v>540889480771</v>
      </c>
      <c r="I420" s="23">
        <v>665999996095</v>
      </c>
      <c r="J420" s="23">
        <v>237600801695</v>
      </c>
      <c r="K420" s="23">
        <f t="shared" si="130"/>
        <v>200127120546</v>
      </c>
      <c r="L420" s="23">
        <v>225120961695</v>
      </c>
      <c r="M420" s="23">
        <v>428399194400</v>
      </c>
      <c r="N420" s="23">
        <v>134602077623</v>
      </c>
      <c r="O420" s="25">
        <f t="shared" si="70"/>
        <v>315768519076</v>
      </c>
      <c r="P420" s="23">
        <v>24220354383</v>
      </c>
      <c r="Q420" s="23">
        <f>2051298011+8120175350</f>
        <v>10171473361</v>
      </c>
      <c r="R420" s="25">
        <f t="shared" si="71"/>
        <v>124430604262</v>
      </c>
      <c r="S420" s="26">
        <f t="shared" si="72"/>
        <v>0.35675796259480458</v>
      </c>
      <c r="T420" s="27">
        <f t="shared" si="73"/>
        <v>2.4026615589169871</v>
      </c>
      <c r="U420" s="26">
        <f t="shared" si="74"/>
        <v>27.224555501623438</v>
      </c>
      <c r="V420" s="26">
        <f t="shared" si="75"/>
        <v>0.67258289259231707</v>
      </c>
      <c r="W420" s="60" t="s">
        <v>1005</v>
      </c>
      <c r="X420" s="29">
        <v>44450</v>
      </c>
      <c r="Y420" s="60">
        <v>198893</v>
      </c>
      <c r="Z420" s="30">
        <f t="shared" si="103"/>
        <v>8840793850</v>
      </c>
      <c r="AA420" s="31">
        <f t="shared" si="77"/>
        <v>41</v>
      </c>
      <c r="AB420" s="32">
        <v>3.2500000000000001E-2</v>
      </c>
      <c r="AC420" s="32">
        <v>5.0500000000000003E-2</v>
      </c>
      <c r="AD420" s="33">
        <f t="shared" si="78"/>
        <v>0.47412690829949788</v>
      </c>
      <c r="AE420" s="34">
        <f t="shared" si="79"/>
        <v>3.6366898686205316E-2</v>
      </c>
      <c r="AF420" s="33">
        <f t="shared" si="80"/>
        <v>0.18683274022760038</v>
      </c>
      <c r="AG420" s="33">
        <f t="shared" si="81"/>
        <v>3.720860277798483E-2</v>
      </c>
      <c r="AH420" s="35">
        <f t="shared" si="82"/>
        <v>0.56650514923676087</v>
      </c>
      <c r="AI420" s="36">
        <f t="shared" si="83"/>
        <v>1.8252443017747182</v>
      </c>
      <c r="AJ420" s="23"/>
      <c r="AK420" s="23"/>
      <c r="AL420" s="44"/>
      <c r="AM420" s="44"/>
      <c r="AN420" s="44"/>
      <c r="AO420" s="44"/>
      <c r="AP420" s="44"/>
      <c r="AQ420" s="44"/>
      <c r="AR420" s="44"/>
    </row>
    <row r="421" spans="1:44" ht="16.8">
      <c r="A421" s="64" t="s">
        <v>1006</v>
      </c>
      <c r="B421" s="62">
        <v>165</v>
      </c>
      <c r="C421" s="1" t="s">
        <v>1007</v>
      </c>
      <c r="D421" s="19" t="s">
        <v>1008</v>
      </c>
      <c r="E421" s="20" t="s">
        <v>39</v>
      </c>
      <c r="F421" s="21">
        <v>1961</v>
      </c>
      <c r="G421" s="22">
        <v>2021</v>
      </c>
      <c r="H421" s="23">
        <v>2667446256351</v>
      </c>
      <c r="I421" s="23">
        <v>3148814833956</v>
      </c>
      <c r="J421" s="23">
        <v>2558507052034</v>
      </c>
      <c r="K421" s="23">
        <f>(J421+2241348401452)/2</f>
        <v>2399927726743</v>
      </c>
      <c r="L421" s="23">
        <v>1978294876868</v>
      </c>
      <c r="M421" s="23">
        <v>590307781922</v>
      </c>
      <c r="N421" s="23">
        <v>2860008085170</v>
      </c>
      <c r="O421" s="25">
        <f t="shared" si="70"/>
        <v>689151379483</v>
      </c>
      <c r="P421" s="23">
        <v>48086208629</v>
      </c>
      <c r="Q421" s="23">
        <f>94114023045</f>
        <v>94114023045</v>
      </c>
      <c r="R421" s="25">
        <f t="shared" si="71"/>
        <v>2765894062125</v>
      </c>
      <c r="S421" s="26">
        <f t="shared" si="72"/>
        <v>0.81253016990511018</v>
      </c>
      <c r="T421" s="27">
        <f t="shared" si="73"/>
        <v>1.3483562473629067</v>
      </c>
      <c r="U421" s="26">
        <f t="shared" si="74"/>
        <v>28.77804725478029</v>
      </c>
      <c r="V421" s="26">
        <f t="shared" si="75"/>
        <v>1.1917059223493309</v>
      </c>
      <c r="W421" s="60" t="s">
        <v>1009</v>
      </c>
      <c r="X421" s="29">
        <v>52100</v>
      </c>
      <c r="Y421" s="60">
        <v>182630</v>
      </c>
      <c r="Z421" s="30">
        <f t="shared" si="103"/>
        <v>9515023000</v>
      </c>
      <c r="AA421" s="31">
        <f t="shared" si="77"/>
        <v>60</v>
      </c>
      <c r="AB421" s="32">
        <v>1.84E-2</v>
      </c>
      <c r="AC421" s="32">
        <v>2.58E-2</v>
      </c>
      <c r="AD421" s="33">
        <f t="shared" si="78"/>
        <v>0.21886056050402544</v>
      </c>
      <c r="AE421" s="34">
        <f t="shared" si="79"/>
        <v>1.5271208745096992E-2</v>
      </c>
      <c r="AF421" s="33">
        <f t="shared" si="80"/>
        <v>0.87839209606684965</v>
      </c>
      <c r="AG421" s="33">
        <f t="shared" si="81"/>
        <v>3.7189747014516163E-3</v>
      </c>
      <c r="AH421" s="35">
        <f t="shared" si="82"/>
        <v>1.1178425648255721</v>
      </c>
      <c r="AI421" s="36">
        <f t="shared" si="83"/>
        <v>4.3027802315150128</v>
      </c>
      <c r="AJ421" s="23"/>
      <c r="AK421" s="23"/>
      <c r="AL421" s="44"/>
      <c r="AM421" s="44"/>
      <c r="AN421" s="44"/>
      <c r="AO421" s="44"/>
      <c r="AP421" s="44"/>
      <c r="AQ421" s="44"/>
      <c r="AR421" s="44"/>
    </row>
    <row r="422" spans="1:44" ht="16.8">
      <c r="A422" s="64" t="s">
        <v>1010</v>
      </c>
      <c r="B422" s="62"/>
      <c r="C422" s="1" t="s">
        <v>1007</v>
      </c>
      <c r="D422" s="19" t="s">
        <v>1008</v>
      </c>
      <c r="E422" s="20" t="s">
        <v>39</v>
      </c>
      <c r="F422" s="21">
        <v>1961</v>
      </c>
      <c r="G422" s="22">
        <v>2022</v>
      </c>
      <c r="H422" s="23">
        <v>3074182414116</v>
      </c>
      <c r="I422" s="23">
        <v>3546818204646</v>
      </c>
      <c r="J422" s="23">
        <v>2928169069674</v>
      </c>
      <c r="K422" s="23">
        <f t="shared" ref="K422:K423" si="131">SUM(J421:J422)/2</f>
        <v>2743338060854</v>
      </c>
      <c r="L422" s="23">
        <v>2104801748063</v>
      </c>
      <c r="M422" s="23">
        <v>618649134972</v>
      </c>
      <c r="N422" s="23">
        <v>2212196755838</v>
      </c>
      <c r="O422" s="25">
        <f t="shared" si="70"/>
        <v>969380666053</v>
      </c>
      <c r="P422" s="23">
        <v>44002958336</v>
      </c>
      <c r="Q422" s="23">
        <f>67385063679</f>
        <v>67385063679</v>
      </c>
      <c r="R422" s="25">
        <f t="shared" si="71"/>
        <v>2144811692159</v>
      </c>
      <c r="S422" s="26">
        <f t="shared" si="72"/>
        <v>0.82557630550062377</v>
      </c>
      <c r="T422" s="27">
        <f t="shared" si="73"/>
        <v>1.4605567564475364</v>
      </c>
      <c r="U422" s="26">
        <f t="shared" si="74"/>
        <v>28.897072037135043</v>
      </c>
      <c r="V422" s="26">
        <f t="shared" si="75"/>
        <v>0.80638867932643488</v>
      </c>
      <c r="W422" s="60" t="s">
        <v>1011</v>
      </c>
      <c r="X422" s="29">
        <v>16760</v>
      </c>
      <c r="Y422" s="60">
        <v>24500</v>
      </c>
      <c r="Z422" s="30">
        <f t="shared" si="103"/>
        <v>410620000</v>
      </c>
      <c r="AA422" s="31">
        <f t="shared" si="77"/>
        <v>61</v>
      </c>
      <c r="AB422" s="32">
        <v>3.15E-2</v>
      </c>
      <c r="AC422" s="32">
        <v>8.0199999999999994E-2</v>
      </c>
      <c r="AD422" s="33">
        <f t="shared" si="78"/>
        <v>0.27330993868904868</v>
      </c>
      <c r="AE422" s="34">
        <f t="shared" si="79"/>
        <v>1.2406319071657025E-2</v>
      </c>
      <c r="AF422" s="33">
        <f t="shared" si="80"/>
        <v>0.60471430121495862</v>
      </c>
      <c r="AG422" s="33">
        <f t="shared" si="81"/>
        <v>1.402309737687774E-4</v>
      </c>
      <c r="AH422" s="35">
        <f t="shared" si="82"/>
        <v>0.75548805523182749</v>
      </c>
      <c r="AI422" s="36">
        <f t="shared" si="83"/>
        <v>3.0964701609526299</v>
      </c>
      <c r="AJ422" s="23"/>
      <c r="AK422" s="23"/>
      <c r="AL422" s="44"/>
      <c r="AM422" s="44"/>
      <c r="AN422" s="44"/>
      <c r="AO422" s="44"/>
      <c r="AP422" s="44"/>
      <c r="AQ422" s="44"/>
      <c r="AR422" s="44"/>
    </row>
    <row r="423" spans="1:44" ht="16.8">
      <c r="A423" s="64" t="s">
        <v>1012</v>
      </c>
      <c r="B423" s="62"/>
      <c r="C423" s="1" t="s">
        <v>1007</v>
      </c>
      <c r="D423" s="19" t="s">
        <v>1008</v>
      </c>
      <c r="E423" s="20" t="s">
        <v>39</v>
      </c>
      <c r="F423" s="21">
        <v>1961</v>
      </c>
      <c r="G423" s="22">
        <v>2023</v>
      </c>
      <c r="H423" s="23">
        <v>5048539209002</v>
      </c>
      <c r="I423" s="23">
        <v>5516995530482</v>
      </c>
      <c r="J423" s="23">
        <v>4915122708484</v>
      </c>
      <c r="K423" s="23">
        <f t="shared" si="131"/>
        <v>3921645889079</v>
      </c>
      <c r="L423" s="23">
        <v>4142511968984</v>
      </c>
      <c r="M423" s="23">
        <v>601872821998</v>
      </c>
      <c r="N423" s="23">
        <v>3081915781972</v>
      </c>
      <c r="O423" s="25">
        <f t="shared" si="70"/>
        <v>906027240018</v>
      </c>
      <c r="P423" s="23">
        <v>57300869233</v>
      </c>
      <c r="Q423" s="23">
        <f>2471974996+121590809326</f>
        <v>124062784322</v>
      </c>
      <c r="R423" s="25">
        <f t="shared" si="71"/>
        <v>2957852997650</v>
      </c>
      <c r="S423" s="26">
        <f t="shared" si="72"/>
        <v>0.89090568975947371</v>
      </c>
      <c r="T423" s="27">
        <f t="shared" si="73"/>
        <v>1.2187144531631164</v>
      </c>
      <c r="U423" s="26">
        <f t="shared" si="74"/>
        <v>29.338854540082934</v>
      </c>
      <c r="V423" s="26">
        <f t="shared" si="75"/>
        <v>0.78587304135605907</v>
      </c>
      <c r="W423" s="60" t="s">
        <v>689</v>
      </c>
      <c r="X423" s="29">
        <v>40320</v>
      </c>
      <c r="Y423" s="60">
        <v>38382</v>
      </c>
      <c r="Z423" s="30">
        <f t="shared" si="103"/>
        <v>1547562240</v>
      </c>
      <c r="AA423" s="31">
        <f t="shared" si="77"/>
        <v>62</v>
      </c>
      <c r="AB423" s="32">
        <v>3.2500000000000001E-2</v>
      </c>
      <c r="AC423" s="32">
        <v>5.0500000000000003E-2</v>
      </c>
      <c r="AD423" s="33">
        <f t="shared" si="78"/>
        <v>0.16422475512479592</v>
      </c>
      <c r="AE423" s="34">
        <f t="shared" si="79"/>
        <v>1.0386245360614572E-2</v>
      </c>
      <c r="AF423" s="33">
        <f t="shared" si="80"/>
        <v>0.53613474604203337</v>
      </c>
      <c r="AG423" s="33">
        <f t="shared" si="81"/>
        <v>3.1485729488070578E-4</v>
      </c>
      <c r="AH423" s="35">
        <f t="shared" si="82"/>
        <v>0.62702723100937052</v>
      </c>
      <c r="AI423" s="36">
        <f t="shared" si="83"/>
        <v>2.6080712569796249</v>
      </c>
      <c r="AJ423" s="23"/>
      <c r="AK423" s="23"/>
      <c r="AL423" s="44"/>
      <c r="AM423" s="44"/>
      <c r="AN423" s="44"/>
      <c r="AO423" s="44"/>
      <c r="AP423" s="44"/>
      <c r="AQ423" s="44"/>
      <c r="AR423" s="44"/>
    </row>
    <row r="424" spans="1:44" ht="16.8">
      <c r="A424" s="64" t="s">
        <v>1013</v>
      </c>
      <c r="B424" s="62">
        <v>166</v>
      </c>
      <c r="C424" s="1" t="s">
        <v>1014</v>
      </c>
      <c r="D424" s="19" t="s">
        <v>1015</v>
      </c>
      <c r="E424" s="20" t="s">
        <v>178</v>
      </c>
      <c r="F424" s="21">
        <v>1978</v>
      </c>
      <c r="G424" s="22">
        <v>2021</v>
      </c>
      <c r="H424" s="23">
        <v>191978418187</v>
      </c>
      <c r="I424" s="23">
        <v>208338619132</v>
      </c>
      <c r="J424" s="23">
        <v>179071381412</v>
      </c>
      <c r="K424" s="23">
        <f>(G424+168312066217)/2</f>
        <v>84156034119</v>
      </c>
      <c r="L424" s="23">
        <v>176991367284</v>
      </c>
      <c r="M424" s="23">
        <v>29267237720</v>
      </c>
      <c r="N424" s="23">
        <v>82769657306</v>
      </c>
      <c r="O424" s="25">
        <f t="shared" si="70"/>
        <v>14987050903</v>
      </c>
      <c r="P424" s="23">
        <v>-6626093117</v>
      </c>
      <c r="Q424" s="23">
        <v>7075725881</v>
      </c>
      <c r="R424" s="25">
        <f t="shared" si="71"/>
        <v>75693931425</v>
      </c>
      <c r="S424" s="26">
        <f t="shared" si="72"/>
        <v>0.85952082315829914</v>
      </c>
      <c r="T424" s="27">
        <f t="shared" si="73"/>
        <v>1.08467673385986</v>
      </c>
      <c r="U424" s="26">
        <f t="shared" si="74"/>
        <v>26.062430569526445</v>
      </c>
      <c r="V424" s="26">
        <f t="shared" si="75"/>
        <v>0.98352611517981459</v>
      </c>
      <c r="W424" s="61">
        <v>45906</v>
      </c>
      <c r="X424" s="42">
        <v>6900</v>
      </c>
      <c r="Y424" s="60">
        <v>100</v>
      </c>
      <c r="Z424" s="30">
        <f t="shared" si="103"/>
        <v>690000</v>
      </c>
      <c r="AA424" s="31">
        <f t="shared" si="77"/>
        <v>43</v>
      </c>
      <c r="AB424" s="32">
        <v>1.84E-2</v>
      </c>
      <c r="AC424" s="32">
        <v>2.58E-2</v>
      </c>
      <c r="AD424" s="33">
        <f t="shared" si="78"/>
        <v>7.1936019185691369E-2</v>
      </c>
      <c r="AE424" s="34">
        <f t="shared" si="79"/>
        <v>-3.1804440024639953E-2</v>
      </c>
      <c r="AF424" s="33">
        <f t="shared" si="80"/>
        <v>0.36332165270348432</v>
      </c>
      <c r="AG424" s="33">
        <f t="shared" si="81"/>
        <v>3.8532120239385243E-6</v>
      </c>
      <c r="AH424" s="35">
        <f t="shared" si="82"/>
        <v>0.4622159981865947</v>
      </c>
      <c r="AI424" s="36">
        <f t="shared" si="83"/>
        <v>1.702976771023641</v>
      </c>
      <c r="AJ424" s="23"/>
      <c r="AK424" s="23"/>
      <c r="AL424" s="44"/>
      <c r="AM424" s="44"/>
      <c r="AN424" s="44"/>
      <c r="AO424" s="44"/>
      <c r="AP424" s="44"/>
      <c r="AQ424" s="44"/>
      <c r="AR424" s="44"/>
    </row>
    <row r="425" spans="1:44" ht="16.8">
      <c r="A425" s="64" t="s">
        <v>1016</v>
      </c>
      <c r="B425" s="62"/>
      <c r="C425" s="1" t="s">
        <v>1014</v>
      </c>
      <c r="D425" s="19" t="s">
        <v>1015</v>
      </c>
      <c r="E425" s="20" t="s">
        <v>178</v>
      </c>
      <c r="F425" s="21">
        <v>1978</v>
      </c>
      <c r="G425" s="22">
        <v>2022</v>
      </c>
      <c r="H425" s="23">
        <v>172723177218</v>
      </c>
      <c r="I425" s="23">
        <v>183541617393</v>
      </c>
      <c r="J425" s="23">
        <v>167158829829</v>
      </c>
      <c r="K425" s="23">
        <f t="shared" ref="K425:K426" si="132">SUM(J424:J425)/2</f>
        <v>173115105620.5</v>
      </c>
      <c r="L425" s="23">
        <v>167060479810</v>
      </c>
      <c r="M425" s="23">
        <v>16382787564</v>
      </c>
      <c r="N425" s="23">
        <v>92681792527</v>
      </c>
      <c r="O425" s="25">
        <f t="shared" si="70"/>
        <v>5662697408</v>
      </c>
      <c r="P425" s="23">
        <v>-12884450156</v>
      </c>
      <c r="Q425" s="23">
        <v>5953014222</v>
      </c>
      <c r="R425" s="25">
        <f t="shared" si="71"/>
        <v>86728778305</v>
      </c>
      <c r="S425" s="26">
        <f t="shared" si="72"/>
        <v>0.91074074753890222</v>
      </c>
      <c r="T425" s="27">
        <f t="shared" si="73"/>
        <v>1.0338960920885674</v>
      </c>
      <c r="U425" s="26">
        <f t="shared" si="74"/>
        <v>25.935707276508325</v>
      </c>
      <c r="V425" s="26">
        <f t="shared" si="75"/>
        <v>0.5353766916803635</v>
      </c>
      <c r="W425" s="61">
        <v>45781</v>
      </c>
      <c r="X425" s="42">
        <v>4500</v>
      </c>
      <c r="Y425" s="60">
        <v>200</v>
      </c>
      <c r="Z425" s="30">
        <f t="shared" si="103"/>
        <v>900000</v>
      </c>
      <c r="AA425" s="31">
        <f t="shared" si="77"/>
        <v>44</v>
      </c>
      <c r="AB425" s="32">
        <v>3.15E-2</v>
      </c>
      <c r="AC425" s="32">
        <v>8.0199999999999994E-2</v>
      </c>
      <c r="AD425" s="33">
        <f t="shared" si="78"/>
        <v>3.0852389166185733E-2</v>
      </c>
      <c r="AE425" s="34">
        <f t="shared" si="79"/>
        <v>-7.0199066233636628E-2</v>
      </c>
      <c r="AF425" s="33">
        <f t="shared" si="80"/>
        <v>0.47252922545242704</v>
      </c>
      <c r="AG425" s="33">
        <f t="shared" si="81"/>
        <v>5.3841008633566128E-6</v>
      </c>
      <c r="AH425" s="35">
        <f t="shared" si="82"/>
        <v>0.55445346573562126</v>
      </c>
      <c r="AI425" s="36">
        <f t="shared" si="83"/>
        <v>2.0525473144614801</v>
      </c>
      <c r="AJ425" s="23"/>
      <c r="AK425" s="23"/>
      <c r="AL425" s="44"/>
      <c r="AM425" s="44"/>
      <c r="AN425" s="44"/>
      <c r="AO425" s="44"/>
      <c r="AP425" s="44"/>
      <c r="AQ425" s="44"/>
      <c r="AR425" s="44"/>
    </row>
    <row r="426" spans="1:44" ht="16.8">
      <c r="A426" s="64" t="s">
        <v>1017</v>
      </c>
      <c r="B426" s="62"/>
      <c r="C426" s="1" t="s">
        <v>1014</v>
      </c>
      <c r="D426" s="19" t="s">
        <v>1015</v>
      </c>
      <c r="E426" s="20" t="s">
        <v>178</v>
      </c>
      <c r="F426" s="21">
        <v>1978</v>
      </c>
      <c r="G426" s="22">
        <v>2023</v>
      </c>
      <c r="H426" s="23">
        <v>161197631520</v>
      </c>
      <c r="I426" s="23">
        <v>170446134343</v>
      </c>
      <c r="J426" s="23">
        <v>162917015367</v>
      </c>
      <c r="K426" s="23">
        <f t="shared" si="132"/>
        <v>165037922598</v>
      </c>
      <c r="L426" s="23">
        <v>162917015367</v>
      </c>
      <c r="M426" s="23">
        <v>7529118976</v>
      </c>
      <c r="N426" s="23">
        <v>37828198332</v>
      </c>
      <c r="O426" s="25">
        <f t="shared" si="70"/>
        <v>-1719383847</v>
      </c>
      <c r="P426" s="23">
        <v>-8853668588</v>
      </c>
      <c r="Q426" s="23">
        <v>5490601743</v>
      </c>
      <c r="R426" s="25">
        <f t="shared" si="71"/>
        <v>32337596589</v>
      </c>
      <c r="S426" s="26">
        <f t="shared" si="72"/>
        <v>0.95582698894861029</v>
      </c>
      <c r="T426" s="27">
        <f t="shared" si="73"/>
        <v>0.9894462598450704</v>
      </c>
      <c r="U426" s="26">
        <f t="shared" si="74"/>
        <v>25.861685156147306</v>
      </c>
      <c r="V426" s="26">
        <f t="shared" si="75"/>
        <v>0.22920912803866339</v>
      </c>
      <c r="W426" s="61">
        <v>45753</v>
      </c>
      <c r="X426" s="42">
        <v>6400</v>
      </c>
      <c r="Y426" s="60">
        <v>0</v>
      </c>
      <c r="Z426" s="30">
        <f t="shared" si="103"/>
        <v>0</v>
      </c>
      <c r="AA426" s="31">
        <f t="shared" si="77"/>
        <v>45</v>
      </c>
      <c r="AB426" s="32">
        <v>3.2500000000000001E-2</v>
      </c>
      <c r="AC426" s="32">
        <v>5.0500000000000003E-2</v>
      </c>
      <c r="AD426" s="33">
        <f t="shared" si="78"/>
        <v>-1.0087549674432454E-2</v>
      </c>
      <c r="AE426" s="34">
        <f t="shared" si="79"/>
        <v>-5.1944085573587595E-2</v>
      </c>
      <c r="AF426" s="33">
        <f t="shared" si="80"/>
        <v>0.18972326191877675</v>
      </c>
      <c r="AG426" s="33">
        <f t="shared" si="81"/>
        <v>0</v>
      </c>
      <c r="AH426" s="35">
        <f t="shared" si="82"/>
        <v>0.23219304777211361</v>
      </c>
      <c r="AI426" s="36">
        <f t="shared" si="83"/>
        <v>0.77345303269173515</v>
      </c>
      <c r="AJ426" s="23"/>
      <c r="AK426" s="23"/>
      <c r="AL426" s="44"/>
      <c r="AM426" s="44"/>
      <c r="AN426" s="44"/>
      <c r="AO426" s="44"/>
      <c r="AP426" s="44"/>
      <c r="AQ426" s="44"/>
      <c r="AR426" s="44"/>
    </row>
    <row r="427" spans="1:44" ht="16.8">
      <c r="A427" s="70" t="s">
        <v>1018</v>
      </c>
      <c r="B427" s="71">
        <v>167</v>
      </c>
      <c r="C427" s="1" t="s">
        <v>1019</v>
      </c>
      <c r="D427" s="19" t="s">
        <v>1020</v>
      </c>
      <c r="E427" s="20" t="s">
        <v>178</v>
      </c>
      <c r="F427" s="21">
        <v>1992</v>
      </c>
      <c r="G427" s="40">
        <v>2021</v>
      </c>
      <c r="H427" s="23">
        <v>373431243723</v>
      </c>
      <c r="I427" s="23">
        <v>413248701424</v>
      </c>
      <c r="J427" s="23">
        <v>373618820527</v>
      </c>
      <c r="K427" s="23">
        <f>(373618820527+345398103675)/2</f>
        <v>359508462101</v>
      </c>
      <c r="L427" s="132">
        <v>373618820527</v>
      </c>
      <c r="M427" s="132">
        <v>39629880897</v>
      </c>
      <c r="N427" s="23">
        <v>38044820050</v>
      </c>
      <c r="O427" s="25">
        <f t="shared" si="70"/>
        <v>-187576804</v>
      </c>
      <c r="P427" s="23">
        <v>-8533077124</v>
      </c>
      <c r="Q427" s="23">
        <v>5507384387</v>
      </c>
      <c r="R427" s="25">
        <f t="shared" si="71"/>
        <v>32537435663</v>
      </c>
      <c r="S427" s="26">
        <f t="shared" si="72"/>
        <v>0.90410162025811402</v>
      </c>
      <c r="T427" s="27">
        <f t="shared" si="73"/>
        <v>0.99949794605171272</v>
      </c>
      <c r="U427" s="26">
        <f t="shared" si="74"/>
        <v>26.74731543129294</v>
      </c>
      <c r="V427" s="26">
        <f t="shared" si="75"/>
        <v>0.10582454673712721</v>
      </c>
      <c r="W427" s="61">
        <v>45664</v>
      </c>
      <c r="X427" s="42">
        <v>7100</v>
      </c>
      <c r="Y427" s="60">
        <v>23700</v>
      </c>
      <c r="Z427" s="30">
        <f t="shared" si="103"/>
        <v>168270000</v>
      </c>
      <c r="AA427" s="31">
        <f t="shared" si="77"/>
        <v>29</v>
      </c>
      <c r="AB427" s="32">
        <v>1.84E-2</v>
      </c>
      <c r="AC427" s="32">
        <v>2.58E-2</v>
      </c>
      <c r="AD427" s="33">
        <f t="shared" si="78"/>
        <v>-4.5390778810347211E-4</v>
      </c>
      <c r="AE427" s="34">
        <f t="shared" si="79"/>
        <v>-2.0648769359942698E-2</v>
      </c>
      <c r="AF427" s="33">
        <f t="shared" si="80"/>
        <v>7.8735723913663444E-2</v>
      </c>
      <c r="AG427" s="33">
        <f t="shared" si="81"/>
        <v>4.5037881058200004E-4</v>
      </c>
      <c r="AH427" s="35">
        <f t="shared" si="82"/>
        <v>0.10182790041555373</v>
      </c>
      <c r="AI427" s="36">
        <f t="shared" si="83"/>
        <v>0.33247305016734835</v>
      </c>
      <c r="AJ427" s="23" t="s">
        <v>1021</v>
      </c>
      <c r="AK427" s="23"/>
      <c r="AL427" s="44"/>
      <c r="AM427" s="44"/>
      <c r="AN427" s="44"/>
      <c r="AO427" s="44"/>
      <c r="AP427" s="44"/>
      <c r="AQ427" s="44"/>
      <c r="AR427" s="44"/>
    </row>
    <row r="428" spans="1:44" ht="16.8">
      <c r="A428" s="70" t="s">
        <v>1022</v>
      </c>
      <c r="B428" s="71"/>
      <c r="C428" s="1" t="s">
        <v>1019</v>
      </c>
      <c r="D428" s="19" t="s">
        <v>1020</v>
      </c>
      <c r="E428" s="20" t="s">
        <v>178</v>
      </c>
      <c r="F428" s="21">
        <v>1992</v>
      </c>
      <c r="G428" s="40">
        <v>2022</v>
      </c>
      <c r="H428" s="23">
        <v>364271454166</v>
      </c>
      <c r="I428" s="23">
        <v>380032449508</v>
      </c>
      <c r="J428" s="23">
        <v>349307982378</v>
      </c>
      <c r="K428" s="23">
        <f>(J428+J427)/2</f>
        <v>361463401452.5</v>
      </c>
      <c r="L428" s="23">
        <v>349307982378</v>
      </c>
      <c r="M428" s="132">
        <v>30724467130</v>
      </c>
      <c r="N428" s="23">
        <v>37001906141</v>
      </c>
      <c r="O428" s="25">
        <f t="shared" si="70"/>
        <v>14963471788</v>
      </c>
      <c r="P428" s="23">
        <v>-8905413767</v>
      </c>
      <c r="Q428" s="132">
        <v>5942986463</v>
      </c>
      <c r="R428" s="25">
        <f t="shared" si="71"/>
        <v>31058919678</v>
      </c>
      <c r="S428" s="26">
        <f t="shared" si="72"/>
        <v>0.91915304293152678</v>
      </c>
      <c r="T428" s="27">
        <f t="shared" si="73"/>
        <v>1.0428374745006757</v>
      </c>
      <c r="U428" s="26">
        <f t="shared" si="74"/>
        <v>26.663522479463136</v>
      </c>
      <c r="V428" s="26">
        <f t="shared" si="75"/>
        <v>0.10236695054689356</v>
      </c>
      <c r="W428" s="61">
        <v>45721</v>
      </c>
      <c r="X428" s="42">
        <v>5300</v>
      </c>
      <c r="Y428" s="60">
        <v>0</v>
      </c>
      <c r="Z428" s="30">
        <f t="shared" si="103"/>
        <v>0</v>
      </c>
      <c r="AA428" s="31">
        <f t="shared" si="77"/>
        <v>30</v>
      </c>
      <c r="AB428" s="32">
        <v>3.15E-2</v>
      </c>
      <c r="AC428" s="32">
        <v>8.0199999999999994E-2</v>
      </c>
      <c r="AD428" s="33">
        <f t="shared" si="78"/>
        <v>3.9374195038797619E-2</v>
      </c>
      <c r="AE428" s="34">
        <f t="shared" si="79"/>
        <v>-2.3433298336837244E-2</v>
      </c>
      <c r="AF428" s="33">
        <f t="shared" si="80"/>
        <v>8.1727020201063608E-2</v>
      </c>
      <c r="AG428" s="33">
        <f t="shared" si="81"/>
        <v>0</v>
      </c>
      <c r="AH428" s="35">
        <f t="shared" si="82"/>
        <v>0.10592917427509221</v>
      </c>
      <c r="AI428" s="36">
        <f t="shared" si="83"/>
        <v>0.39007075731358709</v>
      </c>
      <c r="AJ428" s="23" t="s">
        <v>1021</v>
      </c>
      <c r="AK428" s="23"/>
      <c r="AL428" s="44"/>
      <c r="AM428" s="44"/>
      <c r="AN428" s="44"/>
      <c r="AO428" s="44"/>
      <c r="AP428" s="44"/>
      <c r="AQ428" s="44"/>
      <c r="AR428" s="44"/>
    </row>
    <row r="429" spans="1:44" ht="16.8">
      <c r="A429" s="70" t="s">
        <v>1023</v>
      </c>
      <c r="B429" s="71"/>
      <c r="C429" s="1" t="s">
        <v>1019</v>
      </c>
      <c r="D429" s="19" t="s">
        <v>1020</v>
      </c>
      <c r="E429" s="20" t="s">
        <v>178</v>
      </c>
      <c r="F429" s="21">
        <v>1992</v>
      </c>
      <c r="G429" s="40">
        <v>2023</v>
      </c>
      <c r="H429" s="23">
        <v>345113762210</v>
      </c>
      <c r="I429" s="23">
        <v>357002654259</v>
      </c>
      <c r="J429" s="23">
        <v>339442993714</v>
      </c>
      <c r="K429" s="23">
        <f>(339442993714+349307982378)/2</f>
        <v>344375488046</v>
      </c>
      <c r="L429" s="132">
        <v>339442993714</v>
      </c>
      <c r="M429" s="23">
        <v>17559660545</v>
      </c>
      <c r="N429" s="23">
        <v>3681026723</v>
      </c>
      <c r="O429" s="25">
        <f t="shared" si="70"/>
        <v>5670768496</v>
      </c>
      <c r="P429" s="23">
        <v>-13164806585</v>
      </c>
      <c r="Q429" s="23">
        <v>5493149797</v>
      </c>
      <c r="R429" s="25">
        <f t="shared" si="71"/>
        <v>-1812123074</v>
      </c>
      <c r="S429" s="26">
        <f t="shared" si="72"/>
        <v>0.95081364147992931</v>
      </c>
      <c r="T429" s="27">
        <f t="shared" si="73"/>
        <v>1.0167060997016129</v>
      </c>
      <c r="U429" s="26">
        <f t="shared" si="74"/>
        <v>26.601009053597572</v>
      </c>
      <c r="V429" s="26">
        <f t="shared" si="75"/>
        <v>1.0688991669779662E-2</v>
      </c>
      <c r="W429" s="61">
        <v>45692</v>
      </c>
      <c r="X429" s="42">
        <v>4200</v>
      </c>
      <c r="Y429" s="60">
        <v>0</v>
      </c>
      <c r="Z429" s="30">
        <f t="shared" si="103"/>
        <v>0</v>
      </c>
      <c r="AA429" s="31">
        <f t="shared" si="77"/>
        <v>31</v>
      </c>
      <c r="AB429" s="32">
        <v>3.2500000000000001E-2</v>
      </c>
      <c r="AC429" s="32">
        <v>5.0500000000000003E-2</v>
      </c>
      <c r="AD429" s="33">
        <f t="shared" si="78"/>
        <v>1.5884387492217197E-2</v>
      </c>
      <c r="AE429" s="34">
        <f t="shared" si="79"/>
        <v>-3.6875934752712322E-2</v>
      </c>
      <c r="AF429" s="33">
        <f t="shared" si="80"/>
        <v>-5.0759372581172246E-3</v>
      </c>
      <c r="AG429" s="33">
        <f t="shared" si="81"/>
        <v>0</v>
      </c>
      <c r="AH429" s="35">
        <f t="shared" si="82"/>
        <v>1.0844314925237413E-2</v>
      </c>
      <c r="AI429" s="36">
        <f t="shared" si="83"/>
        <v>-3.847132168968604E-2</v>
      </c>
      <c r="AJ429" s="23" t="s">
        <v>1021</v>
      </c>
      <c r="AK429" s="23"/>
      <c r="AL429" s="44"/>
      <c r="AM429" s="44"/>
      <c r="AN429" s="44"/>
      <c r="AO429" s="44"/>
      <c r="AP429" s="44"/>
      <c r="AQ429" s="44"/>
      <c r="AR429" s="44"/>
    </row>
    <row r="430" spans="1:44" ht="16.8">
      <c r="A430" s="67" t="s">
        <v>1024</v>
      </c>
      <c r="B430" s="45">
        <v>168</v>
      </c>
      <c r="C430" s="45" t="s">
        <v>1025</v>
      </c>
      <c r="D430" s="46" t="s">
        <v>1026</v>
      </c>
      <c r="E430" s="47" t="s">
        <v>178</v>
      </c>
      <c r="F430" s="48"/>
      <c r="G430" s="48">
        <v>2021</v>
      </c>
      <c r="H430" s="49"/>
      <c r="I430" s="49"/>
      <c r="J430" s="49"/>
      <c r="K430" s="49"/>
      <c r="L430" s="49"/>
      <c r="M430" s="49"/>
      <c r="N430" s="49"/>
      <c r="O430" s="49">
        <f t="shared" si="70"/>
        <v>0</v>
      </c>
      <c r="P430" s="49"/>
      <c r="Q430" s="49"/>
      <c r="R430" s="49">
        <f t="shared" si="71"/>
        <v>0</v>
      </c>
      <c r="S430" s="50" t="e">
        <f t="shared" si="72"/>
        <v>#DIV/0!</v>
      </c>
      <c r="T430" s="51" t="e">
        <f t="shared" si="73"/>
        <v>#DIV/0!</v>
      </c>
      <c r="U430" s="50" t="e">
        <f t="shared" si="74"/>
        <v>#NUM!</v>
      </c>
      <c r="V430" s="50" t="e">
        <f t="shared" si="75"/>
        <v>#DIV/0!</v>
      </c>
      <c r="W430" s="52"/>
      <c r="X430" s="53">
        <v>0</v>
      </c>
      <c r="Y430" s="52"/>
      <c r="Z430" s="55">
        <f t="shared" si="103"/>
        <v>0</v>
      </c>
      <c r="AA430" s="48">
        <f t="shared" si="77"/>
        <v>2021</v>
      </c>
      <c r="AB430" s="49"/>
      <c r="AC430" s="49"/>
      <c r="AD430" s="50">
        <f>O428/I428</f>
        <v>3.9374195038797619E-2</v>
      </c>
      <c r="AE430" s="56">
        <f>P428/I428</f>
        <v>-2.3433298336837244E-2</v>
      </c>
      <c r="AF430" s="50">
        <f>R428/I428</f>
        <v>8.1727020201063608E-2</v>
      </c>
      <c r="AG430" s="50">
        <f>Z428/J428</f>
        <v>0</v>
      </c>
      <c r="AH430" s="57">
        <f>N428/J428</f>
        <v>0.10592917427509221</v>
      </c>
      <c r="AI430" s="58">
        <f t="shared" si="83"/>
        <v>0.39007075731358709</v>
      </c>
      <c r="AJ430" s="49"/>
      <c r="AK430" s="49"/>
      <c r="AL430" s="59"/>
      <c r="AM430" s="59"/>
      <c r="AN430" s="59"/>
      <c r="AO430" s="59"/>
      <c r="AP430" s="59"/>
      <c r="AQ430" s="59"/>
      <c r="AR430" s="59"/>
    </row>
    <row r="431" spans="1:44" ht="16.8">
      <c r="A431" s="70" t="s">
        <v>1027</v>
      </c>
      <c r="B431" s="71">
        <v>169</v>
      </c>
      <c r="C431" s="1" t="s">
        <v>1028</v>
      </c>
      <c r="D431" s="19" t="s">
        <v>1029</v>
      </c>
      <c r="E431" s="20" t="s">
        <v>178</v>
      </c>
      <c r="F431" s="21">
        <v>1961</v>
      </c>
      <c r="G431" s="40">
        <v>2021</v>
      </c>
      <c r="H431" s="23">
        <v>717593835550</v>
      </c>
      <c r="I431" s="23">
        <v>815411297276</v>
      </c>
      <c r="J431" s="23">
        <v>667826388748</v>
      </c>
      <c r="K431" s="23">
        <f>(667826388748+781019836405)/2</f>
        <v>724423112576.5</v>
      </c>
      <c r="L431" s="23">
        <v>662683247285</v>
      </c>
      <c r="M431" s="23">
        <v>147584908528</v>
      </c>
      <c r="N431" s="23">
        <v>664731190268</v>
      </c>
      <c r="O431" s="25">
        <f t="shared" si="70"/>
        <v>54910588265</v>
      </c>
      <c r="P431" s="23">
        <v>371966518</v>
      </c>
      <c r="Q431" s="23">
        <f>885261266+20420412468</f>
        <v>21305673734</v>
      </c>
      <c r="R431" s="25">
        <f t="shared" si="71"/>
        <v>643425516534</v>
      </c>
      <c r="S431" s="26">
        <f t="shared" si="72"/>
        <v>0.81900556317893947</v>
      </c>
      <c r="T431" s="27">
        <f t="shared" si="73"/>
        <v>1.0828609874928445</v>
      </c>
      <c r="U431" s="26">
        <f t="shared" si="74"/>
        <v>27.426958482123986</v>
      </c>
      <c r="V431" s="26">
        <f t="shared" si="75"/>
        <v>0.91760074841317762</v>
      </c>
      <c r="W431" s="61">
        <v>45724</v>
      </c>
      <c r="X431" s="42">
        <v>8300</v>
      </c>
      <c r="Y431" s="60">
        <v>100</v>
      </c>
      <c r="Z431" s="30">
        <f t="shared" si="103"/>
        <v>830000</v>
      </c>
      <c r="AA431" s="31">
        <f t="shared" si="77"/>
        <v>60</v>
      </c>
      <c r="AB431" s="32">
        <v>1.84E-2</v>
      </c>
      <c r="AC431" s="32">
        <v>2.58E-2</v>
      </c>
      <c r="AD431" s="33">
        <f t="shared" ref="AD431:AD685" si="133">O431/I431</f>
        <v>6.7340970683674367E-2</v>
      </c>
      <c r="AE431" s="34">
        <f t="shared" ref="AE431:AE685" si="134">P431/I431</f>
        <v>4.5617042496542325E-4</v>
      </c>
      <c r="AF431" s="33">
        <f t="shared" ref="AF431:AF685" si="135">R431/I431</f>
        <v>0.78908094440616228</v>
      </c>
      <c r="AG431" s="33">
        <f t="shared" ref="AG431:AG685" si="136">Z431/J431</f>
        <v>1.2428379800265652E-6</v>
      </c>
      <c r="AH431" s="35">
        <f t="shared" ref="AH431:AH685" si="137">N431/J431</f>
        <v>0.99536526478715126</v>
      </c>
      <c r="AI431" s="36">
        <f t="shared" si="83"/>
        <v>3.6807809304456356</v>
      </c>
      <c r="AJ431" s="23"/>
      <c r="AK431" s="23"/>
      <c r="AL431" s="44"/>
      <c r="AM431" s="44"/>
      <c r="AN431" s="44"/>
      <c r="AO431" s="44"/>
      <c r="AP431" s="44"/>
      <c r="AQ431" s="44"/>
      <c r="AR431" s="44"/>
    </row>
    <row r="432" spans="1:44" ht="16.8">
      <c r="A432" s="74" t="s">
        <v>1030</v>
      </c>
      <c r="B432" s="75"/>
      <c r="C432" s="1" t="s">
        <v>1028</v>
      </c>
      <c r="D432" s="19" t="s">
        <v>1029</v>
      </c>
      <c r="E432" s="20" t="s">
        <v>178</v>
      </c>
      <c r="F432" s="21">
        <v>1961</v>
      </c>
      <c r="G432" s="40">
        <v>2022</v>
      </c>
      <c r="H432" s="23">
        <v>659116714395</v>
      </c>
      <c r="I432" s="23">
        <v>729813646186</v>
      </c>
      <c r="J432" s="23">
        <v>656212754777</v>
      </c>
      <c r="K432" s="23">
        <f>(J431+J432)/2</f>
        <v>662019571762.5</v>
      </c>
      <c r="L432" s="23">
        <v>655466059177</v>
      </c>
      <c r="M432" s="23">
        <v>73600891409</v>
      </c>
      <c r="N432" s="23">
        <v>411885467304</v>
      </c>
      <c r="O432" s="25">
        <f t="shared" si="70"/>
        <v>3650655218</v>
      </c>
      <c r="P432" s="23">
        <v>-73984017119</v>
      </c>
      <c r="Q432" s="23">
        <f>17640999263+606026710</f>
        <v>18247025973</v>
      </c>
      <c r="R432" s="25">
        <f t="shared" si="71"/>
        <v>393638441331</v>
      </c>
      <c r="S432" s="26">
        <f t="shared" si="72"/>
        <v>0.89915111646152734</v>
      </c>
      <c r="T432" s="27">
        <f t="shared" si="73"/>
        <v>1.0055695564505411</v>
      </c>
      <c r="U432" s="26">
        <f t="shared" si="74"/>
        <v>27.316055059302307</v>
      </c>
      <c r="V432" s="26">
        <f t="shared" si="75"/>
        <v>0.62216509129395381</v>
      </c>
      <c r="W432" s="60" t="s">
        <v>1031</v>
      </c>
      <c r="X432" s="29">
        <v>5000</v>
      </c>
      <c r="Y432" s="60">
        <v>0</v>
      </c>
      <c r="Z432" s="30">
        <f t="shared" si="103"/>
        <v>0</v>
      </c>
      <c r="AA432" s="31">
        <f t="shared" si="77"/>
        <v>61</v>
      </c>
      <c r="AB432" s="32">
        <v>3.15E-2</v>
      </c>
      <c r="AC432" s="32">
        <v>8.0199999999999994E-2</v>
      </c>
      <c r="AD432" s="33">
        <f t="shared" si="133"/>
        <v>5.0021745099975779E-3</v>
      </c>
      <c r="AE432" s="34">
        <f t="shared" si="134"/>
        <v>-0.1013738472905239</v>
      </c>
      <c r="AF432" s="33">
        <f t="shared" si="135"/>
        <v>0.53936843108943111</v>
      </c>
      <c r="AG432" s="33">
        <f t="shared" si="136"/>
        <v>0</v>
      </c>
      <c r="AH432" s="35">
        <f t="shared" si="137"/>
        <v>0.62767062100761906</v>
      </c>
      <c r="AI432" s="36">
        <f t="shared" si="83"/>
        <v>2.2716656668080053</v>
      </c>
      <c r="AJ432" s="23"/>
      <c r="AK432" s="76"/>
    </row>
    <row r="433" spans="1:44" ht="16.8">
      <c r="A433" s="74" t="s">
        <v>1032</v>
      </c>
      <c r="B433" s="75"/>
      <c r="C433" s="1" t="s">
        <v>1028</v>
      </c>
      <c r="D433" s="19" t="s">
        <v>1029</v>
      </c>
      <c r="E433" s="20" t="s">
        <v>178</v>
      </c>
      <c r="F433" s="21">
        <v>1961</v>
      </c>
      <c r="G433" s="40">
        <v>2023</v>
      </c>
      <c r="H433" s="23">
        <v>653190791944</v>
      </c>
      <c r="I433" s="23">
        <v>706117890653</v>
      </c>
      <c r="J433" s="23">
        <v>681372196740</v>
      </c>
      <c r="K433" s="23">
        <f>(681372196740+656212754777)/2</f>
        <v>668792475758.5</v>
      </c>
      <c r="L433" s="23">
        <v>681372196740</v>
      </c>
      <c r="M433" s="23">
        <v>24745693913</v>
      </c>
      <c r="N433" s="23">
        <v>171166753067</v>
      </c>
      <c r="O433" s="25">
        <f t="shared" si="70"/>
        <v>-28181404796</v>
      </c>
      <c r="P433" s="23">
        <v>-48855197496</v>
      </c>
      <c r="Q433" s="23">
        <v>14084355004</v>
      </c>
      <c r="R433" s="25">
        <f t="shared" si="71"/>
        <v>157082398063</v>
      </c>
      <c r="S433" s="26">
        <f t="shared" si="72"/>
        <v>0.96495529395223822</v>
      </c>
      <c r="T433" s="27">
        <f t="shared" si="73"/>
        <v>0.95864021905966679</v>
      </c>
      <c r="U433" s="26">
        <f t="shared" si="74"/>
        <v>27.283048044427151</v>
      </c>
      <c r="V433" s="26">
        <f t="shared" si="75"/>
        <v>0.25593402927099923</v>
      </c>
      <c r="W433" s="61">
        <v>45692</v>
      </c>
      <c r="X433" s="42">
        <v>4200</v>
      </c>
      <c r="Y433" s="60">
        <v>100</v>
      </c>
      <c r="Z433" s="30">
        <f t="shared" si="103"/>
        <v>420000</v>
      </c>
      <c r="AA433" s="31">
        <f t="shared" si="77"/>
        <v>62</v>
      </c>
      <c r="AB433" s="32">
        <v>3.2500000000000001E-2</v>
      </c>
      <c r="AC433" s="32">
        <v>5.0500000000000003E-2</v>
      </c>
      <c r="AD433" s="33">
        <f t="shared" si="133"/>
        <v>-3.9910339575079383E-2</v>
      </c>
      <c r="AE433" s="34">
        <f t="shared" si="134"/>
        <v>-6.9188443095273999E-2</v>
      </c>
      <c r="AF433" s="33">
        <f t="shared" si="135"/>
        <v>0.22245916743128286</v>
      </c>
      <c r="AG433" s="33">
        <f t="shared" si="136"/>
        <v>6.1640319638734074E-7</v>
      </c>
      <c r="AH433" s="35">
        <f t="shared" si="137"/>
        <v>0.25120888977557493</v>
      </c>
      <c r="AI433" s="36">
        <f t="shared" si="83"/>
        <v>0.84056828431724728</v>
      </c>
      <c r="AJ433" s="23" t="s">
        <v>1021</v>
      </c>
      <c r="AK433" s="76"/>
    </row>
    <row r="434" spans="1:44" ht="16.8">
      <c r="A434" s="70" t="s">
        <v>1033</v>
      </c>
      <c r="B434" s="71">
        <v>170</v>
      </c>
      <c r="C434" s="1" t="s">
        <v>1034</v>
      </c>
      <c r="D434" s="19" t="s">
        <v>1035</v>
      </c>
      <c r="E434" s="20" t="s">
        <v>178</v>
      </c>
      <c r="F434" s="21">
        <v>1960</v>
      </c>
      <c r="G434" s="40">
        <v>2021</v>
      </c>
      <c r="H434" s="23">
        <v>496547090391</v>
      </c>
      <c r="I434" s="23">
        <v>590581368918</v>
      </c>
      <c r="J434" s="23">
        <v>484510688696</v>
      </c>
      <c r="K434" s="23">
        <f>(484510688696+489022643800)/2</f>
        <v>486766666248</v>
      </c>
      <c r="L434" s="23">
        <v>481431671932</v>
      </c>
      <c r="M434" s="23">
        <v>106070680222</v>
      </c>
      <c r="N434" s="23">
        <v>201487657136</v>
      </c>
      <c r="O434" s="25">
        <f t="shared" si="70"/>
        <v>15115418459</v>
      </c>
      <c r="P434" s="23">
        <v>-3077331451</v>
      </c>
      <c r="Q434" s="23">
        <v>9463775954</v>
      </c>
      <c r="R434" s="25">
        <f t="shared" si="71"/>
        <v>192023881182</v>
      </c>
      <c r="S434" s="26">
        <f t="shared" si="72"/>
        <v>0.82039616248590541</v>
      </c>
      <c r="T434" s="27">
        <f t="shared" si="73"/>
        <v>1.0313968094337072</v>
      </c>
      <c r="U434" s="26">
        <f t="shared" si="74"/>
        <v>27.104373259734267</v>
      </c>
      <c r="V434" s="26">
        <f t="shared" si="75"/>
        <v>0.41393067994788529</v>
      </c>
      <c r="W434" s="61">
        <v>45907</v>
      </c>
      <c r="X434" s="42">
        <v>7900</v>
      </c>
      <c r="Y434" s="60">
        <v>1100</v>
      </c>
      <c r="Z434" s="30">
        <f t="shared" si="103"/>
        <v>8690000</v>
      </c>
      <c r="AA434" s="31">
        <f t="shared" si="77"/>
        <v>61</v>
      </c>
      <c r="AB434" s="32">
        <v>1.84E-2</v>
      </c>
      <c r="AC434" s="32">
        <v>2.58E-2</v>
      </c>
      <c r="AD434" s="33">
        <f t="shared" si="133"/>
        <v>2.559413360210271E-2</v>
      </c>
      <c r="AE434" s="34">
        <f t="shared" si="134"/>
        <v>-5.2106815638934857E-3</v>
      </c>
      <c r="AF434" s="33">
        <f t="shared" si="135"/>
        <v>0.32514381808861598</v>
      </c>
      <c r="AG434" s="33">
        <f t="shared" si="136"/>
        <v>1.7935620828898635E-5</v>
      </c>
      <c r="AH434" s="35">
        <f t="shared" si="137"/>
        <v>0.41585802302582603</v>
      </c>
      <c r="AI434" s="36">
        <f t="shared" si="83"/>
        <v>1.5122613902238284</v>
      </c>
      <c r="AJ434" s="23" t="s">
        <v>1021</v>
      </c>
      <c r="AK434" s="23"/>
      <c r="AL434" s="44"/>
      <c r="AM434" s="44"/>
      <c r="AN434" s="44"/>
      <c r="AO434" s="44"/>
      <c r="AP434" s="44"/>
      <c r="AQ434" s="44"/>
      <c r="AR434" s="44"/>
    </row>
    <row r="435" spans="1:44" ht="16.8">
      <c r="A435" s="74" t="s">
        <v>1036</v>
      </c>
      <c r="B435" s="75"/>
      <c r="C435" s="1" t="s">
        <v>1034</v>
      </c>
      <c r="D435" s="19" t="s">
        <v>1035</v>
      </c>
      <c r="E435" s="20" t="s">
        <v>178</v>
      </c>
      <c r="F435" s="21">
        <v>1960</v>
      </c>
      <c r="G435" s="40">
        <v>2022</v>
      </c>
      <c r="H435" s="23">
        <v>505190900048</v>
      </c>
      <c r="I435" s="23">
        <v>588213335182</v>
      </c>
      <c r="J435" s="23">
        <v>516702338966</v>
      </c>
      <c r="K435" s="23">
        <f t="shared" ref="K435:K436" si="138">(J435+J434)/2</f>
        <v>500606513831</v>
      </c>
      <c r="L435" s="132">
        <v>515608054017</v>
      </c>
      <c r="M435" s="23">
        <v>71510996216</v>
      </c>
      <c r="N435" s="23">
        <v>119653344080</v>
      </c>
      <c r="O435" s="25">
        <f t="shared" si="70"/>
        <v>-10417153969</v>
      </c>
      <c r="P435" s="23">
        <v>-34559684006</v>
      </c>
      <c r="Q435" s="23">
        <v>24859836164</v>
      </c>
      <c r="R435" s="25">
        <f t="shared" si="71"/>
        <v>94793507916</v>
      </c>
      <c r="S435" s="26">
        <f t="shared" si="72"/>
        <v>0.8784267680808806</v>
      </c>
      <c r="T435" s="27">
        <f t="shared" si="73"/>
        <v>0.9797963707357904</v>
      </c>
      <c r="U435" s="26">
        <f t="shared" si="74"/>
        <v>27.100355533978988</v>
      </c>
      <c r="V435" s="26">
        <f t="shared" si="75"/>
        <v>0.23901675422544308</v>
      </c>
      <c r="W435" s="61">
        <v>45903</v>
      </c>
      <c r="X435" s="42">
        <v>3900</v>
      </c>
      <c r="Y435" s="60">
        <v>50</v>
      </c>
      <c r="Z435" s="30">
        <f t="shared" si="103"/>
        <v>195000</v>
      </c>
      <c r="AA435" s="31">
        <f t="shared" si="77"/>
        <v>62</v>
      </c>
      <c r="AB435" s="32">
        <v>3.15E-2</v>
      </c>
      <c r="AC435" s="32">
        <v>8.0199999999999994E-2</v>
      </c>
      <c r="AD435" s="33">
        <f t="shared" si="133"/>
        <v>-1.7709822858362794E-2</v>
      </c>
      <c r="AE435" s="34">
        <f t="shared" si="134"/>
        <v>-5.875365609538049E-2</v>
      </c>
      <c r="AF435" s="33">
        <f t="shared" si="135"/>
        <v>0.16115497940329726</v>
      </c>
      <c r="AG435" s="33">
        <f t="shared" si="136"/>
        <v>3.7739329841282445E-7</v>
      </c>
      <c r="AH435" s="35">
        <f t="shared" si="137"/>
        <v>0.23157112917167078</v>
      </c>
      <c r="AI435" s="36">
        <f t="shared" si="83"/>
        <v>0.65987588167496258</v>
      </c>
      <c r="AJ435" s="23" t="s">
        <v>1021</v>
      </c>
      <c r="AK435" s="76"/>
    </row>
    <row r="436" spans="1:44" ht="24.75" customHeight="1">
      <c r="A436" s="74" t="s">
        <v>1037</v>
      </c>
      <c r="B436" s="75"/>
      <c r="C436" s="1" t="s">
        <v>1034</v>
      </c>
      <c r="D436" s="19" t="s">
        <v>1035</v>
      </c>
      <c r="E436" s="20" t="s">
        <v>178</v>
      </c>
      <c r="F436" s="21">
        <v>1960</v>
      </c>
      <c r="G436" s="40">
        <v>2023</v>
      </c>
      <c r="H436" s="23">
        <v>417072932755</v>
      </c>
      <c r="I436" s="23">
        <v>486499708380</v>
      </c>
      <c r="J436" s="23">
        <v>517589465723</v>
      </c>
      <c r="K436" s="23">
        <f t="shared" si="138"/>
        <v>517145902344.5</v>
      </c>
      <c r="L436" s="23">
        <v>516536980774</v>
      </c>
      <c r="M436" s="23">
        <v>-31089757343</v>
      </c>
      <c r="N436" s="23">
        <v>80235908244</v>
      </c>
      <c r="O436" s="25">
        <f t="shared" si="70"/>
        <v>-99464048019</v>
      </c>
      <c r="P436" s="23">
        <v>-102600753559</v>
      </c>
      <c r="Q436" s="23">
        <v>17325556491</v>
      </c>
      <c r="R436" s="25">
        <f t="shared" si="71"/>
        <v>62910351753</v>
      </c>
      <c r="S436" s="26">
        <f t="shared" si="72"/>
        <v>1.0639049865960375</v>
      </c>
      <c r="T436" s="27">
        <f t="shared" si="73"/>
        <v>0.80744060595630729</v>
      </c>
      <c r="U436" s="26">
        <f t="shared" si="74"/>
        <v>26.91050213914783</v>
      </c>
      <c r="V436" s="26">
        <f t="shared" si="75"/>
        <v>0.15515139514834703</v>
      </c>
      <c r="W436" s="61">
        <v>45719</v>
      </c>
      <c r="X436" s="42">
        <v>3300</v>
      </c>
      <c r="Y436" s="60">
        <v>400</v>
      </c>
      <c r="Z436" s="30">
        <f t="shared" si="103"/>
        <v>1320000</v>
      </c>
      <c r="AA436" s="31">
        <f t="shared" si="77"/>
        <v>63</v>
      </c>
      <c r="AB436" s="32">
        <v>3.2500000000000001E-2</v>
      </c>
      <c r="AC436" s="32">
        <v>5.0500000000000003E-2</v>
      </c>
      <c r="AD436" s="33">
        <f t="shared" si="133"/>
        <v>-0.20444831991823031</v>
      </c>
      <c r="AE436" s="34">
        <f t="shared" si="134"/>
        <v>-0.21089581718486786</v>
      </c>
      <c r="AF436" s="33">
        <f t="shared" si="135"/>
        <v>0.12931220855709405</v>
      </c>
      <c r="AG436" s="33">
        <f t="shared" si="136"/>
        <v>2.5502837430358921E-6</v>
      </c>
      <c r="AH436" s="35">
        <f t="shared" si="137"/>
        <v>0.1550184336381763</v>
      </c>
      <c r="AI436" s="36">
        <f t="shared" si="83"/>
        <v>4.115812408614114E-2</v>
      </c>
      <c r="AJ436" s="37" t="s">
        <v>1038</v>
      </c>
      <c r="AK436" s="76"/>
    </row>
    <row r="437" spans="1:44" ht="16.8">
      <c r="A437" s="70" t="s">
        <v>1039</v>
      </c>
      <c r="B437" s="71">
        <v>171</v>
      </c>
      <c r="C437" s="1" t="s">
        <v>1040</v>
      </c>
      <c r="D437" s="19" t="s">
        <v>1041</v>
      </c>
      <c r="E437" s="20" t="s">
        <v>39</v>
      </c>
      <c r="F437" s="21">
        <v>1962</v>
      </c>
      <c r="G437" s="40">
        <v>2021</v>
      </c>
      <c r="H437" s="23">
        <v>1960465923047</v>
      </c>
      <c r="I437" s="23">
        <v>2295101707452</v>
      </c>
      <c r="J437" s="23">
        <v>962628036949</v>
      </c>
      <c r="K437" s="23">
        <f>(962628036949+514260946797)/2</f>
        <v>738444491873</v>
      </c>
      <c r="L437" s="23">
        <v>962628036949</v>
      </c>
      <c r="M437" s="23">
        <v>1332473670503</v>
      </c>
      <c r="N437" s="23">
        <v>2905509653199</v>
      </c>
      <c r="O437" s="25">
        <f t="shared" si="70"/>
        <v>997837886098</v>
      </c>
      <c r="P437" s="23">
        <v>67024386618</v>
      </c>
      <c r="Q437" s="23">
        <f>140264805637+147089574372</f>
        <v>287354380009</v>
      </c>
      <c r="R437" s="25">
        <f t="shared" si="71"/>
        <v>2618155273190</v>
      </c>
      <c r="S437" s="26">
        <f t="shared" si="72"/>
        <v>0.41942717999094709</v>
      </c>
      <c r="T437" s="27">
        <f t="shared" si="73"/>
        <v>2.0365767958105563</v>
      </c>
      <c r="U437" s="26">
        <f t="shared" si="74"/>
        <v>28.461798275431637</v>
      </c>
      <c r="V437" s="26">
        <f t="shared" si="75"/>
        <v>3.9346351488511049</v>
      </c>
      <c r="W437" s="60" t="s">
        <v>1042</v>
      </c>
      <c r="X437" s="29">
        <v>18520</v>
      </c>
      <c r="Y437" s="60">
        <v>793333</v>
      </c>
      <c r="Z437" s="30">
        <f t="shared" si="103"/>
        <v>14692527160</v>
      </c>
      <c r="AA437" s="31">
        <f t="shared" si="77"/>
        <v>59</v>
      </c>
      <c r="AB437" s="32">
        <v>1.84E-2</v>
      </c>
      <c r="AC437" s="32">
        <v>2.58E-2</v>
      </c>
      <c r="AD437" s="33">
        <f t="shared" si="133"/>
        <v>0.43476848231087334</v>
      </c>
      <c r="AE437" s="34">
        <f t="shared" si="134"/>
        <v>2.9203231560665708E-2</v>
      </c>
      <c r="AF437" s="33">
        <f t="shared" si="135"/>
        <v>1.1407578429701275</v>
      </c>
      <c r="AG437" s="33">
        <f t="shared" si="136"/>
        <v>1.526293292533553E-2</v>
      </c>
      <c r="AH437" s="35">
        <f t="shared" si="137"/>
        <v>3.0183098161236432</v>
      </c>
      <c r="AI437" s="36">
        <f t="shared" si="83"/>
        <v>7.3545751606382446</v>
      </c>
      <c r="AJ437" s="23"/>
      <c r="AK437" s="23"/>
      <c r="AL437" s="44"/>
      <c r="AM437" s="44"/>
      <c r="AN437" s="44"/>
      <c r="AO437" s="44"/>
      <c r="AP437" s="44"/>
      <c r="AQ437" s="44"/>
      <c r="AR437" s="44"/>
    </row>
    <row r="438" spans="1:44" ht="16.8">
      <c r="A438" s="74" t="s">
        <v>1043</v>
      </c>
      <c r="B438" s="75"/>
      <c r="C438" s="1" t="s">
        <v>1040</v>
      </c>
      <c r="D438" s="19" t="s">
        <v>1041</v>
      </c>
      <c r="E438" s="20" t="s">
        <v>39</v>
      </c>
      <c r="F438" s="21">
        <v>1962</v>
      </c>
      <c r="G438" s="40">
        <v>2022</v>
      </c>
      <c r="H438" s="23">
        <v>1948557255844</v>
      </c>
      <c r="I438" s="23">
        <v>2279972092251</v>
      </c>
      <c r="J438" s="23">
        <v>934832172505</v>
      </c>
      <c r="K438" s="23">
        <f t="shared" ref="K438:K439" si="139">(J438+J437)/2</f>
        <v>948730104727</v>
      </c>
      <c r="L438" s="23">
        <v>934832172505</v>
      </c>
      <c r="M438" s="23">
        <v>1345139919746</v>
      </c>
      <c r="N438" s="23">
        <v>3267001736314</v>
      </c>
      <c r="O438" s="25">
        <f t="shared" si="70"/>
        <v>1013725083339</v>
      </c>
      <c r="P438" s="23">
        <v>88528279022</v>
      </c>
      <c r="Q438" s="23">
        <f>136335752704+200634085965</f>
        <v>336969838669</v>
      </c>
      <c r="R438" s="25">
        <f t="shared" si="71"/>
        <v>2930031897645</v>
      </c>
      <c r="S438" s="26">
        <f t="shared" si="72"/>
        <v>0.41001912948068014</v>
      </c>
      <c r="T438" s="27">
        <f t="shared" si="73"/>
        <v>2.0843925927608979</v>
      </c>
      <c r="U438" s="26">
        <f t="shared" si="74"/>
        <v>28.455184318579196</v>
      </c>
      <c r="V438" s="26">
        <f t="shared" si="75"/>
        <v>3.4435523022156969</v>
      </c>
      <c r="W438" s="133" t="s">
        <v>1044</v>
      </c>
      <c r="X438" s="42">
        <v>6880</v>
      </c>
      <c r="Y438" s="60">
        <v>167105</v>
      </c>
      <c r="Z438" s="30">
        <f t="shared" si="103"/>
        <v>1149682400</v>
      </c>
      <c r="AA438" s="31">
        <f t="shared" si="77"/>
        <v>60</v>
      </c>
      <c r="AB438" s="32">
        <v>3.15E-2</v>
      </c>
      <c r="AC438" s="32">
        <v>8.0199999999999994E-2</v>
      </c>
      <c r="AD438" s="33">
        <f t="shared" si="133"/>
        <v>0.44462170689912112</v>
      </c>
      <c r="AE438" s="34">
        <f t="shared" si="134"/>
        <v>3.8828667825752491E-2</v>
      </c>
      <c r="AF438" s="33">
        <f t="shared" si="135"/>
        <v>1.2851174396403251</v>
      </c>
      <c r="AG438" s="33">
        <f t="shared" si="136"/>
        <v>1.2298275923894252E-3</v>
      </c>
      <c r="AH438" s="35">
        <f t="shared" si="137"/>
        <v>3.4947467924212101</v>
      </c>
      <c r="AI438" s="36">
        <f t="shared" si="83"/>
        <v>8.3242784230247153</v>
      </c>
      <c r="AJ438" s="23"/>
      <c r="AK438" s="76"/>
    </row>
    <row r="439" spans="1:44" ht="16.8">
      <c r="A439" s="74" t="s">
        <v>1045</v>
      </c>
      <c r="B439" s="75"/>
      <c r="C439" s="1" t="s">
        <v>1040</v>
      </c>
      <c r="D439" s="19" t="s">
        <v>1041</v>
      </c>
      <c r="E439" s="20" t="s">
        <v>39</v>
      </c>
      <c r="F439" s="21">
        <v>1962</v>
      </c>
      <c r="G439" s="40">
        <v>2023</v>
      </c>
      <c r="H439" s="23">
        <v>2049009043386</v>
      </c>
      <c r="I439" s="23">
        <v>2360489690110</v>
      </c>
      <c r="J439" s="23">
        <v>938780453193</v>
      </c>
      <c r="K439" s="23">
        <f t="shared" si="139"/>
        <v>936806312849</v>
      </c>
      <c r="L439" s="23">
        <v>938780453193</v>
      </c>
      <c r="M439" s="23">
        <v>1421709236917</v>
      </c>
      <c r="N439" s="23">
        <v>3567874263018</v>
      </c>
      <c r="O439" s="25">
        <f t="shared" si="70"/>
        <v>1110228590193</v>
      </c>
      <c r="P439" s="23">
        <v>148538242312</v>
      </c>
      <c r="Q439" s="23">
        <f>210303404341+159500472094</f>
        <v>369803876435</v>
      </c>
      <c r="R439" s="25">
        <f t="shared" si="71"/>
        <v>3198070386583</v>
      </c>
      <c r="S439" s="26">
        <f t="shared" si="72"/>
        <v>0.39770580533620226</v>
      </c>
      <c r="T439" s="27">
        <f t="shared" si="73"/>
        <v>2.1826285756343422</v>
      </c>
      <c r="U439" s="26">
        <f t="shared" si="74"/>
        <v>28.489890209251111</v>
      </c>
      <c r="V439" s="26">
        <f t="shared" si="75"/>
        <v>3.8085506193563528</v>
      </c>
      <c r="W439" s="60" t="s">
        <v>1046</v>
      </c>
      <c r="X439" s="29">
        <v>13450</v>
      </c>
      <c r="Y439" s="60">
        <v>445505</v>
      </c>
      <c r="Z439" s="30">
        <f t="shared" si="103"/>
        <v>5992042250</v>
      </c>
      <c r="AA439" s="31">
        <f t="shared" si="77"/>
        <v>61</v>
      </c>
      <c r="AB439" s="32">
        <v>3.2500000000000001E-2</v>
      </c>
      <c r="AC439" s="32">
        <v>5.0500000000000003E-2</v>
      </c>
      <c r="AD439" s="33">
        <f t="shared" si="133"/>
        <v>0.4703382500862619</v>
      </c>
      <c r="AE439" s="34">
        <f t="shared" si="134"/>
        <v>6.2926876119962227E-2</v>
      </c>
      <c r="AF439" s="33">
        <f t="shared" si="135"/>
        <v>1.3548334483231605</v>
      </c>
      <c r="AG439" s="33">
        <f t="shared" si="136"/>
        <v>6.382794006436477E-3</v>
      </c>
      <c r="AH439" s="35">
        <f t="shared" si="137"/>
        <v>3.8005417037422013</v>
      </c>
      <c r="AI439" s="36">
        <f t="shared" si="83"/>
        <v>8.9278252862839533</v>
      </c>
      <c r="AJ439" s="23"/>
      <c r="AK439" s="76"/>
    </row>
    <row r="440" spans="1:44" ht="16.8">
      <c r="A440" s="70" t="s">
        <v>1047</v>
      </c>
      <c r="B440" s="71">
        <v>172</v>
      </c>
      <c r="C440" s="1" t="s">
        <v>1048</v>
      </c>
      <c r="D440" s="19" t="s">
        <v>1049</v>
      </c>
      <c r="E440" s="20" t="s">
        <v>39</v>
      </c>
      <c r="F440" s="21">
        <v>2004</v>
      </c>
      <c r="G440" s="40">
        <v>2021</v>
      </c>
      <c r="H440" s="23">
        <v>24884336666</v>
      </c>
      <c r="I440" s="23">
        <v>30095123762</v>
      </c>
      <c r="J440" s="23">
        <v>9799351809</v>
      </c>
      <c r="K440" s="23">
        <f>(9799351809        +1279029014)/2</f>
        <v>5539190411.5</v>
      </c>
      <c r="L440" s="23">
        <v>9675376809</v>
      </c>
      <c r="M440" s="23">
        <v>20295771953</v>
      </c>
      <c r="N440" s="23">
        <v>73707661763</v>
      </c>
      <c r="O440" s="25">
        <f t="shared" si="70"/>
        <v>15208959857</v>
      </c>
      <c r="P440" s="23">
        <v>1453730340</v>
      </c>
      <c r="Q440" s="23">
        <f>4736430478+2058589443</f>
        <v>6795019921</v>
      </c>
      <c r="R440" s="25">
        <f t="shared" si="71"/>
        <v>66912641842</v>
      </c>
      <c r="S440" s="26">
        <f t="shared" si="72"/>
        <v>0.32561261041807971</v>
      </c>
      <c r="T440" s="27">
        <f t="shared" si="73"/>
        <v>2.5719242937239075</v>
      </c>
      <c r="U440" s="26">
        <f t="shared" si="74"/>
        <v>24.12762899431516</v>
      </c>
      <c r="V440" s="26">
        <f t="shared" si="75"/>
        <v>13.306576645203307</v>
      </c>
      <c r="W440" s="60" t="s">
        <v>1050</v>
      </c>
      <c r="X440" s="29">
        <v>13200</v>
      </c>
      <c r="Y440" s="60">
        <v>9990</v>
      </c>
      <c r="Z440" s="30">
        <f t="shared" si="103"/>
        <v>131868000</v>
      </c>
      <c r="AA440" s="31">
        <f t="shared" si="77"/>
        <v>17</v>
      </c>
      <c r="AB440" s="32">
        <v>1.84E-2</v>
      </c>
      <c r="AC440" s="32">
        <v>2.58E-2</v>
      </c>
      <c r="AD440" s="33">
        <f t="shared" si="133"/>
        <v>0.50536292780439707</v>
      </c>
      <c r="AE440" s="34">
        <f t="shared" si="134"/>
        <v>4.830451442886477E-2</v>
      </c>
      <c r="AF440" s="33">
        <f t="shared" si="135"/>
        <v>2.2233715458744223</v>
      </c>
      <c r="AG440" s="33">
        <f t="shared" si="136"/>
        <v>1.3456808426746014E-2</v>
      </c>
      <c r="AH440" s="35">
        <f t="shared" si="137"/>
        <v>7.5216874748087736</v>
      </c>
      <c r="AI440" s="36">
        <f t="shared" si="83"/>
        <v>15.540949494816102</v>
      </c>
      <c r="AJ440" s="23"/>
      <c r="AK440" s="23"/>
      <c r="AL440" s="44"/>
      <c r="AM440" s="44"/>
      <c r="AN440" s="44"/>
      <c r="AO440" s="44"/>
      <c r="AP440" s="44"/>
      <c r="AQ440" s="44"/>
      <c r="AR440" s="44"/>
    </row>
    <row r="441" spans="1:44" ht="16.8">
      <c r="A441" s="74" t="s">
        <v>1051</v>
      </c>
      <c r="B441" s="75"/>
      <c r="C441" s="1" t="s">
        <v>1048</v>
      </c>
      <c r="D441" s="19" t="s">
        <v>1049</v>
      </c>
      <c r="E441" s="20" t="s">
        <v>39</v>
      </c>
      <c r="F441" s="21">
        <v>2004</v>
      </c>
      <c r="G441" s="40">
        <v>2022</v>
      </c>
      <c r="H441" s="23">
        <v>20122003797</v>
      </c>
      <c r="I441" s="23">
        <v>25024159185</v>
      </c>
      <c r="J441" s="23">
        <v>2578384050</v>
      </c>
      <c r="K441" s="23">
        <f t="shared" ref="K441:K442" si="140">(J441+J440)/2</f>
        <v>6188867929.5</v>
      </c>
      <c r="L441" s="23">
        <v>2548384050</v>
      </c>
      <c r="M441" s="23">
        <v>22445775135</v>
      </c>
      <c r="N441" s="23">
        <v>100172598992</v>
      </c>
      <c r="O441" s="25">
        <f t="shared" si="70"/>
        <v>17573619747</v>
      </c>
      <c r="P441" s="23">
        <v>2144844306</v>
      </c>
      <c r="Q441" s="23">
        <f>3032360998+6657263897</f>
        <v>9689624895</v>
      </c>
      <c r="R441" s="25">
        <f t="shared" si="71"/>
        <v>90482974097</v>
      </c>
      <c r="S441" s="26">
        <f t="shared" si="72"/>
        <v>0.10303579156999357</v>
      </c>
      <c r="T441" s="27">
        <f t="shared" si="73"/>
        <v>7.8959856137068511</v>
      </c>
      <c r="U441" s="26">
        <f t="shared" si="74"/>
        <v>23.943107562582238</v>
      </c>
      <c r="V441" s="26">
        <f t="shared" si="75"/>
        <v>16.185932570077153</v>
      </c>
      <c r="W441" s="133" t="s">
        <v>1052</v>
      </c>
      <c r="X441" s="42">
        <v>21940</v>
      </c>
      <c r="Y441" s="60">
        <v>0</v>
      </c>
      <c r="Z441" s="30">
        <f t="shared" si="103"/>
        <v>0</v>
      </c>
      <c r="AA441" s="31">
        <f t="shared" si="77"/>
        <v>18</v>
      </c>
      <c r="AB441" s="32">
        <v>3.15E-2</v>
      </c>
      <c r="AC441" s="32">
        <v>8.0199999999999994E-2</v>
      </c>
      <c r="AD441" s="33">
        <f t="shared" si="133"/>
        <v>0.70226614277349997</v>
      </c>
      <c r="AE441" s="34">
        <f t="shared" si="134"/>
        <v>8.5710943977916509E-2</v>
      </c>
      <c r="AF441" s="33">
        <f t="shared" si="135"/>
        <v>3.6158247487187252</v>
      </c>
      <c r="AG441" s="33">
        <f t="shared" si="136"/>
        <v>0</v>
      </c>
      <c r="AH441" s="35">
        <f t="shared" si="137"/>
        <v>38.850922534988534</v>
      </c>
      <c r="AI441" s="36">
        <f t="shared" si="83"/>
        <v>51.745858898657609</v>
      </c>
      <c r="AJ441" s="23"/>
      <c r="AK441" s="76"/>
    </row>
    <row r="442" spans="1:44" ht="16.8">
      <c r="A442" s="74" t="s">
        <v>1053</v>
      </c>
      <c r="B442" s="75"/>
      <c r="C442" s="1" t="s">
        <v>1048</v>
      </c>
      <c r="D442" s="19" t="s">
        <v>1049</v>
      </c>
      <c r="E442" s="20" t="s">
        <v>39</v>
      </c>
      <c r="F442" s="21">
        <v>2004</v>
      </c>
      <c r="G442" s="40">
        <v>2023</v>
      </c>
      <c r="H442" s="23">
        <v>21629346706</v>
      </c>
      <c r="I442" s="23">
        <v>26381519953</v>
      </c>
      <c r="J442" s="23">
        <v>2561353741</v>
      </c>
      <c r="K442" s="23">
        <f t="shared" si="140"/>
        <v>2569868895.5</v>
      </c>
      <c r="L442" s="23">
        <v>2531353741</v>
      </c>
      <c r="M442" s="23">
        <v>23820166212</v>
      </c>
      <c r="N442" s="23">
        <v>90913712674</v>
      </c>
      <c r="O442" s="25">
        <f t="shared" si="70"/>
        <v>19097992965</v>
      </c>
      <c r="P442" s="23">
        <v>1564530178</v>
      </c>
      <c r="Q442" s="23">
        <f>6230396992+2655713477</f>
        <v>8886110469</v>
      </c>
      <c r="R442" s="25">
        <f t="shared" si="71"/>
        <v>82027602205</v>
      </c>
      <c r="S442" s="26">
        <f t="shared" si="72"/>
        <v>9.7088937466953379E-2</v>
      </c>
      <c r="T442" s="27">
        <f t="shared" si="73"/>
        <v>8.5445769019447368</v>
      </c>
      <c r="U442" s="26">
        <f t="shared" si="74"/>
        <v>23.995929600202739</v>
      </c>
      <c r="V442" s="26">
        <f t="shared" si="75"/>
        <v>35.376790167465572</v>
      </c>
      <c r="W442" s="61">
        <v>45952</v>
      </c>
      <c r="X442" s="42">
        <v>22100</v>
      </c>
      <c r="Y442" s="60">
        <v>0</v>
      </c>
      <c r="Z442" s="30">
        <f t="shared" si="103"/>
        <v>0</v>
      </c>
      <c r="AA442" s="31">
        <f t="shared" si="77"/>
        <v>19</v>
      </c>
      <c r="AB442" s="32">
        <v>3.2500000000000001E-2</v>
      </c>
      <c r="AC442" s="32">
        <v>5.0500000000000003E-2</v>
      </c>
      <c r="AD442" s="33">
        <f t="shared" si="133"/>
        <v>0.72391556661723933</v>
      </c>
      <c r="AE442" s="34">
        <f t="shared" si="134"/>
        <v>5.9304019661766606E-2</v>
      </c>
      <c r="AF442" s="33">
        <f t="shared" si="135"/>
        <v>3.1092826475175155</v>
      </c>
      <c r="AG442" s="33">
        <f t="shared" si="136"/>
        <v>0</v>
      </c>
      <c r="AH442" s="35">
        <f t="shared" si="137"/>
        <v>35.494399394636368</v>
      </c>
      <c r="AI442" s="36">
        <f t="shared" si="83"/>
        <v>46.706756438911327</v>
      </c>
      <c r="AJ442" s="23" t="s">
        <v>1054</v>
      </c>
      <c r="AK442" s="76"/>
    </row>
    <row r="443" spans="1:44" ht="16.8">
      <c r="A443" s="70" t="s">
        <v>1055</v>
      </c>
      <c r="B443" s="71">
        <v>173</v>
      </c>
      <c r="C443" s="1" t="s">
        <v>1056</v>
      </c>
      <c r="D443" s="19" t="s">
        <v>1057</v>
      </c>
      <c r="E443" s="20" t="s">
        <v>39</v>
      </c>
      <c r="F443" s="21">
        <v>1980</v>
      </c>
      <c r="G443" s="40">
        <v>2021</v>
      </c>
      <c r="H443" s="23">
        <v>118611082195</v>
      </c>
      <c r="I443" s="23">
        <v>141088988253</v>
      </c>
      <c r="J443" s="23">
        <v>109510248464</v>
      </c>
      <c r="K443" s="23">
        <f>(109510248464+123734510771)/2</f>
        <v>116622379617.5</v>
      </c>
      <c r="L443" s="23">
        <v>104006063914</v>
      </c>
      <c r="M443" s="23">
        <v>31578739789</v>
      </c>
      <c r="N443" s="23">
        <v>107054740722</v>
      </c>
      <c r="O443" s="25">
        <f t="shared" si="70"/>
        <v>14605018281</v>
      </c>
      <c r="P443" s="23">
        <v>1778114732</v>
      </c>
      <c r="Q443" s="23">
        <v>8021123481</v>
      </c>
      <c r="R443" s="25">
        <f t="shared" si="71"/>
        <v>99033617241</v>
      </c>
      <c r="S443" s="26">
        <f t="shared" si="72"/>
        <v>0.77617856517354011</v>
      </c>
      <c r="T443" s="27">
        <f t="shared" si="73"/>
        <v>1.1404246803636038</v>
      </c>
      <c r="U443" s="26">
        <f t="shared" si="74"/>
        <v>25.672656650612318</v>
      </c>
      <c r="V443" s="26">
        <f t="shared" si="75"/>
        <v>0.91796052415599738</v>
      </c>
      <c r="W443" s="61">
        <v>45734</v>
      </c>
      <c r="X443" s="42">
        <v>18300</v>
      </c>
      <c r="Y443" s="60">
        <v>0</v>
      </c>
      <c r="Z443" s="30">
        <f t="shared" si="103"/>
        <v>0</v>
      </c>
      <c r="AA443" s="31">
        <f t="shared" si="77"/>
        <v>41</v>
      </c>
      <c r="AB443" s="32">
        <v>1.84E-2</v>
      </c>
      <c r="AC443" s="32">
        <v>2.58E-2</v>
      </c>
      <c r="AD443" s="33">
        <f t="shared" si="133"/>
        <v>0.10351635844755198</v>
      </c>
      <c r="AE443" s="34">
        <f t="shared" si="134"/>
        <v>1.2602788878260962E-2</v>
      </c>
      <c r="AF443" s="33">
        <f t="shared" si="135"/>
        <v>0.70192308037118711</v>
      </c>
      <c r="AG443" s="33">
        <f t="shared" si="136"/>
        <v>0</v>
      </c>
      <c r="AH443" s="35">
        <f t="shared" si="137"/>
        <v>0.97757737036997761</v>
      </c>
      <c r="AI443" s="36">
        <f t="shared" si="83"/>
        <v>3.4357870701615227</v>
      </c>
      <c r="AJ443" s="23" t="s">
        <v>1021</v>
      </c>
      <c r="AK443" s="23"/>
      <c r="AL443" s="44"/>
      <c r="AM443" s="44"/>
      <c r="AN443" s="44"/>
      <c r="AO443" s="44"/>
      <c r="AP443" s="44"/>
      <c r="AQ443" s="44"/>
      <c r="AR443" s="44"/>
    </row>
    <row r="444" spans="1:44" ht="16.8">
      <c r="A444" s="74" t="s">
        <v>1058</v>
      </c>
      <c r="B444" s="75"/>
      <c r="C444" s="1" t="s">
        <v>1056</v>
      </c>
      <c r="D444" s="19" t="s">
        <v>1057</v>
      </c>
      <c r="E444" s="20" t="s">
        <v>39</v>
      </c>
      <c r="F444" s="21">
        <v>1980</v>
      </c>
      <c r="G444" s="40">
        <v>2022</v>
      </c>
      <c r="H444" s="23">
        <v>110329708841</v>
      </c>
      <c r="I444" s="23">
        <v>131615291079</v>
      </c>
      <c r="J444" s="23">
        <v>100620025043</v>
      </c>
      <c r="K444" s="23">
        <f t="shared" ref="K444:K445" si="141">(J444+J443)/2</f>
        <v>105065136753.5</v>
      </c>
      <c r="L444" s="23">
        <v>100325015043</v>
      </c>
      <c r="M444" s="23">
        <v>30995266036</v>
      </c>
      <c r="N444" s="23">
        <v>38118264211</v>
      </c>
      <c r="O444" s="25">
        <f t="shared" si="70"/>
        <v>10004693798</v>
      </c>
      <c r="P444" s="23">
        <v>126755766</v>
      </c>
      <c r="Q444" s="23">
        <v>6694317224</v>
      </c>
      <c r="R444" s="25">
        <f t="shared" si="71"/>
        <v>31423946987</v>
      </c>
      <c r="S444" s="26">
        <f t="shared" si="72"/>
        <v>0.76450102581625123</v>
      </c>
      <c r="T444" s="27">
        <f t="shared" si="73"/>
        <v>1.0997228238013412</v>
      </c>
      <c r="U444" s="26">
        <f t="shared" si="74"/>
        <v>25.603149042697098</v>
      </c>
      <c r="V444" s="26">
        <f t="shared" si="75"/>
        <v>0.36280602099659076</v>
      </c>
      <c r="W444" s="134">
        <v>45864</v>
      </c>
      <c r="X444" s="42">
        <v>26700</v>
      </c>
      <c r="Y444" s="60">
        <v>0</v>
      </c>
      <c r="Z444" s="30">
        <f t="shared" si="103"/>
        <v>0</v>
      </c>
      <c r="AA444" s="31">
        <f t="shared" si="77"/>
        <v>42</v>
      </c>
      <c r="AB444" s="32">
        <v>3.15E-2</v>
      </c>
      <c r="AC444" s="32">
        <v>8.0199999999999994E-2</v>
      </c>
      <c r="AD444" s="33">
        <f t="shared" si="133"/>
        <v>7.6014676683690496E-2</v>
      </c>
      <c r="AE444" s="34">
        <f t="shared" si="134"/>
        <v>9.6307780775956237E-4</v>
      </c>
      <c r="AF444" s="33">
        <f t="shared" si="135"/>
        <v>0.23875604976733494</v>
      </c>
      <c r="AG444" s="33">
        <f t="shared" si="136"/>
        <v>0</v>
      </c>
      <c r="AH444" s="35">
        <f t="shared" si="137"/>
        <v>0.37883377781619659</v>
      </c>
      <c r="AI444" s="36">
        <f t="shared" si="83"/>
        <v>1.2592946629996939</v>
      </c>
      <c r="AJ444" s="23" t="s">
        <v>1021</v>
      </c>
      <c r="AK444" s="76"/>
    </row>
    <row r="445" spans="1:44" ht="16.8">
      <c r="A445" s="74" t="s">
        <v>1059</v>
      </c>
      <c r="B445" s="75"/>
      <c r="C445" s="1" t="s">
        <v>1056</v>
      </c>
      <c r="D445" s="19" t="s">
        <v>1057</v>
      </c>
      <c r="E445" s="20" t="s">
        <v>39</v>
      </c>
      <c r="F445" s="21">
        <v>1980</v>
      </c>
      <c r="G445" s="40">
        <v>2023</v>
      </c>
      <c r="H445" s="23">
        <v>101117708952</v>
      </c>
      <c r="I445" s="23">
        <v>121563359521</v>
      </c>
      <c r="J445" s="23">
        <v>90988021707</v>
      </c>
      <c r="K445" s="23">
        <f t="shared" si="141"/>
        <v>95804023375</v>
      </c>
      <c r="L445" s="23">
        <v>90988021707</v>
      </c>
      <c r="M445" s="23">
        <v>30575337814</v>
      </c>
      <c r="N445" s="23">
        <v>35537530153</v>
      </c>
      <c r="O445" s="25">
        <f t="shared" si="70"/>
        <v>10129687245</v>
      </c>
      <c r="P445" s="23">
        <v>113613567</v>
      </c>
      <c r="Q445" s="23">
        <v>6610901711</v>
      </c>
      <c r="R445" s="25">
        <f t="shared" si="71"/>
        <v>28926628442</v>
      </c>
      <c r="S445" s="26">
        <f t="shared" si="72"/>
        <v>0.74848228993936183</v>
      </c>
      <c r="T445" s="27">
        <f t="shared" si="73"/>
        <v>1.1113298987598572</v>
      </c>
      <c r="U445" s="26">
        <f t="shared" si="74"/>
        <v>25.523701441343949</v>
      </c>
      <c r="V445" s="26">
        <f t="shared" si="75"/>
        <v>0.37093985096948962</v>
      </c>
      <c r="W445" s="61">
        <v>45864</v>
      </c>
      <c r="X445" s="42">
        <v>26700</v>
      </c>
      <c r="Y445" s="60">
        <v>0</v>
      </c>
      <c r="Z445" s="30">
        <f t="shared" si="103"/>
        <v>0</v>
      </c>
      <c r="AA445" s="31">
        <f t="shared" si="77"/>
        <v>43</v>
      </c>
      <c r="AB445" s="32">
        <v>3.2500000000000001E-2</v>
      </c>
      <c r="AC445" s="32">
        <v>5.0500000000000003E-2</v>
      </c>
      <c r="AD445" s="33">
        <f t="shared" si="133"/>
        <v>8.3328457562495239E-2</v>
      </c>
      <c r="AE445" s="34">
        <f t="shared" si="134"/>
        <v>9.3460371157621158E-4</v>
      </c>
      <c r="AF445" s="33">
        <f t="shared" si="135"/>
        <v>0.23795515816591875</v>
      </c>
      <c r="AG445" s="33">
        <f t="shared" si="136"/>
        <v>0</v>
      </c>
      <c r="AH445" s="35">
        <f t="shared" si="137"/>
        <v>0.39057372043364236</v>
      </c>
      <c r="AI445" s="36">
        <f t="shared" si="83"/>
        <v>1.2771283366523751</v>
      </c>
      <c r="AJ445" s="23" t="s">
        <v>1021</v>
      </c>
      <c r="AK445" s="76"/>
    </row>
    <row r="446" spans="1:44" ht="16.8">
      <c r="A446" s="67" t="s">
        <v>1060</v>
      </c>
      <c r="B446" s="45">
        <v>174</v>
      </c>
      <c r="C446" s="45" t="s">
        <v>1061</v>
      </c>
      <c r="D446" s="46" t="s">
        <v>1062</v>
      </c>
      <c r="E446" s="47" t="s">
        <v>39</v>
      </c>
      <c r="F446" s="48"/>
      <c r="G446" s="48">
        <v>2021</v>
      </c>
      <c r="H446" s="49"/>
      <c r="I446" s="49"/>
      <c r="J446" s="49"/>
      <c r="K446" s="49"/>
      <c r="L446" s="49"/>
      <c r="M446" s="49"/>
      <c r="N446" s="49"/>
      <c r="O446" s="49">
        <f t="shared" si="70"/>
        <v>0</v>
      </c>
      <c r="P446" s="49"/>
      <c r="Q446" s="49"/>
      <c r="R446" s="49">
        <f t="shared" si="71"/>
        <v>0</v>
      </c>
      <c r="S446" s="50" t="e">
        <f t="shared" si="72"/>
        <v>#DIV/0!</v>
      </c>
      <c r="T446" s="51" t="e">
        <f t="shared" si="73"/>
        <v>#DIV/0!</v>
      </c>
      <c r="U446" s="50" t="e">
        <f t="shared" si="74"/>
        <v>#NUM!</v>
      </c>
      <c r="V446" s="50" t="e">
        <f t="shared" si="75"/>
        <v>#DIV/0!</v>
      </c>
      <c r="W446" s="52"/>
      <c r="X446" s="53">
        <v>0</v>
      </c>
      <c r="Y446" s="52"/>
      <c r="Z446" s="55">
        <f t="shared" si="103"/>
        <v>0</v>
      </c>
      <c r="AA446" s="48">
        <f t="shared" si="77"/>
        <v>2021</v>
      </c>
      <c r="AB446" s="49"/>
      <c r="AC446" s="49"/>
      <c r="AD446" s="50" t="e">
        <f t="shared" si="133"/>
        <v>#DIV/0!</v>
      </c>
      <c r="AE446" s="56" t="e">
        <f t="shared" si="134"/>
        <v>#DIV/0!</v>
      </c>
      <c r="AF446" s="50" t="e">
        <f t="shared" si="135"/>
        <v>#DIV/0!</v>
      </c>
      <c r="AG446" s="50" t="e">
        <f t="shared" si="136"/>
        <v>#DIV/0!</v>
      </c>
      <c r="AH446" s="57" t="e">
        <f t="shared" si="137"/>
        <v>#DIV/0!</v>
      </c>
      <c r="AI446" s="58" t="e">
        <f t="shared" si="83"/>
        <v>#DIV/0!</v>
      </c>
      <c r="AJ446" s="49"/>
      <c r="AK446" s="49"/>
      <c r="AL446" s="59"/>
      <c r="AM446" s="59"/>
      <c r="AN446" s="59"/>
      <c r="AO446" s="59"/>
      <c r="AP446" s="59"/>
      <c r="AQ446" s="59"/>
      <c r="AR446" s="59"/>
    </row>
    <row r="447" spans="1:44" ht="16.8">
      <c r="A447" s="70" t="s">
        <v>1063</v>
      </c>
      <c r="B447" s="71">
        <v>175</v>
      </c>
      <c r="C447" s="1" t="s">
        <v>1064</v>
      </c>
      <c r="D447" s="19" t="s">
        <v>1065</v>
      </c>
      <c r="E447" s="20" t="s">
        <v>39</v>
      </c>
      <c r="F447" s="21">
        <v>1982</v>
      </c>
      <c r="G447" s="40">
        <v>2021</v>
      </c>
      <c r="H447" s="23">
        <v>144282833192</v>
      </c>
      <c r="I447" s="23">
        <v>215920989485</v>
      </c>
      <c r="J447" s="23">
        <v>62541255123</v>
      </c>
      <c r="K447" s="23">
        <f>(62541255123+101197722600)/2</f>
        <v>81869488861.5</v>
      </c>
      <c r="L447" s="23">
        <v>58482873885</v>
      </c>
      <c r="M447" s="23">
        <v>153379734362</v>
      </c>
      <c r="N447" s="23">
        <v>162250417952</v>
      </c>
      <c r="O447" s="25">
        <f t="shared" si="70"/>
        <v>85799959307</v>
      </c>
      <c r="P447" s="23">
        <v>37870254177</v>
      </c>
      <c r="Q447" s="23">
        <f>10559185239+30454010593</f>
        <v>41013195832</v>
      </c>
      <c r="R447" s="25">
        <f t="shared" si="71"/>
        <v>121237222120</v>
      </c>
      <c r="S447" s="26">
        <f t="shared" si="72"/>
        <v>0.28964879825796064</v>
      </c>
      <c r="T447" s="27">
        <f t="shared" si="73"/>
        <v>2.467095469277313</v>
      </c>
      <c r="U447" s="26">
        <f t="shared" si="74"/>
        <v>26.098178388292009</v>
      </c>
      <c r="V447" s="26">
        <f t="shared" si="75"/>
        <v>1.9818178934338013</v>
      </c>
      <c r="W447" s="60" t="s">
        <v>1066</v>
      </c>
      <c r="X447" s="29">
        <v>37500</v>
      </c>
      <c r="Y447" s="60">
        <v>7300</v>
      </c>
      <c r="Z447" s="30">
        <f t="shared" si="103"/>
        <v>273750000</v>
      </c>
      <c r="AA447" s="31">
        <f t="shared" si="77"/>
        <v>39</v>
      </c>
      <c r="AB447" s="32">
        <v>1.84E-2</v>
      </c>
      <c r="AC447" s="32">
        <v>2.58E-2</v>
      </c>
      <c r="AD447" s="33">
        <f t="shared" si="133"/>
        <v>0.39736738661509569</v>
      </c>
      <c r="AE447" s="34">
        <f t="shared" si="134"/>
        <v>0.17538940640891626</v>
      </c>
      <c r="AF447" s="33">
        <f t="shared" si="135"/>
        <v>0.56148882241215525</v>
      </c>
      <c r="AG447" s="33">
        <f t="shared" si="136"/>
        <v>4.3771107481232249E-3</v>
      </c>
      <c r="AH447" s="35">
        <f t="shared" si="137"/>
        <v>2.5942942403842362</v>
      </c>
      <c r="AI447" s="36">
        <f t="shared" si="83"/>
        <v>5.1722196537038201</v>
      </c>
      <c r="AJ447" s="23"/>
      <c r="AK447" s="23"/>
      <c r="AL447" s="44"/>
      <c r="AM447" s="44"/>
      <c r="AN447" s="44"/>
      <c r="AO447" s="44"/>
      <c r="AP447" s="44"/>
      <c r="AQ447" s="44"/>
      <c r="AR447" s="44"/>
    </row>
    <row r="448" spans="1:44" ht="16.8">
      <c r="A448" s="74" t="s">
        <v>1067</v>
      </c>
      <c r="B448" s="75"/>
      <c r="C448" s="1" t="s">
        <v>1064</v>
      </c>
      <c r="D448" s="19" t="s">
        <v>1065</v>
      </c>
      <c r="E448" s="20" t="s">
        <v>39</v>
      </c>
      <c r="F448" s="21">
        <v>1982</v>
      </c>
      <c r="G448" s="40">
        <v>2022</v>
      </c>
      <c r="H448" s="23">
        <v>158992694805</v>
      </c>
      <c r="I448" s="23">
        <v>228391094596</v>
      </c>
      <c r="J448" s="23">
        <v>115920681289</v>
      </c>
      <c r="K448" s="23">
        <f t="shared" ref="K448:K449" si="142">(J448+J447)/2</f>
        <v>89230968206</v>
      </c>
      <c r="L448" s="23">
        <v>113609306303</v>
      </c>
      <c r="M448" s="23">
        <v>112470413307</v>
      </c>
      <c r="N448" s="23">
        <v>188030359277</v>
      </c>
      <c r="O448" s="25">
        <f t="shared" si="70"/>
        <v>45383388502</v>
      </c>
      <c r="P448" s="23">
        <v>-38909321055</v>
      </c>
      <c r="Q448" s="23">
        <f>23111476111+39721997220</f>
        <v>62833473331</v>
      </c>
      <c r="R448" s="25">
        <f t="shared" si="71"/>
        <v>125196885946</v>
      </c>
      <c r="S448" s="26">
        <f t="shared" si="72"/>
        <v>0.50755342056594444</v>
      </c>
      <c r="T448" s="27">
        <f t="shared" si="73"/>
        <v>1.3994689341818611</v>
      </c>
      <c r="U448" s="26">
        <f t="shared" si="74"/>
        <v>26.154325323582832</v>
      </c>
      <c r="V448" s="26">
        <f t="shared" si="75"/>
        <v>2.1072320860949327</v>
      </c>
      <c r="W448" s="134">
        <v>45693</v>
      </c>
      <c r="X448" s="42">
        <v>5200</v>
      </c>
      <c r="Y448" s="60">
        <v>9900</v>
      </c>
      <c r="Z448" s="30">
        <f t="shared" si="103"/>
        <v>51480000</v>
      </c>
      <c r="AA448" s="31">
        <f t="shared" si="77"/>
        <v>40</v>
      </c>
      <c r="AB448" s="32">
        <v>3.15E-2</v>
      </c>
      <c r="AC448" s="32">
        <v>8.0199999999999994E-2</v>
      </c>
      <c r="AD448" s="33">
        <f t="shared" si="133"/>
        <v>0.19870909845359108</v>
      </c>
      <c r="AE448" s="34">
        <f t="shared" si="134"/>
        <v>-0.17036268915750208</v>
      </c>
      <c r="AF448" s="33">
        <f t="shared" si="135"/>
        <v>0.54816885994377418</v>
      </c>
      <c r="AG448" s="33">
        <f t="shared" si="136"/>
        <v>4.4409676882122554E-4</v>
      </c>
      <c r="AH448" s="35">
        <f t="shared" si="137"/>
        <v>1.6220605088424602</v>
      </c>
      <c r="AI448" s="36">
        <f t="shared" si="83"/>
        <v>3.4312273580420141</v>
      </c>
      <c r="AJ448" s="23" t="s">
        <v>1054</v>
      </c>
      <c r="AK448" s="76"/>
    </row>
    <row r="449" spans="1:44" ht="16.8">
      <c r="A449" s="74" t="s">
        <v>1068</v>
      </c>
      <c r="B449" s="75"/>
      <c r="C449" s="1" t="s">
        <v>1064</v>
      </c>
      <c r="D449" s="19" t="s">
        <v>1065</v>
      </c>
      <c r="E449" s="20" t="s">
        <v>39</v>
      </c>
      <c r="F449" s="21">
        <v>1982</v>
      </c>
      <c r="G449" s="40">
        <v>2023</v>
      </c>
      <c r="H449" s="23">
        <v>139992656837</v>
      </c>
      <c r="I449" s="23">
        <v>194772592284</v>
      </c>
      <c r="J449" s="23">
        <v>102407049050</v>
      </c>
      <c r="K449" s="23">
        <f t="shared" si="142"/>
        <v>109163865169.5</v>
      </c>
      <c r="L449" s="23">
        <v>100687319050</v>
      </c>
      <c r="M449" s="23">
        <v>92365543234</v>
      </c>
      <c r="N449" s="23">
        <v>186308476729</v>
      </c>
      <c r="O449" s="25">
        <f t="shared" si="70"/>
        <v>39305337787</v>
      </c>
      <c r="P449" s="23">
        <v>-20104870073</v>
      </c>
      <c r="Q449" s="23">
        <f>19569325820+29943047377</f>
        <v>49512373197</v>
      </c>
      <c r="R449" s="25">
        <f t="shared" si="71"/>
        <v>136796103532</v>
      </c>
      <c r="S449" s="26">
        <f t="shared" si="72"/>
        <v>0.52577751237545367</v>
      </c>
      <c r="T449" s="27">
        <f t="shared" si="73"/>
        <v>1.3903702885115203</v>
      </c>
      <c r="U449" s="26">
        <f t="shared" si="74"/>
        <v>25.995098521562092</v>
      </c>
      <c r="V449" s="26">
        <f t="shared" si="75"/>
        <v>1.706686332878711</v>
      </c>
      <c r="W449" s="61">
        <v>45915</v>
      </c>
      <c r="X449" s="42">
        <v>15900</v>
      </c>
      <c r="Y449" s="60">
        <v>77700</v>
      </c>
      <c r="Z449" s="30">
        <f t="shared" si="103"/>
        <v>1235430000</v>
      </c>
      <c r="AA449" s="31">
        <f t="shared" si="77"/>
        <v>41</v>
      </c>
      <c r="AB449" s="32">
        <v>3.2500000000000001E-2</v>
      </c>
      <c r="AC449" s="32">
        <v>5.0500000000000003E-2</v>
      </c>
      <c r="AD449" s="33">
        <f t="shared" si="133"/>
        <v>0.20180117400547026</v>
      </c>
      <c r="AE449" s="34">
        <f t="shared" si="134"/>
        <v>-0.10322227494762135</v>
      </c>
      <c r="AF449" s="33">
        <f t="shared" si="135"/>
        <v>0.70233754106705182</v>
      </c>
      <c r="AG449" s="33">
        <f t="shared" si="136"/>
        <v>1.2063915633354539E-2</v>
      </c>
      <c r="AH449" s="35">
        <f t="shared" si="137"/>
        <v>1.8192934808426646</v>
      </c>
      <c r="AI449" s="36">
        <f t="shared" si="83"/>
        <v>4.2418959396238423</v>
      </c>
      <c r="AJ449" s="23"/>
      <c r="AK449" s="76"/>
    </row>
    <row r="450" spans="1:44" ht="16.8">
      <c r="A450" s="70" t="s">
        <v>1069</v>
      </c>
      <c r="B450" s="71">
        <v>176</v>
      </c>
      <c r="C450" s="1" t="s">
        <v>1070</v>
      </c>
      <c r="D450" s="19" t="s">
        <v>1071</v>
      </c>
      <c r="E450" s="20" t="s">
        <v>39</v>
      </c>
      <c r="F450" s="21">
        <v>1976</v>
      </c>
      <c r="G450" s="40">
        <v>2021</v>
      </c>
      <c r="H450" s="23">
        <v>503504504319</v>
      </c>
      <c r="I450" s="23">
        <v>910909405950</v>
      </c>
      <c r="J450" s="23">
        <v>392108092700</v>
      </c>
      <c r="K450" s="23">
        <f>(392108092700+258772074687)/2</f>
        <v>325440083693.5</v>
      </c>
      <c r="L450" s="23">
        <v>386899496966</v>
      </c>
      <c r="M450" s="23">
        <v>518801313250</v>
      </c>
      <c r="N450" s="23">
        <v>1055441387175</v>
      </c>
      <c r="O450" s="25">
        <f t="shared" si="70"/>
        <v>116605007353</v>
      </c>
      <c r="P450" s="23">
        <v>89264822936</v>
      </c>
      <c r="Q450" s="23">
        <f>2664174044+100353310091</f>
        <v>103017484135</v>
      </c>
      <c r="R450" s="25">
        <f t="shared" si="71"/>
        <v>952423903040</v>
      </c>
      <c r="S450" s="26">
        <f t="shared" si="72"/>
        <v>0.43045783712274333</v>
      </c>
      <c r="T450" s="27">
        <f t="shared" si="73"/>
        <v>1.301383197102598</v>
      </c>
      <c r="U450" s="26">
        <f t="shared" si="74"/>
        <v>27.53770928464013</v>
      </c>
      <c r="V450" s="26">
        <f t="shared" si="75"/>
        <v>3.2431204392419479</v>
      </c>
      <c r="W450" s="60" t="s">
        <v>1072</v>
      </c>
      <c r="X450" s="29">
        <v>48220</v>
      </c>
      <c r="Y450" s="60">
        <v>600</v>
      </c>
      <c r="Z450" s="30">
        <f t="shared" si="103"/>
        <v>28932000</v>
      </c>
      <c r="AA450" s="31">
        <f t="shared" si="77"/>
        <v>45</v>
      </c>
      <c r="AB450" s="32">
        <v>1.84E-2</v>
      </c>
      <c r="AC450" s="32">
        <v>2.58E-2</v>
      </c>
      <c r="AD450" s="33">
        <f t="shared" si="133"/>
        <v>0.12800944483759175</v>
      </c>
      <c r="AE450" s="34">
        <f t="shared" si="134"/>
        <v>9.7995280708408627E-2</v>
      </c>
      <c r="AF450" s="33">
        <f t="shared" si="135"/>
        <v>1.0455747814424026</v>
      </c>
      <c r="AG450" s="33">
        <f t="shared" si="136"/>
        <v>7.3785776265872002E-5</v>
      </c>
      <c r="AH450" s="35">
        <f t="shared" si="137"/>
        <v>2.6917102881182129</v>
      </c>
      <c r="AI450" s="36">
        <f t="shared" si="83"/>
        <v>6.4329560651407824</v>
      </c>
      <c r="AJ450" s="23" t="s">
        <v>1054</v>
      </c>
      <c r="AK450" s="23"/>
      <c r="AL450" s="44"/>
      <c r="AM450" s="44"/>
      <c r="AN450" s="44"/>
      <c r="AO450" s="44"/>
      <c r="AP450" s="44"/>
      <c r="AQ450" s="44"/>
      <c r="AR450" s="44"/>
    </row>
    <row r="451" spans="1:44" ht="16.8">
      <c r="A451" s="74" t="s">
        <v>1073</v>
      </c>
      <c r="B451" s="75"/>
      <c r="C451" s="1" t="s">
        <v>1070</v>
      </c>
      <c r="D451" s="19" t="s">
        <v>1071</v>
      </c>
      <c r="E451" s="20" t="s">
        <v>39</v>
      </c>
      <c r="F451" s="21">
        <v>1976</v>
      </c>
      <c r="G451" s="40">
        <v>2022</v>
      </c>
      <c r="H451" s="23">
        <v>558018506629</v>
      </c>
      <c r="I451" s="23">
        <v>1030889648816</v>
      </c>
      <c r="J451" s="23">
        <v>418246663386</v>
      </c>
      <c r="K451" s="23">
        <f t="shared" ref="K451:K452" si="143">(J451+J450)/2</f>
        <v>405177378043</v>
      </c>
      <c r="L451" s="23">
        <v>412838067652</v>
      </c>
      <c r="M451" s="23">
        <v>612642985430</v>
      </c>
      <c r="N451" s="23">
        <v>1417274934468</v>
      </c>
      <c r="O451" s="25">
        <f t="shared" si="70"/>
        <v>145180438977</v>
      </c>
      <c r="P451" s="23">
        <v>116800486967</v>
      </c>
      <c r="Q451" s="23">
        <f>131481655768+3342499860</f>
        <v>134824155628</v>
      </c>
      <c r="R451" s="25">
        <f t="shared" si="71"/>
        <v>1282450778840</v>
      </c>
      <c r="S451" s="26">
        <f t="shared" si="72"/>
        <v>0.40571429140487125</v>
      </c>
      <c r="T451" s="27">
        <f t="shared" si="73"/>
        <v>1.351664370010033</v>
      </c>
      <c r="U451" s="26">
        <f t="shared" si="74"/>
        <v>27.661443282078753</v>
      </c>
      <c r="V451" s="26">
        <f t="shared" si="75"/>
        <v>3.4979123003199595</v>
      </c>
      <c r="W451" s="133" t="s">
        <v>1074</v>
      </c>
      <c r="X451" s="42">
        <v>48290</v>
      </c>
      <c r="Y451" s="60">
        <v>9300</v>
      </c>
      <c r="Z451" s="30">
        <f t="shared" si="103"/>
        <v>449097000</v>
      </c>
      <c r="AA451" s="31">
        <f t="shared" si="77"/>
        <v>46</v>
      </c>
      <c r="AB451" s="32">
        <v>3.15E-2</v>
      </c>
      <c r="AC451" s="32">
        <v>8.0199999999999994E-2</v>
      </c>
      <c r="AD451" s="33">
        <f t="shared" si="133"/>
        <v>0.14083024225118859</v>
      </c>
      <c r="AE451" s="34">
        <f t="shared" si="134"/>
        <v>0.11330066908824625</v>
      </c>
      <c r="AF451" s="33">
        <f t="shared" si="135"/>
        <v>1.2440233349058492</v>
      </c>
      <c r="AG451" s="33">
        <f t="shared" si="136"/>
        <v>1.0737611063391275E-3</v>
      </c>
      <c r="AH451" s="35">
        <f t="shared" si="137"/>
        <v>3.3886102593004943</v>
      </c>
      <c r="AI451" s="36">
        <f t="shared" si="83"/>
        <v>7.8221487485785719</v>
      </c>
      <c r="AJ451" s="23" t="s">
        <v>1054</v>
      </c>
      <c r="AK451" s="76"/>
    </row>
    <row r="452" spans="1:44" ht="16.8">
      <c r="A452" s="74" t="s">
        <v>1075</v>
      </c>
      <c r="B452" s="75"/>
      <c r="C452" s="1" t="s">
        <v>1070</v>
      </c>
      <c r="D452" s="19" t="s">
        <v>1071</v>
      </c>
      <c r="E452" s="20" t="s">
        <v>39</v>
      </c>
      <c r="F452" s="21">
        <v>1976</v>
      </c>
      <c r="G452" s="40">
        <v>2023</v>
      </c>
      <c r="H452" s="23">
        <v>660825539644</v>
      </c>
      <c r="I452" s="23">
        <v>1098510172732</v>
      </c>
      <c r="J452" s="23">
        <v>408926635282</v>
      </c>
      <c r="K452" s="23">
        <f t="shared" si="143"/>
        <v>413586649334</v>
      </c>
      <c r="L452" s="23">
        <v>364537689548</v>
      </c>
      <c r="M452" s="23">
        <v>689583537450</v>
      </c>
      <c r="N452" s="23">
        <v>1119808512341</v>
      </c>
      <c r="O452" s="25">
        <f t="shared" si="70"/>
        <v>296287850096</v>
      </c>
      <c r="P452" s="23">
        <v>126274753220</v>
      </c>
      <c r="Q452" s="23">
        <f>119001622748+3162427454</f>
        <v>122164050202</v>
      </c>
      <c r="R452" s="25">
        <f t="shared" si="71"/>
        <v>997644462139</v>
      </c>
      <c r="S452" s="26">
        <f t="shared" si="72"/>
        <v>0.37225566538450666</v>
      </c>
      <c r="T452" s="27">
        <f t="shared" si="73"/>
        <v>1.8127770010924664</v>
      </c>
      <c r="U452" s="26">
        <f t="shared" si="74"/>
        <v>27.724975989294425</v>
      </c>
      <c r="V452" s="26">
        <f t="shared" si="75"/>
        <v>2.7075547872355927</v>
      </c>
      <c r="W452" s="60" t="s">
        <v>1076</v>
      </c>
      <c r="X452" s="29">
        <v>50440</v>
      </c>
      <c r="Y452" s="60">
        <v>2000</v>
      </c>
      <c r="Z452" s="30">
        <f t="shared" si="103"/>
        <v>100880000</v>
      </c>
      <c r="AA452" s="31">
        <f t="shared" si="77"/>
        <v>47</v>
      </c>
      <c r="AB452" s="32">
        <v>3.2500000000000001E-2</v>
      </c>
      <c r="AC452" s="32">
        <v>5.0500000000000003E-2</v>
      </c>
      <c r="AD452" s="33">
        <f t="shared" si="133"/>
        <v>0.26971789378985062</v>
      </c>
      <c r="AE452" s="34">
        <f t="shared" si="134"/>
        <v>0.11495091839336735</v>
      </c>
      <c r="AF452" s="33">
        <f t="shared" si="135"/>
        <v>0.90817953889116343</v>
      </c>
      <c r="AG452" s="33">
        <f t="shared" si="136"/>
        <v>2.4669461780212022E-4</v>
      </c>
      <c r="AH452" s="35">
        <f t="shared" si="137"/>
        <v>2.7384093275527737</v>
      </c>
      <c r="AI452" s="36">
        <f t="shared" si="83"/>
        <v>6.220142580962829</v>
      </c>
      <c r="AJ452" s="23" t="s">
        <v>1054</v>
      </c>
      <c r="AK452" s="76"/>
    </row>
    <row r="453" spans="1:44" ht="16.8">
      <c r="A453" s="70" t="s">
        <v>1077</v>
      </c>
      <c r="B453" s="71">
        <v>177</v>
      </c>
      <c r="C453" s="1" t="s">
        <v>1078</v>
      </c>
      <c r="D453" s="19" t="s">
        <v>1079</v>
      </c>
      <c r="E453" s="20" t="s">
        <v>39</v>
      </c>
      <c r="F453" s="21">
        <v>1960</v>
      </c>
      <c r="G453" s="40">
        <v>2021</v>
      </c>
      <c r="H453" s="23">
        <v>3480836199483</v>
      </c>
      <c r="I453" s="23">
        <v>5192754538199</v>
      </c>
      <c r="J453" s="23">
        <v>4307959188578</v>
      </c>
      <c r="K453" s="23">
        <f>(4307959188578+4511550619783)/2</f>
        <v>4409754904180.5</v>
      </c>
      <c r="L453" s="23">
        <v>3276833705815</v>
      </c>
      <c r="M453" s="23">
        <v>884795349621</v>
      </c>
      <c r="N453" s="23">
        <v>2439778222621</v>
      </c>
      <c r="O453" s="25">
        <f t="shared" si="70"/>
        <v>204002493668</v>
      </c>
      <c r="P453" s="23">
        <v>46294027333</v>
      </c>
      <c r="Q453" s="23">
        <f>6972305064+77094163752</f>
        <v>84066468816</v>
      </c>
      <c r="R453" s="25">
        <f t="shared" si="71"/>
        <v>2355711753805</v>
      </c>
      <c r="S453" s="26">
        <f t="shared" si="72"/>
        <v>0.82960963336274451</v>
      </c>
      <c r="T453" s="27">
        <f t="shared" si="73"/>
        <v>1.0622559800047167</v>
      </c>
      <c r="U453" s="26">
        <f t="shared" si="74"/>
        <v>29.278285411851311</v>
      </c>
      <c r="V453" s="26">
        <f t="shared" si="75"/>
        <v>0.55326844136123332</v>
      </c>
      <c r="W453" s="60" t="s">
        <v>1080</v>
      </c>
      <c r="X453" s="29">
        <v>18480</v>
      </c>
      <c r="Y453" s="60">
        <v>1335408</v>
      </c>
      <c r="Z453" s="30">
        <f t="shared" si="103"/>
        <v>24678339840</v>
      </c>
      <c r="AA453" s="31">
        <f t="shared" si="77"/>
        <v>61</v>
      </c>
      <c r="AB453" s="32">
        <v>1.84E-2</v>
      </c>
      <c r="AC453" s="32">
        <v>2.58E-2</v>
      </c>
      <c r="AD453" s="33">
        <f t="shared" si="133"/>
        <v>3.9285988229814162E-2</v>
      </c>
      <c r="AE453" s="34">
        <f t="shared" si="134"/>
        <v>8.9151195174837078E-3</v>
      </c>
      <c r="AF453" s="33">
        <f t="shared" si="135"/>
        <v>0.4536535929969126</v>
      </c>
      <c r="AG453" s="33">
        <f t="shared" si="136"/>
        <v>5.7285454108830574E-3</v>
      </c>
      <c r="AH453" s="35">
        <f t="shared" si="137"/>
        <v>0.56634199996363899</v>
      </c>
      <c r="AI453" s="36">
        <f t="shared" si="83"/>
        <v>2.1264603373002346</v>
      </c>
      <c r="AJ453" s="23" t="s">
        <v>1054</v>
      </c>
      <c r="AK453" s="23"/>
      <c r="AL453" s="44"/>
      <c r="AM453" s="44"/>
      <c r="AN453" s="44"/>
      <c r="AO453" s="44"/>
      <c r="AP453" s="44"/>
      <c r="AQ453" s="44"/>
      <c r="AR453" s="44"/>
    </row>
    <row r="454" spans="1:44" ht="16.8">
      <c r="A454" s="74" t="s">
        <v>1081</v>
      </c>
      <c r="B454" s="75"/>
      <c r="C454" s="1" t="s">
        <v>1078</v>
      </c>
      <c r="D454" s="19" t="s">
        <v>1079</v>
      </c>
      <c r="E454" s="20" t="s">
        <v>39</v>
      </c>
      <c r="F454" s="21">
        <v>1960</v>
      </c>
      <c r="G454" s="40">
        <v>2022</v>
      </c>
      <c r="H454" s="23">
        <v>3899173818211</v>
      </c>
      <c r="I454" s="23">
        <v>6470360447664</v>
      </c>
      <c r="J454" s="23">
        <v>5163792058606</v>
      </c>
      <c r="K454" s="23">
        <f t="shared" ref="K454:K455" si="144">(J454+J453)/2</f>
        <v>4735875623592</v>
      </c>
      <c r="L454" s="23">
        <v>3941966095793</v>
      </c>
      <c r="M454" s="23">
        <v>1306568389058</v>
      </c>
      <c r="N454" s="23">
        <v>2968797065446</v>
      </c>
      <c r="O454" s="25">
        <f t="shared" si="70"/>
        <v>-42792277582</v>
      </c>
      <c r="P454" s="23">
        <v>9026729990</v>
      </c>
      <c r="Q454" s="23">
        <f>4123298799+85599678096</f>
        <v>89722976895</v>
      </c>
      <c r="R454" s="25">
        <f t="shared" si="71"/>
        <v>2879074088551</v>
      </c>
      <c r="S454" s="26">
        <f t="shared" si="72"/>
        <v>0.79806868572063683</v>
      </c>
      <c r="T454" s="27">
        <f t="shared" si="73"/>
        <v>0.98914443286874809</v>
      </c>
      <c r="U454" s="26">
        <f t="shared" si="74"/>
        <v>29.498252933502254</v>
      </c>
      <c r="V454" s="26">
        <f t="shared" si="75"/>
        <v>0.62687395138858582</v>
      </c>
      <c r="W454" s="133" t="s">
        <v>1082</v>
      </c>
      <c r="X454" s="42">
        <v>3700</v>
      </c>
      <c r="Y454" s="60">
        <v>163935</v>
      </c>
      <c r="Z454" s="30">
        <f t="shared" si="103"/>
        <v>606559500</v>
      </c>
      <c r="AA454" s="31">
        <f t="shared" si="77"/>
        <v>62</v>
      </c>
      <c r="AB454" s="32">
        <v>3.15E-2</v>
      </c>
      <c r="AC454" s="32">
        <v>8.0199999999999994E-2</v>
      </c>
      <c r="AD454" s="33">
        <f t="shared" si="133"/>
        <v>-6.6135848115616699E-3</v>
      </c>
      <c r="AE454" s="34">
        <f t="shared" si="134"/>
        <v>1.3950892014461E-3</v>
      </c>
      <c r="AF454" s="33">
        <f t="shared" si="135"/>
        <v>0.4449634779760121</v>
      </c>
      <c r="AG454" s="33">
        <f t="shared" si="136"/>
        <v>1.1746396700639893E-4</v>
      </c>
      <c r="AH454" s="35">
        <f t="shared" si="137"/>
        <v>0.57492575838684068</v>
      </c>
      <c r="AI454" s="36">
        <f t="shared" si="83"/>
        <v>2.0373925371960349</v>
      </c>
      <c r="AJ454" s="23" t="s">
        <v>1054</v>
      </c>
      <c r="AK454" s="76"/>
    </row>
    <row r="455" spans="1:44" ht="16.8">
      <c r="A455" s="74" t="s">
        <v>1083</v>
      </c>
      <c r="B455" s="75"/>
      <c r="C455" s="1" t="s">
        <v>1078</v>
      </c>
      <c r="D455" s="19" t="s">
        <v>1079</v>
      </c>
      <c r="E455" s="20" t="s">
        <v>39</v>
      </c>
      <c r="F455" s="21">
        <v>1960</v>
      </c>
      <c r="G455" s="40">
        <v>2023</v>
      </c>
      <c r="H455" s="23">
        <v>4158129075577</v>
      </c>
      <c r="I455" s="23">
        <v>6584036443989</v>
      </c>
      <c r="J455" s="23">
        <v>5183574598999</v>
      </c>
      <c r="K455" s="23">
        <f t="shared" si="144"/>
        <v>5173683328802.5</v>
      </c>
      <c r="L455" s="23">
        <v>3673439406007</v>
      </c>
      <c r="M455" s="23">
        <v>1400461844990</v>
      </c>
      <c r="N455" s="23">
        <v>3325201927581</v>
      </c>
      <c r="O455" s="25">
        <f t="shared" si="70"/>
        <v>484689669570</v>
      </c>
      <c r="P455" s="23">
        <v>2606727164</v>
      </c>
      <c r="Q455" s="23">
        <f>2557243322+99359774027</f>
        <v>101917017349</v>
      </c>
      <c r="R455" s="25">
        <f t="shared" si="71"/>
        <v>3223284910232</v>
      </c>
      <c r="S455" s="26">
        <f t="shared" si="72"/>
        <v>0.78729433579175068</v>
      </c>
      <c r="T455" s="27">
        <f t="shared" si="73"/>
        <v>1.1319443758286607</v>
      </c>
      <c r="U455" s="26">
        <f t="shared" si="74"/>
        <v>29.515669114523266</v>
      </c>
      <c r="V455" s="26">
        <f t="shared" si="75"/>
        <v>0.6427146224951984</v>
      </c>
      <c r="W455" s="60" t="s">
        <v>1084</v>
      </c>
      <c r="X455" s="29">
        <v>4300</v>
      </c>
      <c r="Y455" s="60">
        <v>302133</v>
      </c>
      <c r="Z455" s="30">
        <f t="shared" si="103"/>
        <v>1299171900</v>
      </c>
      <c r="AA455" s="31">
        <f t="shared" si="77"/>
        <v>63</v>
      </c>
      <c r="AB455" s="32">
        <v>3.2500000000000001E-2</v>
      </c>
      <c r="AC455" s="32">
        <v>5.0500000000000003E-2</v>
      </c>
      <c r="AD455" s="33">
        <f t="shared" si="133"/>
        <v>7.3615884980786375E-2</v>
      </c>
      <c r="AE455" s="34">
        <f t="shared" si="134"/>
        <v>3.9591627205828314E-4</v>
      </c>
      <c r="AF455" s="33">
        <f t="shared" si="135"/>
        <v>0.48956061189101541</v>
      </c>
      <c r="AG455" s="33">
        <f t="shared" si="136"/>
        <v>2.5063243041797511E-4</v>
      </c>
      <c r="AH455" s="35">
        <f t="shared" si="137"/>
        <v>0.64148819778211152</v>
      </c>
      <c r="AI455" s="36">
        <f t="shared" si="83"/>
        <v>2.3460819412385381</v>
      </c>
      <c r="AJ455" s="23" t="s">
        <v>1054</v>
      </c>
      <c r="AK455" s="76"/>
    </row>
    <row r="456" spans="1:44" ht="16.8">
      <c r="A456" s="70" t="s">
        <v>1085</v>
      </c>
      <c r="B456" s="71">
        <v>178</v>
      </c>
      <c r="C456" s="1" t="s">
        <v>1086</v>
      </c>
      <c r="D456" s="19" t="s">
        <v>1087</v>
      </c>
      <c r="E456" s="20" t="s">
        <v>178</v>
      </c>
      <c r="F456" s="21">
        <v>1977</v>
      </c>
      <c r="G456" s="40">
        <v>2021</v>
      </c>
      <c r="H456" s="23">
        <v>124708310592</v>
      </c>
      <c r="I456" s="23">
        <v>155978550271</v>
      </c>
      <c r="J456" s="23">
        <v>133503883858</v>
      </c>
      <c r="K456" s="23">
        <f>(133503883858+142875488452)/2</f>
        <v>138189686155</v>
      </c>
      <c r="L456" s="23">
        <v>133503883858</v>
      </c>
      <c r="M456" s="23">
        <v>22474666413</v>
      </c>
      <c r="N456" s="23">
        <v>33268356904</v>
      </c>
      <c r="O456" s="25">
        <f t="shared" si="70"/>
        <v>-8795573266</v>
      </c>
      <c r="P456" s="23">
        <v>-15479306331</v>
      </c>
      <c r="Q456" s="23">
        <v>5348039201</v>
      </c>
      <c r="R456" s="25">
        <f t="shared" si="71"/>
        <v>27920317703</v>
      </c>
      <c r="S456" s="26">
        <f t="shared" si="72"/>
        <v>0.85591181368238067</v>
      </c>
      <c r="T456" s="27">
        <f t="shared" si="73"/>
        <v>0.93411747275191392</v>
      </c>
      <c r="U456" s="26">
        <f t="shared" si="74"/>
        <v>25.772984336479375</v>
      </c>
      <c r="V456" s="26">
        <f t="shared" si="75"/>
        <v>0.24074413821799015</v>
      </c>
      <c r="W456" s="133">
        <v>7</v>
      </c>
      <c r="X456" s="42">
        <v>7000</v>
      </c>
      <c r="Y456" s="60">
        <v>11100</v>
      </c>
      <c r="Z456" s="30">
        <f t="shared" si="103"/>
        <v>77700000</v>
      </c>
      <c r="AA456" s="31">
        <f t="shared" si="77"/>
        <v>44</v>
      </c>
      <c r="AB456" s="32">
        <v>1.84E-2</v>
      </c>
      <c r="AC456" s="32">
        <v>2.58E-2</v>
      </c>
      <c r="AD456" s="33">
        <f t="shared" si="133"/>
        <v>-5.638963338688819E-2</v>
      </c>
      <c r="AE456" s="34">
        <f t="shared" si="134"/>
        <v>-9.9239967957811953E-2</v>
      </c>
      <c r="AF456" s="33">
        <f t="shared" si="135"/>
        <v>0.1790010078596751</v>
      </c>
      <c r="AG456" s="33">
        <f t="shared" si="136"/>
        <v>5.820055398736174E-4</v>
      </c>
      <c r="AH456" s="35">
        <f t="shared" si="137"/>
        <v>0.24919392561931411</v>
      </c>
      <c r="AI456" s="36">
        <f t="shared" si="83"/>
        <v>0.63364293967496343</v>
      </c>
      <c r="AJ456" s="23" t="s">
        <v>1021</v>
      </c>
      <c r="AK456" s="23"/>
      <c r="AL456" s="44"/>
      <c r="AM456" s="44"/>
      <c r="AN456" s="44"/>
      <c r="AO456" s="44"/>
      <c r="AP456" s="44"/>
      <c r="AQ456" s="44"/>
      <c r="AR456" s="44"/>
    </row>
    <row r="457" spans="1:44" ht="16.8">
      <c r="A457" s="74" t="s">
        <v>1088</v>
      </c>
      <c r="B457" s="75"/>
      <c r="C457" s="1" t="s">
        <v>1086</v>
      </c>
      <c r="D457" s="19" t="s">
        <v>1087</v>
      </c>
      <c r="E457" s="20" t="s">
        <v>178</v>
      </c>
      <c r="F457" s="21">
        <v>1977</v>
      </c>
      <c r="G457" s="40">
        <v>2022</v>
      </c>
      <c r="H457" s="23">
        <v>99923196316</v>
      </c>
      <c r="I457" s="23">
        <v>128328801689</v>
      </c>
      <c r="J457" s="23">
        <v>126026337453</v>
      </c>
      <c r="K457" s="23">
        <f t="shared" ref="K457:K458" si="145">(J457+J456)/2</f>
        <v>129765110655.5</v>
      </c>
      <c r="L457" s="23">
        <v>126026337453</v>
      </c>
      <c r="M457" s="23">
        <v>2302464236</v>
      </c>
      <c r="N457" s="23">
        <v>34466739545</v>
      </c>
      <c r="O457" s="25">
        <f t="shared" si="70"/>
        <v>-26103141137</v>
      </c>
      <c r="P457" s="23">
        <v>-20172202177</v>
      </c>
      <c r="Q457" s="23">
        <v>4803251934</v>
      </c>
      <c r="R457" s="25">
        <f t="shared" si="71"/>
        <v>29663487611</v>
      </c>
      <c r="S457" s="26">
        <f t="shared" si="72"/>
        <v>0.98205808668283268</v>
      </c>
      <c r="T457" s="27">
        <f t="shared" si="73"/>
        <v>0.7928755078934604</v>
      </c>
      <c r="U457" s="26">
        <f t="shared" si="74"/>
        <v>25.577861570428333</v>
      </c>
      <c r="V457" s="26">
        <f t="shared" si="75"/>
        <v>0.26560867841050273</v>
      </c>
      <c r="W457" s="61">
        <v>45810</v>
      </c>
      <c r="X457" s="42">
        <v>2600</v>
      </c>
      <c r="Y457" s="60">
        <v>8500</v>
      </c>
      <c r="Z457" s="30">
        <f t="shared" si="103"/>
        <v>22100000</v>
      </c>
      <c r="AA457" s="31">
        <f t="shared" si="77"/>
        <v>45</v>
      </c>
      <c r="AB457" s="32">
        <v>3.15E-2</v>
      </c>
      <c r="AC457" s="32">
        <v>8.0199999999999994E-2</v>
      </c>
      <c r="AD457" s="33">
        <f t="shared" si="133"/>
        <v>-0.20340828242330178</v>
      </c>
      <c r="AE457" s="34">
        <f t="shared" si="134"/>
        <v>-0.15719154166097934</v>
      </c>
      <c r="AF457" s="33">
        <f t="shared" si="135"/>
        <v>0.23115222164147017</v>
      </c>
      <c r="AG457" s="33">
        <f t="shared" si="136"/>
        <v>1.7536017031552574E-4</v>
      </c>
      <c r="AH457" s="35">
        <f t="shared" si="137"/>
        <v>0.27348838537701659</v>
      </c>
      <c r="AI457" s="36">
        <f t="shared" si="83"/>
        <v>0.57223783566272424</v>
      </c>
      <c r="AJ457" s="23" t="s">
        <v>1021</v>
      </c>
      <c r="AK457" s="76"/>
    </row>
    <row r="458" spans="1:44" ht="16.8">
      <c r="A458" s="70" t="s">
        <v>1089</v>
      </c>
      <c r="B458" s="71"/>
      <c r="C458" s="1" t="s">
        <v>1086</v>
      </c>
      <c r="D458" s="19" t="s">
        <v>1087</v>
      </c>
      <c r="E458" s="20" t="s">
        <v>178</v>
      </c>
      <c r="F458" s="21">
        <v>1977</v>
      </c>
      <c r="G458" s="40">
        <v>2023</v>
      </c>
      <c r="H458" s="23">
        <v>92844257333</v>
      </c>
      <c r="I458" s="23">
        <v>117696224016</v>
      </c>
      <c r="J458" s="23">
        <v>136466610249</v>
      </c>
      <c r="K458" s="23">
        <f t="shared" si="145"/>
        <v>131246473851</v>
      </c>
      <c r="L458" s="23">
        <v>136466610249</v>
      </c>
      <c r="M458" s="23">
        <v>-18770386233</v>
      </c>
      <c r="N458" s="23">
        <v>26248553220</v>
      </c>
      <c r="O458" s="25">
        <f t="shared" si="70"/>
        <v>-43622352916</v>
      </c>
      <c r="P458" s="23">
        <v>-21072850469</v>
      </c>
      <c r="Q458" s="23">
        <v>3791539324</v>
      </c>
      <c r="R458" s="25">
        <f t="shared" si="71"/>
        <v>22457013896</v>
      </c>
      <c r="S458" s="26">
        <f t="shared" si="72"/>
        <v>1.1594816349456403</v>
      </c>
      <c r="T458" s="27">
        <f t="shared" si="73"/>
        <v>0.68034413079942635</v>
      </c>
      <c r="U458" s="26">
        <f t="shared" si="74"/>
        <v>25.491372769270665</v>
      </c>
      <c r="V458" s="26">
        <f t="shared" si="75"/>
        <v>0.19999434994192042</v>
      </c>
      <c r="W458" s="61">
        <v>45810</v>
      </c>
      <c r="X458" s="42">
        <v>2600</v>
      </c>
      <c r="Y458" s="60">
        <v>1700</v>
      </c>
      <c r="Z458" s="30">
        <f t="shared" si="103"/>
        <v>4420000</v>
      </c>
      <c r="AA458" s="31">
        <f t="shared" si="77"/>
        <v>46</v>
      </c>
      <c r="AB458" s="32">
        <v>3.2500000000000001E-2</v>
      </c>
      <c r="AC458" s="32">
        <v>5.0500000000000003E-2</v>
      </c>
      <c r="AD458" s="33">
        <f t="shared" si="133"/>
        <v>-0.37063510984065079</v>
      </c>
      <c r="AE458" s="34">
        <f t="shared" si="134"/>
        <v>-0.17904440558887674</v>
      </c>
      <c r="AF458" s="33">
        <f t="shared" si="135"/>
        <v>0.1908048799674926</v>
      </c>
      <c r="AG458" s="33">
        <f t="shared" si="136"/>
        <v>3.238887513901877E-5</v>
      </c>
      <c r="AH458" s="35">
        <f t="shared" si="137"/>
        <v>0.19234414317250431</v>
      </c>
      <c r="AI458" s="36">
        <f t="shared" si="83"/>
        <v>0.12659538075710497</v>
      </c>
      <c r="AJ458" s="23" t="s">
        <v>1021</v>
      </c>
      <c r="AK458" s="23"/>
      <c r="AL458" s="44"/>
      <c r="AM458" s="44"/>
      <c r="AN458" s="44"/>
      <c r="AO458" s="44"/>
      <c r="AP458" s="44"/>
      <c r="AQ458" s="44"/>
      <c r="AR458" s="44"/>
    </row>
    <row r="459" spans="1:44" ht="16.8">
      <c r="A459" s="70" t="s">
        <v>1090</v>
      </c>
      <c r="B459" s="71">
        <v>179</v>
      </c>
      <c r="C459" s="1" t="s">
        <v>1091</v>
      </c>
      <c r="D459" s="19" t="s">
        <v>1092</v>
      </c>
      <c r="E459" s="20" t="s">
        <v>178</v>
      </c>
      <c r="F459" s="21">
        <v>1976</v>
      </c>
      <c r="G459" s="40">
        <v>2021</v>
      </c>
      <c r="H459" s="23">
        <v>305030598986</v>
      </c>
      <c r="I459" s="23">
        <v>363463075561</v>
      </c>
      <c r="J459" s="23">
        <v>426658463341</v>
      </c>
      <c r="K459" s="23">
        <f>(426658463341+408833920384)/2</f>
        <v>417746191862.5</v>
      </c>
      <c r="L459" s="23">
        <v>426658463341</v>
      </c>
      <c r="M459" s="23">
        <v>-63195387780</v>
      </c>
      <c r="N459" s="23">
        <v>57235993177</v>
      </c>
      <c r="O459" s="25">
        <f t="shared" si="70"/>
        <v>-121627864355</v>
      </c>
      <c r="P459" s="23">
        <v>-47704804682</v>
      </c>
      <c r="Q459" s="23">
        <v>5876286629</v>
      </c>
      <c r="R459" s="25">
        <f t="shared" si="71"/>
        <v>51359706548</v>
      </c>
      <c r="S459" s="26">
        <f t="shared" si="72"/>
        <v>1.1738701728709549</v>
      </c>
      <c r="T459" s="27">
        <f t="shared" si="73"/>
        <v>0.71492921199176851</v>
      </c>
      <c r="U459" s="26">
        <f t="shared" si="74"/>
        <v>26.618943548460496</v>
      </c>
      <c r="V459" s="26">
        <f t="shared" si="75"/>
        <v>0.13701140618856694</v>
      </c>
      <c r="W459" s="61">
        <v>45902</v>
      </c>
      <c r="X459" s="42">
        <v>2900</v>
      </c>
      <c r="Y459" s="60">
        <v>51953</v>
      </c>
      <c r="Z459" s="30">
        <f t="shared" si="103"/>
        <v>150663700</v>
      </c>
      <c r="AA459" s="31">
        <f t="shared" si="77"/>
        <v>45</v>
      </c>
      <c r="AB459" s="32">
        <v>1.84E-2</v>
      </c>
      <c r="AC459" s="32">
        <v>2.58E-2</v>
      </c>
      <c r="AD459" s="33">
        <f t="shared" si="133"/>
        <v>-0.33463609519968196</v>
      </c>
      <c r="AE459" s="34">
        <f t="shared" si="134"/>
        <v>-0.13125075940208872</v>
      </c>
      <c r="AF459" s="33">
        <f t="shared" si="135"/>
        <v>0.14130653153343578</v>
      </c>
      <c r="AG459" s="33">
        <f t="shared" si="136"/>
        <v>3.5312483624538914E-4</v>
      </c>
      <c r="AH459" s="35">
        <f t="shared" si="137"/>
        <v>0.1341494382387419</v>
      </c>
      <c r="AI459" s="36">
        <f t="shared" si="83"/>
        <v>1.5358489798284608E-2</v>
      </c>
      <c r="AJ459" s="23" t="s">
        <v>1021</v>
      </c>
      <c r="AK459" s="23"/>
      <c r="AL459" s="44"/>
      <c r="AM459" s="44"/>
      <c r="AN459" s="44"/>
      <c r="AO459" s="44"/>
      <c r="AP459" s="44"/>
      <c r="AQ459" s="44"/>
      <c r="AR459" s="44"/>
    </row>
    <row r="460" spans="1:44" ht="16.8">
      <c r="A460" s="74" t="s">
        <v>1093</v>
      </c>
      <c r="B460" s="75"/>
      <c r="C460" s="1" t="s">
        <v>1091</v>
      </c>
      <c r="D460" s="19" t="s">
        <v>1092</v>
      </c>
      <c r="E460" s="20" t="s">
        <v>178</v>
      </c>
      <c r="F460" s="21">
        <v>1976</v>
      </c>
      <c r="G460" s="40">
        <v>2022</v>
      </c>
      <c r="H460" s="23">
        <v>280305627911</v>
      </c>
      <c r="I460" s="23">
        <v>333600167031</v>
      </c>
      <c r="J460" s="23">
        <v>426298166305</v>
      </c>
      <c r="K460" s="23">
        <f t="shared" ref="K460:K461" si="146">(J460+J459)/2</f>
        <v>426478314823</v>
      </c>
      <c r="L460" s="23">
        <v>426298166305</v>
      </c>
      <c r="M460" s="23">
        <v>-92697999274</v>
      </c>
      <c r="N460" s="23">
        <v>53721392950</v>
      </c>
      <c r="O460" s="25">
        <f t="shared" si="70"/>
        <v>-145992538394</v>
      </c>
      <c r="P460" s="23">
        <v>-29502611494</v>
      </c>
      <c r="Q460" s="23">
        <v>12565564287</v>
      </c>
      <c r="R460" s="25">
        <f t="shared" si="71"/>
        <v>41155828663</v>
      </c>
      <c r="S460" s="26">
        <f t="shared" si="72"/>
        <v>1.277871561333439</v>
      </c>
      <c r="T460" s="27">
        <f t="shared" si="73"/>
        <v>0.65753420977760446</v>
      </c>
      <c r="U460" s="26">
        <f t="shared" si="74"/>
        <v>26.533209008123322</v>
      </c>
      <c r="V460" s="26">
        <f t="shared" si="75"/>
        <v>0.12596512198350771</v>
      </c>
      <c r="W460" s="133" t="s">
        <v>1094</v>
      </c>
      <c r="X460" s="42">
        <v>1000</v>
      </c>
      <c r="Y460" s="60">
        <v>1700</v>
      </c>
      <c r="Z460" s="30">
        <f t="shared" si="103"/>
        <v>1700000</v>
      </c>
      <c r="AA460" s="31">
        <f t="shared" si="77"/>
        <v>46</v>
      </c>
      <c r="AB460" s="32">
        <v>3.15E-2</v>
      </c>
      <c r="AC460" s="32">
        <v>8.0199999999999994E-2</v>
      </c>
      <c r="AD460" s="33">
        <f t="shared" si="133"/>
        <v>-0.43762729405478251</v>
      </c>
      <c r="AE460" s="34">
        <f t="shared" si="134"/>
        <v>-8.843704053439054E-2</v>
      </c>
      <c r="AF460" s="33">
        <f t="shared" si="135"/>
        <v>0.12336872918644423</v>
      </c>
      <c r="AG460" s="33">
        <f t="shared" si="136"/>
        <v>3.9878191706405679E-6</v>
      </c>
      <c r="AH460" s="35">
        <f t="shared" si="137"/>
        <v>0.12601835334089709</v>
      </c>
      <c r="AI460" s="36">
        <f t="shared" si="83"/>
        <v>-0.11582705726622042</v>
      </c>
      <c r="AJ460" s="23" t="s">
        <v>1021</v>
      </c>
      <c r="AK460" s="76"/>
    </row>
    <row r="461" spans="1:44" ht="16.8">
      <c r="A461" s="70" t="s">
        <v>1095</v>
      </c>
      <c r="B461" s="71"/>
      <c r="C461" s="1" t="s">
        <v>1091</v>
      </c>
      <c r="D461" s="19" t="s">
        <v>1092</v>
      </c>
      <c r="E461" s="20" t="s">
        <v>178</v>
      </c>
      <c r="F461" s="21">
        <v>1976</v>
      </c>
      <c r="G461" s="40">
        <v>2023</v>
      </c>
      <c r="H461" s="23">
        <v>258840338494</v>
      </c>
      <c r="I461" s="23">
        <v>306972046706</v>
      </c>
      <c r="J461" s="23">
        <v>418240333089</v>
      </c>
      <c r="K461" s="23">
        <f t="shared" si="146"/>
        <v>422269249697</v>
      </c>
      <c r="L461" s="23">
        <v>418240333089</v>
      </c>
      <c r="M461" s="23">
        <v>-111268286383</v>
      </c>
      <c r="N461" s="23">
        <v>47546677700</v>
      </c>
      <c r="O461" s="25">
        <f t="shared" si="70"/>
        <v>-159399994595</v>
      </c>
      <c r="P461" s="23">
        <v>-18570287109</v>
      </c>
      <c r="Q461" s="23">
        <v>5121753459</v>
      </c>
      <c r="R461" s="25">
        <f t="shared" si="71"/>
        <v>42424924241</v>
      </c>
      <c r="S461" s="26">
        <f t="shared" si="72"/>
        <v>1.3624704189745533</v>
      </c>
      <c r="T461" s="27">
        <f t="shared" si="73"/>
        <v>0.61887942892136072</v>
      </c>
      <c r="U461" s="26">
        <f t="shared" si="74"/>
        <v>26.450022527313106</v>
      </c>
      <c r="V461" s="26">
        <f t="shared" si="75"/>
        <v>0.11259801118390031</v>
      </c>
      <c r="W461" s="60" t="s">
        <v>651</v>
      </c>
      <c r="X461" s="29">
        <v>900</v>
      </c>
      <c r="Y461" s="60">
        <v>0</v>
      </c>
      <c r="Z461" s="30">
        <f t="shared" si="103"/>
        <v>0</v>
      </c>
      <c r="AA461" s="31">
        <f t="shared" si="77"/>
        <v>47</v>
      </c>
      <c r="AB461" s="32">
        <v>3.2500000000000001E-2</v>
      </c>
      <c r="AC461" s="32">
        <v>5.0500000000000003E-2</v>
      </c>
      <c r="AD461" s="33">
        <f t="shared" si="133"/>
        <v>-0.51926550415733475</v>
      </c>
      <c r="AE461" s="34">
        <f t="shared" si="134"/>
        <v>-6.0495042816669044E-2</v>
      </c>
      <c r="AF461" s="33">
        <f t="shared" si="135"/>
        <v>0.13820451958491234</v>
      </c>
      <c r="AG461" s="33">
        <f t="shared" si="136"/>
        <v>0</v>
      </c>
      <c r="AH461" s="35">
        <f t="shared" si="137"/>
        <v>0.11368266983921477</v>
      </c>
      <c r="AI461" s="36">
        <f t="shared" si="83"/>
        <v>-0.13805408046271284</v>
      </c>
      <c r="AJ461" s="23" t="s">
        <v>1021</v>
      </c>
      <c r="AK461" s="23"/>
      <c r="AL461" s="44"/>
      <c r="AM461" s="44"/>
      <c r="AN461" s="44"/>
      <c r="AO461" s="44"/>
      <c r="AP461" s="44"/>
      <c r="AQ461" s="44"/>
      <c r="AR461" s="44"/>
    </row>
    <row r="462" spans="1:44" ht="16.8">
      <c r="A462" s="74" t="s">
        <v>1096</v>
      </c>
      <c r="B462" s="71">
        <v>180</v>
      </c>
      <c r="C462" s="1" t="s">
        <v>1097</v>
      </c>
      <c r="D462" s="19" t="s">
        <v>1098</v>
      </c>
      <c r="E462" s="20" t="s">
        <v>39</v>
      </c>
      <c r="F462" s="21">
        <v>2000</v>
      </c>
      <c r="G462" s="40">
        <v>2021</v>
      </c>
      <c r="H462" s="23">
        <v>197871497851</v>
      </c>
      <c r="I462" s="23">
        <v>226131113427</v>
      </c>
      <c r="J462" s="23">
        <v>184010564207</v>
      </c>
      <c r="K462" s="23">
        <f>(184010564207+180280304607)/2</f>
        <v>182145434407</v>
      </c>
      <c r="L462" s="23">
        <v>184010564207</v>
      </c>
      <c r="M462" s="23">
        <v>42120549220</v>
      </c>
      <c r="N462" s="23">
        <v>4410394091</v>
      </c>
      <c r="O462" s="25">
        <f t="shared" si="70"/>
        <v>13860933644</v>
      </c>
      <c r="P462" s="23">
        <v>-4078539265</v>
      </c>
      <c r="Q462" s="23">
        <v>91400000</v>
      </c>
      <c r="R462" s="25">
        <f t="shared" si="71"/>
        <v>4318994091</v>
      </c>
      <c r="S462" s="26">
        <f t="shared" si="72"/>
        <v>0.81373395026599282</v>
      </c>
      <c r="T462" s="27">
        <f t="shared" si="73"/>
        <v>1.0753268362810264</v>
      </c>
      <c r="U462" s="26">
        <f t="shared" si="74"/>
        <v>26.144380815905038</v>
      </c>
      <c r="V462" s="26">
        <f t="shared" si="75"/>
        <v>2.4213585728122454E-2</v>
      </c>
      <c r="W462" s="133" t="s">
        <v>1099</v>
      </c>
      <c r="X462" s="42">
        <v>5000</v>
      </c>
      <c r="Y462" s="135">
        <v>22856</v>
      </c>
      <c r="Z462" s="30">
        <f t="shared" si="103"/>
        <v>114280000</v>
      </c>
      <c r="AA462" s="31">
        <f t="shared" si="77"/>
        <v>21</v>
      </c>
      <c r="AB462" s="32">
        <v>1.84E-2</v>
      </c>
      <c r="AC462" s="32">
        <v>2.58E-2</v>
      </c>
      <c r="AD462" s="33">
        <f t="shared" si="133"/>
        <v>6.1296004047999383E-2</v>
      </c>
      <c r="AE462" s="34">
        <f t="shared" si="134"/>
        <v>-1.8036170269495624E-2</v>
      </c>
      <c r="AF462" s="33">
        <f t="shared" si="135"/>
        <v>1.9099512780642917E-2</v>
      </c>
      <c r="AG462" s="33">
        <f t="shared" si="136"/>
        <v>6.21051299377803E-4</v>
      </c>
      <c r="AH462" s="35">
        <f t="shared" si="137"/>
        <v>2.3968156991457247E-2</v>
      </c>
      <c r="AI462" s="36">
        <f t="shared" si="83"/>
        <v>0.13567374642751093</v>
      </c>
      <c r="AJ462" s="23" t="s">
        <v>1100</v>
      </c>
      <c r="AK462" s="23"/>
      <c r="AL462" s="44"/>
      <c r="AM462" s="44"/>
      <c r="AN462" s="44"/>
      <c r="AO462" s="44"/>
      <c r="AP462" s="44"/>
      <c r="AQ462" s="44"/>
      <c r="AR462" s="44"/>
    </row>
    <row r="463" spans="1:44" ht="16.8">
      <c r="A463" s="74" t="s">
        <v>1101</v>
      </c>
      <c r="B463" s="75"/>
      <c r="C463" s="1" t="s">
        <v>1097</v>
      </c>
      <c r="D463" s="19" t="s">
        <v>1098</v>
      </c>
      <c r="E463" s="20" t="s">
        <v>39</v>
      </c>
      <c r="F463" s="21">
        <v>2000</v>
      </c>
      <c r="G463" s="40">
        <v>2022</v>
      </c>
      <c r="H463" s="23">
        <v>197583901461</v>
      </c>
      <c r="I463" s="23">
        <v>225369357541</v>
      </c>
      <c r="J463" s="23">
        <v>187660038312</v>
      </c>
      <c r="K463" s="23">
        <f>(J463+J462)/2</f>
        <v>185835301259.5</v>
      </c>
      <c r="L463" s="23">
        <v>187660038312</v>
      </c>
      <c r="M463" s="23">
        <v>37709319229</v>
      </c>
      <c r="N463" s="23">
        <v>2066666667</v>
      </c>
      <c r="O463" s="25">
        <f t="shared" si="70"/>
        <v>9923863149</v>
      </c>
      <c r="P463" s="23">
        <v>-4411229991</v>
      </c>
      <c r="Q463" s="23">
        <v>524693324</v>
      </c>
      <c r="R463" s="25">
        <f t="shared" si="71"/>
        <v>1541973343</v>
      </c>
      <c r="S463" s="26">
        <f t="shared" si="72"/>
        <v>0.83267770010774522</v>
      </c>
      <c r="T463" s="27">
        <f t="shared" si="73"/>
        <v>1.0528821332355307</v>
      </c>
      <c r="U463" s="26">
        <f t="shared" si="74"/>
        <v>26.141006482287384</v>
      </c>
      <c r="V463" s="26">
        <f t="shared" si="75"/>
        <v>1.1120958466949781E-2</v>
      </c>
      <c r="W463" s="134">
        <v>45689</v>
      </c>
      <c r="X463" s="42">
        <v>1200</v>
      </c>
      <c r="Y463" s="60">
        <v>1900</v>
      </c>
      <c r="Z463" s="30">
        <f t="shared" si="103"/>
        <v>2280000</v>
      </c>
      <c r="AA463" s="31">
        <f t="shared" si="77"/>
        <v>22</v>
      </c>
      <c r="AB463" s="32">
        <v>3.15E-2</v>
      </c>
      <c r="AC463" s="32">
        <v>8.0199999999999994E-2</v>
      </c>
      <c r="AD463" s="33">
        <f t="shared" si="133"/>
        <v>4.4033773079353147E-2</v>
      </c>
      <c r="AE463" s="34">
        <f t="shared" si="134"/>
        <v>-1.9573335253429441E-2</v>
      </c>
      <c r="AF463" s="33">
        <f t="shared" si="135"/>
        <v>6.8419831330418495E-3</v>
      </c>
      <c r="AG463" s="33">
        <f t="shared" si="136"/>
        <v>1.2149629833333591E-5</v>
      </c>
      <c r="AH463" s="35">
        <f t="shared" si="137"/>
        <v>1.1012822365324254E-2</v>
      </c>
      <c r="AI463" s="36">
        <f t="shared" si="83"/>
        <v>5.9036514822684912E-2</v>
      </c>
      <c r="AJ463" s="23" t="s">
        <v>1100</v>
      </c>
      <c r="AK463" s="76"/>
    </row>
    <row r="464" spans="1:44" ht="16.8">
      <c r="A464" s="74" t="s">
        <v>1102</v>
      </c>
      <c r="B464" s="75"/>
      <c r="C464" s="1" t="s">
        <v>1097</v>
      </c>
      <c r="D464" s="19" t="s">
        <v>1098</v>
      </c>
      <c r="E464" s="20" t="s">
        <v>39</v>
      </c>
      <c r="F464" s="21">
        <v>2000</v>
      </c>
      <c r="G464" s="40">
        <v>2023</v>
      </c>
      <c r="H464" s="23">
        <v>195686524627</v>
      </c>
      <c r="I464" s="23">
        <v>216015317167</v>
      </c>
      <c r="J464" s="23">
        <v>177801363691</v>
      </c>
      <c r="K464" s="23">
        <f>(J463+J464)/2</f>
        <v>182730701001.5</v>
      </c>
      <c r="L464" s="23">
        <v>177801363691</v>
      </c>
      <c r="M464" s="23">
        <v>38213953476</v>
      </c>
      <c r="N464" s="23">
        <v>2402777778</v>
      </c>
      <c r="O464" s="25">
        <f t="shared" si="70"/>
        <v>17885160936</v>
      </c>
      <c r="P464" s="23">
        <v>504634247</v>
      </c>
      <c r="Q464" s="23">
        <v>1071146427</v>
      </c>
      <c r="R464" s="25">
        <f t="shared" si="71"/>
        <v>1331631351</v>
      </c>
      <c r="S464" s="26">
        <f t="shared" si="72"/>
        <v>0.82309609347536661</v>
      </c>
      <c r="T464" s="27">
        <f t="shared" si="73"/>
        <v>1.1005906848222071</v>
      </c>
      <c r="U464" s="26">
        <f t="shared" si="74"/>
        <v>26.098615154926566</v>
      </c>
      <c r="V464" s="26">
        <f t="shared" si="75"/>
        <v>1.3149283425450636E-2</v>
      </c>
      <c r="W464" s="134">
        <v>45842</v>
      </c>
      <c r="X464" s="42">
        <v>4700</v>
      </c>
      <c r="Y464" s="60">
        <v>500</v>
      </c>
      <c r="Z464" s="30">
        <f t="shared" si="103"/>
        <v>2350000</v>
      </c>
      <c r="AA464" s="31">
        <f t="shared" si="77"/>
        <v>23</v>
      </c>
      <c r="AB464" s="32">
        <v>3.2500000000000001E-2</v>
      </c>
      <c r="AC464" s="32">
        <v>5.0500000000000003E-2</v>
      </c>
      <c r="AD464" s="33">
        <f t="shared" si="133"/>
        <v>8.2795799717170521E-2</v>
      </c>
      <c r="AE464" s="34">
        <f t="shared" si="134"/>
        <v>2.3361040023373463E-3</v>
      </c>
      <c r="AF464" s="33">
        <f t="shared" si="135"/>
        <v>6.1645228146970923E-3</v>
      </c>
      <c r="AG464" s="33">
        <f t="shared" si="136"/>
        <v>1.3216996491005839E-5</v>
      </c>
      <c r="AH464" s="35">
        <f t="shared" si="137"/>
        <v>1.3513832110848003E-2</v>
      </c>
      <c r="AI464" s="36">
        <f t="shared" si="83"/>
        <v>0.13649019286111991</v>
      </c>
      <c r="AJ464" s="23" t="s">
        <v>1100</v>
      </c>
      <c r="AK464" s="76"/>
    </row>
    <row r="465" spans="1:44" ht="16.8">
      <c r="A465" s="67" t="s">
        <v>1103</v>
      </c>
      <c r="B465" s="45">
        <v>181</v>
      </c>
      <c r="C465" s="45" t="s">
        <v>1104</v>
      </c>
      <c r="D465" s="46" t="s">
        <v>1105</v>
      </c>
      <c r="E465" s="47" t="s">
        <v>39</v>
      </c>
      <c r="F465" s="48"/>
      <c r="G465" s="48">
        <v>2021</v>
      </c>
      <c r="H465" s="49"/>
      <c r="I465" s="49"/>
      <c r="J465" s="49"/>
      <c r="K465" s="49"/>
      <c r="L465" s="49"/>
      <c r="M465" s="49"/>
      <c r="N465" s="49"/>
      <c r="O465" s="49">
        <f t="shared" si="70"/>
        <v>0</v>
      </c>
      <c r="P465" s="49"/>
      <c r="Q465" s="49"/>
      <c r="R465" s="49">
        <f t="shared" si="71"/>
        <v>0</v>
      </c>
      <c r="S465" s="50" t="e">
        <f t="shared" si="72"/>
        <v>#DIV/0!</v>
      </c>
      <c r="T465" s="51" t="e">
        <f t="shared" si="73"/>
        <v>#DIV/0!</v>
      </c>
      <c r="U465" s="50" t="e">
        <f t="shared" si="74"/>
        <v>#NUM!</v>
      </c>
      <c r="V465" s="50" t="e">
        <f t="shared" si="75"/>
        <v>#DIV/0!</v>
      </c>
      <c r="W465" s="52"/>
      <c r="X465" s="53">
        <v>0</v>
      </c>
      <c r="Y465" s="52"/>
      <c r="Z465" s="55">
        <f t="shared" si="103"/>
        <v>0</v>
      </c>
      <c r="AA465" s="48">
        <f t="shared" si="77"/>
        <v>2021</v>
      </c>
      <c r="AB465" s="49"/>
      <c r="AC465" s="49"/>
      <c r="AD465" s="50" t="e">
        <f t="shared" si="133"/>
        <v>#DIV/0!</v>
      </c>
      <c r="AE465" s="56" t="e">
        <f t="shared" si="134"/>
        <v>#DIV/0!</v>
      </c>
      <c r="AF465" s="50" t="e">
        <f t="shared" si="135"/>
        <v>#DIV/0!</v>
      </c>
      <c r="AG465" s="50" t="e">
        <f t="shared" si="136"/>
        <v>#DIV/0!</v>
      </c>
      <c r="AH465" s="57" t="e">
        <f t="shared" si="137"/>
        <v>#DIV/0!</v>
      </c>
      <c r="AI465" s="58" t="e">
        <f t="shared" si="83"/>
        <v>#DIV/0!</v>
      </c>
      <c r="AJ465" s="49"/>
      <c r="AK465" s="49"/>
      <c r="AL465" s="59"/>
      <c r="AM465" s="59"/>
      <c r="AN465" s="59"/>
      <c r="AO465" s="59"/>
      <c r="AP465" s="59"/>
      <c r="AQ465" s="59"/>
      <c r="AR465" s="59"/>
    </row>
    <row r="466" spans="1:44" ht="16.8">
      <c r="A466" s="70" t="s">
        <v>1106</v>
      </c>
      <c r="B466" s="71">
        <v>182</v>
      </c>
      <c r="C466" s="1" t="s">
        <v>1107</v>
      </c>
      <c r="D466" s="19" t="s">
        <v>1108</v>
      </c>
      <c r="E466" s="20" t="s">
        <v>39</v>
      </c>
      <c r="F466" s="21">
        <v>2003</v>
      </c>
      <c r="G466" s="40">
        <v>2021</v>
      </c>
      <c r="H466" s="23">
        <v>77216518475</v>
      </c>
      <c r="I466" s="23">
        <v>180053091167</v>
      </c>
      <c r="J466" s="23">
        <v>40303035376</v>
      </c>
      <c r="K466" s="23">
        <f>(J466+49232638339)/2</f>
        <v>44767836857.5</v>
      </c>
      <c r="L466" s="23">
        <v>40303035376</v>
      </c>
      <c r="M466" s="23">
        <v>139750055791</v>
      </c>
      <c r="N466" s="23">
        <v>89629641968</v>
      </c>
      <c r="O466" s="25">
        <f t="shared" si="70"/>
        <v>36913483099</v>
      </c>
      <c r="P466" s="23">
        <v>-14703177303</v>
      </c>
      <c r="Q466" s="23">
        <f>509493262+13919809049</f>
        <v>14429302311</v>
      </c>
      <c r="R466" s="25">
        <f t="shared" si="71"/>
        <v>75200339657</v>
      </c>
      <c r="S466" s="26">
        <f t="shared" si="72"/>
        <v>0.22383973035274782</v>
      </c>
      <c r="T466" s="27">
        <f t="shared" si="73"/>
        <v>1.9158983375475873</v>
      </c>
      <c r="U466" s="26">
        <f t="shared" si="74"/>
        <v>25.916517595274925</v>
      </c>
      <c r="V466" s="26">
        <f t="shared" si="75"/>
        <v>2.0020990125857345</v>
      </c>
      <c r="W466" s="63" t="s">
        <v>1109</v>
      </c>
      <c r="X466" s="29">
        <v>9900</v>
      </c>
      <c r="Y466" s="63">
        <v>687498</v>
      </c>
      <c r="Z466" s="30">
        <f t="shared" si="103"/>
        <v>6806230200</v>
      </c>
      <c r="AA466" s="31">
        <f t="shared" si="77"/>
        <v>18</v>
      </c>
      <c r="AB466" s="32">
        <v>1.84E-2</v>
      </c>
      <c r="AC466" s="32">
        <v>2.58E-2</v>
      </c>
      <c r="AD466" s="33">
        <f t="shared" si="133"/>
        <v>0.20501443690718194</v>
      </c>
      <c r="AE466" s="34">
        <f t="shared" si="134"/>
        <v>-8.1660232588635431E-2</v>
      </c>
      <c r="AF466" s="33">
        <f t="shared" si="135"/>
        <v>0.41765647659584676</v>
      </c>
      <c r="AG466" s="33">
        <f t="shared" si="136"/>
        <v>0.16887636716447002</v>
      </c>
      <c r="AH466" s="35">
        <f t="shared" si="137"/>
        <v>2.2238930922154174</v>
      </c>
      <c r="AI466" s="36">
        <f t="shared" si="83"/>
        <v>3.8351782839449227</v>
      </c>
      <c r="AJ466" s="23"/>
      <c r="AK466" s="23"/>
      <c r="AL466" s="23"/>
      <c r="AM466" s="23"/>
      <c r="AN466" s="23"/>
      <c r="AO466" s="44"/>
      <c r="AP466" s="44"/>
      <c r="AQ466" s="44"/>
      <c r="AR466" s="44"/>
    </row>
    <row r="467" spans="1:44" ht="16.8">
      <c r="A467" s="74" t="s">
        <v>1110</v>
      </c>
      <c r="B467" s="75"/>
      <c r="C467" s="1" t="s">
        <v>1107</v>
      </c>
      <c r="D467" s="19" t="s">
        <v>1108</v>
      </c>
      <c r="E467" s="20" t="s">
        <v>39</v>
      </c>
      <c r="F467" s="21">
        <v>2003</v>
      </c>
      <c r="G467" s="40">
        <v>2022</v>
      </c>
      <c r="H467" s="23">
        <v>84411006673</v>
      </c>
      <c r="I467" s="23">
        <v>167171515225</v>
      </c>
      <c r="J467" s="23">
        <v>18438517436</v>
      </c>
      <c r="K467" s="23">
        <f t="shared" ref="K467:K468" si="147">(J467+J466)/2</f>
        <v>29370776406</v>
      </c>
      <c r="L467" s="23">
        <v>18438517436</v>
      </c>
      <c r="M467" s="23">
        <v>148732997789</v>
      </c>
      <c r="N467" s="23">
        <v>82027462088</v>
      </c>
      <c r="O467" s="25">
        <f t="shared" si="70"/>
        <v>65972489237</v>
      </c>
      <c r="P467" s="23">
        <v>8982941998</v>
      </c>
      <c r="Q467" s="23">
        <f>374405492+16838988949</f>
        <v>17213394441</v>
      </c>
      <c r="R467" s="25">
        <f t="shared" si="71"/>
        <v>64814067647</v>
      </c>
      <c r="S467" s="26">
        <f t="shared" si="72"/>
        <v>0.11029700491248867</v>
      </c>
      <c r="T467" s="27">
        <f t="shared" si="73"/>
        <v>4.5779714646793144</v>
      </c>
      <c r="U467" s="26">
        <f t="shared" si="74"/>
        <v>25.842286159596664</v>
      </c>
      <c r="V467" s="26">
        <f t="shared" si="75"/>
        <v>2.7928257991587531</v>
      </c>
      <c r="W467" s="63" t="s">
        <v>1111</v>
      </c>
      <c r="X467" s="29">
        <v>8850</v>
      </c>
      <c r="Y467" s="63">
        <v>1100</v>
      </c>
      <c r="Z467" s="30">
        <f t="shared" si="103"/>
        <v>9735000</v>
      </c>
      <c r="AA467" s="31">
        <f t="shared" si="77"/>
        <v>19</v>
      </c>
      <c r="AB467" s="32">
        <v>3.15E-2</v>
      </c>
      <c r="AC467" s="32">
        <v>8.0199999999999994E-2</v>
      </c>
      <c r="AD467" s="33">
        <f t="shared" si="133"/>
        <v>0.39463953621647863</v>
      </c>
      <c r="AE467" s="34">
        <f t="shared" si="134"/>
        <v>5.373488411533299E-2</v>
      </c>
      <c r="AF467" s="33">
        <f t="shared" si="135"/>
        <v>0.38770999688412977</v>
      </c>
      <c r="AG467" s="33">
        <f t="shared" si="136"/>
        <v>5.2797086499986427E-4</v>
      </c>
      <c r="AH467" s="35">
        <f t="shared" si="137"/>
        <v>4.4487016037334293</v>
      </c>
      <c r="AI467" s="36">
        <f t="shared" si="83"/>
        <v>6.2772576571912975</v>
      </c>
      <c r="AJ467" s="23"/>
      <c r="AK467" s="23"/>
      <c r="AL467" s="23"/>
      <c r="AM467" s="23"/>
      <c r="AN467" s="23"/>
    </row>
    <row r="468" spans="1:44" ht="16.8">
      <c r="A468" s="74" t="s">
        <v>1112</v>
      </c>
      <c r="B468" s="75"/>
      <c r="C468" s="1" t="s">
        <v>1107</v>
      </c>
      <c r="D468" s="19" t="s">
        <v>1108</v>
      </c>
      <c r="E468" s="20" t="s">
        <v>39</v>
      </c>
      <c r="F468" s="21">
        <v>2003</v>
      </c>
      <c r="G468" s="40">
        <v>2023</v>
      </c>
      <c r="H468" s="23">
        <v>138289083542</v>
      </c>
      <c r="I468" s="23">
        <v>209842826104</v>
      </c>
      <c r="J468" s="23">
        <v>21597791346</v>
      </c>
      <c r="K468" s="23">
        <f t="shared" si="147"/>
        <v>20018154391</v>
      </c>
      <c r="L468" s="23">
        <v>21597791346</v>
      </c>
      <c r="M468" s="23">
        <v>188245034758</v>
      </c>
      <c r="N468" s="23">
        <v>76243118663</v>
      </c>
      <c r="O468" s="25">
        <f t="shared" si="70"/>
        <v>116691292196</v>
      </c>
      <c r="P468" s="23">
        <v>42053960469</v>
      </c>
      <c r="Q468" s="23">
        <v>9815083894</v>
      </c>
      <c r="R468" s="25">
        <f t="shared" si="71"/>
        <v>66428034769</v>
      </c>
      <c r="S468" s="26">
        <f t="shared" si="72"/>
        <v>0.10292365837322424</v>
      </c>
      <c r="T468" s="27">
        <f t="shared" si="73"/>
        <v>6.4029271015071503</v>
      </c>
      <c r="U468" s="26">
        <f t="shared" si="74"/>
        <v>26.069624640313691</v>
      </c>
      <c r="V468" s="26">
        <f t="shared" si="75"/>
        <v>3.8086987028773387</v>
      </c>
      <c r="W468" s="65">
        <v>45943</v>
      </c>
      <c r="X468" s="42">
        <v>13100</v>
      </c>
      <c r="Y468" s="63">
        <v>20518</v>
      </c>
      <c r="Z468" s="30">
        <f t="shared" si="103"/>
        <v>268785800</v>
      </c>
      <c r="AA468" s="31">
        <f t="shared" si="77"/>
        <v>20</v>
      </c>
      <c r="AB468" s="32">
        <v>3.2500000000000001E-2</v>
      </c>
      <c r="AC468" s="32">
        <v>5.0500000000000003E-2</v>
      </c>
      <c r="AD468" s="33">
        <f t="shared" si="133"/>
        <v>0.55608902321095666</v>
      </c>
      <c r="AE468" s="34">
        <f t="shared" si="134"/>
        <v>0.20040694861857072</v>
      </c>
      <c r="AF468" s="33">
        <f t="shared" si="135"/>
        <v>0.31656090418872679</v>
      </c>
      <c r="AG468" s="33">
        <f t="shared" si="136"/>
        <v>1.2445059575491279E-2</v>
      </c>
      <c r="AH468" s="35">
        <f t="shared" si="137"/>
        <v>3.5301349773026924</v>
      </c>
      <c r="AI468" s="36">
        <f t="shared" si="83"/>
        <v>5.5301295527899326</v>
      </c>
      <c r="AJ468" s="23" t="s">
        <v>1021</v>
      </c>
      <c r="AK468" s="23"/>
      <c r="AL468" s="23"/>
      <c r="AM468" s="23"/>
      <c r="AN468" s="23"/>
    </row>
    <row r="469" spans="1:44" ht="16.8">
      <c r="A469" s="70" t="s">
        <v>1113</v>
      </c>
      <c r="B469" s="71">
        <v>183</v>
      </c>
      <c r="C469" s="1" t="s">
        <v>1114</v>
      </c>
      <c r="D469" s="19" t="s">
        <v>1115</v>
      </c>
      <c r="E469" s="20" t="s">
        <v>39</v>
      </c>
      <c r="F469" s="21">
        <v>1991</v>
      </c>
      <c r="G469" s="40">
        <v>2021</v>
      </c>
      <c r="H469" s="23">
        <v>20156325002</v>
      </c>
      <c r="I469" s="23">
        <v>75761703121</v>
      </c>
      <c r="J469" s="23">
        <v>48110743643</v>
      </c>
      <c r="K469" s="23">
        <f>(J469+53543887313)/2</f>
        <v>50827315478</v>
      </c>
      <c r="L469" s="23">
        <v>41666431243</v>
      </c>
      <c r="M469" s="23">
        <v>27650959478</v>
      </c>
      <c r="N469" s="23">
        <v>47055568683</v>
      </c>
      <c r="O469" s="25">
        <f t="shared" si="70"/>
        <v>-21510106241</v>
      </c>
      <c r="P469" s="23">
        <v>-14837275627</v>
      </c>
      <c r="Q469" s="23">
        <f>2353362406+7830058544</f>
        <v>10183420950</v>
      </c>
      <c r="R469" s="25">
        <f t="shared" si="71"/>
        <v>36872147733</v>
      </c>
      <c r="S469" s="26">
        <f t="shared" si="72"/>
        <v>0.63502721904445192</v>
      </c>
      <c r="T469" s="27">
        <f t="shared" si="73"/>
        <v>0.48375453334238416</v>
      </c>
      <c r="U469" s="26">
        <f t="shared" si="74"/>
        <v>25.050858766049377</v>
      </c>
      <c r="V469" s="26">
        <f t="shared" si="75"/>
        <v>0.92579291745926351</v>
      </c>
      <c r="W469" s="63" t="s">
        <v>1116</v>
      </c>
      <c r="X469" s="29">
        <v>46500</v>
      </c>
      <c r="Y469" s="63">
        <v>500</v>
      </c>
      <c r="Z469" s="30">
        <f t="shared" si="103"/>
        <v>23250000</v>
      </c>
      <c r="AA469" s="31">
        <f t="shared" si="77"/>
        <v>30</v>
      </c>
      <c r="AB469" s="32">
        <v>1.84E-2</v>
      </c>
      <c r="AC469" s="32">
        <v>2.58E-2</v>
      </c>
      <c r="AD469" s="33">
        <f t="shared" si="133"/>
        <v>-0.28391793419223865</v>
      </c>
      <c r="AE469" s="34">
        <f t="shared" si="134"/>
        <v>-0.19584136860417717</v>
      </c>
      <c r="AF469" s="33">
        <f t="shared" si="135"/>
        <v>0.48668583484865718</v>
      </c>
      <c r="AG469" s="33">
        <f t="shared" si="136"/>
        <v>4.8326004213370376E-4</v>
      </c>
      <c r="AH469" s="35">
        <f t="shared" si="137"/>
        <v>0.97806778943535355</v>
      </c>
      <c r="AI469" s="36">
        <f t="shared" si="83"/>
        <v>1.9695415633846682</v>
      </c>
      <c r="AJ469" s="23"/>
      <c r="AK469" s="23"/>
      <c r="AL469" s="23"/>
      <c r="AM469" s="23"/>
      <c r="AN469" s="23"/>
      <c r="AO469" s="44"/>
      <c r="AP469" s="44"/>
      <c r="AQ469" s="44"/>
      <c r="AR469" s="44"/>
    </row>
    <row r="470" spans="1:44" ht="16.8">
      <c r="A470" s="74" t="s">
        <v>1117</v>
      </c>
      <c r="B470" s="75"/>
      <c r="C470" s="1" t="s">
        <v>1114</v>
      </c>
      <c r="D470" s="19" t="s">
        <v>1115</v>
      </c>
      <c r="E470" s="20" t="s">
        <v>39</v>
      </c>
      <c r="F470" s="21">
        <v>1991</v>
      </c>
      <c r="G470" s="40">
        <v>2022</v>
      </c>
      <c r="H470" s="23">
        <v>20120375405</v>
      </c>
      <c r="I470" s="23">
        <v>67787671479</v>
      </c>
      <c r="J470" s="23">
        <v>40082584070</v>
      </c>
      <c r="K470" s="23">
        <f t="shared" ref="K470:K471" si="148">(J470+J469)/2</f>
        <v>44096663856.5</v>
      </c>
      <c r="L470" s="23">
        <v>36442584070</v>
      </c>
      <c r="M470" s="23">
        <v>27705087409</v>
      </c>
      <c r="N470" s="23">
        <v>106817475753</v>
      </c>
      <c r="O470" s="25">
        <f t="shared" si="70"/>
        <v>-16322208665</v>
      </c>
      <c r="P470" s="23">
        <v>1268146100</v>
      </c>
      <c r="Q470" s="23">
        <f>4585103848+7823391072</f>
        <v>12408494920</v>
      </c>
      <c r="R470" s="25">
        <f t="shared" si="71"/>
        <v>94408980833</v>
      </c>
      <c r="S470" s="26">
        <f t="shared" si="72"/>
        <v>0.59129607486838098</v>
      </c>
      <c r="T470" s="27">
        <f t="shared" si="73"/>
        <v>0.55211165504488335</v>
      </c>
      <c r="U470" s="26">
        <f t="shared" si="74"/>
        <v>24.939646178765564</v>
      </c>
      <c r="V470" s="26">
        <f t="shared" si="75"/>
        <v>2.4223482325240515</v>
      </c>
      <c r="W470" s="63" t="s">
        <v>1118</v>
      </c>
      <c r="X470" s="29">
        <v>38000</v>
      </c>
      <c r="Y470" s="63">
        <v>26</v>
      </c>
      <c r="Z470" s="30">
        <f t="shared" si="103"/>
        <v>988000</v>
      </c>
      <c r="AA470" s="31">
        <f t="shared" si="77"/>
        <v>31</v>
      </c>
      <c r="AB470" s="32">
        <v>3.15E-2</v>
      </c>
      <c r="AC470" s="32">
        <v>8.0199999999999994E-2</v>
      </c>
      <c r="AD470" s="33">
        <f t="shared" si="133"/>
        <v>-0.24078432418284895</v>
      </c>
      <c r="AE470" s="34">
        <f t="shared" si="134"/>
        <v>1.8707621494165941E-2</v>
      </c>
      <c r="AF470" s="33">
        <f t="shared" si="135"/>
        <v>1.3927160908934162</v>
      </c>
      <c r="AG470" s="33">
        <f t="shared" si="136"/>
        <v>2.4649109405585286E-5</v>
      </c>
      <c r="AH470" s="35">
        <f t="shared" si="137"/>
        <v>2.6649348646398288</v>
      </c>
      <c r="AI470" s="36">
        <f t="shared" si="83"/>
        <v>6.9981622351261583</v>
      </c>
      <c r="AJ470" s="23"/>
      <c r="AK470" s="23"/>
      <c r="AL470" s="23"/>
      <c r="AM470" s="23"/>
      <c r="AN470" s="23"/>
    </row>
    <row r="471" spans="1:44" ht="16.8">
      <c r="A471" s="74" t="s">
        <v>1119</v>
      </c>
      <c r="B471" s="75"/>
      <c r="C471" s="1" t="s">
        <v>1114</v>
      </c>
      <c r="D471" s="19" t="s">
        <v>1115</v>
      </c>
      <c r="E471" s="20" t="s">
        <v>39</v>
      </c>
      <c r="F471" s="21">
        <v>1991</v>
      </c>
      <c r="G471" s="40">
        <v>2023</v>
      </c>
      <c r="H471" s="23">
        <v>30067729983</v>
      </c>
      <c r="I471" s="23">
        <v>71370530610</v>
      </c>
      <c r="J471" s="23">
        <v>40821137036</v>
      </c>
      <c r="K471" s="23">
        <f t="shared" si="148"/>
        <v>40451860553</v>
      </c>
      <c r="L471" s="23">
        <v>35273150901</v>
      </c>
      <c r="M471" s="23">
        <v>30549393574</v>
      </c>
      <c r="N471" s="23">
        <v>146906238809</v>
      </c>
      <c r="O471" s="25">
        <f t="shared" si="70"/>
        <v>-5205420918</v>
      </c>
      <c r="P471" s="23">
        <v>3652308947</v>
      </c>
      <c r="Q471" s="23">
        <f>7057748811+12970581747</f>
        <v>20028330558</v>
      </c>
      <c r="R471" s="25">
        <f t="shared" si="71"/>
        <v>126877908251</v>
      </c>
      <c r="S471" s="26">
        <f t="shared" si="72"/>
        <v>0.57196067742671919</v>
      </c>
      <c r="T471" s="27">
        <f t="shared" si="73"/>
        <v>0.85242540615070417</v>
      </c>
      <c r="U471" s="26">
        <f t="shared" si="74"/>
        <v>24.99115088453815</v>
      </c>
      <c r="V471" s="26">
        <f t="shared" si="75"/>
        <v>3.631631198187375</v>
      </c>
      <c r="W471" s="63" t="s">
        <v>1120</v>
      </c>
      <c r="X471" s="29">
        <v>35900</v>
      </c>
      <c r="Y471" s="63">
        <v>2132</v>
      </c>
      <c r="Z471" s="30">
        <f t="shared" si="103"/>
        <v>76538800</v>
      </c>
      <c r="AA471" s="31">
        <f t="shared" si="77"/>
        <v>32</v>
      </c>
      <c r="AB471" s="32">
        <v>3.2500000000000001E-2</v>
      </c>
      <c r="AC471" s="32">
        <v>5.0500000000000003E-2</v>
      </c>
      <c r="AD471" s="33">
        <f t="shared" si="133"/>
        <v>-7.2935157879723655E-2</v>
      </c>
      <c r="AE471" s="34">
        <f t="shared" si="134"/>
        <v>5.1173907714905806E-2</v>
      </c>
      <c r="AF471" s="33">
        <f t="shared" si="135"/>
        <v>1.7777352524435714</v>
      </c>
      <c r="AG471" s="33">
        <f t="shared" si="136"/>
        <v>1.8749796198107057E-3</v>
      </c>
      <c r="AH471" s="35">
        <f t="shared" si="137"/>
        <v>3.5987787081835561</v>
      </c>
      <c r="AI471" s="36">
        <f t="shared" si="83"/>
        <v>9.4505513103644283</v>
      </c>
      <c r="AJ471" s="23"/>
      <c r="AK471" s="23"/>
      <c r="AL471" s="23"/>
      <c r="AM471" s="23"/>
      <c r="AN471" s="23"/>
    </row>
    <row r="472" spans="1:44" ht="16.8">
      <c r="A472" s="136"/>
      <c r="B472" s="45">
        <v>184</v>
      </c>
      <c r="C472" s="45" t="s">
        <v>1121</v>
      </c>
      <c r="D472" s="46" t="s">
        <v>1122</v>
      </c>
      <c r="E472" s="47" t="s">
        <v>39</v>
      </c>
      <c r="F472" s="48"/>
      <c r="G472" s="48">
        <v>2021</v>
      </c>
      <c r="H472" s="49"/>
      <c r="I472" s="49"/>
      <c r="J472" s="137" t="s">
        <v>1123</v>
      </c>
      <c r="K472" s="49"/>
      <c r="L472" s="49"/>
      <c r="M472" s="49"/>
      <c r="N472" s="49"/>
      <c r="O472" s="49">
        <f t="shared" si="70"/>
        <v>0</v>
      </c>
      <c r="P472" s="49"/>
      <c r="Q472" s="49"/>
      <c r="R472" s="49">
        <f t="shared" si="71"/>
        <v>0</v>
      </c>
      <c r="S472" s="50" t="e">
        <f t="shared" si="72"/>
        <v>#VALUE!</v>
      </c>
      <c r="T472" s="51" t="e">
        <f t="shared" si="73"/>
        <v>#DIV/0!</v>
      </c>
      <c r="U472" s="50" t="e">
        <f t="shared" si="74"/>
        <v>#NUM!</v>
      </c>
      <c r="V472" s="50" t="e">
        <f t="shared" si="75"/>
        <v>#DIV/0!</v>
      </c>
      <c r="W472" s="52"/>
      <c r="X472" s="53">
        <v>0</v>
      </c>
      <c r="Y472" s="52"/>
      <c r="Z472" s="55">
        <f t="shared" si="103"/>
        <v>0</v>
      </c>
      <c r="AA472" s="48">
        <f t="shared" si="77"/>
        <v>2021</v>
      </c>
      <c r="AB472" s="49"/>
      <c r="AC472" s="49"/>
      <c r="AD472" s="50" t="e">
        <f t="shared" si="133"/>
        <v>#DIV/0!</v>
      </c>
      <c r="AE472" s="56" t="e">
        <f t="shared" si="134"/>
        <v>#DIV/0!</v>
      </c>
      <c r="AF472" s="50" t="e">
        <f t="shared" si="135"/>
        <v>#DIV/0!</v>
      </c>
      <c r="AG472" s="50" t="e">
        <f t="shared" si="136"/>
        <v>#VALUE!</v>
      </c>
      <c r="AH472" s="57" t="e">
        <f t="shared" si="137"/>
        <v>#VALUE!</v>
      </c>
      <c r="AI472" s="58" t="e">
        <f t="shared" si="83"/>
        <v>#DIV/0!</v>
      </c>
      <c r="AJ472" s="49"/>
      <c r="AK472" s="49"/>
      <c r="AL472" s="59"/>
      <c r="AM472" s="59"/>
      <c r="AN472" s="59"/>
      <c r="AO472" s="59"/>
      <c r="AP472" s="59"/>
      <c r="AQ472" s="59"/>
      <c r="AR472" s="59"/>
    </row>
    <row r="473" spans="1:44" ht="16.8">
      <c r="A473" s="70" t="s">
        <v>1124</v>
      </c>
      <c r="B473" s="71">
        <v>185</v>
      </c>
      <c r="C473" s="1" t="s">
        <v>1125</v>
      </c>
      <c r="D473" s="19" t="s">
        <v>1126</v>
      </c>
      <c r="E473" s="20" t="s">
        <v>39</v>
      </c>
      <c r="F473" s="21">
        <v>2007</v>
      </c>
      <c r="G473" s="40">
        <v>2021</v>
      </c>
      <c r="H473" s="23">
        <v>867602958359</v>
      </c>
      <c r="I473" s="23">
        <v>2320811850494</v>
      </c>
      <c r="J473" s="23">
        <v>1343822537512</v>
      </c>
      <c r="K473" s="23">
        <f>AVERAGE(1343822537512,1354481338855)</f>
        <v>1349151938183.5</v>
      </c>
      <c r="L473" s="23">
        <v>1153203490116</v>
      </c>
      <c r="M473" s="23">
        <v>976989312982</v>
      </c>
      <c r="N473" s="23">
        <v>90888904251</v>
      </c>
      <c r="O473" s="25">
        <f t="shared" si="70"/>
        <v>-285600531757</v>
      </c>
      <c r="P473" s="23">
        <v>-8614959517</v>
      </c>
      <c r="Q473" s="23">
        <f>2334626208+19091610288</f>
        <v>21426236496</v>
      </c>
      <c r="R473" s="25">
        <f t="shared" si="71"/>
        <v>69462667755</v>
      </c>
      <c r="S473" s="26">
        <f t="shared" si="72"/>
        <v>0.57903122875986635</v>
      </c>
      <c r="T473" s="27">
        <f t="shared" si="73"/>
        <v>0.75234159954868707</v>
      </c>
      <c r="U473" s="26">
        <f t="shared" si="74"/>
        <v>28.472938175951359</v>
      </c>
      <c r="V473" s="26">
        <f t="shared" si="75"/>
        <v>6.7367434073713706E-2</v>
      </c>
      <c r="W473" s="63" t="s">
        <v>1127</v>
      </c>
      <c r="X473" s="29">
        <v>14770</v>
      </c>
      <c r="Y473" s="63">
        <v>1978903</v>
      </c>
      <c r="Z473" s="30">
        <f t="shared" si="103"/>
        <v>29228397310</v>
      </c>
      <c r="AA473" s="31">
        <f t="shared" si="77"/>
        <v>14</v>
      </c>
      <c r="AB473" s="32">
        <v>1.84E-2</v>
      </c>
      <c r="AC473" s="32">
        <v>2.58E-2</v>
      </c>
      <c r="AD473" s="33">
        <f t="shared" si="133"/>
        <v>-0.12306061419679844</v>
      </c>
      <c r="AE473" s="34">
        <f t="shared" si="134"/>
        <v>-3.7120456426341709E-3</v>
      </c>
      <c r="AF473" s="33">
        <f t="shared" si="135"/>
        <v>2.9930331379605123E-2</v>
      </c>
      <c r="AG473" s="33">
        <f t="shared" si="136"/>
        <v>2.1750191334128446E-2</v>
      </c>
      <c r="AH473" s="35">
        <f t="shared" si="137"/>
        <v>6.7634603315460756E-2</v>
      </c>
      <c r="AI473" s="36">
        <f t="shared" si="83"/>
        <v>2.6585210732788751E-2</v>
      </c>
      <c r="AJ473" s="23"/>
      <c r="AK473" s="23"/>
      <c r="AL473" s="23"/>
      <c r="AM473" s="23"/>
      <c r="AN473" s="23"/>
      <c r="AO473" s="44"/>
      <c r="AP473" s="44"/>
      <c r="AQ473" s="44"/>
      <c r="AR473" s="44"/>
    </row>
    <row r="474" spans="1:44" ht="16.8">
      <c r="A474" s="74" t="s">
        <v>1128</v>
      </c>
      <c r="B474" s="75"/>
      <c r="C474" s="1" t="s">
        <v>1125</v>
      </c>
      <c r="D474" s="19" t="s">
        <v>1126</v>
      </c>
      <c r="E474" s="20" t="s">
        <v>39</v>
      </c>
      <c r="F474" s="21">
        <v>2007</v>
      </c>
      <c r="G474" s="40">
        <v>2022</v>
      </c>
      <c r="H474" s="23">
        <v>768931510032</v>
      </c>
      <c r="I474" s="23">
        <v>2230856071427</v>
      </c>
      <c r="J474" s="23">
        <v>1249381778288</v>
      </c>
      <c r="K474" s="23">
        <f t="shared" ref="K474:K475" si="149">AVERAGE(J473:J474)</f>
        <v>1296602157900</v>
      </c>
      <c r="L474" s="23">
        <v>1056130867296</v>
      </c>
      <c r="M474" s="23">
        <v>981474293139</v>
      </c>
      <c r="N474" s="23">
        <v>183933333337</v>
      </c>
      <c r="O474" s="25">
        <f t="shared" si="70"/>
        <v>-287199357264</v>
      </c>
      <c r="P474" s="23">
        <v>5672627745</v>
      </c>
      <c r="Q474" s="23">
        <f>7492023959+27597719028</f>
        <v>35089742987</v>
      </c>
      <c r="R474" s="25">
        <f t="shared" si="71"/>
        <v>148843590350</v>
      </c>
      <c r="S474" s="26">
        <f t="shared" si="72"/>
        <v>0.56004589192919763</v>
      </c>
      <c r="T474" s="27">
        <f t="shared" si="73"/>
        <v>0.72806461191754268</v>
      </c>
      <c r="U474" s="26">
        <f t="shared" si="74"/>
        <v>28.433406516266512</v>
      </c>
      <c r="V474" s="26">
        <f t="shared" si="75"/>
        <v>0.14185795713536503</v>
      </c>
      <c r="W474" s="63" t="s">
        <v>1129</v>
      </c>
      <c r="X474" s="29">
        <v>4000</v>
      </c>
      <c r="Y474" s="63">
        <v>337578</v>
      </c>
      <c r="Z474" s="30">
        <f t="shared" si="103"/>
        <v>1350312000</v>
      </c>
      <c r="AA474" s="31">
        <f t="shared" si="77"/>
        <v>15</v>
      </c>
      <c r="AB474" s="32">
        <v>3.15E-2</v>
      </c>
      <c r="AC474" s="32">
        <v>8.0199999999999994E-2</v>
      </c>
      <c r="AD474" s="33">
        <f t="shared" si="133"/>
        <v>-0.12873952781735878</v>
      </c>
      <c r="AE474" s="34">
        <f t="shared" si="134"/>
        <v>2.5428031048957004E-3</v>
      </c>
      <c r="AF474" s="33">
        <f t="shared" si="135"/>
        <v>6.672039144810897E-2</v>
      </c>
      <c r="AG474" s="33">
        <f t="shared" si="136"/>
        <v>1.0807841313727998E-3</v>
      </c>
      <c r="AH474" s="35">
        <f t="shared" si="137"/>
        <v>0.14721947809182853</v>
      </c>
      <c r="AI474" s="36">
        <f t="shared" si="83"/>
        <v>0.21711773131543521</v>
      </c>
      <c r="AJ474" s="23"/>
      <c r="AK474" s="23"/>
      <c r="AL474" s="23"/>
      <c r="AM474" s="23"/>
      <c r="AN474" s="23"/>
    </row>
    <row r="475" spans="1:44" ht="16.8">
      <c r="A475" s="74" t="s">
        <v>1130</v>
      </c>
      <c r="B475" s="75"/>
      <c r="C475" s="1" t="s">
        <v>1125</v>
      </c>
      <c r="D475" s="19" t="s">
        <v>1126</v>
      </c>
      <c r="E475" s="20" t="s">
        <v>39</v>
      </c>
      <c r="F475" s="21">
        <v>2007</v>
      </c>
      <c r="G475" s="40">
        <v>2023</v>
      </c>
      <c r="H475" s="23">
        <v>589604145785</v>
      </c>
      <c r="I475" s="23">
        <v>1966142082248</v>
      </c>
      <c r="J475" s="23">
        <v>948938522688</v>
      </c>
      <c r="K475" s="23">
        <f t="shared" si="149"/>
        <v>1099160150488</v>
      </c>
      <c r="L475" s="23">
        <v>775025105829</v>
      </c>
      <c r="M475" s="23">
        <v>1017203559560</v>
      </c>
      <c r="N475" s="23">
        <v>336593140856</v>
      </c>
      <c r="O475" s="25">
        <f t="shared" si="70"/>
        <v>-185420960044</v>
      </c>
      <c r="P475" s="23">
        <v>35729266421</v>
      </c>
      <c r="Q475" s="23">
        <f>18949403783+50338369951</f>
        <v>69287773734</v>
      </c>
      <c r="R475" s="25">
        <f t="shared" si="71"/>
        <v>267305367122</v>
      </c>
      <c r="S475" s="26">
        <f t="shared" si="72"/>
        <v>0.48263985154268485</v>
      </c>
      <c r="T475" s="27">
        <f t="shared" si="73"/>
        <v>0.7607548985840068</v>
      </c>
      <c r="U475" s="26">
        <f t="shared" si="74"/>
        <v>28.307094404751247</v>
      </c>
      <c r="V475" s="26">
        <f t="shared" si="75"/>
        <v>0.30622756902764436</v>
      </c>
      <c r="W475" s="63" t="s">
        <v>1131</v>
      </c>
      <c r="X475" s="29">
        <v>4400</v>
      </c>
      <c r="Y475" s="63">
        <v>1132375</v>
      </c>
      <c r="Z475" s="30">
        <f t="shared" si="103"/>
        <v>4982450000</v>
      </c>
      <c r="AA475" s="31">
        <f t="shared" si="77"/>
        <v>16</v>
      </c>
      <c r="AB475" s="32">
        <v>3.2500000000000001E-2</v>
      </c>
      <c r="AC475" s="32">
        <v>5.0500000000000003E-2</v>
      </c>
      <c r="AD475" s="33">
        <f t="shared" si="133"/>
        <v>-9.4306999335469113E-2</v>
      </c>
      <c r="AE475" s="34">
        <f t="shared" si="134"/>
        <v>1.8172270836169041E-2</v>
      </c>
      <c r="AF475" s="33">
        <f t="shared" si="135"/>
        <v>0.13595424742466977</v>
      </c>
      <c r="AG475" s="33">
        <f t="shared" si="136"/>
        <v>5.250550884884006E-3</v>
      </c>
      <c r="AH475" s="35">
        <f t="shared" si="137"/>
        <v>0.35470489690159618</v>
      </c>
      <c r="AI475" s="36">
        <f t="shared" si="83"/>
        <v>0.71877702390201048</v>
      </c>
      <c r="AJ475" s="23"/>
      <c r="AK475" s="23"/>
      <c r="AL475" s="23"/>
      <c r="AM475" s="23"/>
      <c r="AN475" s="23"/>
    </row>
    <row r="476" spans="1:44" ht="16.8">
      <c r="A476" s="70" t="s">
        <v>1132</v>
      </c>
      <c r="B476" s="71">
        <v>186</v>
      </c>
      <c r="C476" s="1" t="s">
        <v>1133</v>
      </c>
      <c r="D476" s="19" t="s">
        <v>1134</v>
      </c>
      <c r="E476" s="20" t="s">
        <v>39</v>
      </c>
      <c r="F476" s="21">
        <v>2000</v>
      </c>
      <c r="G476" s="40">
        <v>2021</v>
      </c>
      <c r="H476" s="23">
        <v>10801086423799</v>
      </c>
      <c r="I476" s="23">
        <v>11047240715802</v>
      </c>
      <c r="J476" s="23">
        <v>7635694807694</v>
      </c>
      <c r="K476" s="23">
        <f>AVERAGE(J476,4955227678095)</f>
        <v>6295461242894.5</v>
      </c>
      <c r="L476" s="23">
        <v>6798797328015</v>
      </c>
      <c r="M476" s="23">
        <v>3411545908108</v>
      </c>
      <c r="N476" s="23">
        <v>2217763056448</v>
      </c>
      <c r="O476" s="25">
        <f t="shared" si="70"/>
        <v>4002289095784</v>
      </c>
      <c r="P476" s="23">
        <v>586810651436</v>
      </c>
      <c r="Q476" s="23">
        <v>940582949770</v>
      </c>
      <c r="R476" s="25">
        <f t="shared" si="71"/>
        <v>1277180106678</v>
      </c>
      <c r="S476" s="26">
        <f t="shared" si="72"/>
        <v>0.69118570004289703</v>
      </c>
      <c r="T476" s="27">
        <f t="shared" si="73"/>
        <v>1.5886760411716114</v>
      </c>
      <c r="U476" s="26">
        <f t="shared" si="74"/>
        <v>30.033201803732638</v>
      </c>
      <c r="V476" s="26">
        <f t="shared" si="75"/>
        <v>0.35227967751387929</v>
      </c>
      <c r="W476" s="63" t="s">
        <v>1135</v>
      </c>
      <c r="X476" s="29">
        <v>22480</v>
      </c>
      <c r="Y476" s="63">
        <v>1147976</v>
      </c>
      <c r="Z476" s="30">
        <f t="shared" si="103"/>
        <v>25806500480</v>
      </c>
      <c r="AA476" s="31">
        <f t="shared" si="77"/>
        <v>21</v>
      </c>
      <c r="AB476" s="32">
        <v>1.84E-2</v>
      </c>
      <c r="AC476" s="32">
        <v>2.58E-2</v>
      </c>
      <c r="AD476" s="33">
        <f t="shared" si="133"/>
        <v>0.36228857492524047</v>
      </c>
      <c r="AE476" s="34">
        <f t="shared" si="134"/>
        <v>5.311830044552434E-2</v>
      </c>
      <c r="AF476" s="33">
        <f t="shared" si="135"/>
        <v>0.11561077915602205</v>
      </c>
      <c r="AG476" s="33">
        <f t="shared" si="136"/>
        <v>3.3797186935753958E-3</v>
      </c>
      <c r="AH476" s="35">
        <f t="shared" si="137"/>
        <v>0.29044679132713663</v>
      </c>
      <c r="AI476" s="36">
        <f t="shared" si="83"/>
        <v>1.1831021042921772</v>
      </c>
      <c r="AJ476" s="23"/>
      <c r="AK476" s="23"/>
      <c r="AL476" s="23"/>
      <c r="AM476" s="23"/>
      <c r="AN476" s="23"/>
      <c r="AO476" s="44"/>
      <c r="AP476" s="44"/>
      <c r="AQ476" s="44"/>
      <c r="AR476" s="44"/>
    </row>
    <row r="477" spans="1:44" ht="16.8">
      <c r="A477" s="74" t="s">
        <v>1136</v>
      </c>
      <c r="B477" s="75"/>
      <c r="C477" s="1" t="s">
        <v>1133</v>
      </c>
      <c r="D477" s="19" t="s">
        <v>1134</v>
      </c>
      <c r="E477" s="20" t="s">
        <v>39</v>
      </c>
      <c r="F477" s="21">
        <v>2000</v>
      </c>
      <c r="G477" s="40">
        <v>2022</v>
      </c>
      <c r="H477" s="23">
        <v>9739510880503</v>
      </c>
      <c r="I477" s="23">
        <v>10641369688557</v>
      </c>
      <c r="J477" s="23">
        <v>6156337241100</v>
      </c>
      <c r="K477" s="23">
        <f t="shared" ref="K477:K478" si="150">AVERAGE(J476:J477)</f>
        <v>6896016024397</v>
      </c>
      <c r="L477" s="23">
        <v>5784183853340</v>
      </c>
      <c r="M477" s="23">
        <v>4485032447457</v>
      </c>
      <c r="N477" s="23">
        <v>1958363554556</v>
      </c>
      <c r="O477" s="25">
        <f t="shared" si="70"/>
        <v>3955327027163</v>
      </c>
      <c r="P477" s="23">
        <v>514205653236</v>
      </c>
      <c r="Q477" s="23">
        <v>725886384471</v>
      </c>
      <c r="R477" s="25">
        <f t="shared" si="71"/>
        <v>1232477170085</v>
      </c>
      <c r="S477" s="26">
        <f t="shared" si="72"/>
        <v>0.5785286500966228</v>
      </c>
      <c r="T477" s="27">
        <f t="shared" si="73"/>
        <v>1.6838176530089113</v>
      </c>
      <c r="U477" s="26">
        <f t="shared" si="74"/>
        <v>29.995770321684571</v>
      </c>
      <c r="V477" s="26">
        <f t="shared" si="75"/>
        <v>0.2839847743432764</v>
      </c>
      <c r="W477" s="63" t="s">
        <v>1137</v>
      </c>
      <c r="X477" s="29">
        <v>8920</v>
      </c>
      <c r="Y477" s="63">
        <v>1249628</v>
      </c>
      <c r="Z477" s="30">
        <f t="shared" si="103"/>
        <v>11146681760</v>
      </c>
      <c r="AA477" s="31">
        <f t="shared" si="77"/>
        <v>22</v>
      </c>
      <c r="AB477" s="32">
        <v>3.15E-2</v>
      </c>
      <c r="AC477" s="32">
        <v>8.0199999999999994E-2</v>
      </c>
      <c r="AD477" s="33">
        <f t="shared" si="133"/>
        <v>0.37169341381084503</v>
      </c>
      <c r="AE477" s="34">
        <f t="shared" si="134"/>
        <v>4.8321378571119615E-2</v>
      </c>
      <c r="AF477" s="33">
        <f t="shared" si="135"/>
        <v>0.11581941104915484</v>
      </c>
      <c r="AG477" s="33">
        <f t="shared" si="136"/>
        <v>1.8106028509263954E-3</v>
      </c>
      <c r="AH477" s="35">
        <f t="shared" si="137"/>
        <v>0.31810530805263099</v>
      </c>
      <c r="AI477" s="36">
        <f t="shared" si="83"/>
        <v>1.2150777527979792</v>
      </c>
      <c r="AJ477" s="23"/>
      <c r="AK477" s="23"/>
      <c r="AL477" s="23"/>
      <c r="AM477" s="23"/>
      <c r="AN477" s="23"/>
    </row>
    <row r="478" spans="1:44" ht="16.8">
      <c r="A478" s="74" t="s">
        <v>1138</v>
      </c>
      <c r="B478" s="75"/>
      <c r="C478" s="1" t="s">
        <v>1133</v>
      </c>
      <c r="D478" s="19" t="s">
        <v>1134</v>
      </c>
      <c r="E478" s="20" t="s">
        <v>39</v>
      </c>
      <c r="F478" s="21">
        <v>2000</v>
      </c>
      <c r="G478" s="40">
        <v>2023</v>
      </c>
      <c r="H478" s="23">
        <v>14673785853603</v>
      </c>
      <c r="I478" s="23">
        <v>15325125439968</v>
      </c>
      <c r="J478" s="23">
        <v>10286928941374</v>
      </c>
      <c r="K478" s="23">
        <f t="shared" si="150"/>
        <v>8221633091237</v>
      </c>
      <c r="L478" s="23">
        <v>9880737830263</v>
      </c>
      <c r="M478" s="23">
        <v>5038196498594</v>
      </c>
      <c r="N478" s="23">
        <v>1815958753908</v>
      </c>
      <c r="O478" s="25">
        <f t="shared" si="70"/>
        <v>4793048023340</v>
      </c>
      <c r="P478" s="23">
        <v>584016390331</v>
      </c>
      <c r="Q478" s="23">
        <v>571501442073</v>
      </c>
      <c r="R478" s="25">
        <f t="shared" si="71"/>
        <v>1244457311835</v>
      </c>
      <c r="S478" s="26">
        <f t="shared" si="72"/>
        <v>0.67124598631640819</v>
      </c>
      <c r="T478" s="27">
        <f t="shared" si="73"/>
        <v>1.4850900920232615</v>
      </c>
      <c r="U478" s="26">
        <f t="shared" si="74"/>
        <v>30.360514783033345</v>
      </c>
      <c r="V478" s="26">
        <f t="shared" si="75"/>
        <v>0.2208756744257456</v>
      </c>
      <c r="W478" s="63" t="s">
        <v>1139</v>
      </c>
      <c r="X478" s="29">
        <v>18940</v>
      </c>
      <c r="Y478" s="63">
        <v>2756602</v>
      </c>
      <c r="Z478" s="30">
        <f t="shared" si="103"/>
        <v>52210041880</v>
      </c>
      <c r="AA478" s="31">
        <f t="shared" si="77"/>
        <v>23</v>
      </c>
      <c r="AB478" s="32">
        <v>3.2500000000000001E-2</v>
      </c>
      <c r="AC478" s="32">
        <v>5.0500000000000003E-2</v>
      </c>
      <c r="AD478" s="33">
        <f t="shared" si="133"/>
        <v>0.31275750675682612</v>
      </c>
      <c r="AE478" s="34">
        <f t="shared" si="134"/>
        <v>3.8108424796829556E-2</v>
      </c>
      <c r="AF478" s="33">
        <f t="shared" si="135"/>
        <v>8.120372761122395E-2</v>
      </c>
      <c r="AG478" s="33">
        <f t="shared" si="136"/>
        <v>5.0753769348995262E-3</v>
      </c>
      <c r="AH478" s="35">
        <f t="shared" si="137"/>
        <v>0.17653069873985605</v>
      </c>
      <c r="AI478" s="36">
        <f t="shared" si="83"/>
        <v>0.87620902884158758</v>
      </c>
      <c r="AJ478" s="23"/>
      <c r="AK478" s="23"/>
      <c r="AL478" s="23"/>
      <c r="AM478" s="23"/>
      <c r="AN478" s="23"/>
    </row>
    <row r="479" spans="1:44" ht="16.8">
      <c r="A479" s="70" t="s">
        <v>1140</v>
      </c>
      <c r="B479" s="71">
        <v>187</v>
      </c>
      <c r="C479" s="1" t="s">
        <v>1141</v>
      </c>
      <c r="D479" s="19" t="s">
        <v>1142</v>
      </c>
      <c r="E479" s="20" t="s">
        <v>39</v>
      </c>
      <c r="F479" s="21">
        <v>2000</v>
      </c>
      <c r="G479" s="40">
        <v>2021</v>
      </c>
      <c r="H479" s="23">
        <v>26202345946</v>
      </c>
      <c r="I479" s="23">
        <v>92957144457</v>
      </c>
      <c r="J479" s="23">
        <v>21923374232</v>
      </c>
      <c r="K479" s="23">
        <f>AVERAGE(21923374232,16565815254)</f>
        <v>19244594743</v>
      </c>
      <c r="L479" s="23">
        <v>21190910613</v>
      </c>
      <c r="M479" s="23">
        <v>71033770225</v>
      </c>
      <c r="N479" s="23">
        <v>40953605308</v>
      </c>
      <c r="O479" s="25">
        <f t="shared" si="70"/>
        <v>5011435333</v>
      </c>
      <c r="P479" s="23">
        <v>2139709397</v>
      </c>
      <c r="Q479" s="23">
        <f>1987381403+3617724576</f>
        <v>5605105979</v>
      </c>
      <c r="R479" s="25">
        <f t="shared" si="71"/>
        <v>35348499329</v>
      </c>
      <c r="S479" s="26">
        <f t="shared" si="72"/>
        <v>0.23584388655722194</v>
      </c>
      <c r="T479" s="27">
        <f t="shared" si="73"/>
        <v>1.2364898528676551</v>
      </c>
      <c r="U479" s="26">
        <f t="shared" si="74"/>
        <v>25.255404411602733</v>
      </c>
      <c r="V479" s="26">
        <f t="shared" si="75"/>
        <v>2.1280575587540707</v>
      </c>
      <c r="W479" s="63" t="s">
        <v>1143</v>
      </c>
      <c r="X479" s="29">
        <v>10180</v>
      </c>
      <c r="Y479" s="63">
        <v>0</v>
      </c>
      <c r="Z479" s="30">
        <f t="shared" si="103"/>
        <v>0</v>
      </c>
      <c r="AA479" s="31">
        <f t="shared" si="77"/>
        <v>21</v>
      </c>
      <c r="AB479" s="32">
        <v>1.84E-2</v>
      </c>
      <c r="AC479" s="32">
        <v>2.58E-2</v>
      </c>
      <c r="AD479" s="33">
        <f t="shared" si="133"/>
        <v>5.3911244394110915E-2</v>
      </c>
      <c r="AE479" s="34">
        <f t="shared" si="134"/>
        <v>2.3018235010325475E-2</v>
      </c>
      <c r="AF479" s="33">
        <f t="shared" si="135"/>
        <v>0.38026662216750284</v>
      </c>
      <c r="AG479" s="33">
        <f t="shared" si="136"/>
        <v>0</v>
      </c>
      <c r="AH479" s="35">
        <f t="shared" si="137"/>
        <v>1.8680338562219549</v>
      </c>
      <c r="AI479" s="36">
        <f t="shared" si="83"/>
        <v>3.2198327316621032</v>
      </c>
      <c r="AJ479" s="23"/>
      <c r="AK479" s="23"/>
      <c r="AL479" s="23"/>
      <c r="AM479" s="23"/>
      <c r="AN479" s="23"/>
      <c r="AO479" s="44"/>
      <c r="AP479" s="44"/>
      <c r="AQ479" s="44"/>
      <c r="AR479" s="44"/>
    </row>
    <row r="480" spans="1:44" ht="16.8">
      <c r="A480" s="74" t="s">
        <v>1144</v>
      </c>
      <c r="B480" s="75"/>
      <c r="C480" s="1" t="s">
        <v>1141</v>
      </c>
      <c r="D480" s="19" t="s">
        <v>1142</v>
      </c>
      <c r="E480" s="20" t="s">
        <v>39</v>
      </c>
      <c r="F480" s="21">
        <v>2000</v>
      </c>
      <c r="G480" s="40">
        <v>2022</v>
      </c>
      <c r="H480" s="23">
        <v>23349256921</v>
      </c>
      <c r="I480" s="23">
        <v>86997035904</v>
      </c>
      <c r="J480" s="23">
        <v>16446350298</v>
      </c>
      <c r="K480" s="23">
        <f t="shared" ref="K480:K481" si="151">AVERAGE(J479:J480)</f>
        <v>19184862265</v>
      </c>
      <c r="L480" s="23">
        <v>15667641555</v>
      </c>
      <c r="M480" s="23">
        <v>70550685606</v>
      </c>
      <c r="N480" s="23">
        <v>52220965079</v>
      </c>
      <c r="O480" s="25">
        <f t="shared" si="70"/>
        <v>7681615366</v>
      </c>
      <c r="P480" s="23">
        <v>3491007570</v>
      </c>
      <c r="Q480" s="23">
        <f>1460943673+4688100598</f>
        <v>6149044271</v>
      </c>
      <c r="R480" s="25">
        <f t="shared" si="71"/>
        <v>46071920808</v>
      </c>
      <c r="S480" s="26">
        <f t="shared" si="72"/>
        <v>0.18904494994689608</v>
      </c>
      <c r="T480" s="27">
        <f t="shared" si="73"/>
        <v>1.4902853654798207</v>
      </c>
      <c r="U480" s="26">
        <f t="shared" si="74"/>
        <v>25.189139884951633</v>
      </c>
      <c r="V480" s="26">
        <f t="shared" si="75"/>
        <v>2.7219880110512746</v>
      </c>
      <c r="W480" s="63" t="s">
        <v>1145</v>
      </c>
      <c r="X480" s="29">
        <v>9500</v>
      </c>
      <c r="Y480" s="63">
        <v>0</v>
      </c>
      <c r="Z480" s="30">
        <f t="shared" si="103"/>
        <v>0</v>
      </c>
      <c r="AA480" s="31">
        <f t="shared" si="77"/>
        <v>22</v>
      </c>
      <c r="AB480" s="32">
        <v>3.15E-2</v>
      </c>
      <c r="AC480" s="32">
        <v>8.0199999999999994E-2</v>
      </c>
      <c r="AD480" s="33">
        <f t="shared" si="133"/>
        <v>8.8297437794048E-2</v>
      </c>
      <c r="AE480" s="34">
        <f t="shared" si="134"/>
        <v>4.0127890953115662E-2</v>
      </c>
      <c r="AF480" s="33">
        <f t="shared" si="135"/>
        <v>0.52958035097701162</v>
      </c>
      <c r="AG480" s="33">
        <f t="shared" si="136"/>
        <v>0</v>
      </c>
      <c r="AH480" s="35">
        <f t="shared" si="137"/>
        <v>3.1752312295908269</v>
      </c>
      <c r="AI480" s="36">
        <f t="shared" si="83"/>
        <v>5.0849823605021847</v>
      </c>
      <c r="AJ480" s="23"/>
      <c r="AK480" s="23"/>
      <c r="AL480" s="23"/>
      <c r="AM480" s="23"/>
      <c r="AN480" s="23"/>
    </row>
    <row r="481" spans="1:44" ht="16.8">
      <c r="A481" s="74" t="s">
        <v>1146</v>
      </c>
      <c r="B481" s="75"/>
      <c r="C481" s="1" t="s">
        <v>1141</v>
      </c>
      <c r="D481" s="19" t="s">
        <v>1142</v>
      </c>
      <c r="E481" s="20" t="s">
        <v>39</v>
      </c>
      <c r="F481" s="21">
        <v>2000</v>
      </c>
      <c r="G481" s="40">
        <v>2023</v>
      </c>
      <c r="H481" s="23">
        <v>21071567076</v>
      </c>
      <c r="I481" s="23">
        <v>89073213414</v>
      </c>
      <c r="J481" s="23">
        <v>18384868321</v>
      </c>
      <c r="K481" s="23">
        <f t="shared" si="151"/>
        <v>17415609309.5</v>
      </c>
      <c r="L481" s="23">
        <v>17582733219</v>
      </c>
      <c r="M481" s="23">
        <v>70688345093</v>
      </c>
      <c r="N481" s="23">
        <v>17286549382</v>
      </c>
      <c r="O481" s="25">
        <f t="shared" si="70"/>
        <v>3488833857</v>
      </c>
      <c r="P481" s="23">
        <v>152677360</v>
      </c>
      <c r="Q481" s="23">
        <f>787004531+3155374722</f>
        <v>3942379253</v>
      </c>
      <c r="R481" s="25">
        <f t="shared" si="71"/>
        <v>13344170129</v>
      </c>
      <c r="S481" s="26">
        <f t="shared" si="72"/>
        <v>0.20640176340725094</v>
      </c>
      <c r="T481" s="27">
        <f t="shared" si="73"/>
        <v>1.1984238635452846</v>
      </c>
      <c r="U481" s="26">
        <f t="shared" si="74"/>
        <v>25.212724491139213</v>
      </c>
      <c r="V481" s="26">
        <f t="shared" si="75"/>
        <v>0.99258941072882245</v>
      </c>
      <c r="W481" s="63" t="s">
        <v>1147</v>
      </c>
      <c r="X481" s="29">
        <v>11520</v>
      </c>
      <c r="Y481" s="63">
        <v>0</v>
      </c>
      <c r="Z481" s="30">
        <f t="shared" si="103"/>
        <v>0</v>
      </c>
      <c r="AA481" s="31">
        <f t="shared" si="77"/>
        <v>23</v>
      </c>
      <c r="AB481" s="32">
        <v>3.2500000000000001E-2</v>
      </c>
      <c r="AC481" s="32">
        <v>5.0500000000000003E-2</v>
      </c>
      <c r="AD481" s="33">
        <f t="shared" si="133"/>
        <v>3.9168159801133272E-2</v>
      </c>
      <c r="AE481" s="34">
        <f t="shared" si="134"/>
        <v>1.7140659256377863E-3</v>
      </c>
      <c r="AF481" s="33">
        <f t="shared" si="135"/>
        <v>0.14981125770076509</v>
      </c>
      <c r="AG481" s="33">
        <f t="shared" si="136"/>
        <v>0</v>
      </c>
      <c r="AH481" s="35">
        <f t="shared" si="137"/>
        <v>0.94025962439200872</v>
      </c>
      <c r="AI481" s="36">
        <f t="shared" si="83"/>
        <v>1.4840382588617862</v>
      </c>
      <c r="AJ481" s="23"/>
      <c r="AK481" s="23"/>
      <c r="AL481" s="23"/>
      <c r="AM481" s="23"/>
      <c r="AN481" s="23"/>
    </row>
    <row r="482" spans="1:44" ht="16.8">
      <c r="A482" s="70" t="s">
        <v>1148</v>
      </c>
      <c r="B482" s="71">
        <v>188</v>
      </c>
      <c r="C482" s="1" t="s">
        <v>1149</v>
      </c>
      <c r="D482" s="19" t="s">
        <v>1150</v>
      </c>
      <c r="E482" s="20" t="s">
        <v>39</v>
      </c>
      <c r="F482" s="21">
        <v>2005</v>
      </c>
      <c r="G482" s="40">
        <v>2021</v>
      </c>
      <c r="H482" s="23">
        <v>182286245160</v>
      </c>
      <c r="I482" s="23">
        <v>228781412010</v>
      </c>
      <c r="J482" s="23">
        <v>107225879948</v>
      </c>
      <c r="K482" s="23">
        <f>AVERAGE(107225879948,38042673823)</f>
        <v>72634276885.5</v>
      </c>
      <c r="L482" s="23">
        <v>106955879948</v>
      </c>
      <c r="M482" s="23">
        <v>121555532062</v>
      </c>
      <c r="N482" s="23">
        <v>443595204361</v>
      </c>
      <c r="O482" s="25">
        <f t="shared" si="70"/>
        <v>75330365212</v>
      </c>
      <c r="P482" s="23">
        <v>10905825060</v>
      </c>
      <c r="Q482" s="23">
        <f>12570134701+19800594520</f>
        <v>32370729221</v>
      </c>
      <c r="R482" s="25">
        <f t="shared" si="71"/>
        <v>411224475140</v>
      </c>
      <c r="S482" s="26">
        <f t="shared" si="72"/>
        <v>0.46868265654079089</v>
      </c>
      <c r="T482" s="27">
        <f t="shared" si="73"/>
        <v>1.7043125188500552</v>
      </c>
      <c r="U482" s="26">
        <f t="shared" si="74"/>
        <v>26.156032851936772</v>
      </c>
      <c r="V482" s="26">
        <f t="shared" si="75"/>
        <v>6.1072433482098178</v>
      </c>
      <c r="W482" s="63" t="s">
        <v>1151</v>
      </c>
      <c r="X482" s="29">
        <v>8150</v>
      </c>
      <c r="Y482" s="63">
        <v>300</v>
      </c>
      <c r="Z482" s="30">
        <f t="shared" si="103"/>
        <v>2445000</v>
      </c>
      <c r="AA482" s="31">
        <f t="shared" si="77"/>
        <v>16</v>
      </c>
      <c r="AB482" s="32">
        <v>1.84E-2</v>
      </c>
      <c r="AC482" s="32">
        <v>2.58E-2</v>
      </c>
      <c r="AD482" s="33">
        <f t="shared" si="133"/>
        <v>0.32926785681656395</v>
      </c>
      <c r="AE482" s="34">
        <f t="shared" si="134"/>
        <v>4.766919202126136E-2</v>
      </c>
      <c r="AF482" s="33">
        <f t="shared" si="135"/>
        <v>1.7974557964614077</v>
      </c>
      <c r="AG482" s="33">
        <f t="shared" si="136"/>
        <v>2.2802330940867273E-5</v>
      </c>
      <c r="AH482" s="35">
        <f t="shared" si="137"/>
        <v>4.1370162182499675</v>
      </c>
      <c r="AI482" s="36">
        <f t="shared" si="83"/>
        <v>10.53049232498082</v>
      </c>
      <c r="AJ482" s="23"/>
      <c r="AK482" s="23"/>
      <c r="AL482" s="23"/>
      <c r="AM482" s="23"/>
      <c r="AN482" s="23"/>
      <c r="AO482" s="44"/>
      <c r="AP482" s="44"/>
      <c r="AQ482" s="44"/>
      <c r="AR482" s="44"/>
    </row>
    <row r="483" spans="1:44" ht="16.8">
      <c r="A483" s="74" t="s">
        <v>1152</v>
      </c>
      <c r="B483" s="75"/>
      <c r="C483" s="1" t="s">
        <v>1149</v>
      </c>
      <c r="D483" s="19" t="s">
        <v>1150</v>
      </c>
      <c r="E483" s="20" t="s">
        <v>39</v>
      </c>
      <c r="F483" s="21">
        <v>2005</v>
      </c>
      <c r="G483" s="40">
        <v>2022</v>
      </c>
      <c r="H483" s="23">
        <v>154274114866</v>
      </c>
      <c r="I483" s="23">
        <v>193726321330</v>
      </c>
      <c r="J483" s="23">
        <v>70995447150</v>
      </c>
      <c r="K483" s="23">
        <f t="shared" ref="K483:K484" si="152">AVERAGE(J482:J483)</f>
        <v>89110663549</v>
      </c>
      <c r="L483" s="23">
        <v>70725447150</v>
      </c>
      <c r="M483" s="23">
        <v>122730874180</v>
      </c>
      <c r="N483" s="23">
        <v>423631888706</v>
      </c>
      <c r="O483" s="25">
        <f t="shared" si="70"/>
        <v>83548667716</v>
      </c>
      <c r="P483" s="23">
        <v>10925824478</v>
      </c>
      <c r="Q483" s="23">
        <f>13559505078+25413573442</f>
        <v>38973078520</v>
      </c>
      <c r="R483" s="25">
        <f t="shared" si="71"/>
        <v>384658810186</v>
      </c>
      <c r="S483" s="26">
        <f t="shared" si="72"/>
        <v>0.36647290188855619</v>
      </c>
      <c r="T483" s="27">
        <f t="shared" si="73"/>
        <v>2.1813098549777075</v>
      </c>
      <c r="U483" s="26">
        <f t="shared" si="74"/>
        <v>25.989712285220989</v>
      </c>
      <c r="V483" s="26">
        <f t="shared" si="75"/>
        <v>4.7539976904453649</v>
      </c>
      <c r="W483" s="63" t="s">
        <v>1153</v>
      </c>
      <c r="X483" s="29">
        <v>6340</v>
      </c>
      <c r="Y483" s="63">
        <v>700</v>
      </c>
      <c r="Z483" s="30">
        <f t="shared" si="103"/>
        <v>4438000</v>
      </c>
      <c r="AA483" s="31">
        <f t="shared" si="77"/>
        <v>17</v>
      </c>
      <c r="AB483" s="32">
        <v>3.15E-2</v>
      </c>
      <c r="AC483" s="32">
        <v>8.0199999999999994E-2</v>
      </c>
      <c r="AD483" s="33">
        <f t="shared" si="133"/>
        <v>0.4312716369278512</v>
      </c>
      <c r="AE483" s="34">
        <f t="shared" si="134"/>
        <v>5.6398244714452504E-2</v>
      </c>
      <c r="AF483" s="33">
        <f t="shared" si="135"/>
        <v>1.9855784569963475</v>
      </c>
      <c r="AG483" s="33">
        <f t="shared" si="136"/>
        <v>6.2511050752639706E-5</v>
      </c>
      <c r="AH483" s="35">
        <f t="shared" si="137"/>
        <v>5.9670289534333891</v>
      </c>
      <c r="AI483" s="36">
        <f t="shared" si="83"/>
        <v>13.115958875065441</v>
      </c>
      <c r="AJ483" s="23"/>
      <c r="AK483" s="23"/>
      <c r="AL483" s="23"/>
      <c r="AM483" s="23"/>
      <c r="AN483" s="23"/>
    </row>
    <row r="484" spans="1:44" ht="16.8">
      <c r="A484" s="74" t="s">
        <v>1154</v>
      </c>
      <c r="B484" s="75"/>
      <c r="C484" s="1" t="s">
        <v>1149</v>
      </c>
      <c r="D484" s="19" t="s">
        <v>1150</v>
      </c>
      <c r="E484" s="20" t="s">
        <v>39</v>
      </c>
      <c r="F484" s="21">
        <v>2005</v>
      </c>
      <c r="G484" s="40">
        <v>2023</v>
      </c>
      <c r="H484" s="23">
        <v>135826871992</v>
      </c>
      <c r="I484" s="23">
        <v>169335200991</v>
      </c>
      <c r="J484" s="23">
        <v>45579727742</v>
      </c>
      <c r="K484" s="23">
        <f t="shared" si="152"/>
        <v>58287587446</v>
      </c>
      <c r="L484" s="23">
        <v>45309727742</v>
      </c>
      <c r="M484" s="23">
        <v>123755473249</v>
      </c>
      <c r="N484" s="23">
        <v>443846689702</v>
      </c>
      <c r="O484" s="25">
        <f t="shared" si="70"/>
        <v>90517144250</v>
      </c>
      <c r="P484" s="23">
        <v>10863544809</v>
      </c>
      <c r="Q484" s="23">
        <f>13346653295+21863153431</f>
        <v>35209806726</v>
      </c>
      <c r="R484" s="25">
        <f t="shared" si="71"/>
        <v>408636882976</v>
      </c>
      <c r="S484" s="26">
        <f t="shared" si="72"/>
        <v>0.26916865173486593</v>
      </c>
      <c r="T484" s="27">
        <f t="shared" si="73"/>
        <v>2.9977419587559084</v>
      </c>
      <c r="U484" s="26">
        <f t="shared" si="74"/>
        <v>25.855146025270368</v>
      </c>
      <c r="V484" s="26">
        <f t="shared" si="75"/>
        <v>7.6147720149371025</v>
      </c>
      <c r="W484" s="63" t="s">
        <v>1155</v>
      </c>
      <c r="X484" s="29">
        <v>7950</v>
      </c>
      <c r="Y484" s="63">
        <v>2800</v>
      </c>
      <c r="Z484" s="30">
        <f t="shared" si="103"/>
        <v>22260000</v>
      </c>
      <c r="AA484" s="31">
        <f t="shared" si="77"/>
        <v>18</v>
      </c>
      <c r="AB484" s="32">
        <v>3.2500000000000001E-2</v>
      </c>
      <c r="AC484" s="32">
        <v>5.0500000000000003E-2</v>
      </c>
      <c r="AD484" s="33">
        <f t="shared" si="133"/>
        <v>0.53454416872727428</v>
      </c>
      <c r="AE484" s="34">
        <f t="shared" si="134"/>
        <v>6.4154084593299576E-2</v>
      </c>
      <c r="AF484" s="33">
        <f t="shared" si="135"/>
        <v>2.4131833226909429</v>
      </c>
      <c r="AG484" s="33">
        <f t="shared" si="136"/>
        <v>4.8837501017998076E-4</v>
      </c>
      <c r="AH484" s="35">
        <f t="shared" si="137"/>
        <v>9.7378091465213394</v>
      </c>
      <c r="AI484" s="36">
        <f t="shared" si="83"/>
        <v>18.432875857310908</v>
      </c>
      <c r="AJ484" s="23"/>
      <c r="AK484" s="23"/>
      <c r="AL484" s="23"/>
      <c r="AM484" s="23"/>
      <c r="AN484" s="23"/>
    </row>
    <row r="485" spans="1:44" ht="16.8">
      <c r="A485" s="136"/>
      <c r="B485" s="45">
        <v>189</v>
      </c>
      <c r="C485" s="45" t="s">
        <v>1156</v>
      </c>
      <c r="D485" s="46" t="s">
        <v>1157</v>
      </c>
      <c r="E485" s="47" t="s">
        <v>39</v>
      </c>
      <c r="F485" s="48"/>
      <c r="G485" s="48">
        <v>2021</v>
      </c>
      <c r="H485" s="49"/>
      <c r="I485" s="49"/>
      <c r="J485" s="49"/>
      <c r="K485" s="49"/>
      <c r="L485" s="49"/>
      <c r="M485" s="49"/>
      <c r="N485" s="49"/>
      <c r="O485" s="49">
        <f t="shared" si="70"/>
        <v>0</v>
      </c>
      <c r="P485" s="49"/>
      <c r="Q485" s="49"/>
      <c r="R485" s="49">
        <f t="shared" si="71"/>
        <v>0</v>
      </c>
      <c r="S485" s="50" t="e">
        <f t="shared" si="72"/>
        <v>#DIV/0!</v>
      </c>
      <c r="T485" s="51" t="e">
        <f t="shared" si="73"/>
        <v>#DIV/0!</v>
      </c>
      <c r="U485" s="50" t="e">
        <f t="shared" si="74"/>
        <v>#NUM!</v>
      </c>
      <c r="V485" s="50" t="e">
        <f t="shared" si="75"/>
        <v>#DIV/0!</v>
      </c>
      <c r="W485" s="52"/>
      <c r="X485" s="53">
        <v>0</v>
      </c>
      <c r="Y485" s="52"/>
      <c r="Z485" s="55">
        <f t="shared" si="103"/>
        <v>0</v>
      </c>
      <c r="AA485" s="48">
        <f t="shared" si="77"/>
        <v>2021</v>
      </c>
      <c r="AB485" s="49"/>
      <c r="AC485" s="138">
        <v>2.58E-2</v>
      </c>
      <c r="AD485" s="50" t="e">
        <f t="shared" si="133"/>
        <v>#DIV/0!</v>
      </c>
      <c r="AE485" s="56" t="e">
        <f t="shared" si="134"/>
        <v>#DIV/0!</v>
      </c>
      <c r="AF485" s="50" t="e">
        <f t="shared" si="135"/>
        <v>#DIV/0!</v>
      </c>
      <c r="AG485" s="50" t="e">
        <f t="shared" si="136"/>
        <v>#DIV/0!</v>
      </c>
      <c r="AH485" s="57" t="e">
        <f t="shared" si="137"/>
        <v>#DIV/0!</v>
      </c>
      <c r="AI485" s="58" t="e">
        <f t="shared" si="83"/>
        <v>#DIV/0!</v>
      </c>
      <c r="AJ485" s="49"/>
      <c r="AK485" s="49"/>
      <c r="AL485" s="59"/>
      <c r="AM485" s="59"/>
      <c r="AN485" s="59"/>
      <c r="AO485" s="59"/>
      <c r="AP485" s="59"/>
      <c r="AQ485" s="59"/>
      <c r="AR485" s="59"/>
    </row>
    <row r="486" spans="1:44" ht="16.8">
      <c r="A486" s="70" t="s">
        <v>1158</v>
      </c>
      <c r="B486" s="71">
        <v>190</v>
      </c>
      <c r="C486" s="1" t="s">
        <v>1159</v>
      </c>
      <c r="D486" s="19" t="s">
        <v>1160</v>
      </c>
      <c r="E486" s="20" t="s">
        <v>39</v>
      </c>
      <c r="F486" s="21">
        <v>1997</v>
      </c>
      <c r="G486" s="40">
        <v>2021</v>
      </c>
      <c r="H486" s="23">
        <v>90105720528</v>
      </c>
      <c r="I486" s="23">
        <v>148985705029</v>
      </c>
      <c r="J486" s="23">
        <v>96530860324</v>
      </c>
      <c r="K486" s="23">
        <f>AVERAGE(96530860324,91501057945)</f>
        <v>94015959134.5</v>
      </c>
      <c r="L486" s="23">
        <v>91125762207</v>
      </c>
      <c r="M486" s="23">
        <v>52454844705</v>
      </c>
      <c r="N486" s="23">
        <v>72168075457</v>
      </c>
      <c r="O486" s="25">
        <f t="shared" si="70"/>
        <v>-1020041679</v>
      </c>
      <c r="P486" s="23">
        <v>102241722</v>
      </c>
      <c r="Q486" s="23">
        <v>2650773166</v>
      </c>
      <c r="R486" s="25">
        <f t="shared" si="71"/>
        <v>69517302291</v>
      </c>
      <c r="S486" s="26">
        <f t="shared" si="72"/>
        <v>0.6479202840649062</v>
      </c>
      <c r="T486" s="27">
        <f t="shared" si="73"/>
        <v>0.98880622060880119</v>
      </c>
      <c r="U486" s="26">
        <f t="shared" si="74"/>
        <v>25.727116198886709</v>
      </c>
      <c r="V486" s="26">
        <f t="shared" si="75"/>
        <v>0.76761515939815883</v>
      </c>
      <c r="W486" s="65">
        <v>45785</v>
      </c>
      <c r="X486" s="42">
        <v>8500</v>
      </c>
      <c r="Y486" s="63">
        <v>39600</v>
      </c>
      <c r="Z486" s="30">
        <f t="shared" si="103"/>
        <v>336600000</v>
      </c>
      <c r="AA486" s="31">
        <f t="shared" si="77"/>
        <v>24</v>
      </c>
      <c r="AB486" s="32">
        <v>1.84E-2</v>
      </c>
      <c r="AC486" s="32">
        <v>2.58E-2</v>
      </c>
      <c r="AD486" s="33">
        <f t="shared" si="133"/>
        <v>-6.8465741649606539E-3</v>
      </c>
      <c r="AE486" s="34">
        <f t="shared" si="134"/>
        <v>6.8625189228791242E-4</v>
      </c>
      <c r="AF486" s="33">
        <f t="shared" si="135"/>
        <v>0.46660384147236467</v>
      </c>
      <c r="AG486" s="33">
        <f t="shared" si="136"/>
        <v>3.4869677828439781E-3</v>
      </c>
      <c r="AH486" s="35">
        <f t="shared" si="137"/>
        <v>0.7476166193357463</v>
      </c>
      <c r="AI486" s="36">
        <f t="shared" si="83"/>
        <v>2.2822463405155062</v>
      </c>
      <c r="AJ486" s="23" t="s">
        <v>1021</v>
      </c>
      <c r="AK486" s="23"/>
      <c r="AL486" s="44"/>
      <c r="AM486" s="44"/>
      <c r="AN486" s="44"/>
      <c r="AO486" s="44"/>
      <c r="AP486" s="44"/>
      <c r="AQ486" s="44"/>
      <c r="AR486" s="44"/>
    </row>
    <row r="487" spans="1:44" ht="16.8">
      <c r="A487" s="74" t="s">
        <v>1161</v>
      </c>
      <c r="B487" s="75"/>
      <c r="C487" s="1" t="s">
        <v>1159</v>
      </c>
      <c r="D487" s="19" t="s">
        <v>1160</v>
      </c>
      <c r="E487" s="20" t="s">
        <v>39</v>
      </c>
      <c r="F487" s="21">
        <v>1997</v>
      </c>
      <c r="G487" s="40">
        <v>2022</v>
      </c>
      <c r="H487" s="23">
        <v>89221106226</v>
      </c>
      <c r="I487" s="23">
        <v>135997530632</v>
      </c>
      <c r="J487" s="23">
        <v>83328833304</v>
      </c>
      <c r="K487" s="23">
        <f t="shared" ref="K487:K488" si="153">AVERAGE(J486:J487)</f>
        <v>89929846814</v>
      </c>
      <c r="L487" s="23">
        <v>79483902187</v>
      </c>
      <c r="M487" s="23">
        <v>52668697328</v>
      </c>
      <c r="N487" s="23">
        <v>72279869628</v>
      </c>
      <c r="O487" s="25">
        <f t="shared" si="70"/>
        <v>9737204039</v>
      </c>
      <c r="P487" s="23">
        <v>213852623</v>
      </c>
      <c r="Q487" s="23">
        <v>5750804004</v>
      </c>
      <c r="R487" s="25">
        <f t="shared" si="71"/>
        <v>66529065624</v>
      </c>
      <c r="S487" s="26">
        <f t="shared" si="72"/>
        <v>0.61272313487428032</v>
      </c>
      <c r="T487" s="27">
        <f t="shared" si="73"/>
        <v>1.1225053598411852</v>
      </c>
      <c r="U487" s="26">
        <f t="shared" si="74"/>
        <v>25.635902565399974</v>
      </c>
      <c r="V487" s="26">
        <f t="shared" si="75"/>
        <v>0.80373615866926718</v>
      </c>
      <c r="W487" s="63" t="s">
        <v>192</v>
      </c>
      <c r="X487" s="29">
        <v>4000</v>
      </c>
      <c r="Y487" s="63">
        <v>5500</v>
      </c>
      <c r="Z487" s="30">
        <f t="shared" si="103"/>
        <v>22000000</v>
      </c>
      <c r="AA487" s="31">
        <f t="shared" si="77"/>
        <v>25</v>
      </c>
      <c r="AB487" s="32">
        <v>3.15E-2</v>
      </c>
      <c r="AC487" s="32">
        <v>8.0199999999999994E-2</v>
      </c>
      <c r="AD487" s="33">
        <f t="shared" si="133"/>
        <v>7.1598388542422925E-2</v>
      </c>
      <c r="AE487" s="34">
        <f t="shared" si="134"/>
        <v>1.5724743089539658E-3</v>
      </c>
      <c r="AF487" s="33">
        <f t="shared" si="135"/>
        <v>0.48919318839709741</v>
      </c>
      <c r="AG487" s="33">
        <f t="shared" si="136"/>
        <v>2.6401425686280362E-4</v>
      </c>
      <c r="AH487" s="35">
        <f t="shared" si="137"/>
        <v>0.86740527572621584</v>
      </c>
      <c r="AI487" s="36">
        <f t="shared" si="83"/>
        <v>2.570020736274198</v>
      </c>
      <c r="AJ487" s="23" t="s">
        <v>1021</v>
      </c>
      <c r="AK487" s="76"/>
    </row>
    <row r="488" spans="1:44" ht="16.8">
      <c r="A488" s="74" t="s">
        <v>1162</v>
      </c>
      <c r="B488" s="75"/>
      <c r="C488" s="1" t="s">
        <v>1159</v>
      </c>
      <c r="D488" s="19" t="s">
        <v>1160</v>
      </c>
      <c r="E488" s="20" t="s">
        <v>39</v>
      </c>
      <c r="F488" s="21">
        <v>1997</v>
      </c>
      <c r="G488" s="40">
        <v>2023</v>
      </c>
      <c r="H488" s="23">
        <v>97940393231</v>
      </c>
      <c r="I488" s="23">
        <v>148836113219</v>
      </c>
      <c r="J488" s="23">
        <v>95852831504</v>
      </c>
      <c r="K488" s="23">
        <f t="shared" si="153"/>
        <v>89590832404</v>
      </c>
      <c r="L488" s="23">
        <v>88560400387</v>
      </c>
      <c r="M488" s="23">
        <v>52983281715</v>
      </c>
      <c r="N488" s="23">
        <v>80800967685</v>
      </c>
      <c r="O488" s="25">
        <f t="shared" si="70"/>
        <v>9379992844</v>
      </c>
      <c r="P488" s="23">
        <v>314584387</v>
      </c>
      <c r="Q488" s="23">
        <v>2298975627</v>
      </c>
      <c r="R488" s="25">
        <f t="shared" si="71"/>
        <v>78501992058</v>
      </c>
      <c r="S488" s="26">
        <f t="shared" si="72"/>
        <v>0.6440159544005325</v>
      </c>
      <c r="T488" s="27">
        <f t="shared" si="73"/>
        <v>1.105916332841884</v>
      </c>
      <c r="U488" s="26">
        <f t="shared" si="74"/>
        <v>25.726111626263652</v>
      </c>
      <c r="V488" s="26">
        <f t="shared" si="75"/>
        <v>0.90188879282466006</v>
      </c>
      <c r="W488" s="65">
        <v>45696</v>
      </c>
      <c r="X488" s="42">
        <v>8200</v>
      </c>
      <c r="Y488" s="63">
        <v>226058</v>
      </c>
      <c r="Z488" s="30">
        <f t="shared" si="103"/>
        <v>1853675600</v>
      </c>
      <c r="AA488" s="31">
        <f t="shared" si="77"/>
        <v>26</v>
      </c>
      <c r="AB488" s="32">
        <v>3.2500000000000001E-2</v>
      </c>
      <c r="AC488" s="32">
        <v>5.0500000000000003E-2</v>
      </c>
      <c r="AD488" s="33">
        <f t="shared" si="133"/>
        <v>6.302229103630326E-2</v>
      </c>
      <c r="AE488" s="34">
        <f t="shared" si="134"/>
        <v>2.113629415578161E-3</v>
      </c>
      <c r="AF488" s="33">
        <f t="shared" si="135"/>
        <v>0.527439143364963</v>
      </c>
      <c r="AG488" s="33">
        <f t="shared" si="136"/>
        <v>1.933876726346519E-2</v>
      </c>
      <c r="AH488" s="35">
        <f t="shared" si="137"/>
        <v>0.84296902258571382</v>
      </c>
      <c r="AI488" s="36">
        <f t="shared" si="83"/>
        <v>2.6737072864735438</v>
      </c>
      <c r="AJ488" s="23" t="s">
        <v>1021</v>
      </c>
      <c r="AK488" s="76"/>
    </row>
    <row r="489" spans="1:44" ht="16.8">
      <c r="A489" s="70" t="s">
        <v>1163</v>
      </c>
      <c r="B489" s="71">
        <v>191</v>
      </c>
      <c r="C489" s="1" t="s">
        <v>1164</v>
      </c>
      <c r="D489" s="19" t="s">
        <v>1165</v>
      </c>
      <c r="E489" s="20" t="s">
        <v>39</v>
      </c>
      <c r="F489" s="21">
        <v>1982</v>
      </c>
      <c r="G489" s="40">
        <v>2021</v>
      </c>
      <c r="H489" s="23">
        <v>312398420924</v>
      </c>
      <c r="I489" s="23">
        <v>1189111511062</v>
      </c>
      <c r="J489" s="23">
        <v>927841568949</v>
      </c>
      <c r="K489" s="23">
        <f>AVERAGE(927841568949,1235228909811)</f>
        <v>1081535239380</v>
      </c>
      <c r="L489" s="23">
        <v>613454086964</v>
      </c>
      <c r="M489" s="23">
        <v>261269942113</v>
      </c>
      <c r="N489" s="23">
        <v>2318093785740</v>
      </c>
      <c r="O489" s="25">
        <f t="shared" si="70"/>
        <v>-301055666040</v>
      </c>
      <c r="P489" s="23">
        <v>30309334326</v>
      </c>
      <c r="Q489" s="23">
        <f>15388330525+118648296253</f>
        <v>134036626778</v>
      </c>
      <c r="R489" s="25">
        <f t="shared" si="71"/>
        <v>2184057158962</v>
      </c>
      <c r="S489" s="26">
        <f t="shared" si="72"/>
        <v>0.78028137842206335</v>
      </c>
      <c r="T489" s="27">
        <f t="shared" si="73"/>
        <v>0.50924499088443242</v>
      </c>
      <c r="U489" s="26">
        <f t="shared" si="74"/>
        <v>27.804227514825808</v>
      </c>
      <c r="V489" s="26">
        <f t="shared" si="75"/>
        <v>2.1433363438706525</v>
      </c>
      <c r="W489" s="63" t="s">
        <v>1166</v>
      </c>
      <c r="X489" s="29">
        <v>10920</v>
      </c>
      <c r="Y489" s="63">
        <v>25900</v>
      </c>
      <c r="Z489" s="30">
        <f t="shared" si="103"/>
        <v>282828000</v>
      </c>
      <c r="AA489" s="31">
        <f t="shared" si="77"/>
        <v>39</v>
      </c>
      <c r="AB489" s="32">
        <v>1.84E-2</v>
      </c>
      <c r="AC489" s="32">
        <v>2.58E-2</v>
      </c>
      <c r="AD489" s="33">
        <f t="shared" si="133"/>
        <v>-0.25317698402492633</v>
      </c>
      <c r="AE489" s="34">
        <f t="shared" si="134"/>
        <v>2.54890597257196E-2</v>
      </c>
      <c r="AF489" s="33">
        <f t="shared" si="135"/>
        <v>1.836713494608601</v>
      </c>
      <c r="AG489" s="33">
        <f t="shared" si="136"/>
        <v>3.0482359215740852E-4</v>
      </c>
      <c r="AH489" s="35">
        <f t="shared" si="137"/>
        <v>2.4983724197287143</v>
      </c>
      <c r="AI489" s="36">
        <f t="shared" si="83"/>
        <v>8.2915821488784882</v>
      </c>
      <c r="AJ489" s="23"/>
      <c r="AK489" s="23"/>
      <c r="AL489" s="44"/>
      <c r="AM489" s="44"/>
      <c r="AN489" s="44"/>
      <c r="AO489" s="44"/>
      <c r="AP489" s="44"/>
      <c r="AQ489" s="44"/>
      <c r="AR489" s="44"/>
    </row>
    <row r="490" spans="1:44" ht="16.8">
      <c r="A490" s="70" t="s">
        <v>1167</v>
      </c>
      <c r="B490" s="71"/>
      <c r="C490" s="1" t="s">
        <v>1164</v>
      </c>
      <c r="D490" s="19" t="s">
        <v>1165</v>
      </c>
      <c r="E490" s="20" t="s">
        <v>39</v>
      </c>
      <c r="F490" s="21">
        <v>1982</v>
      </c>
      <c r="G490" s="40">
        <v>2022</v>
      </c>
      <c r="H490" s="23">
        <v>758345609851</v>
      </c>
      <c r="I490" s="23">
        <v>1445319916322</v>
      </c>
      <c r="J490" s="23">
        <v>1130605280901</v>
      </c>
      <c r="K490" s="23">
        <f t="shared" ref="K490:K491" si="154">AVERAGE(J489:J490)</f>
        <v>1029223424925</v>
      </c>
      <c r="L490" s="23">
        <v>867168474349</v>
      </c>
      <c r="M490" s="23">
        <v>314714635421</v>
      </c>
      <c r="N490" s="23">
        <v>2801523066828</v>
      </c>
      <c r="O490" s="25">
        <f t="shared" si="70"/>
        <v>-108822864498</v>
      </c>
      <c r="P490" s="23">
        <v>89635902586</v>
      </c>
      <c r="Q490" s="23">
        <f>20661669241+138220402088</f>
        <v>158882071329</v>
      </c>
      <c r="R490" s="25">
        <f t="shared" si="71"/>
        <v>2642640995499</v>
      </c>
      <c r="S490" s="26">
        <f t="shared" si="72"/>
        <v>0.78225261281815384</v>
      </c>
      <c r="T490" s="27">
        <f t="shared" si="73"/>
        <v>0.87450781743455863</v>
      </c>
      <c r="U490" s="26">
        <f t="shared" si="74"/>
        <v>27.999351808367152</v>
      </c>
      <c r="V490" s="26">
        <f t="shared" si="75"/>
        <v>2.7219775599570601</v>
      </c>
      <c r="W490" s="63" t="s">
        <v>1168</v>
      </c>
      <c r="X490" s="29">
        <v>6220</v>
      </c>
      <c r="Y490" s="63">
        <v>100</v>
      </c>
      <c r="Z490" s="30">
        <f t="shared" si="103"/>
        <v>622000</v>
      </c>
      <c r="AA490" s="31">
        <f t="shared" si="77"/>
        <v>40</v>
      </c>
      <c r="AB490" s="32">
        <v>3.15E-2</v>
      </c>
      <c r="AC490" s="32">
        <v>8.0199999999999994E-2</v>
      </c>
      <c r="AD490" s="33">
        <f t="shared" si="133"/>
        <v>-7.5293271246776039E-2</v>
      </c>
      <c r="AE490" s="34">
        <f t="shared" si="134"/>
        <v>6.2018035988947236E-2</v>
      </c>
      <c r="AF490" s="33">
        <f t="shared" si="135"/>
        <v>1.828412495846526</v>
      </c>
      <c r="AG490" s="33">
        <f t="shared" si="136"/>
        <v>5.5014779296300189E-7</v>
      </c>
      <c r="AH490" s="35">
        <f t="shared" si="137"/>
        <v>2.4778966754829015</v>
      </c>
      <c r="AI490" s="36">
        <f t="shared" si="83"/>
        <v>8.5081315667535069</v>
      </c>
      <c r="AJ490" s="23"/>
      <c r="AK490" s="23"/>
      <c r="AL490" s="44"/>
      <c r="AM490" s="44"/>
      <c r="AN490" s="44"/>
      <c r="AO490" s="44"/>
      <c r="AP490" s="44"/>
      <c r="AQ490" s="44"/>
      <c r="AR490" s="44"/>
    </row>
    <row r="491" spans="1:44" ht="16.8">
      <c r="A491" s="70" t="s">
        <v>1169</v>
      </c>
      <c r="B491" s="71"/>
      <c r="C491" s="1" t="s">
        <v>1164</v>
      </c>
      <c r="D491" s="19" t="s">
        <v>1165</v>
      </c>
      <c r="E491" s="20" t="s">
        <v>39</v>
      </c>
      <c r="F491" s="21">
        <v>1982</v>
      </c>
      <c r="G491" s="40">
        <v>2023</v>
      </c>
      <c r="H491" s="23">
        <v>429384273442</v>
      </c>
      <c r="I491" s="23">
        <v>1098574193791</v>
      </c>
      <c r="J491" s="23">
        <v>760605229645</v>
      </c>
      <c r="K491" s="23">
        <f t="shared" si="154"/>
        <v>945605255273</v>
      </c>
      <c r="L491" s="23">
        <v>628458655307</v>
      </c>
      <c r="M491" s="23">
        <v>337968964146</v>
      </c>
      <c r="N491" s="23">
        <v>2697441780864</v>
      </c>
      <c r="O491" s="25">
        <f t="shared" si="70"/>
        <v>-199074381865</v>
      </c>
      <c r="P491" s="23">
        <v>52957499530</v>
      </c>
      <c r="Q491" s="23">
        <f>18438850233+150085762871</f>
        <v>168524613104</v>
      </c>
      <c r="R491" s="25">
        <f t="shared" si="71"/>
        <v>2528917167760</v>
      </c>
      <c r="S491" s="26">
        <f t="shared" si="72"/>
        <v>0.69235672378237434</v>
      </c>
      <c r="T491" s="27">
        <f t="shared" si="73"/>
        <v>0.68323392448505171</v>
      </c>
      <c r="U491" s="26">
        <f t="shared" si="74"/>
        <v>27.725034267492561</v>
      </c>
      <c r="V491" s="26">
        <f t="shared" si="75"/>
        <v>2.8526087030737131</v>
      </c>
      <c r="W491" s="63" t="s">
        <v>1170</v>
      </c>
      <c r="X491" s="29">
        <v>10710</v>
      </c>
      <c r="Y491" s="63">
        <v>2400</v>
      </c>
      <c r="Z491" s="30">
        <f t="shared" si="103"/>
        <v>25704000</v>
      </c>
      <c r="AA491" s="31">
        <f t="shared" si="77"/>
        <v>41</v>
      </c>
      <c r="AB491" s="32">
        <v>3.2500000000000001E-2</v>
      </c>
      <c r="AC491" s="32">
        <v>5.0500000000000003E-2</v>
      </c>
      <c r="AD491" s="33">
        <f t="shared" si="133"/>
        <v>-0.18121159498388256</v>
      </c>
      <c r="AE491" s="34">
        <f t="shared" si="134"/>
        <v>4.8205664969474954E-2</v>
      </c>
      <c r="AF491" s="33">
        <f t="shared" si="135"/>
        <v>2.3019994298547286</v>
      </c>
      <c r="AG491" s="33">
        <f t="shared" si="136"/>
        <v>3.3794140505708748E-5</v>
      </c>
      <c r="AH491" s="35">
        <f t="shared" si="137"/>
        <v>3.5464412756180845</v>
      </c>
      <c r="AI491" s="36">
        <f t="shared" si="83"/>
        <v>10.993093687599597</v>
      </c>
      <c r="AJ491" s="23"/>
      <c r="AK491" s="23"/>
      <c r="AL491" s="44"/>
      <c r="AM491" s="44"/>
      <c r="AN491" s="44"/>
      <c r="AO491" s="44"/>
      <c r="AP491" s="44"/>
      <c r="AQ491" s="44"/>
      <c r="AR491" s="44"/>
    </row>
    <row r="492" spans="1:44" ht="16.8">
      <c r="A492" s="70" t="s">
        <v>1171</v>
      </c>
      <c r="B492" s="71">
        <v>192</v>
      </c>
      <c r="C492" s="1" t="s">
        <v>1172</v>
      </c>
      <c r="D492" s="19" t="s">
        <v>1173</v>
      </c>
      <c r="E492" s="20" t="s">
        <v>178</v>
      </c>
      <c r="F492" s="21">
        <v>2005</v>
      </c>
      <c r="G492" s="40">
        <v>2021</v>
      </c>
      <c r="H492" s="23">
        <v>520629201905</v>
      </c>
      <c r="I492" s="23">
        <v>747666939719</v>
      </c>
      <c r="J492" s="23">
        <v>846550881715</v>
      </c>
      <c r="K492" s="23">
        <f>AVERAGE(J492,831151746167)</f>
        <v>838851313941</v>
      </c>
      <c r="L492" s="23">
        <v>767264845776</v>
      </c>
      <c r="M492" s="23">
        <v>-98883941996</v>
      </c>
      <c r="N492" s="23">
        <v>61347626938</v>
      </c>
      <c r="O492" s="25">
        <f t="shared" si="70"/>
        <v>-246635643871</v>
      </c>
      <c r="P492" s="23">
        <v>34099332744</v>
      </c>
      <c r="Q492" s="23">
        <v>-9587876296</v>
      </c>
      <c r="R492" s="25">
        <f t="shared" si="71"/>
        <v>70935503234</v>
      </c>
      <c r="S492" s="26">
        <f t="shared" si="72"/>
        <v>1.1322566730490506</v>
      </c>
      <c r="T492" s="27">
        <f t="shared" si="73"/>
        <v>0.67855213851019536</v>
      </c>
      <c r="U492" s="26">
        <f t="shared" si="74"/>
        <v>27.340223448004416</v>
      </c>
      <c r="V492" s="26">
        <f t="shared" si="75"/>
        <v>7.3132897235128891E-2</v>
      </c>
      <c r="W492" s="65">
        <v>45663</v>
      </c>
      <c r="X492" s="42">
        <v>6100</v>
      </c>
      <c r="Y492" s="63">
        <v>50900</v>
      </c>
      <c r="Z492" s="30">
        <f t="shared" si="103"/>
        <v>310490000</v>
      </c>
      <c r="AA492" s="31">
        <f t="shared" si="77"/>
        <v>16</v>
      </c>
      <c r="AB492" s="32">
        <v>1.84E-2</v>
      </c>
      <c r="AC492" s="32">
        <v>2.58E-2</v>
      </c>
      <c r="AD492" s="33">
        <f t="shared" si="133"/>
        <v>-0.32987367873146095</v>
      </c>
      <c r="AE492" s="34">
        <f t="shared" si="134"/>
        <v>4.560765085696547E-2</v>
      </c>
      <c r="AF492" s="33">
        <f t="shared" si="135"/>
        <v>9.4875805610262903E-2</v>
      </c>
      <c r="AG492" s="33">
        <f t="shared" si="136"/>
        <v>3.6677062974760404E-4</v>
      </c>
      <c r="AH492" s="35">
        <f t="shared" si="137"/>
        <v>7.2467737336375848E-2</v>
      </c>
      <c r="AI492" s="36">
        <f t="shared" si="83"/>
        <v>5.3780254950090492E-2</v>
      </c>
      <c r="AJ492" s="23" t="s">
        <v>1174</v>
      </c>
      <c r="AK492" s="23"/>
      <c r="AL492" s="44"/>
      <c r="AM492" s="44"/>
      <c r="AN492" s="44"/>
      <c r="AO492" s="44"/>
      <c r="AP492" s="44"/>
      <c r="AQ492" s="44"/>
      <c r="AR492" s="44"/>
    </row>
    <row r="493" spans="1:44" ht="16.8">
      <c r="A493" s="70" t="s">
        <v>1175</v>
      </c>
      <c r="B493" s="71"/>
      <c r="C493" s="1" t="s">
        <v>1172</v>
      </c>
      <c r="D493" s="19" t="s">
        <v>1173</v>
      </c>
      <c r="E493" s="20" t="s">
        <v>178</v>
      </c>
      <c r="F493" s="21">
        <v>2005</v>
      </c>
      <c r="G493" s="40">
        <v>2022</v>
      </c>
      <c r="H493" s="23">
        <v>511537210326</v>
      </c>
      <c r="I493" s="23">
        <v>787518944147</v>
      </c>
      <c r="J493" s="23">
        <v>896503479265</v>
      </c>
      <c r="K493" s="23">
        <f t="shared" ref="K493:K494" si="155">AVERAGE(J492:J493)</f>
        <v>871527180490</v>
      </c>
      <c r="L493" s="23">
        <v>812823443334</v>
      </c>
      <c r="M493" s="23">
        <v>-108984535118</v>
      </c>
      <c r="N493" s="23">
        <v>82011172060</v>
      </c>
      <c r="O493" s="25">
        <f t="shared" si="70"/>
        <v>-301286233008</v>
      </c>
      <c r="P493" s="23">
        <v>-10100593122</v>
      </c>
      <c r="Q493" s="23">
        <v>-7363421630</v>
      </c>
      <c r="R493" s="25">
        <f t="shared" si="71"/>
        <v>89374593690</v>
      </c>
      <c r="S493" s="26">
        <f t="shared" si="72"/>
        <v>1.1383897313556646</v>
      </c>
      <c r="T493" s="27">
        <f t="shared" si="73"/>
        <v>0.62933373110869117</v>
      </c>
      <c r="U493" s="26">
        <f t="shared" si="74"/>
        <v>27.392153263416539</v>
      </c>
      <c r="V493" s="26">
        <f t="shared" si="75"/>
        <v>9.4100532830072775E-2</v>
      </c>
      <c r="W493" s="65">
        <v>45663</v>
      </c>
      <c r="X493" s="42">
        <v>6100</v>
      </c>
      <c r="Y493" s="63">
        <v>0</v>
      </c>
      <c r="Z493" s="30">
        <f t="shared" si="103"/>
        <v>0</v>
      </c>
      <c r="AA493" s="31">
        <f t="shared" si="77"/>
        <v>17</v>
      </c>
      <c r="AB493" s="32">
        <v>3.15E-2</v>
      </c>
      <c r="AC493" s="32">
        <v>8.0199999999999994E-2</v>
      </c>
      <c r="AD493" s="33">
        <f t="shared" si="133"/>
        <v>-0.38257648942570865</v>
      </c>
      <c r="AE493" s="34">
        <f t="shared" si="134"/>
        <v>-1.2825841456982907E-2</v>
      </c>
      <c r="AF493" s="33">
        <f t="shared" si="135"/>
        <v>0.11348881744909128</v>
      </c>
      <c r="AG493" s="33">
        <f t="shared" si="136"/>
        <v>0</v>
      </c>
      <c r="AH493" s="35">
        <f t="shared" si="137"/>
        <v>9.147892223155342E-2</v>
      </c>
      <c r="AI493" s="36">
        <f t="shared" si="83"/>
        <v>-1.1055945537071774E-2</v>
      </c>
      <c r="AJ493" s="23" t="s">
        <v>1176</v>
      </c>
      <c r="AK493" s="23"/>
      <c r="AL493" s="44"/>
      <c r="AM493" s="44"/>
      <c r="AN493" s="44"/>
      <c r="AO493" s="44"/>
      <c r="AP493" s="44"/>
      <c r="AQ493" s="44"/>
      <c r="AR493" s="44"/>
    </row>
    <row r="494" spans="1:44" ht="16.8">
      <c r="A494" s="70" t="s">
        <v>1177</v>
      </c>
      <c r="B494" s="71"/>
      <c r="C494" s="1" t="s">
        <v>1172</v>
      </c>
      <c r="D494" s="19" t="s">
        <v>1173</v>
      </c>
      <c r="E494" s="20" t="s">
        <v>178</v>
      </c>
      <c r="F494" s="21">
        <v>2005</v>
      </c>
      <c r="G494" s="40">
        <v>2023</v>
      </c>
      <c r="H494" s="23">
        <v>466190829765</v>
      </c>
      <c r="I494" s="23">
        <v>732803711696</v>
      </c>
      <c r="J494" s="23">
        <v>882609559763</v>
      </c>
      <c r="K494" s="23">
        <f t="shared" si="155"/>
        <v>889556519514</v>
      </c>
      <c r="L494" s="23">
        <v>810029523832</v>
      </c>
      <c r="M494" s="23">
        <v>-149805848067</v>
      </c>
      <c r="N494" s="23">
        <v>71110693488</v>
      </c>
      <c r="O494" s="25">
        <f t="shared" si="70"/>
        <v>-343838694067</v>
      </c>
      <c r="P494" s="23">
        <v>-40821312949</v>
      </c>
      <c r="Q494" s="23">
        <v>15412470442</v>
      </c>
      <c r="R494" s="25">
        <f t="shared" si="71"/>
        <v>55698223046</v>
      </c>
      <c r="S494" s="26">
        <f t="shared" si="72"/>
        <v>1.2044283423732796</v>
      </c>
      <c r="T494" s="27">
        <f t="shared" si="73"/>
        <v>0.57552325692969175</v>
      </c>
      <c r="U494" s="26">
        <f t="shared" si="74"/>
        <v>27.320143715380841</v>
      </c>
      <c r="V494" s="26">
        <f t="shared" si="75"/>
        <v>7.9939488866711456E-2</v>
      </c>
      <c r="W494" s="65">
        <v>45754</v>
      </c>
      <c r="X494" s="42">
        <v>7400</v>
      </c>
      <c r="Y494" s="63">
        <v>0</v>
      </c>
      <c r="Z494" s="30">
        <f t="shared" si="103"/>
        <v>0</v>
      </c>
      <c r="AA494" s="31">
        <f t="shared" si="77"/>
        <v>18</v>
      </c>
      <c r="AB494" s="32">
        <v>3.2500000000000001E-2</v>
      </c>
      <c r="AC494" s="32">
        <v>5.0500000000000003E-2</v>
      </c>
      <c r="AD494" s="33">
        <f t="shared" si="133"/>
        <v>-0.46920981509662413</v>
      </c>
      <c r="AE494" s="34">
        <f t="shared" si="134"/>
        <v>-5.5705658005638647E-2</v>
      </c>
      <c r="AF494" s="33">
        <f t="shared" si="135"/>
        <v>7.6007015462697516E-2</v>
      </c>
      <c r="AG494" s="33">
        <f t="shared" si="136"/>
        <v>0</v>
      </c>
      <c r="AH494" s="35">
        <f t="shared" si="137"/>
        <v>8.0568687140772394E-2</v>
      </c>
      <c r="AI494" s="36">
        <f t="shared" si="83"/>
        <v>-0.30964786115616894</v>
      </c>
      <c r="AJ494" s="23" t="s">
        <v>1174</v>
      </c>
      <c r="AK494" s="23"/>
      <c r="AL494" s="44"/>
      <c r="AM494" s="44"/>
      <c r="AN494" s="44"/>
      <c r="AO494" s="44"/>
      <c r="AP494" s="44"/>
      <c r="AQ494" s="44"/>
      <c r="AR494" s="44"/>
    </row>
    <row r="495" spans="1:44" ht="16.8">
      <c r="A495" s="70" t="s">
        <v>1178</v>
      </c>
      <c r="B495" s="71">
        <v>193</v>
      </c>
      <c r="C495" s="1" t="s">
        <v>1179</v>
      </c>
      <c r="D495" s="19" t="s">
        <v>1180</v>
      </c>
      <c r="E495" s="20" t="s">
        <v>178</v>
      </c>
      <c r="F495" s="21">
        <v>2003</v>
      </c>
      <c r="G495" s="40">
        <v>2021</v>
      </c>
      <c r="H495" s="23">
        <v>162664028981</v>
      </c>
      <c r="I495" s="23">
        <v>228399797979</v>
      </c>
      <c r="J495" s="23">
        <v>191568897621</v>
      </c>
      <c r="K495" s="23">
        <f>AVERAGE(J495,178043427684)</f>
        <v>184806162652.5</v>
      </c>
      <c r="L495" s="23">
        <v>169623002033</v>
      </c>
      <c r="M495" s="23">
        <v>36830900358</v>
      </c>
      <c r="N495" s="23">
        <v>330950291996</v>
      </c>
      <c r="O495" s="25">
        <f t="shared" si="70"/>
        <v>-6958973052</v>
      </c>
      <c r="P495" s="23">
        <v>-20700798520</v>
      </c>
      <c r="Q495" s="23">
        <f>21391185629+9211508132</f>
        <v>30602693761</v>
      </c>
      <c r="R495" s="25">
        <f t="shared" si="71"/>
        <v>300347598235</v>
      </c>
      <c r="S495" s="26">
        <f t="shared" si="72"/>
        <v>0.83874372620335513</v>
      </c>
      <c r="T495" s="27">
        <f t="shared" si="73"/>
        <v>0.95897388344390855</v>
      </c>
      <c r="U495" s="26">
        <f t="shared" si="74"/>
        <v>26.15436343022262</v>
      </c>
      <c r="V495" s="26">
        <f t="shared" si="75"/>
        <v>1.7907968394879878</v>
      </c>
      <c r="W495" s="65">
        <v>45815</v>
      </c>
      <c r="X495" s="42">
        <v>7600</v>
      </c>
      <c r="Y495" s="63">
        <v>17420</v>
      </c>
      <c r="Z495" s="30">
        <f t="shared" si="103"/>
        <v>132392000</v>
      </c>
      <c r="AA495" s="31">
        <f t="shared" si="77"/>
        <v>18</v>
      </c>
      <c r="AB495" s="32">
        <v>1.84E-2</v>
      </c>
      <c r="AC495" s="32">
        <v>2.58E-2</v>
      </c>
      <c r="AD495" s="33">
        <f t="shared" si="133"/>
        <v>-3.0468385320725353E-2</v>
      </c>
      <c r="AE495" s="34">
        <f t="shared" si="134"/>
        <v>-9.063404916804399E-2</v>
      </c>
      <c r="AF495" s="33">
        <f t="shared" si="135"/>
        <v>1.3150081606578967</v>
      </c>
      <c r="AG495" s="33">
        <f t="shared" si="136"/>
        <v>6.9109339587016048E-4</v>
      </c>
      <c r="AH495" s="35">
        <f t="shared" si="137"/>
        <v>1.7275784122887852</v>
      </c>
      <c r="AI495" s="36">
        <f t="shared" si="83"/>
        <v>5.9040702672772341</v>
      </c>
      <c r="AJ495" s="23"/>
      <c r="AK495" s="23"/>
      <c r="AL495" s="44"/>
      <c r="AM495" s="44"/>
      <c r="AN495" s="44"/>
      <c r="AO495" s="44"/>
      <c r="AP495" s="44"/>
      <c r="AQ495" s="44"/>
      <c r="AR495" s="44"/>
    </row>
    <row r="496" spans="1:44" ht="16.8">
      <c r="A496" s="70" t="s">
        <v>1181</v>
      </c>
      <c r="B496" s="71"/>
      <c r="C496" s="1" t="s">
        <v>1179</v>
      </c>
      <c r="D496" s="19" t="s">
        <v>1180</v>
      </c>
      <c r="E496" s="20" t="s">
        <v>178</v>
      </c>
      <c r="F496" s="21">
        <v>2003</v>
      </c>
      <c r="G496" s="40">
        <v>2022</v>
      </c>
      <c r="H496" s="23">
        <v>132452351528</v>
      </c>
      <c r="I496" s="23">
        <v>195012543220</v>
      </c>
      <c r="J496" s="23">
        <v>135580726237</v>
      </c>
      <c r="K496" s="23">
        <f t="shared" ref="K496:K497" si="156">AVERAGE(J495:J496)</f>
        <v>163574811929</v>
      </c>
      <c r="L496" s="23">
        <v>109698402525</v>
      </c>
      <c r="M496" s="23">
        <v>59431816983</v>
      </c>
      <c r="N496" s="23">
        <v>409224010648</v>
      </c>
      <c r="O496" s="25">
        <f t="shared" si="70"/>
        <v>22753949003</v>
      </c>
      <c r="P496" s="23">
        <v>22600916625</v>
      </c>
      <c r="Q496" s="23">
        <f>14478487653+11830703092</f>
        <v>26309190745</v>
      </c>
      <c r="R496" s="25">
        <f t="shared" si="71"/>
        <v>382914819903</v>
      </c>
      <c r="S496" s="26">
        <f t="shared" si="72"/>
        <v>0.69524105474613995</v>
      </c>
      <c r="T496" s="27">
        <f t="shared" si="73"/>
        <v>1.2074227926684205</v>
      </c>
      <c r="U496" s="26">
        <f t="shared" si="74"/>
        <v>25.996329717646574</v>
      </c>
      <c r="V496" s="26">
        <f t="shared" si="75"/>
        <v>2.5017544316396618</v>
      </c>
      <c r="W496" s="65">
        <v>45663</v>
      </c>
      <c r="X496" s="42">
        <v>6100</v>
      </c>
      <c r="Y496" s="63">
        <v>300</v>
      </c>
      <c r="Z496" s="30">
        <f t="shared" si="103"/>
        <v>1830000</v>
      </c>
      <c r="AA496" s="31">
        <f t="shared" si="77"/>
        <v>19</v>
      </c>
      <c r="AB496" s="32">
        <v>3.15E-2</v>
      </c>
      <c r="AC496" s="32">
        <v>8.0199999999999994E-2</v>
      </c>
      <c r="AD496" s="33">
        <f t="shared" si="133"/>
        <v>0.1166794126536288</v>
      </c>
      <c r="AE496" s="34">
        <f t="shared" si="134"/>
        <v>0.11589468170518227</v>
      </c>
      <c r="AF496" s="33">
        <f t="shared" si="135"/>
        <v>1.9635394399785933</v>
      </c>
      <c r="AG496" s="33">
        <f t="shared" si="136"/>
        <v>1.3497493713089381E-5</v>
      </c>
      <c r="AH496" s="35">
        <f t="shared" si="137"/>
        <v>3.0183051972495094</v>
      </c>
      <c r="AI496" s="36">
        <f t="shared" si="83"/>
        <v>9.8002612972467045</v>
      </c>
      <c r="AJ496" s="23"/>
      <c r="AK496" s="23"/>
      <c r="AL496" s="44"/>
      <c r="AM496" s="44"/>
      <c r="AN496" s="44"/>
      <c r="AO496" s="44"/>
      <c r="AP496" s="44"/>
      <c r="AQ496" s="44"/>
      <c r="AR496" s="44"/>
    </row>
    <row r="497" spans="1:44" ht="16.8">
      <c r="A497" s="70" t="s">
        <v>1182</v>
      </c>
      <c r="B497" s="71"/>
      <c r="C497" s="1" t="s">
        <v>1179</v>
      </c>
      <c r="D497" s="19" t="s">
        <v>1180</v>
      </c>
      <c r="E497" s="20" t="s">
        <v>178</v>
      </c>
      <c r="F497" s="21">
        <v>2003</v>
      </c>
      <c r="G497" s="40">
        <v>2023</v>
      </c>
      <c r="H497" s="23">
        <v>117791149940</v>
      </c>
      <c r="I497" s="23">
        <v>172201803540</v>
      </c>
      <c r="J497" s="23">
        <v>153614930653</v>
      </c>
      <c r="K497" s="23">
        <f t="shared" si="156"/>
        <v>144597828445</v>
      </c>
      <c r="L497" s="23">
        <v>127732606941</v>
      </c>
      <c r="M497" s="23">
        <v>18586872887</v>
      </c>
      <c r="N497" s="23">
        <v>29926323145</v>
      </c>
      <c r="O497" s="25">
        <f t="shared" si="70"/>
        <v>-9941457001</v>
      </c>
      <c r="P497" s="23">
        <v>-40844944096</v>
      </c>
      <c r="Q497" s="23">
        <f>423597833+16511643641</f>
        <v>16935241474</v>
      </c>
      <c r="R497" s="25">
        <f t="shared" si="71"/>
        <v>12991081671</v>
      </c>
      <c r="S497" s="26">
        <f t="shared" si="72"/>
        <v>0.8920634249763677</v>
      </c>
      <c r="T497" s="27">
        <f t="shared" si="73"/>
        <v>0.92216977920452226</v>
      </c>
      <c r="U497" s="26">
        <f t="shared" si="74"/>
        <v>25.871932902404357</v>
      </c>
      <c r="V497" s="26">
        <f t="shared" si="75"/>
        <v>0.20696246594313783</v>
      </c>
      <c r="W497" s="65">
        <v>45719</v>
      </c>
      <c r="X497" s="42">
        <v>3300</v>
      </c>
      <c r="Y497" s="63">
        <v>0</v>
      </c>
      <c r="Z497" s="30">
        <f t="shared" si="103"/>
        <v>0</v>
      </c>
      <c r="AA497" s="31">
        <f t="shared" si="77"/>
        <v>20</v>
      </c>
      <c r="AB497" s="32">
        <v>3.2500000000000001E-2</v>
      </c>
      <c r="AC497" s="32">
        <v>5.0500000000000003E-2</v>
      </c>
      <c r="AD497" s="33">
        <f t="shared" si="133"/>
        <v>-5.7731433682056313E-2</v>
      </c>
      <c r="AE497" s="34">
        <f t="shared" si="134"/>
        <v>-0.23719231306722235</v>
      </c>
      <c r="AF497" s="33">
        <f t="shared" si="135"/>
        <v>7.544103141743437E-2</v>
      </c>
      <c r="AG497" s="33">
        <f t="shared" si="136"/>
        <v>0</v>
      </c>
      <c r="AH497" s="35">
        <f t="shared" si="137"/>
        <v>0.19481389613487782</v>
      </c>
      <c r="AI497" s="36">
        <f t="shared" si="83"/>
        <v>4.2422341099832367E-2</v>
      </c>
      <c r="AJ497" s="23"/>
      <c r="AK497" s="23"/>
      <c r="AL497" s="44"/>
      <c r="AM497" s="44"/>
      <c r="AN497" s="44"/>
      <c r="AO497" s="44"/>
      <c r="AP497" s="44"/>
      <c r="AQ497" s="44"/>
      <c r="AR497" s="44"/>
    </row>
    <row r="498" spans="1:44" ht="16.8">
      <c r="A498" s="136"/>
      <c r="B498" s="45">
        <v>194</v>
      </c>
      <c r="C498" s="45" t="s">
        <v>1183</v>
      </c>
      <c r="D498" s="46" t="s">
        <v>1184</v>
      </c>
      <c r="E498" s="47" t="s">
        <v>39</v>
      </c>
      <c r="F498" s="48"/>
      <c r="G498" s="48">
        <v>2021</v>
      </c>
      <c r="H498" s="49"/>
      <c r="I498" s="49"/>
      <c r="J498" s="49"/>
      <c r="K498" s="49"/>
      <c r="L498" s="49"/>
      <c r="M498" s="49"/>
      <c r="N498" s="49"/>
      <c r="O498" s="49">
        <f t="shared" si="70"/>
        <v>0</v>
      </c>
      <c r="P498" s="49"/>
      <c r="Q498" s="49"/>
      <c r="R498" s="49">
        <f t="shared" si="71"/>
        <v>0</v>
      </c>
      <c r="S498" s="50" t="e">
        <f t="shared" si="72"/>
        <v>#DIV/0!</v>
      </c>
      <c r="T498" s="51" t="e">
        <f t="shared" si="73"/>
        <v>#DIV/0!</v>
      </c>
      <c r="U498" s="50" t="e">
        <f t="shared" si="74"/>
        <v>#NUM!</v>
      </c>
      <c r="V498" s="50" t="e">
        <f t="shared" si="75"/>
        <v>#DIV/0!</v>
      </c>
      <c r="W498" s="52"/>
      <c r="X498" s="53">
        <v>0</v>
      </c>
      <c r="Y498" s="52"/>
      <c r="Z498" s="55">
        <f t="shared" si="103"/>
        <v>0</v>
      </c>
      <c r="AA498" s="48">
        <f t="shared" si="77"/>
        <v>2021</v>
      </c>
      <c r="AB498" s="49"/>
      <c r="AC498" s="138">
        <v>2.58E-2</v>
      </c>
      <c r="AD498" s="50" t="e">
        <f t="shared" si="133"/>
        <v>#DIV/0!</v>
      </c>
      <c r="AE498" s="56" t="e">
        <f t="shared" si="134"/>
        <v>#DIV/0!</v>
      </c>
      <c r="AF498" s="50" t="e">
        <f t="shared" si="135"/>
        <v>#DIV/0!</v>
      </c>
      <c r="AG498" s="50" t="e">
        <f t="shared" si="136"/>
        <v>#DIV/0!</v>
      </c>
      <c r="AH498" s="57" t="e">
        <f t="shared" si="137"/>
        <v>#DIV/0!</v>
      </c>
      <c r="AI498" s="58" t="e">
        <f t="shared" si="83"/>
        <v>#DIV/0!</v>
      </c>
      <c r="AJ498" s="49"/>
      <c r="AK498" s="49"/>
      <c r="AL498" s="59"/>
      <c r="AM498" s="59"/>
      <c r="AN498" s="59"/>
      <c r="AO498" s="59"/>
      <c r="AP498" s="59"/>
      <c r="AQ498" s="59"/>
      <c r="AR498" s="59"/>
    </row>
    <row r="499" spans="1:44" ht="16.8">
      <c r="A499" s="67" t="s">
        <v>1185</v>
      </c>
      <c r="B499" s="45">
        <v>195</v>
      </c>
      <c r="C499" s="45" t="s">
        <v>1186</v>
      </c>
      <c r="D499" s="46" t="s">
        <v>1187</v>
      </c>
      <c r="E499" s="47" t="s">
        <v>39</v>
      </c>
      <c r="F499" s="48"/>
      <c r="G499" s="48">
        <v>2021</v>
      </c>
      <c r="H499" s="49"/>
      <c r="I499" s="49"/>
      <c r="J499" s="49"/>
      <c r="K499" s="49"/>
      <c r="L499" s="49"/>
      <c r="M499" s="49"/>
      <c r="N499" s="49"/>
      <c r="O499" s="49">
        <f t="shared" si="70"/>
        <v>0</v>
      </c>
      <c r="P499" s="49"/>
      <c r="Q499" s="49"/>
      <c r="R499" s="49">
        <f t="shared" si="71"/>
        <v>0</v>
      </c>
      <c r="S499" s="50" t="e">
        <f t="shared" si="72"/>
        <v>#DIV/0!</v>
      </c>
      <c r="T499" s="51" t="e">
        <f t="shared" si="73"/>
        <v>#DIV/0!</v>
      </c>
      <c r="U499" s="50" t="e">
        <f t="shared" si="74"/>
        <v>#NUM!</v>
      </c>
      <c r="V499" s="50" t="e">
        <f t="shared" si="75"/>
        <v>#DIV/0!</v>
      </c>
      <c r="W499" s="52"/>
      <c r="X499" s="53">
        <v>0</v>
      </c>
      <c r="Y499" s="52"/>
      <c r="Z499" s="55">
        <f t="shared" si="103"/>
        <v>0</v>
      </c>
      <c r="AA499" s="48">
        <f t="shared" si="77"/>
        <v>2021</v>
      </c>
      <c r="AB499" s="49"/>
      <c r="AC499" s="49"/>
      <c r="AD499" s="50" t="e">
        <f t="shared" si="133"/>
        <v>#DIV/0!</v>
      </c>
      <c r="AE499" s="56" t="e">
        <f t="shared" si="134"/>
        <v>#DIV/0!</v>
      </c>
      <c r="AF499" s="50" t="e">
        <f t="shared" si="135"/>
        <v>#DIV/0!</v>
      </c>
      <c r="AG499" s="50" t="e">
        <f t="shared" si="136"/>
        <v>#DIV/0!</v>
      </c>
      <c r="AH499" s="57" t="e">
        <f t="shared" si="137"/>
        <v>#DIV/0!</v>
      </c>
      <c r="AI499" s="58" t="e">
        <f t="shared" si="83"/>
        <v>#DIV/0!</v>
      </c>
      <c r="AJ499" s="49"/>
      <c r="AK499" s="49"/>
      <c r="AL499" s="59"/>
      <c r="AM499" s="59"/>
      <c r="AN499" s="59"/>
      <c r="AO499" s="59"/>
      <c r="AP499" s="59"/>
      <c r="AQ499" s="59"/>
      <c r="AR499" s="59"/>
    </row>
    <row r="500" spans="1:44" ht="16.8">
      <c r="A500" s="70" t="s">
        <v>1188</v>
      </c>
      <c r="B500" s="71">
        <v>196</v>
      </c>
      <c r="C500" s="1" t="s">
        <v>1189</v>
      </c>
      <c r="D500" s="19" t="s">
        <v>1190</v>
      </c>
      <c r="E500" s="20" t="s">
        <v>39</v>
      </c>
      <c r="F500" s="21">
        <v>1990</v>
      </c>
      <c r="G500" s="40">
        <v>2021</v>
      </c>
      <c r="H500" s="23">
        <v>59905539646</v>
      </c>
      <c r="I500" s="23">
        <v>108565539504</v>
      </c>
      <c r="J500" s="23">
        <v>40849434167</v>
      </c>
      <c r="K500" s="23">
        <f>AVERAGE(J500,39302746050)</f>
        <v>40076090108.5</v>
      </c>
      <c r="L500" s="23">
        <v>39349434167</v>
      </c>
      <c r="M500" s="23">
        <v>67716105337</v>
      </c>
      <c r="N500" s="23">
        <v>131162017640</v>
      </c>
      <c r="O500" s="25">
        <f t="shared" si="70"/>
        <v>20556105479</v>
      </c>
      <c r="P500" s="23">
        <v>7528492919</v>
      </c>
      <c r="Q500" s="23">
        <f>11575141003+6023313352</f>
        <v>17598454355</v>
      </c>
      <c r="R500" s="25">
        <f t="shared" si="71"/>
        <v>113563563285</v>
      </c>
      <c r="S500" s="26">
        <f t="shared" si="72"/>
        <v>0.37626519753530946</v>
      </c>
      <c r="T500" s="27">
        <f t="shared" si="73"/>
        <v>1.522399010663263</v>
      </c>
      <c r="U500" s="26">
        <f t="shared" si="74"/>
        <v>25.410619878289829</v>
      </c>
      <c r="V500" s="26">
        <f t="shared" si="75"/>
        <v>3.2728247013343497</v>
      </c>
      <c r="W500" s="63" t="s">
        <v>1191</v>
      </c>
      <c r="X500" s="29">
        <v>13530</v>
      </c>
      <c r="Y500" s="63">
        <v>0</v>
      </c>
      <c r="Z500" s="30">
        <f t="shared" si="103"/>
        <v>0</v>
      </c>
      <c r="AA500" s="31">
        <f t="shared" si="77"/>
        <v>31</v>
      </c>
      <c r="AB500" s="32">
        <v>1.84E-2</v>
      </c>
      <c r="AC500" s="32">
        <v>2.58E-2</v>
      </c>
      <c r="AD500" s="33">
        <f t="shared" si="133"/>
        <v>0.18934282068614072</v>
      </c>
      <c r="AE500" s="34">
        <f t="shared" si="134"/>
        <v>6.9345143527082265E-2</v>
      </c>
      <c r="AF500" s="33">
        <f t="shared" si="135"/>
        <v>1.046036926669681</v>
      </c>
      <c r="AG500" s="33">
        <f t="shared" si="136"/>
        <v>0</v>
      </c>
      <c r="AH500" s="35">
        <f t="shared" si="137"/>
        <v>3.2108649804985192</v>
      </c>
      <c r="AI500" s="36">
        <f t="shared" si="83"/>
        <v>6.9870814242697499</v>
      </c>
      <c r="AJ500" s="23"/>
      <c r="AK500" s="23"/>
      <c r="AL500" s="44"/>
      <c r="AM500" s="44"/>
      <c r="AN500" s="44"/>
      <c r="AO500" s="44"/>
      <c r="AP500" s="44"/>
      <c r="AQ500" s="44"/>
      <c r="AR500" s="44"/>
    </row>
    <row r="501" spans="1:44" ht="16.8">
      <c r="A501" s="74" t="s">
        <v>1192</v>
      </c>
      <c r="B501" s="75"/>
      <c r="C501" s="1" t="s">
        <v>1189</v>
      </c>
      <c r="D501" s="19" t="s">
        <v>1190</v>
      </c>
      <c r="E501" s="20" t="s">
        <v>39</v>
      </c>
      <c r="F501" s="21">
        <v>1990</v>
      </c>
      <c r="G501" s="40">
        <v>2022</v>
      </c>
      <c r="H501" s="23">
        <v>64911917328</v>
      </c>
      <c r="I501" s="23">
        <v>106043708523</v>
      </c>
      <c r="J501" s="23">
        <v>32423552682</v>
      </c>
      <c r="K501" s="23">
        <f t="shared" ref="K501:K502" si="157">AVERAGE(J500:J501)</f>
        <v>36636493424.5</v>
      </c>
      <c r="L501" s="23">
        <v>32423552682</v>
      </c>
      <c r="M501" s="23">
        <v>73620155841</v>
      </c>
      <c r="N501" s="23">
        <v>125005867414</v>
      </c>
      <c r="O501" s="25">
        <f t="shared" si="70"/>
        <v>32488364646</v>
      </c>
      <c r="P501" s="23">
        <v>5904050504</v>
      </c>
      <c r="Q501" s="23">
        <f>13891165277+7194924648</f>
        <v>21086089925</v>
      </c>
      <c r="R501" s="25">
        <f t="shared" si="71"/>
        <v>103919777489</v>
      </c>
      <c r="S501" s="26">
        <f t="shared" si="72"/>
        <v>0.30575649544515504</v>
      </c>
      <c r="T501" s="27">
        <f t="shared" si="73"/>
        <v>2.0019989161778677</v>
      </c>
      <c r="U501" s="26">
        <f t="shared" si="74"/>
        <v>25.38711719062443</v>
      </c>
      <c r="V501" s="26">
        <f t="shared" si="75"/>
        <v>3.4120587351409717</v>
      </c>
      <c r="W501" s="63" t="s">
        <v>1193</v>
      </c>
      <c r="X501" s="29">
        <v>10710</v>
      </c>
      <c r="Y501" s="63">
        <v>0</v>
      </c>
      <c r="Z501" s="30">
        <f t="shared" si="103"/>
        <v>0</v>
      </c>
      <c r="AA501" s="31">
        <f t="shared" si="77"/>
        <v>32</v>
      </c>
      <c r="AB501" s="32">
        <v>3.15E-2</v>
      </c>
      <c r="AC501" s="32">
        <v>8.0199999999999994E-2</v>
      </c>
      <c r="AD501" s="33">
        <f t="shared" si="133"/>
        <v>0.30636767705038853</v>
      </c>
      <c r="AE501" s="34">
        <f t="shared" si="134"/>
        <v>5.5675632116538629E-2</v>
      </c>
      <c r="AF501" s="33">
        <f t="shared" si="135"/>
        <v>0.97997117355114627</v>
      </c>
      <c r="AG501" s="33">
        <f t="shared" si="136"/>
        <v>0</v>
      </c>
      <c r="AH501" s="35">
        <f t="shared" si="137"/>
        <v>3.8554031583157529</v>
      </c>
      <c r="AI501" s="36">
        <f t="shared" si="83"/>
        <v>7.5348951284581558</v>
      </c>
      <c r="AJ501" s="23"/>
      <c r="AK501" s="76"/>
    </row>
    <row r="502" spans="1:44" ht="16.8">
      <c r="A502" s="74" t="s">
        <v>1194</v>
      </c>
      <c r="B502" s="75"/>
      <c r="C502" s="1" t="s">
        <v>1189</v>
      </c>
      <c r="D502" s="19" t="s">
        <v>1190</v>
      </c>
      <c r="E502" s="20" t="s">
        <v>39</v>
      </c>
      <c r="F502" s="21">
        <v>1990</v>
      </c>
      <c r="G502" s="40">
        <v>2023</v>
      </c>
      <c r="H502" s="23">
        <v>61942859566</v>
      </c>
      <c r="I502" s="23">
        <v>98325982520</v>
      </c>
      <c r="J502" s="23">
        <v>18504358777</v>
      </c>
      <c r="K502" s="23">
        <f t="shared" si="157"/>
        <v>25463955729.5</v>
      </c>
      <c r="L502" s="23">
        <v>18504358777</v>
      </c>
      <c r="M502" s="23">
        <v>79821623743</v>
      </c>
      <c r="N502" s="23">
        <v>121146538776</v>
      </c>
      <c r="O502" s="25">
        <f t="shared" si="70"/>
        <v>43438500789</v>
      </c>
      <c r="P502" s="23">
        <v>6201467902</v>
      </c>
      <c r="Q502" s="23">
        <f>14271148758+7267753047</f>
        <v>21538901805</v>
      </c>
      <c r="R502" s="25">
        <f t="shared" si="71"/>
        <v>99607636971</v>
      </c>
      <c r="S502" s="26">
        <f t="shared" si="72"/>
        <v>0.18819398802586204</v>
      </c>
      <c r="T502" s="27">
        <f t="shared" si="73"/>
        <v>3.3474739823458193</v>
      </c>
      <c r="U502" s="26">
        <f t="shared" si="74"/>
        <v>25.311554147790002</v>
      </c>
      <c r="V502" s="26">
        <f t="shared" si="75"/>
        <v>4.7575694861757754</v>
      </c>
      <c r="W502" s="63" t="s">
        <v>1195</v>
      </c>
      <c r="X502" s="29">
        <v>10800</v>
      </c>
      <c r="Y502" s="63">
        <v>100</v>
      </c>
      <c r="Z502" s="30">
        <f t="shared" si="103"/>
        <v>1080000</v>
      </c>
      <c r="AA502" s="31">
        <f t="shared" si="77"/>
        <v>33</v>
      </c>
      <c r="AB502" s="32">
        <v>3.2500000000000001E-2</v>
      </c>
      <c r="AC502" s="32">
        <v>5.0500000000000003E-2</v>
      </c>
      <c r="AD502" s="33">
        <f t="shared" si="133"/>
        <v>0.44178049052461177</v>
      </c>
      <c r="AE502" s="34">
        <f t="shared" si="134"/>
        <v>6.3070490048127315E-2</v>
      </c>
      <c r="AF502" s="33">
        <f t="shared" si="135"/>
        <v>1.0130347484779956</v>
      </c>
      <c r="AG502" s="33">
        <f t="shared" si="136"/>
        <v>5.8364627113822852E-5</v>
      </c>
      <c r="AH502" s="35">
        <f t="shared" si="137"/>
        <v>6.5469190386958527</v>
      </c>
      <c r="AI502" s="36">
        <f t="shared" si="83"/>
        <v>10.508404002146419</v>
      </c>
      <c r="AJ502" s="23"/>
      <c r="AK502" s="76"/>
    </row>
    <row r="503" spans="1:44" ht="16.8">
      <c r="A503" s="70" t="s">
        <v>1196</v>
      </c>
      <c r="B503" s="71">
        <v>197</v>
      </c>
      <c r="C503" s="1" t="s">
        <v>1197</v>
      </c>
      <c r="D503" s="19" t="s">
        <v>1198</v>
      </c>
      <c r="E503" s="20" t="s">
        <v>178</v>
      </c>
      <c r="F503" s="21">
        <v>2004</v>
      </c>
      <c r="G503" s="22">
        <v>2021</v>
      </c>
      <c r="H503" s="23">
        <v>99347150454</v>
      </c>
      <c r="I503" s="23">
        <v>142802150826</v>
      </c>
      <c r="J503" s="23">
        <v>70459485321</v>
      </c>
      <c r="K503" s="23">
        <f>AVERAGE(J503,35160195074)</f>
        <v>52809840197.5</v>
      </c>
      <c r="L503" s="23">
        <v>70459485321</v>
      </c>
      <c r="M503" s="23">
        <v>72342665505</v>
      </c>
      <c r="N503" s="23">
        <v>400517484000</v>
      </c>
      <c r="O503" s="25">
        <f t="shared" si="70"/>
        <v>28887665133</v>
      </c>
      <c r="P503" s="23">
        <v>8649842591</v>
      </c>
      <c r="Q503" s="23">
        <f>6707203313+3274103883</f>
        <v>9981307196</v>
      </c>
      <c r="R503" s="25">
        <f t="shared" si="71"/>
        <v>390536176804</v>
      </c>
      <c r="S503" s="26">
        <f t="shared" si="72"/>
        <v>0.49340633116130511</v>
      </c>
      <c r="T503" s="27">
        <f t="shared" si="73"/>
        <v>1.4099897267400308</v>
      </c>
      <c r="U503" s="26">
        <f t="shared" si="74"/>
        <v>25.684725948545189</v>
      </c>
      <c r="V503" s="26">
        <f t="shared" si="75"/>
        <v>7.5841449718865155</v>
      </c>
      <c r="W503" s="63" t="s">
        <v>1199</v>
      </c>
      <c r="X503" s="29">
        <v>35500</v>
      </c>
      <c r="Y503" s="63">
        <v>12300</v>
      </c>
      <c r="Z503" s="30">
        <f t="shared" si="103"/>
        <v>436650000</v>
      </c>
      <c r="AA503" s="31">
        <f t="shared" si="77"/>
        <v>17</v>
      </c>
      <c r="AB503" s="32">
        <v>1.84E-2</v>
      </c>
      <c r="AC503" s="32">
        <v>2.58E-2</v>
      </c>
      <c r="AD503" s="33">
        <f t="shared" si="133"/>
        <v>0.20229152688462462</v>
      </c>
      <c r="AE503" s="34">
        <f t="shared" si="134"/>
        <v>6.0572215060959167E-2</v>
      </c>
      <c r="AF503" s="33">
        <f t="shared" si="135"/>
        <v>2.7348059853794235</v>
      </c>
      <c r="AG503" s="33">
        <f t="shared" si="136"/>
        <v>6.1971783928126316E-3</v>
      </c>
      <c r="AH503" s="35">
        <f t="shared" si="137"/>
        <v>5.6843657340856035</v>
      </c>
      <c r="AI503" s="36">
        <f t="shared" si="83"/>
        <v>15.040494726220281</v>
      </c>
      <c r="AJ503" s="23"/>
      <c r="AK503" s="23"/>
      <c r="AL503" s="44"/>
      <c r="AM503" s="44"/>
      <c r="AN503" s="44"/>
      <c r="AO503" s="44"/>
      <c r="AP503" s="44"/>
      <c r="AQ503" s="44"/>
      <c r="AR503" s="44"/>
    </row>
    <row r="504" spans="1:44" ht="16.8">
      <c r="A504" s="74" t="s">
        <v>1200</v>
      </c>
      <c r="B504" s="75"/>
      <c r="C504" s="1" t="s">
        <v>1197</v>
      </c>
      <c r="D504" s="19" t="s">
        <v>1198</v>
      </c>
      <c r="E504" s="20" t="s">
        <v>178</v>
      </c>
      <c r="F504" s="21">
        <v>2004</v>
      </c>
      <c r="G504" s="22">
        <v>2022</v>
      </c>
      <c r="H504" s="23">
        <v>85723025347</v>
      </c>
      <c r="I504" s="23">
        <v>121931264283</v>
      </c>
      <c r="J504" s="23">
        <v>76126986235</v>
      </c>
      <c r="K504" s="23">
        <f t="shared" ref="K504:K505" si="158">AVERAGE(J503:J504)</f>
        <v>73293235778</v>
      </c>
      <c r="L504" s="23">
        <v>76126986235</v>
      </c>
      <c r="M504" s="23">
        <v>45804278048</v>
      </c>
      <c r="N504" s="23">
        <v>398115477500</v>
      </c>
      <c r="O504" s="25">
        <f t="shared" si="70"/>
        <v>9596039112</v>
      </c>
      <c r="P504" s="23">
        <v>-20483544866</v>
      </c>
      <c r="Q504" s="23">
        <f>2186391724+5656094396</f>
        <v>7842486120</v>
      </c>
      <c r="R504" s="25">
        <f t="shared" si="71"/>
        <v>390272991380</v>
      </c>
      <c r="S504" s="26">
        <f t="shared" si="72"/>
        <v>0.62434345024349791</v>
      </c>
      <c r="T504" s="27">
        <f t="shared" si="73"/>
        <v>1.1260530540691251</v>
      </c>
      <c r="U504" s="26">
        <f t="shared" si="74"/>
        <v>25.526723315389621</v>
      </c>
      <c r="V504" s="26">
        <f t="shared" si="75"/>
        <v>5.4318174559227197</v>
      </c>
      <c r="W504" s="65">
        <v>45882</v>
      </c>
      <c r="X504" s="42">
        <v>13800</v>
      </c>
      <c r="Y504" s="63">
        <v>2300</v>
      </c>
      <c r="Z504" s="30">
        <f t="shared" si="103"/>
        <v>31740000</v>
      </c>
      <c r="AA504" s="31">
        <f t="shared" si="77"/>
        <v>18</v>
      </c>
      <c r="AB504" s="32">
        <v>3.15E-2</v>
      </c>
      <c r="AC504" s="32">
        <v>8.0199999999999994E-2</v>
      </c>
      <c r="AD504" s="33">
        <f t="shared" si="133"/>
        <v>7.8700398691247772E-2</v>
      </c>
      <c r="AE504" s="34">
        <f t="shared" si="134"/>
        <v>-0.16799255700702082</v>
      </c>
      <c r="AF504" s="33">
        <f t="shared" si="135"/>
        <v>3.2007622792640307</v>
      </c>
      <c r="AG504" s="33">
        <f t="shared" si="136"/>
        <v>4.1693493424290162E-4</v>
      </c>
      <c r="AH504" s="35">
        <f t="shared" si="137"/>
        <v>5.2296235170933798</v>
      </c>
      <c r="AI504" s="36">
        <f t="shared" si="83"/>
        <v>15.651640098244895</v>
      </c>
      <c r="AJ504" s="23"/>
      <c r="AK504" s="76"/>
    </row>
    <row r="505" spans="1:44" ht="16.8">
      <c r="A505" s="74" t="s">
        <v>1201</v>
      </c>
      <c r="B505" s="75"/>
      <c r="C505" s="1" t="s">
        <v>1197</v>
      </c>
      <c r="D505" s="19" t="s">
        <v>1198</v>
      </c>
      <c r="E505" s="20" t="s">
        <v>178</v>
      </c>
      <c r="F505" s="21">
        <v>2004</v>
      </c>
      <c r="G505" s="22">
        <v>2023</v>
      </c>
      <c r="H505" s="23">
        <v>89426754104</v>
      </c>
      <c r="I505" s="23">
        <v>116792384466</v>
      </c>
      <c r="J505" s="23">
        <v>104875723359</v>
      </c>
      <c r="K505" s="23">
        <f t="shared" si="158"/>
        <v>90501354797</v>
      </c>
      <c r="L505" s="23">
        <v>104875723359</v>
      </c>
      <c r="M505" s="23">
        <v>11916661107</v>
      </c>
      <c r="N505" s="23">
        <v>347116372500</v>
      </c>
      <c r="O505" s="25">
        <f t="shared" si="70"/>
        <v>-15448969255</v>
      </c>
      <c r="P505" s="23">
        <v>-33887616941</v>
      </c>
      <c r="Q505" s="23">
        <f>2021836013+5227000274</f>
        <v>7248836287</v>
      </c>
      <c r="R505" s="25">
        <f t="shared" si="71"/>
        <v>339867536213</v>
      </c>
      <c r="S505" s="26">
        <f t="shared" si="72"/>
        <v>0.89796713919759796</v>
      </c>
      <c r="T505" s="27">
        <f t="shared" si="73"/>
        <v>0.85269260835401683</v>
      </c>
      <c r="U505" s="26">
        <f t="shared" si="74"/>
        <v>25.483663703725103</v>
      </c>
      <c r="V505" s="26">
        <f t="shared" si="75"/>
        <v>3.8354826099410664</v>
      </c>
      <c r="W505" s="63" t="s">
        <v>1202</v>
      </c>
      <c r="X505" s="29">
        <v>11000</v>
      </c>
      <c r="Y505" s="63">
        <v>2900</v>
      </c>
      <c r="Z505" s="30">
        <f t="shared" si="103"/>
        <v>31900000</v>
      </c>
      <c r="AA505" s="31">
        <f t="shared" si="77"/>
        <v>19</v>
      </c>
      <c r="AB505" s="32">
        <v>3.2500000000000001E-2</v>
      </c>
      <c r="AC505" s="32">
        <v>5.0500000000000003E-2</v>
      </c>
      <c r="AD505" s="33">
        <f t="shared" si="133"/>
        <v>-0.13227719705900365</v>
      </c>
      <c r="AE505" s="34">
        <f t="shared" si="134"/>
        <v>-0.2901526250700463</v>
      </c>
      <c r="AF505" s="33">
        <f t="shared" si="135"/>
        <v>2.910014533626895</v>
      </c>
      <c r="AG505" s="33">
        <f t="shared" si="136"/>
        <v>3.0416953493424915E-4</v>
      </c>
      <c r="AH505" s="35">
        <f t="shared" si="137"/>
        <v>3.3097876360936862</v>
      </c>
      <c r="AI505" s="36">
        <f t="shared" si="83"/>
        <v>12.348071787214531</v>
      </c>
      <c r="AJ505" s="23"/>
      <c r="AK505" s="76"/>
    </row>
    <row r="506" spans="1:44" ht="16.8">
      <c r="A506" s="95" t="s">
        <v>1203</v>
      </c>
      <c r="B506" s="96">
        <v>198</v>
      </c>
      <c r="C506" s="96" t="s">
        <v>1204</v>
      </c>
      <c r="D506" s="97" t="s">
        <v>1205</v>
      </c>
      <c r="E506" s="98" t="s">
        <v>949</v>
      </c>
      <c r="F506" s="99">
        <v>2000</v>
      </c>
      <c r="G506" s="100">
        <v>2021</v>
      </c>
      <c r="H506" s="101">
        <v>1665772114618</v>
      </c>
      <c r="I506" s="101">
        <v>4199294314629</v>
      </c>
      <c r="J506" s="101">
        <v>4196538128896</v>
      </c>
      <c r="K506" s="101">
        <f>AVERAGE(J506,4308743490447)</f>
        <v>4252640809671.5</v>
      </c>
      <c r="L506" s="101">
        <v>2835510903986</v>
      </c>
      <c r="M506" s="101">
        <v>2756185733</v>
      </c>
      <c r="N506" s="101">
        <v>1073579037405</v>
      </c>
      <c r="O506" s="101">
        <f t="shared" si="70"/>
        <v>-1169738789368</v>
      </c>
      <c r="P506" s="101">
        <v>-271528938676</v>
      </c>
      <c r="Q506" s="101">
        <f>80296355810+292527982172</f>
        <v>372824337982</v>
      </c>
      <c r="R506" s="101">
        <f t="shared" si="71"/>
        <v>700754699423</v>
      </c>
      <c r="S506" s="102">
        <f t="shared" si="72"/>
        <v>0.99934365502236933</v>
      </c>
      <c r="T506" s="103">
        <f t="shared" si="73"/>
        <v>0.58746806872664548</v>
      </c>
      <c r="U506" s="102">
        <f t="shared" si="74"/>
        <v>29.065937606774447</v>
      </c>
      <c r="V506" s="102">
        <f t="shared" si="75"/>
        <v>0.25244996825582594</v>
      </c>
      <c r="W506" s="104"/>
      <c r="X506" s="105">
        <v>0</v>
      </c>
      <c r="Y506" s="104"/>
      <c r="Z506" s="106">
        <f t="shared" si="103"/>
        <v>0</v>
      </c>
      <c r="AA506" s="99">
        <f t="shared" si="77"/>
        <v>21</v>
      </c>
      <c r="AB506" s="107">
        <v>1.84E-2</v>
      </c>
      <c r="AC506" s="107">
        <v>2.58E-2</v>
      </c>
      <c r="AD506" s="102">
        <f t="shared" si="133"/>
        <v>-0.2785560386403505</v>
      </c>
      <c r="AE506" s="108">
        <f t="shared" si="134"/>
        <v>-6.4660611600877771E-2</v>
      </c>
      <c r="AF506" s="102">
        <f t="shared" si="135"/>
        <v>0.16687439529584636</v>
      </c>
      <c r="AG506" s="102">
        <f t="shared" si="136"/>
        <v>0</v>
      </c>
      <c r="AH506" s="109">
        <f t="shared" si="137"/>
        <v>0.25582492150200736</v>
      </c>
      <c r="AI506" s="110">
        <f t="shared" si="83"/>
        <v>0.38171832336865086</v>
      </c>
      <c r="AJ506" s="101" t="s">
        <v>1054</v>
      </c>
      <c r="AK506" s="101"/>
      <c r="AL506" s="111"/>
      <c r="AM506" s="111"/>
      <c r="AN506" s="111"/>
      <c r="AO506" s="111"/>
      <c r="AP506" s="111"/>
      <c r="AQ506" s="111"/>
      <c r="AR506" s="111"/>
    </row>
    <row r="507" spans="1:44" ht="16.8">
      <c r="A507" s="139" t="s">
        <v>1206</v>
      </c>
      <c r="B507" s="140"/>
      <c r="C507" s="96" t="s">
        <v>1204</v>
      </c>
      <c r="D507" s="97" t="s">
        <v>1205</v>
      </c>
      <c r="E507" s="98" t="s">
        <v>949</v>
      </c>
      <c r="F507" s="99">
        <v>2000</v>
      </c>
      <c r="G507" s="100">
        <v>2022</v>
      </c>
      <c r="H507" s="101">
        <v>1341002477783</v>
      </c>
      <c r="I507" s="101">
        <v>3027929709858</v>
      </c>
      <c r="J507" s="101">
        <v>2832765978101</v>
      </c>
      <c r="K507" s="101">
        <f t="shared" ref="K507:K508" si="159">AVERAGE(J506:J507)</f>
        <v>3514652053498.5</v>
      </c>
      <c r="L507" s="101">
        <v>2358310652262</v>
      </c>
      <c r="M507" s="101">
        <v>195163731757</v>
      </c>
      <c r="N507" s="101">
        <v>1096914250910</v>
      </c>
      <c r="O507" s="101">
        <f t="shared" si="70"/>
        <v>-1017308174479</v>
      </c>
      <c r="P507" s="101">
        <v>26368798946</v>
      </c>
      <c r="Q507" s="101">
        <f>50828152499+149627312029</f>
        <v>200455464528</v>
      </c>
      <c r="R507" s="101">
        <f t="shared" si="71"/>
        <v>896458786382</v>
      </c>
      <c r="S507" s="102">
        <f t="shared" si="72"/>
        <v>0.93554548802054172</v>
      </c>
      <c r="T507" s="103">
        <f t="shared" si="73"/>
        <v>0.5686284275130431</v>
      </c>
      <c r="U507" s="102">
        <f t="shared" si="74"/>
        <v>28.738900237845279</v>
      </c>
      <c r="V507" s="102">
        <f t="shared" si="75"/>
        <v>0.31209753745555746</v>
      </c>
      <c r="W507" s="104"/>
      <c r="X507" s="105">
        <v>0</v>
      </c>
      <c r="Y507" s="104"/>
      <c r="Z507" s="106">
        <f t="shared" si="103"/>
        <v>0</v>
      </c>
      <c r="AA507" s="99">
        <f t="shared" si="77"/>
        <v>22</v>
      </c>
      <c r="AB507" s="107">
        <v>3.15E-2</v>
      </c>
      <c r="AC507" s="107">
        <v>8.0199999999999994E-2</v>
      </c>
      <c r="AD507" s="102">
        <f t="shared" si="133"/>
        <v>-0.33597483163726033</v>
      </c>
      <c r="AE507" s="108">
        <f t="shared" si="134"/>
        <v>8.7085241312410151E-3</v>
      </c>
      <c r="AF507" s="102">
        <f t="shared" si="135"/>
        <v>0.29606327500384444</v>
      </c>
      <c r="AG507" s="102">
        <f t="shared" si="136"/>
        <v>0</v>
      </c>
      <c r="AH507" s="109">
        <f t="shared" si="137"/>
        <v>0.38722374505688534</v>
      </c>
      <c r="AI507" s="110">
        <f t="shared" si="83"/>
        <v>0.97325468838859708</v>
      </c>
      <c r="AJ507" s="101" t="s">
        <v>1054</v>
      </c>
      <c r="AK507" s="140"/>
      <c r="AL507" s="141"/>
      <c r="AM507" s="141"/>
      <c r="AN507" s="141"/>
      <c r="AO507" s="141"/>
      <c r="AP507" s="141"/>
      <c r="AQ507" s="141"/>
      <c r="AR507" s="141"/>
    </row>
    <row r="508" spans="1:44" ht="16.8">
      <c r="A508" s="139" t="s">
        <v>1207</v>
      </c>
      <c r="B508" s="140"/>
      <c r="C508" s="96" t="s">
        <v>1204</v>
      </c>
      <c r="D508" s="97" t="s">
        <v>1205</v>
      </c>
      <c r="E508" s="98" t="s">
        <v>949</v>
      </c>
      <c r="F508" s="99">
        <v>2000</v>
      </c>
      <c r="G508" s="100">
        <v>2023</v>
      </c>
      <c r="H508" s="101">
        <v>1539477009226</v>
      </c>
      <c r="I508" s="101">
        <v>3231686779123</v>
      </c>
      <c r="J508" s="101">
        <v>3020631196100</v>
      </c>
      <c r="K508" s="101">
        <f t="shared" si="159"/>
        <v>2926698587100.5</v>
      </c>
      <c r="L508" s="101">
        <v>2512322908701</v>
      </c>
      <c r="M508" s="101">
        <v>211055583023</v>
      </c>
      <c r="N508" s="101">
        <v>1003302011870</v>
      </c>
      <c r="O508" s="101">
        <f t="shared" si="70"/>
        <v>-972845899475</v>
      </c>
      <c r="P508" s="101">
        <v>15891851266</v>
      </c>
      <c r="Q508" s="101">
        <f>42462817779+127762145659</f>
        <v>170224963438</v>
      </c>
      <c r="R508" s="101">
        <f t="shared" si="71"/>
        <v>833077048432</v>
      </c>
      <c r="S508" s="102">
        <f t="shared" si="72"/>
        <v>0.93469181964463921</v>
      </c>
      <c r="T508" s="103">
        <f t="shared" si="73"/>
        <v>0.61277035841781524</v>
      </c>
      <c r="U508" s="102">
        <f t="shared" si="74"/>
        <v>28.804025339491027</v>
      </c>
      <c r="V508" s="102">
        <f t="shared" si="75"/>
        <v>0.34281016032606831</v>
      </c>
      <c r="W508" s="104"/>
      <c r="X508" s="105">
        <v>0</v>
      </c>
      <c r="Y508" s="104"/>
      <c r="Z508" s="106">
        <f t="shared" si="103"/>
        <v>0</v>
      </c>
      <c r="AA508" s="99">
        <f t="shared" si="77"/>
        <v>23</v>
      </c>
      <c r="AB508" s="107">
        <v>3.2500000000000001E-2</v>
      </c>
      <c r="AC508" s="107">
        <v>5.0500000000000003E-2</v>
      </c>
      <c r="AD508" s="102">
        <f t="shared" si="133"/>
        <v>-0.30103347445664469</v>
      </c>
      <c r="AE508" s="108">
        <f t="shared" si="134"/>
        <v>4.9175097564104452E-3</v>
      </c>
      <c r="AF508" s="102">
        <f t="shared" si="135"/>
        <v>0.25778397022067728</v>
      </c>
      <c r="AG508" s="102">
        <f t="shared" si="136"/>
        <v>0</v>
      </c>
      <c r="AH508" s="109">
        <f t="shared" si="137"/>
        <v>0.33214978815202073</v>
      </c>
      <c r="AI508" s="110">
        <f t="shared" si="83"/>
        <v>0.82848123419125685</v>
      </c>
      <c r="AJ508" s="101" t="s">
        <v>1054</v>
      </c>
      <c r="AK508" s="140"/>
      <c r="AL508" s="141"/>
      <c r="AM508" s="141"/>
      <c r="AN508" s="141"/>
      <c r="AO508" s="141"/>
      <c r="AP508" s="141"/>
      <c r="AQ508" s="141"/>
      <c r="AR508" s="141"/>
    </row>
    <row r="509" spans="1:44" ht="16.8">
      <c r="A509" s="95" t="s">
        <v>1208</v>
      </c>
      <c r="B509" s="96">
        <v>199</v>
      </c>
      <c r="C509" s="96" t="s">
        <v>1209</v>
      </c>
      <c r="D509" s="97" t="s">
        <v>1210</v>
      </c>
      <c r="E509" s="98" t="s">
        <v>178</v>
      </c>
      <c r="F509" s="99">
        <v>2008</v>
      </c>
      <c r="G509" s="100">
        <v>2021</v>
      </c>
      <c r="H509" s="101">
        <v>99347150454</v>
      </c>
      <c r="I509" s="101">
        <v>142802150826</v>
      </c>
      <c r="J509" s="101">
        <v>70459485321</v>
      </c>
      <c r="K509" s="101">
        <f>AVERAGE(J509,35160195074)</f>
        <v>52809840197.5</v>
      </c>
      <c r="L509" s="101">
        <v>70459485321</v>
      </c>
      <c r="M509" s="101">
        <v>72342665505</v>
      </c>
      <c r="N509" s="101">
        <v>400517484000</v>
      </c>
      <c r="O509" s="101">
        <f t="shared" si="70"/>
        <v>28887665133</v>
      </c>
      <c r="P509" s="101">
        <v>8649842591</v>
      </c>
      <c r="Q509" s="101">
        <f>3274103883+6707203313</f>
        <v>9981307196</v>
      </c>
      <c r="R509" s="101">
        <f t="shared" si="71"/>
        <v>390536176804</v>
      </c>
      <c r="S509" s="102">
        <f t="shared" si="72"/>
        <v>0.49340633116130511</v>
      </c>
      <c r="T509" s="103">
        <f t="shared" si="73"/>
        <v>1.4099897267400308</v>
      </c>
      <c r="U509" s="102">
        <f t="shared" si="74"/>
        <v>25.684725948545189</v>
      </c>
      <c r="V509" s="102">
        <f t="shared" si="75"/>
        <v>7.5841449718865155</v>
      </c>
      <c r="W509" s="104"/>
      <c r="X509" s="105">
        <v>0</v>
      </c>
      <c r="Y509" s="104"/>
      <c r="Z509" s="106">
        <f t="shared" si="103"/>
        <v>0</v>
      </c>
      <c r="AA509" s="99">
        <f t="shared" si="77"/>
        <v>13</v>
      </c>
      <c r="AB509" s="107">
        <v>1.84E-2</v>
      </c>
      <c r="AC509" s="107">
        <v>2.58E-2</v>
      </c>
      <c r="AD509" s="102">
        <f t="shared" si="133"/>
        <v>0.20229152688462462</v>
      </c>
      <c r="AE509" s="108">
        <f t="shared" si="134"/>
        <v>6.0572215060959167E-2</v>
      </c>
      <c r="AF509" s="102">
        <f t="shared" si="135"/>
        <v>2.7348059853794235</v>
      </c>
      <c r="AG509" s="102">
        <f t="shared" si="136"/>
        <v>0</v>
      </c>
      <c r="AH509" s="109">
        <f t="shared" si="137"/>
        <v>5.6843657340856035</v>
      </c>
      <c r="AI509" s="110">
        <f t="shared" si="83"/>
        <v>15.036776419184594</v>
      </c>
      <c r="AJ509" s="101"/>
      <c r="AK509" s="101"/>
      <c r="AL509" s="111"/>
      <c r="AM509" s="111"/>
      <c r="AN509" s="111"/>
      <c r="AO509" s="111"/>
      <c r="AP509" s="111"/>
      <c r="AQ509" s="111"/>
      <c r="AR509" s="111"/>
    </row>
    <row r="510" spans="1:44" ht="16.8">
      <c r="A510" s="139" t="s">
        <v>1211</v>
      </c>
      <c r="B510" s="140"/>
      <c r="C510" s="96" t="s">
        <v>1209</v>
      </c>
      <c r="D510" s="97" t="s">
        <v>1210</v>
      </c>
      <c r="E510" s="98" t="s">
        <v>178</v>
      </c>
      <c r="F510" s="99">
        <v>2008</v>
      </c>
      <c r="G510" s="100">
        <v>2022</v>
      </c>
      <c r="H510" s="101">
        <v>85723025347</v>
      </c>
      <c r="I510" s="101">
        <v>121931264283</v>
      </c>
      <c r="J510" s="101">
        <v>76126986235</v>
      </c>
      <c r="K510" s="101">
        <f t="shared" ref="K510:K511" si="160">AVERAGE(J509:J510)</f>
        <v>73293235778</v>
      </c>
      <c r="L510" s="101">
        <v>76126986235</v>
      </c>
      <c r="M510" s="101">
        <v>45804278048</v>
      </c>
      <c r="N510" s="101">
        <v>398115477500</v>
      </c>
      <c r="O510" s="101">
        <f t="shared" si="70"/>
        <v>9596039112</v>
      </c>
      <c r="P510" s="101">
        <v>-20483544866</v>
      </c>
      <c r="Q510" s="101">
        <f>2186391724+5656094396</f>
        <v>7842486120</v>
      </c>
      <c r="R510" s="101">
        <f t="shared" si="71"/>
        <v>390272991380</v>
      </c>
      <c r="S510" s="102">
        <f t="shared" si="72"/>
        <v>0.62434345024349791</v>
      </c>
      <c r="T510" s="103">
        <f t="shared" si="73"/>
        <v>1.1260530540691251</v>
      </c>
      <c r="U510" s="102">
        <f t="shared" si="74"/>
        <v>25.526723315389621</v>
      </c>
      <c r="V510" s="102">
        <f t="shared" si="75"/>
        <v>5.4318174559227197</v>
      </c>
      <c r="W510" s="104"/>
      <c r="X510" s="105">
        <v>0</v>
      </c>
      <c r="Y510" s="104"/>
      <c r="Z510" s="106">
        <f t="shared" si="103"/>
        <v>0</v>
      </c>
      <c r="AA510" s="99">
        <f t="shared" si="77"/>
        <v>14</v>
      </c>
      <c r="AB510" s="107">
        <v>3.15E-2</v>
      </c>
      <c r="AC510" s="107">
        <v>8.0199999999999994E-2</v>
      </c>
      <c r="AD510" s="102">
        <f t="shared" si="133"/>
        <v>7.8700398691247772E-2</v>
      </c>
      <c r="AE510" s="108">
        <f t="shared" si="134"/>
        <v>-0.16799255700702082</v>
      </c>
      <c r="AF510" s="102">
        <f t="shared" si="135"/>
        <v>3.2007622792640307</v>
      </c>
      <c r="AG510" s="102">
        <f t="shared" si="136"/>
        <v>0</v>
      </c>
      <c r="AH510" s="109">
        <f t="shared" si="137"/>
        <v>5.2296235170933798</v>
      </c>
      <c r="AI510" s="110">
        <f t="shared" si="83"/>
        <v>15.65138993728435</v>
      </c>
      <c r="AJ510" s="101"/>
      <c r="AK510" s="140"/>
      <c r="AL510" s="141"/>
      <c r="AM510" s="141"/>
      <c r="AN510" s="141"/>
      <c r="AO510" s="141"/>
      <c r="AP510" s="141"/>
      <c r="AQ510" s="141"/>
      <c r="AR510" s="141"/>
    </row>
    <row r="511" spans="1:44" ht="16.8">
      <c r="A511" s="139" t="s">
        <v>1212</v>
      </c>
      <c r="B511" s="140"/>
      <c r="C511" s="96" t="s">
        <v>1209</v>
      </c>
      <c r="D511" s="97" t="s">
        <v>1210</v>
      </c>
      <c r="E511" s="98" t="s">
        <v>178</v>
      </c>
      <c r="F511" s="99">
        <v>2008</v>
      </c>
      <c r="G511" s="100">
        <v>2023</v>
      </c>
      <c r="H511" s="101">
        <v>89426754104</v>
      </c>
      <c r="I511" s="101">
        <v>116792384466</v>
      </c>
      <c r="J511" s="101">
        <v>104875723359</v>
      </c>
      <c r="K511" s="101">
        <f t="shared" si="160"/>
        <v>90501354797</v>
      </c>
      <c r="L511" s="101">
        <v>104875723359</v>
      </c>
      <c r="M511" s="101">
        <v>11916661107</v>
      </c>
      <c r="N511" s="101">
        <v>347116372500</v>
      </c>
      <c r="O511" s="101">
        <f t="shared" si="70"/>
        <v>-15448969255</v>
      </c>
      <c r="P511" s="101">
        <v>-33887616941</v>
      </c>
      <c r="Q511" s="101">
        <f>2021836013+5227000274</f>
        <v>7248836287</v>
      </c>
      <c r="R511" s="101">
        <f t="shared" si="71"/>
        <v>339867536213</v>
      </c>
      <c r="S511" s="102">
        <f t="shared" si="72"/>
        <v>0.89796713919759796</v>
      </c>
      <c r="T511" s="103">
        <f t="shared" si="73"/>
        <v>0.85269260835401683</v>
      </c>
      <c r="U511" s="102">
        <f t="shared" si="74"/>
        <v>25.483663703725103</v>
      </c>
      <c r="V511" s="102">
        <f t="shared" si="75"/>
        <v>3.8354826099410664</v>
      </c>
      <c r="W511" s="104"/>
      <c r="X511" s="105">
        <v>0</v>
      </c>
      <c r="Y511" s="104"/>
      <c r="Z511" s="106">
        <f t="shared" si="103"/>
        <v>0</v>
      </c>
      <c r="AA511" s="99">
        <f t="shared" si="77"/>
        <v>15</v>
      </c>
      <c r="AB511" s="107">
        <v>3.2500000000000001E-2</v>
      </c>
      <c r="AC511" s="107">
        <v>5.0500000000000003E-2</v>
      </c>
      <c r="AD511" s="102">
        <f t="shared" si="133"/>
        <v>-0.13227719705900365</v>
      </c>
      <c r="AE511" s="108">
        <f t="shared" si="134"/>
        <v>-0.2901526250700463</v>
      </c>
      <c r="AF511" s="102">
        <f t="shared" si="135"/>
        <v>2.910014533626895</v>
      </c>
      <c r="AG511" s="102">
        <f t="shared" si="136"/>
        <v>0</v>
      </c>
      <c r="AH511" s="109">
        <f t="shared" si="137"/>
        <v>3.3097876360936862</v>
      </c>
      <c r="AI511" s="110">
        <f t="shared" si="83"/>
        <v>12.34788928549357</v>
      </c>
      <c r="AJ511" s="101"/>
      <c r="AK511" s="140"/>
      <c r="AL511" s="141"/>
      <c r="AM511" s="141"/>
      <c r="AN511" s="141"/>
      <c r="AO511" s="141"/>
      <c r="AP511" s="141"/>
      <c r="AQ511" s="141"/>
      <c r="AR511" s="141"/>
    </row>
    <row r="512" spans="1:44" ht="16.8">
      <c r="A512" s="45"/>
      <c r="B512" s="45">
        <v>200</v>
      </c>
      <c r="C512" s="45" t="s">
        <v>1213</v>
      </c>
      <c r="D512" s="46" t="s">
        <v>1214</v>
      </c>
      <c r="E512" s="47" t="s">
        <v>39</v>
      </c>
      <c r="F512" s="48"/>
      <c r="G512" s="68">
        <v>2021</v>
      </c>
      <c r="H512" s="49"/>
      <c r="I512" s="49"/>
      <c r="J512" s="49"/>
      <c r="K512" s="49"/>
      <c r="L512" s="49"/>
      <c r="M512" s="49"/>
      <c r="N512" s="49"/>
      <c r="O512" s="49">
        <f t="shared" ref="O512:O766" si="161">H512-L512</f>
        <v>0</v>
      </c>
      <c r="P512" s="49"/>
      <c r="Q512" s="49"/>
      <c r="R512" s="49">
        <f t="shared" ref="R512:R766" si="162">N512-Q512</f>
        <v>0</v>
      </c>
      <c r="S512" s="50" t="e">
        <f t="shared" ref="S512:S766" si="163">J512/I512</f>
        <v>#DIV/0!</v>
      </c>
      <c r="T512" s="51" t="e">
        <f t="shared" ref="T512:T766" si="164">H512/L512</f>
        <v>#DIV/0!</v>
      </c>
      <c r="U512" s="50" t="e">
        <f t="shared" ref="U512:U766" si="165">LN(I512)</f>
        <v>#NUM!</v>
      </c>
      <c r="V512" s="50" t="e">
        <f t="shared" ref="V512:V766" si="166">N512/K512</f>
        <v>#DIV/0!</v>
      </c>
      <c r="W512" s="52"/>
      <c r="X512" s="53">
        <v>0</v>
      </c>
      <c r="Y512" s="52"/>
      <c r="Z512" s="55">
        <f t="shared" si="103"/>
        <v>0</v>
      </c>
      <c r="AA512" s="48">
        <f t="shared" ref="AA512:AA766" si="167">G512-F512</f>
        <v>2021</v>
      </c>
      <c r="AB512" s="49"/>
      <c r="AC512" s="49"/>
      <c r="AD512" s="50" t="e">
        <f t="shared" si="133"/>
        <v>#DIV/0!</v>
      </c>
      <c r="AE512" s="56" t="e">
        <f t="shared" si="134"/>
        <v>#DIV/0!</v>
      </c>
      <c r="AF512" s="50" t="e">
        <f t="shared" si="135"/>
        <v>#DIV/0!</v>
      </c>
      <c r="AG512" s="50" t="e">
        <f t="shared" si="136"/>
        <v>#DIV/0!</v>
      </c>
      <c r="AH512" s="57" t="e">
        <f t="shared" si="137"/>
        <v>#DIV/0!</v>
      </c>
      <c r="AI512" s="58" t="e">
        <f t="shared" ref="AI512:AI766" si="168">1.2*AD512+1.4*AE512+3.3*AF512+0.6*AG512+1*AH512</f>
        <v>#DIV/0!</v>
      </c>
      <c r="AJ512" s="49"/>
      <c r="AK512" s="49"/>
      <c r="AL512" s="59"/>
      <c r="AM512" s="59"/>
      <c r="AN512" s="59"/>
      <c r="AO512" s="59"/>
      <c r="AP512" s="59"/>
      <c r="AQ512" s="59"/>
      <c r="AR512" s="59"/>
    </row>
    <row r="513" spans="1:44" ht="16.8">
      <c r="A513" s="45"/>
      <c r="B513" s="45">
        <v>201</v>
      </c>
      <c r="C513" s="45" t="s">
        <v>1215</v>
      </c>
      <c r="D513" s="46" t="s">
        <v>1216</v>
      </c>
      <c r="E513" s="47" t="s">
        <v>39</v>
      </c>
      <c r="F513" s="48"/>
      <c r="G513" s="68">
        <v>2021</v>
      </c>
      <c r="H513" s="49"/>
      <c r="I513" s="49"/>
      <c r="J513" s="49"/>
      <c r="K513" s="49"/>
      <c r="L513" s="49"/>
      <c r="M513" s="49"/>
      <c r="N513" s="49"/>
      <c r="O513" s="49">
        <f t="shared" si="161"/>
        <v>0</v>
      </c>
      <c r="P513" s="49"/>
      <c r="Q513" s="49"/>
      <c r="R513" s="49">
        <f t="shared" si="162"/>
        <v>0</v>
      </c>
      <c r="S513" s="50" t="e">
        <f t="shared" si="163"/>
        <v>#DIV/0!</v>
      </c>
      <c r="T513" s="51" t="e">
        <f t="shared" si="164"/>
        <v>#DIV/0!</v>
      </c>
      <c r="U513" s="50" t="e">
        <f t="shared" si="165"/>
        <v>#NUM!</v>
      </c>
      <c r="V513" s="50" t="e">
        <f t="shared" si="166"/>
        <v>#DIV/0!</v>
      </c>
      <c r="W513" s="52"/>
      <c r="X513" s="53">
        <v>0</v>
      </c>
      <c r="Y513" s="52"/>
      <c r="Z513" s="55">
        <f t="shared" si="103"/>
        <v>0</v>
      </c>
      <c r="AA513" s="48">
        <f t="shared" si="167"/>
        <v>2021</v>
      </c>
      <c r="AB513" s="49"/>
      <c r="AC513" s="49"/>
      <c r="AD513" s="50" t="e">
        <f t="shared" si="133"/>
        <v>#DIV/0!</v>
      </c>
      <c r="AE513" s="56" t="e">
        <f t="shared" si="134"/>
        <v>#DIV/0!</v>
      </c>
      <c r="AF513" s="50" t="e">
        <f t="shared" si="135"/>
        <v>#DIV/0!</v>
      </c>
      <c r="AG513" s="50" t="e">
        <f t="shared" si="136"/>
        <v>#DIV/0!</v>
      </c>
      <c r="AH513" s="57" t="e">
        <f t="shared" si="137"/>
        <v>#DIV/0!</v>
      </c>
      <c r="AI513" s="58" t="e">
        <f t="shared" si="168"/>
        <v>#DIV/0!</v>
      </c>
      <c r="AJ513" s="49"/>
      <c r="AK513" s="49"/>
      <c r="AL513" s="59"/>
      <c r="AM513" s="59"/>
      <c r="AN513" s="59"/>
      <c r="AO513" s="59"/>
      <c r="AP513" s="59"/>
      <c r="AQ513" s="59"/>
      <c r="AR513" s="59"/>
    </row>
    <row r="514" spans="1:44" ht="16.8">
      <c r="A514" s="70" t="s">
        <v>1217</v>
      </c>
      <c r="B514" s="71">
        <v>202</v>
      </c>
      <c r="C514" s="1" t="s">
        <v>1218</v>
      </c>
      <c r="D514" s="19" t="s">
        <v>1219</v>
      </c>
      <c r="E514" s="20" t="s">
        <v>39</v>
      </c>
      <c r="F514" s="21">
        <v>2009</v>
      </c>
      <c r="G514" s="22">
        <v>2021</v>
      </c>
      <c r="H514" s="23">
        <v>1094617516039</v>
      </c>
      <c r="I514" s="23">
        <v>1201009605290</v>
      </c>
      <c r="J514" s="23">
        <v>972101421136</v>
      </c>
      <c r="K514" s="23">
        <f>AVERAGE(J514,560702255971)</f>
        <v>766401838553.5</v>
      </c>
      <c r="L514" s="23">
        <v>970480669668</v>
      </c>
      <c r="M514" s="23">
        <v>228908184154</v>
      </c>
      <c r="N514" s="23">
        <v>1474911391638</v>
      </c>
      <c r="O514" s="25">
        <f t="shared" si="161"/>
        <v>124136846371</v>
      </c>
      <c r="P514" s="23">
        <v>15440626818</v>
      </c>
      <c r="Q514" s="23">
        <f>100014883541+29704241847</f>
        <v>129719125388</v>
      </c>
      <c r="R514" s="25">
        <f t="shared" si="162"/>
        <v>1345192266250</v>
      </c>
      <c r="S514" s="26">
        <f t="shared" si="163"/>
        <v>0.80940353587036717</v>
      </c>
      <c r="T514" s="27">
        <f t="shared" si="164"/>
        <v>1.1279127449426345</v>
      </c>
      <c r="U514" s="26">
        <f t="shared" si="165"/>
        <v>27.81418365673796</v>
      </c>
      <c r="V514" s="26">
        <f t="shared" si="166"/>
        <v>1.9244622304426287</v>
      </c>
      <c r="W514" s="63" t="s">
        <v>371</v>
      </c>
      <c r="X514" s="29">
        <v>16910</v>
      </c>
      <c r="Y514" s="63">
        <v>196180</v>
      </c>
      <c r="Z514" s="30">
        <f t="shared" si="103"/>
        <v>3317403800</v>
      </c>
      <c r="AA514" s="31">
        <f t="shared" si="167"/>
        <v>12</v>
      </c>
      <c r="AB514" s="32">
        <v>1.84E-2</v>
      </c>
      <c r="AC514" s="32">
        <v>2.58E-2</v>
      </c>
      <c r="AD514" s="33">
        <f t="shared" si="133"/>
        <v>0.10336041096109759</v>
      </c>
      <c r="AE514" s="34">
        <f t="shared" si="134"/>
        <v>1.2856372463625428E-2</v>
      </c>
      <c r="AF514" s="33">
        <f t="shared" si="135"/>
        <v>1.1200512138495222</v>
      </c>
      <c r="AG514" s="33">
        <f t="shared" si="136"/>
        <v>3.4126107912930258E-3</v>
      </c>
      <c r="AH514" s="35">
        <f t="shared" si="137"/>
        <v>1.5172402380755858</v>
      </c>
      <c r="AI514" s="36">
        <f t="shared" si="168"/>
        <v>5.3574882248561773</v>
      </c>
      <c r="AJ514" s="23" t="s">
        <v>1054</v>
      </c>
      <c r="AK514" s="23"/>
      <c r="AL514" s="44"/>
      <c r="AM514" s="44"/>
      <c r="AN514" s="44"/>
      <c r="AO514" s="44"/>
      <c r="AP514" s="44"/>
      <c r="AQ514" s="44"/>
      <c r="AR514" s="44"/>
    </row>
    <row r="515" spans="1:44" ht="16.8">
      <c r="A515" s="74" t="s">
        <v>1220</v>
      </c>
      <c r="B515" s="75"/>
      <c r="C515" s="1" t="s">
        <v>1218</v>
      </c>
      <c r="D515" s="19" t="s">
        <v>1219</v>
      </c>
      <c r="E515" s="20" t="s">
        <v>39</v>
      </c>
      <c r="F515" s="21">
        <v>2009</v>
      </c>
      <c r="G515" s="22">
        <v>2022</v>
      </c>
      <c r="H515" s="23">
        <v>1312347204961</v>
      </c>
      <c r="I515" s="23">
        <v>1477769473104</v>
      </c>
      <c r="J515" s="23">
        <v>1083981701337</v>
      </c>
      <c r="K515" s="23">
        <f t="shared" ref="K515:K516" si="169">AVERAGE(J514:J515)</f>
        <v>1028041561236.5</v>
      </c>
      <c r="L515" s="23">
        <v>1081800526139</v>
      </c>
      <c r="M515" s="23">
        <v>393787771767</v>
      </c>
      <c r="N515" s="23">
        <v>1909964896849</v>
      </c>
      <c r="O515" s="25">
        <f t="shared" si="161"/>
        <v>230546678822</v>
      </c>
      <c r="P515" s="23">
        <v>23581500149</v>
      </c>
      <c r="Q515" s="23">
        <f>149752899248+37376602733</f>
        <v>187129501981</v>
      </c>
      <c r="R515" s="25">
        <f t="shared" si="162"/>
        <v>1722835394868</v>
      </c>
      <c r="S515" s="26">
        <f t="shared" si="163"/>
        <v>0.73352557422920406</v>
      </c>
      <c r="T515" s="27">
        <f t="shared" si="164"/>
        <v>1.2131138534798394</v>
      </c>
      <c r="U515" s="26">
        <f t="shared" si="165"/>
        <v>28.021554954100186</v>
      </c>
      <c r="V515" s="26">
        <f t="shared" si="166"/>
        <v>1.8578673945358268</v>
      </c>
      <c r="W515" s="63" t="s">
        <v>1221</v>
      </c>
      <c r="X515" s="29">
        <v>3640</v>
      </c>
      <c r="Y515" s="63">
        <v>459531</v>
      </c>
      <c r="Z515" s="30">
        <f t="shared" si="103"/>
        <v>1672692840</v>
      </c>
      <c r="AA515" s="31">
        <f t="shared" si="167"/>
        <v>13</v>
      </c>
      <c r="AB515" s="32">
        <v>3.15E-2</v>
      </c>
      <c r="AC515" s="32">
        <v>8.0199999999999994E-2</v>
      </c>
      <c r="AD515" s="33">
        <f t="shared" si="133"/>
        <v>0.15600990751131519</v>
      </c>
      <c r="AE515" s="34">
        <f t="shared" si="134"/>
        <v>1.5957495792268555E-2</v>
      </c>
      <c r="AF515" s="33">
        <f t="shared" si="135"/>
        <v>1.165835014340395</v>
      </c>
      <c r="AG515" s="33">
        <f t="shared" si="136"/>
        <v>1.5431006242419725E-3</v>
      </c>
      <c r="AH515" s="35">
        <f t="shared" si="137"/>
        <v>1.7619899805441543</v>
      </c>
      <c r="AI515" s="36">
        <f t="shared" si="168"/>
        <v>5.8197237713647576</v>
      </c>
      <c r="AJ515" s="23" t="s">
        <v>1054</v>
      </c>
      <c r="AK515" s="76"/>
    </row>
    <row r="516" spans="1:44" ht="16.8">
      <c r="A516" s="74" t="s">
        <v>1222</v>
      </c>
      <c r="B516" s="75"/>
      <c r="C516" s="1" t="s">
        <v>1218</v>
      </c>
      <c r="D516" s="19" t="s">
        <v>1219</v>
      </c>
      <c r="E516" s="20" t="s">
        <v>39</v>
      </c>
      <c r="F516" s="21">
        <v>2009</v>
      </c>
      <c r="G516" s="22">
        <v>2023</v>
      </c>
      <c r="H516" s="23">
        <v>1412998560904</v>
      </c>
      <c r="I516" s="23">
        <v>1590991329373</v>
      </c>
      <c r="J516" s="23">
        <v>1189350082750</v>
      </c>
      <c r="K516" s="23">
        <f t="shared" si="169"/>
        <v>1136665892043.5</v>
      </c>
      <c r="L516" s="23">
        <v>1187854744156</v>
      </c>
      <c r="M516" s="23">
        <v>401641246623</v>
      </c>
      <c r="N516" s="23">
        <v>2140625746499</v>
      </c>
      <c r="O516" s="25">
        <f t="shared" si="161"/>
        <v>225143816748</v>
      </c>
      <c r="P516" s="23">
        <v>25150148589</v>
      </c>
      <c r="Q516" s="23">
        <f>177727264997+48861083290</f>
        <v>226588348287</v>
      </c>
      <c r="R516" s="25">
        <f t="shared" si="162"/>
        <v>1914037398212</v>
      </c>
      <c r="S516" s="26">
        <f t="shared" si="163"/>
        <v>0.74755283752471213</v>
      </c>
      <c r="T516" s="27">
        <f t="shared" si="164"/>
        <v>1.1895381719487683</v>
      </c>
      <c r="U516" s="26">
        <f t="shared" si="165"/>
        <v>28.095378415472364</v>
      </c>
      <c r="V516" s="26">
        <f t="shared" si="166"/>
        <v>1.8832497407400683</v>
      </c>
      <c r="W516" s="65">
        <v>45936</v>
      </c>
      <c r="X516" s="42">
        <v>6100</v>
      </c>
      <c r="Y516" s="63">
        <v>1496286</v>
      </c>
      <c r="Z516" s="30">
        <f t="shared" si="103"/>
        <v>9127344600</v>
      </c>
      <c r="AA516" s="31">
        <f t="shared" si="167"/>
        <v>14</v>
      </c>
      <c r="AB516" s="32">
        <v>3.2500000000000001E-2</v>
      </c>
      <c r="AC516" s="32">
        <v>5.0500000000000003E-2</v>
      </c>
      <c r="AD516" s="33">
        <f t="shared" si="133"/>
        <v>0.14151165540086746</v>
      </c>
      <c r="AE516" s="34">
        <f t="shared" si="134"/>
        <v>1.5807847676273332E-2</v>
      </c>
      <c r="AF516" s="33">
        <f t="shared" si="135"/>
        <v>1.2030470329252583</v>
      </c>
      <c r="AG516" s="33">
        <f t="shared" si="136"/>
        <v>7.6742287509627702E-3</v>
      </c>
      <c r="AH516" s="35">
        <f t="shared" si="137"/>
        <v>1.7998281393729529</v>
      </c>
      <c r="AI516" s="36">
        <f t="shared" si="168"/>
        <v>5.9664328585047066</v>
      </c>
      <c r="AJ516" s="23" t="s">
        <v>1054</v>
      </c>
      <c r="AK516" s="76"/>
    </row>
    <row r="517" spans="1:44" ht="16.8">
      <c r="A517" s="70" t="s">
        <v>1223</v>
      </c>
      <c r="B517" s="71">
        <v>203</v>
      </c>
      <c r="C517" s="1" t="s">
        <v>1224</v>
      </c>
      <c r="D517" s="19" t="s">
        <v>1225</v>
      </c>
      <c r="E517" s="20" t="s">
        <v>39</v>
      </c>
      <c r="F517" s="21">
        <v>2002</v>
      </c>
      <c r="G517" s="22">
        <v>2021</v>
      </c>
      <c r="H517" s="23">
        <v>1094617516039</v>
      </c>
      <c r="I517" s="23">
        <v>1201009605290</v>
      </c>
      <c r="J517" s="23">
        <v>972101421136</v>
      </c>
      <c r="K517" s="23">
        <f>AVERAGE(J517,560702255971)</f>
        <v>766401838553.5</v>
      </c>
      <c r="L517" s="23">
        <v>970480669668</v>
      </c>
      <c r="M517" s="23">
        <v>228908184154</v>
      </c>
      <c r="N517" s="23">
        <v>1474911391638</v>
      </c>
      <c r="O517" s="25">
        <f t="shared" si="161"/>
        <v>124136846371</v>
      </c>
      <c r="P517" s="23">
        <v>15440626818</v>
      </c>
      <c r="Q517" s="23">
        <f>100014883541+29704241847</f>
        <v>129719125388</v>
      </c>
      <c r="R517" s="25">
        <f t="shared" si="162"/>
        <v>1345192266250</v>
      </c>
      <c r="S517" s="26">
        <f t="shared" si="163"/>
        <v>0.80940353587036717</v>
      </c>
      <c r="T517" s="27">
        <f t="shared" si="164"/>
        <v>1.1279127449426345</v>
      </c>
      <c r="U517" s="26">
        <f t="shared" si="165"/>
        <v>27.81418365673796</v>
      </c>
      <c r="V517" s="26">
        <f t="shared" si="166"/>
        <v>1.9244622304426287</v>
      </c>
      <c r="W517" s="73" t="s">
        <v>1226</v>
      </c>
      <c r="X517" s="29">
        <v>9980</v>
      </c>
      <c r="Y517" s="73">
        <v>121410</v>
      </c>
      <c r="Z517" s="30">
        <f t="shared" si="103"/>
        <v>1211671800</v>
      </c>
      <c r="AA517" s="31">
        <f t="shared" si="167"/>
        <v>19</v>
      </c>
      <c r="AB517" s="32">
        <v>1.84E-2</v>
      </c>
      <c r="AC517" s="32">
        <v>2.58E-2</v>
      </c>
      <c r="AD517" s="33">
        <f t="shared" si="133"/>
        <v>0.10336041096109759</v>
      </c>
      <c r="AE517" s="34">
        <f t="shared" si="134"/>
        <v>1.2856372463625428E-2</v>
      </c>
      <c r="AF517" s="33">
        <f t="shared" si="135"/>
        <v>1.1200512138495222</v>
      </c>
      <c r="AG517" s="33">
        <f t="shared" si="136"/>
        <v>1.2464458683580954E-3</v>
      </c>
      <c r="AH517" s="35">
        <f t="shared" si="137"/>
        <v>1.5172402380755858</v>
      </c>
      <c r="AI517" s="36">
        <f t="shared" si="168"/>
        <v>5.3561885259024171</v>
      </c>
      <c r="AJ517" s="23" t="s">
        <v>1054</v>
      </c>
      <c r="AK517" s="23"/>
      <c r="AL517" s="44"/>
      <c r="AM517" s="44"/>
      <c r="AN517" s="44"/>
      <c r="AO517" s="44"/>
      <c r="AP517" s="44"/>
      <c r="AQ517" s="44"/>
      <c r="AR517" s="44"/>
    </row>
    <row r="518" spans="1:44" ht="16.8">
      <c r="A518" s="74" t="s">
        <v>1227</v>
      </c>
      <c r="B518" s="75"/>
      <c r="C518" s="1" t="s">
        <v>1224</v>
      </c>
      <c r="D518" s="19" t="s">
        <v>1225</v>
      </c>
      <c r="E518" s="20" t="s">
        <v>39</v>
      </c>
      <c r="F518" s="21">
        <v>2002</v>
      </c>
      <c r="G518" s="22">
        <v>2022</v>
      </c>
      <c r="H518" s="23">
        <v>1312347204961</v>
      </c>
      <c r="I518" s="23">
        <v>1477769473104</v>
      </c>
      <c r="J518" s="23">
        <v>1083981701337</v>
      </c>
      <c r="K518" s="23">
        <f t="shared" ref="K518:K519" si="170">AVERAGE(J517:J518)</f>
        <v>1028041561236.5</v>
      </c>
      <c r="L518" s="23">
        <v>1081800526139</v>
      </c>
      <c r="M518" s="23">
        <v>393787771767</v>
      </c>
      <c r="N518" s="23">
        <v>1909964896849</v>
      </c>
      <c r="O518" s="25">
        <f t="shared" si="161"/>
        <v>230546678822</v>
      </c>
      <c r="P518" s="23">
        <v>23581500149</v>
      </c>
      <c r="Q518" s="23">
        <f>149752899248+37376602733</f>
        <v>187129501981</v>
      </c>
      <c r="R518" s="25">
        <f t="shared" si="162"/>
        <v>1722835394868</v>
      </c>
      <c r="S518" s="26">
        <f t="shared" si="163"/>
        <v>0.73352557422920406</v>
      </c>
      <c r="T518" s="27">
        <f t="shared" si="164"/>
        <v>1.2131138534798394</v>
      </c>
      <c r="U518" s="26">
        <f t="shared" si="165"/>
        <v>28.021554954100186</v>
      </c>
      <c r="V518" s="26">
        <f t="shared" si="166"/>
        <v>1.8578673945358268</v>
      </c>
      <c r="W518" s="77">
        <v>45702</v>
      </c>
      <c r="X518" s="42">
        <v>14020</v>
      </c>
      <c r="Y518" s="73">
        <v>1009608</v>
      </c>
      <c r="Z518" s="30">
        <f t="shared" si="103"/>
        <v>14154704160</v>
      </c>
      <c r="AA518" s="31">
        <f t="shared" si="167"/>
        <v>20</v>
      </c>
      <c r="AB518" s="32">
        <v>3.15E-2</v>
      </c>
      <c r="AC518" s="32">
        <v>8.0199999999999994E-2</v>
      </c>
      <c r="AD518" s="33">
        <f t="shared" si="133"/>
        <v>0.15600990751131519</v>
      </c>
      <c r="AE518" s="34">
        <f t="shared" si="134"/>
        <v>1.5957495792268555E-2</v>
      </c>
      <c r="AF518" s="33">
        <f t="shared" si="135"/>
        <v>1.165835014340395</v>
      </c>
      <c r="AG518" s="33">
        <f t="shared" si="136"/>
        <v>1.3058065595149222E-2</v>
      </c>
      <c r="AH518" s="35">
        <f t="shared" si="137"/>
        <v>1.7619899805441543</v>
      </c>
      <c r="AI518" s="36">
        <f t="shared" si="168"/>
        <v>5.8266327503473017</v>
      </c>
      <c r="AJ518" s="23" t="s">
        <v>1054</v>
      </c>
      <c r="AK518" s="76"/>
    </row>
    <row r="519" spans="1:44" ht="16.8">
      <c r="A519" s="74" t="s">
        <v>1228</v>
      </c>
      <c r="B519" s="75"/>
      <c r="C519" s="1" t="s">
        <v>1224</v>
      </c>
      <c r="D519" s="19" t="s">
        <v>1225</v>
      </c>
      <c r="E519" s="20" t="s">
        <v>39</v>
      </c>
      <c r="F519" s="21">
        <v>2002</v>
      </c>
      <c r="G519" s="22">
        <v>2023</v>
      </c>
      <c r="H519" s="23">
        <v>1412998560904</v>
      </c>
      <c r="I519" s="23">
        <v>1590991329373</v>
      </c>
      <c r="J519" s="23">
        <v>1189350082750</v>
      </c>
      <c r="K519" s="23">
        <f t="shared" si="170"/>
        <v>1136665892043.5</v>
      </c>
      <c r="L519" s="23">
        <v>1187854744156</v>
      </c>
      <c r="M519" s="23">
        <v>401641246623</v>
      </c>
      <c r="N519" s="23">
        <v>2140625746499</v>
      </c>
      <c r="O519" s="25">
        <f t="shared" si="161"/>
        <v>225143816748</v>
      </c>
      <c r="P519" s="23">
        <v>25150148589</v>
      </c>
      <c r="Q519" s="23">
        <f>177727264997+48861083290</f>
        <v>226588348287</v>
      </c>
      <c r="R519" s="25">
        <f t="shared" si="162"/>
        <v>1914037398212</v>
      </c>
      <c r="S519" s="26">
        <f t="shared" si="163"/>
        <v>0.74755283752471213</v>
      </c>
      <c r="T519" s="27">
        <f t="shared" si="164"/>
        <v>1.1895381719487683</v>
      </c>
      <c r="U519" s="26">
        <f t="shared" si="165"/>
        <v>28.095378415472364</v>
      </c>
      <c r="V519" s="26">
        <f t="shared" si="166"/>
        <v>1.8832497407400683</v>
      </c>
      <c r="W519" s="77">
        <v>45816</v>
      </c>
      <c r="X519" s="42">
        <v>8060</v>
      </c>
      <c r="Y519" s="73">
        <v>81000</v>
      </c>
      <c r="Z519" s="30">
        <f t="shared" si="103"/>
        <v>652860000</v>
      </c>
      <c r="AA519" s="31">
        <f t="shared" si="167"/>
        <v>21</v>
      </c>
      <c r="AB519" s="32">
        <v>3.2500000000000001E-2</v>
      </c>
      <c r="AC519" s="32">
        <v>5.0500000000000003E-2</v>
      </c>
      <c r="AD519" s="33">
        <f t="shared" si="133"/>
        <v>0.14151165540086746</v>
      </c>
      <c r="AE519" s="34">
        <f t="shared" si="134"/>
        <v>1.5807847676273332E-2</v>
      </c>
      <c r="AF519" s="33">
        <f t="shared" si="135"/>
        <v>1.2030470329252583</v>
      </c>
      <c r="AG519" s="33">
        <f t="shared" si="136"/>
        <v>5.4892164171752142E-4</v>
      </c>
      <c r="AH519" s="35">
        <f t="shared" si="137"/>
        <v>1.7998281393729529</v>
      </c>
      <c r="AI519" s="36">
        <f t="shared" si="168"/>
        <v>5.9621576742391591</v>
      </c>
      <c r="AJ519" s="23" t="s">
        <v>1054</v>
      </c>
      <c r="AK519" s="76"/>
    </row>
    <row r="520" spans="1:44" ht="16.8">
      <c r="A520" s="70" t="s">
        <v>1229</v>
      </c>
      <c r="B520" s="71">
        <v>204</v>
      </c>
      <c r="C520" s="1" t="s">
        <v>1230</v>
      </c>
      <c r="D520" s="19" t="s">
        <v>1231</v>
      </c>
      <c r="E520" s="20" t="s">
        <v>39</v>
      </c>
      <c r="F520" s="21">
        <v>1988</v>
      </c>
      <c r="G520" s="22">
        <v>2021</v>
      </c>
      <c r="H520" s="23">
        <v>815981128455</v>
      </c>
      <c r="I520" s="23">
        <v>3471005390217</v>
      </c>
      <c r="J520" s="23">
        <v>2991234854962</v>
      </c>
      <c r="K520" s="23">
        <f>AVERAGE(J520,3087242878382)</f>
        <v>3039238866672</v>
      </c>
      <c r="L520" s="23">
        <v>1578470865031</v>
      </c>
      <c r="M520" s="23">
        <v>479770535255</v>
      </c>
      <c r="N520" s="23">
        <v>2666962267768</v>
      </c>
      <c r="O520" s="25">
        <f t="shared" si="161"/>
        <v>-762489736576</v>
      </c>
      <c r="P520" s="23">
        <v>44985966680</v>
      </c>
      <c r="Q520" s="23">
        <f>20181457677+110739154582</f>
        <v>130920612259</v>
      </c>
      <c r="R520" s="25">
        <f t="shared" si="162"/>
        <v>2536041655509</v>
      </c>
      <c r="S520" s="26">
        <f t="shared" si="163"/>
        <v>0.86177764615196817</v>
      </c>
      <c r="T520" s="27">
        <f t="shared" si="164"/>
        <v>0.51694405423122891</v>
      </c>
      <c r="U520" s="26">
        <f t="shared" si="165"/>
        <v>28.875465405736119</v>
      </c>
      <c r="V520" s="26">
        <f t="shared" si="166"/>
        <v>0.87750992428191499</v>
      </c>
      <c r="W520" s="73" t="s">
        <v>400</v>
      </c>
      <c r="X520" s="29">
        <v>15940</v>
      </c>
      <c r="Y520" s="73">
        <v>501760</v>
      </c>
      <c r="Z520" s="30">
        <f t="shared" si="103"/>
        <v>7998054400</v>
      </c>
      <c r="AA520" s="31">
        <f t="shared" si="167"/>
        <v>33</v>
      </c>
      <c r="AB520" s="32">
        <v>1.84E-2</v>
      </c>
      <c r="AC520" s="32">
        <v>2.58E-2</v>
      </c>
      <c r="AD520" s="33">
        <f t="shared" si="133"/>
        <v>-0.2196740283737591</v>
      </c>
      <c r="AE520" s="34">
        <f t="shared" si="134"/>
        <v>1.2960500380319942E-2</v>
      </c>
      <c r="AF520" s="33">
        <f t="shared" si="135"/>
        <v>0.73063604644833235</v>
      </c>
      <c r="AG520" s="33">
        <f t="shared" si="136"/>
        <v>2.6738303034723114E-3</v>
      </c>
      <c r="AH520" s="35">
        <f t="shared" si="137"/>
        <v>0.8915924014939578</v>
      </c>
      <c r="AI520" s="36">
        <f t="shared" si="168"/>
        <v>3.0588315194394751</v>
      </c>
      <c r="AJ520" s="23"/>
      <c r="AK520" s="23"/>
      <c r="AL520" s="44"/>
      <c r="AM520" s="44"/>
      <c r="AN520" s="44"/>
      <c r="AO520" s="44"/>
      <c r="AP520" s="44"/>
      <c r="AQ520" s="44"/>
      <c r="AR520" s="44"/>
    </row>
    <row r="521" spans="1:44" ht="16.8">
      <c r="A521" s="74" t="s">
        <v>1232</v>
      </c>
      <c r="B521" s="75"/>
      <c r="C521" s="1" t="s">
        <v>1230</v>
      </c>
      <c r="D521" s="19" t="s">
        <v>1231</v>
      </c>
      <c r="E521" s="20" t="s">
        <v>39</v>
      </c>
      <c r="F521" s="21">
        <v>1988</v>
      </c>
      <c r="G521" s="22">
        <v>2022</v>
      </c>
      <c r="H521" s="23">
        <v>1215878531694</v>
      </c>
      <c r="I521" s="23">
        <v>3373244249440</v>
      </c>
      <c r="J521" s="23">
        <v>2884419725846</v>
      </c>
      <c r="K521" s="23">
        <f t="shared" ref="K521:K522" si="171">AVERAGE(J520:J521)</f>
        <v>2937827290404</v>
      </c>
      <c r="L521" s="23">
        <v>2030018409381</v>
      </c>
      <c r="M521" s="23">
        <v>488824523594</v>
      </c>
      <c r="N521" s="23">
        <v>3610990495417</v>
      </c>
      <c r="O521" s="25">
        <f t="shared" si="161"/>
        <v>-814139877687</v>
      </c>
      <c r="P521" s="23">
        <v>47204007335</v>
      </c>
      <c r="Q521" s="23">
        <f>43050997906+150171924914</f>
        <v>193222922820</v>
      </c>
      <c r="R521" s="25">
        <f t="shared" si="162"/>
        <v>3417767572597</v>
      </c>
      <c r="S521" s="26">
        <f t="shared" si="163"/>
        <v>0.8550877175066256</v>
      </c>
      <c r="T521" s="27">
        <f t="shared" si="164"/>
        <v>0.59894951005136443</v>
      </c>
      <c r="U521" s="26">
        <f t="shared" si="165"/>
        <v>28.84689608250228</v>
      </c>
      <c r="V521" s="26">
        <f t="shared" si="166"/>
        <v>1.2291364122090476</v>
      </c>
      <c r="W521" s="73" t="s">
        <v>1233</v>
      </c>
      <c r="X521" s="29">
        <v>7160</v>
      </c>
      <c r="Y521" s="73">
        <v>32707</v>
      </c>
      <c r="Z521" s="30">
        <f t="shared" si="103"/>
        <v>234182120</v>
      </c>
      <c r="AA521" s="31">
        <f t="shared" si="167"/>
        <v>34</v>
      </c>
      <c r="AB521" s="32">
        <v>3.15E-2</v>
      </c>
      <c r="AC521" s="32">
        <v>8.0199999999999994E-2</v>
      </c>
      <c r="AD521" s="33">
        <f t="shared" si="133"/>
        <v>-0.24135218723700699</v>
      </c>
      <c r="AE521" s="34">
        <f t="shared" si="134"/>
        <v>1.3993652354950712E-2</v>
      </c>
      <c r="AF521" s="33">
        <f t="shared" si="135"/>
        <v>1.0131989621458308</v>
      </c>
      <c r="AG521" s="33">
        <f t="shared" si="136"/>
        <v>8.1188641826845925E-5</v>
      </c>
      <c r="AH521" s="35">
        <f t="shared" si="137"/>
        <v>1.2518949524094996</v>
      </c>
      <c r="AI521" s="36">
        <f t="shared" si="168"/>
        <v>4.3254687292883593</v>
      </c>
      <c r="AJ521" s="23"/>
      <c r="AK521" s="76"/>
    </row>
    <row r="522" spans="1:44" ht="16.8">
      <c r="A522" s="74" t="s">
        <v>1234</v>
      </c>
      <c r="B522" s="75"/>
      <c r="C522" s="1" t="s">
        <v>1230</v>
      </c>
      <c r="D522" s="19" t="s">
        <v>1231</v>
      </c>
      <c r="E522" s="20" t="s">
        <v>39</v>
      </c>
      <c r="F522" s="21">
        <v>1988</v>
      </c>
      <c r="G522" s="22">
        <v>2023</v>
      </c>
      <c r="H522" s="23">
        <v>848020232355</v>
      </c>
      <c r="I522" s="23">
        <v>2627770125894</v>
      </c>
      <c r="J522" s="23">
        <v>2052567285916</v>
      </c>
      <c r="K522" s="23">
        <f t="shared" si="171"/>
        <v>2468493505881</v>
      </c>
      <c r="L522" s="23">
        <v>1650383713547</v>
      </c>
      <c r="M522" s="23">
        <v>575202839978</v>
      </c>
      <c r="N522" s="23">
        <v>3251793343838</v>
      </c>
      <c r="O522" s="25">
        <f t="shared" si="161"/>
        <v>-802363481192</v>
      </c>
      <c r="P522" s="23">
        <v>104108494695</v>
      </c>
      <c r="Q522" s="23">
        <f>22705527783+177320914103</f>
        <v>200026441886</v>
      </c>
      <c r="R522" s="25">
        <f t="shared" si="162"/>
        <v>3051766901952</v>
      </c>
      <c r="S522" s="26">
        <f t="shared" si="163"/>
        <v>0.7811061042554821</v>
      </c>
      <c r="T522" s="27">
        <f t="shared" si="164"/>
        <v>0.51383216242023944</v>
      </c>
      <c r="U522" s="26">
        <f t="shared" si="165"/>
        <v>28.597156741604085</v>
      </c>
      <c r="V522" s="26">
        <f t="shared" si="166"/>
        <v>1.3173189785959927</v>
      </c>
      <c r="W522" s="73" t="s">
        <v>1235</v>
      </c>
      <c r="X522" s="29">
        <v>11370</v>
      </c>
      <c r="Y522" s="73">
        <v>83500</v>
      </c>
      <c r="Z522" s="30">
        <f t="shared" si="103"/>
        <v>949395000</v>
      </c>
      <c r="AA522" s="31">
        <f t="shared" si="167"/>
        <v>35</v>
      </c>
      <c r="AB522" s="32">
        <v>3.2500000000000001E-2</v>
      </c>
      <c r="AC522" s="32">
        <v>5.0500000000000003E-2</v>
      </c>
      <c r="AD522" s="33">
        <f t="shared" si="133"/>
        <v>-0.30534005744472265</v>
      </c>
      <c r="AE522" s="34">
        <f t="shared" si="134"/>
        <v>3.961857000698682E-2</v>
      </c>
      <c r="AF522" s="33">
        <f t="shared" si="135"/>
        <v>1.1613523085143345</v>
      </c>
      <c r="AG522" s="33">
        <f t="shared" si="136"/>
        <v>4.6254025703050858E-4</v>
      </c>
      <c r="AH522" s="35">
        <f t="shared" si="137"/>
        <v>1.5842566361408323</v>
      </c>
      <c r="AI522" s="36">
        <f t="shared" si="168"/>
        <v>5.1060547074684681</v>
      </c>
      <c r="AJ522" s="23"/>
      <c r="AK522" s="76"/>
    </row>
    <row r="523" spans="1:44" ht="16.8">
      <c r="A523" s="70" t="s">
        <v>1236</v>
      </c>
      <c r="B523" s="71">
        <v>205</v>
      </c>
      <c r="C523" s="1" t="s">
        <v>1237</v>
      </c>
      <c r="D523" s="19" t="s">
        <v>1238</v>
      </c>
      <c r="E523" s="20" t="s">
        <v>39</v>
      </c>
      <c r="F523" s="21">
        <v>1974</v>
      </c>
      <c r="G523" s="22">
        <v>2021</v>
      </c>
      <c r="H523" s="23">
        <v>253795418110</v>
      </c>
      <c r="I523" s="23">
        <v>336649211293</v>
      </c>
      <c r="J523" s="23">
        <v>69527589873</v>
      </c>
      <c r="K523" s="23">
        <f>AVERAGE(J523,72955143381)</f>
        <v>71241366627</v>
      </c>
      <c r="L523" s="23">
        <v>69527589873</v>
      </c>
      <c r="M523" s="23">
        <v>267121621420</v>
      </c>
      <c r="N523" s="23">
        <v>843757767048</v>
      </c>
      <c r="O523" s="25">
        <f t="shared" si="161"/>
        <v>184267828237</v>
      </c>
      <c r="P523" s="23">
        <v>26229791826</v>
      </c>
      <c r="Q523" s="23">
        <f>207965000+30870156339</f>
        <v>31078121339</v>
      </c>
      <c r="R523" s="25">
        <f t="shared" si="162"/>
        <v>812679645709</v>
      </c>
      <c r="S523" s="26">
        <f t="shared" si="163"/>
        <v>0.20652830168815459</v>
      </c>
      <c r="T523" s="27">
        <f t="shared" si="164"/>
        <v>3.6502835575573096</v>
      </c>
      <c r="U523" s="26">
        <f t="shared" si="165"/>
        <v>26.542307309124915</v>
      </c>
      <c r="V523" s="26">
        <f t="shared" si="166"/>
        <v>11.84364937109757</v>
      </c>
      <c r="W523" s="73" t="s">
        <v>1239</v>
      </c>
      <c r="X523" s="29">
        <v>14720</v>
      </c>
      <c r="Y523" s="73">
        <v>100</v>
      </c>
      <c r="Z523" s="30">
        <f t="shared" si="103"/>
        <v>1472000</v>
      </c>
      <c r="AA523" s="31">
        <f t="shared" si="167"/>
        <v>47</v>
      </c>
      <c r="AB523" s="32">
        <v>1.84E-2</v>
      </c>
      <c r="AC523" s="32">
        <v>2.58E-2</v>
      </c>
      <c r="AD523" s="33">
        <f t="shared" si="133"/>
        <v>0.54735856213435163</v>
      </c>
      <c r="AE523" s="34">
        <f t="shared" si="134"/>
        <v>7.7914312424071319E-2</v>
      </c>
      <c r="AF523" s="33">
        <f t="shared" si="135"/>
        <v>2.4140250992647974</v>
      </c>
      <c r="AG523" s="33">
        <f t="shared" si="136"/>
        <v>2.1171451544469964E-5</v>
      </c>
      <c r="AH523" s="35">
        <f t="shared" si="137"/>
        <v>12.135581983917735</v>
      </c>
      <c r="AI523" s="36">
        <f t="shared" si="168"/>
        <v>20.867787826317411</v>
      </c>
      <c r="AJ523" s="23"/>
      <c r="AK523" s="23"/>
      <c r="AL523" s="44"/>
      <c r="AM523" s="44"/>
      <c r="AN523" s="44"/>
      <c r="AO523" s="44"/>
      <c r="AP523" s="44"/>
      <c r="AQ523" s="44"/>
      <c r="AR523" s="44"/>
    </row>
    <row r="524" spans="1:44" ht="16.8">
      <c r="A524" s="74" t="s">
        <v>1240</v>
      </c>
      <c r="B524" s="75"/>
      <c r="C524" s="1" t="s">
        <v>1237</v>
      </c>
      <c r="D524" s="19" t="s">
        <v>1238</v>
      </c>
      <c r="E524" s="20" t="s">
        <v>39</v>
      </c>
      <c r="F524" s="21">
        <v>1974</v>
      </c>
      <c r="G524" s="22">
        <v>2022</v>
      </c>
      <c r="H524" s="23">
        <v>391504816128</v>
      </c>
      <c r="I524" s="23">
        <v>468449284028</v>
      </c>
      <c r="J524" s="23">
        <v>203221181755</v>
      </c>
      <c r="K524" s="23">
        <f t="shared" ref="K524:K525" si="172">AVERAGE(J523:J524)</f>
        <v>136374385814</v>
      </c>
      <c r="L524" s="23">
        <v>203221181755</v>
      </c>
      <c r="M524" s="23">
        <v>265228102273</v>
      </c>
      <c r="N524" s="23">
        <v>931889143158</v>
      </c>
      <c r="O524" s="25">
        <f t="shared" si="161"/>
        <v>188283634373</v>
      </c>
      <c r="P524" s="23">
        <v>24263506617</v>
      </c>
      <c r="Q524" s="23">
        <f>221939560+32235657420</f>
        <v>32457596980</v>
      </c>
      <c r="R524" s="25">
        <f t="shared" si="162"/>
        <v>899431546178</v>
      </c>
      <c r="S524" s="26">
        <f t="shared" si="163"/>
        <v>0.43381682646109698</v>
      </c>
      <c r="T524" s="27">
        <f t="shared" si="164"/>
        <v>1.926496110036362</v>
      </c>
      <c r="U524" s="26">
        <f t="shared" si="165"/>
        <v>26.87269368095734</v>
      </c>
      <c r="V524" s="26">
        <f t="shared" si="166"/>
        <v>6.8333150510316258</v>
      </c>
      <c r="W524" s="73" t="s">
        <v>1241</v>
      </c>
      <c r="X524" s="29">
        <v>11900</v>
      </c>
      <c r="Y524" s="73">
        <v>0</v>
      </c>
      <c r="Z524" s="30">
        <f t="shared" si="103"/>
        <v>0</v>
      </c>
      <c r="AA524" s="31">
        <f t="shared" si="167"/>
        <v>48</v>
      </c>
      <c r="AB524" s="32">
        <v>3.15E-2</v>
      </c>
      <c r="AC524" s="32">
        <v>8.0199999999999994E-2</v>
      </c>
      <c r="AD524" s="33">
        <f t="shared" si="133"/>
        <v>0.40192960218452584</v>
      </c>
      <c r="AE524" s="34">
        <f t="shared" si="134"/>
        <v>5.1795375602601473E-2</v>
      </c>
      <c r="AF524" s="33">
        <f t="shared" si="135"/>
        <v>1.9200190433512103</v>
      </c>
      <c r="AG524" s="33">
        <f t="shared" si="136"/>
        <v>0</v>
      </c>
      <c r="AH524" s="35">
        <f t="shared" si="137"/>
        <v>4.5855906117181711</v>
      </c>
      <c r="AI524" s="36">
        <f t="shared" si="168"/>
        <v>11.476482503242238</v>
      </c>
      <c r="AJ524" s="23"/>
      <c r="AK524" s="76"/>
    </row>
    <row r="525" spans="1:44" ht="16.8">
      <c r="A525" s="74" t="s">
        <v>1242</v>
      </c>
      <c r="B525" s="75"/>
      <c r="C525" s="1" t="s">
        <v>1237</v>
      </c>
      <c r="D525" s="19" t="s">
        <v>1238</v>
      </c>
      <c r="E525" s="20" t="s">
        <v>39</v>
      </c>
      <c r="F525" s="21">
        <v>1974</v>
      </c>
      <c r="G525" s="22">
        <v>2023</v>
      </c>
      <c r="H525" s="23">
        <v>321847794876</v>
      </c>
      <c r="I525" s="23">
        <v>444652968459</v>
      </c>
      <c r="J525" s="23">
        <v>195049145407</v>
      </c>
      <c r="K525" s="23">
        <f t="shared" si="172"/>
        <v>199135163581</v>
      </c>
      <c r="L525" s="23">
        <v>195049145407</v>
      </c>
      <c r="M525" s="23">
        <v>249603823052</v>
      </c>
      <c r="N525" s="23">
        <v>942380788429</v>
      </c>
      <c r="O525" s="25">
        <f t="shared" si="161"/>
        <v>126798649469</v>
      </c>
      <c r="P525" s="23">
        <v>8639227396</v>
      </c>
      <c r="Q525" s="23">
        <f>187032510+31459922548</f>
        <v>31646955058</v>
      </c>
      <c r="R525" s="25">
        <f t="shared" si="162"/>
        <v>910733833371</v>
      </c>
      <c r="S525" s="26">
        <f t="shared" si="163"/>
        <v>0.43865476954526356</v>
      </c>
      <c r="T525" s="27">
        <f t="shared" si="164"/>
        <v>1.6500856448482004</v>
      </c>
      <c r="U525" s="26">
        <f t="shared" si="165"/>
        <v>26.820559968714903</v>
      </c>
      <c r="V525" s="26">
        <f t="shared" si="166"/>
        <v>4.7323675612201868</v>
      </c>
      <c r="W525" s="73" t="s">
        <v>1243</v>
      </c>
      <c r="X525" s="29">
        <v>13750</v>
      </c>
      <c r="Y525" s="73">
        <v>4400</v>
      </c>
      <c r="Z525" s="30">
        <f t="shared" si="103"/>
        <v>60500000</v>
      </c>
      <c r="AA525" s="31">
        <f t="shared" si="167"/>
        <v>49</v>
      </c>
      <c r="AB525" s="32">
        <v>3.2500000000000001E-2</v>
      </c>
      <c r="AC525" s="32">
        <v>5.0500000000000003E-2</v>
      </c>
      <c r="AD525" s="33">
        <f t="shared" si="133"/>
        <v>0.2851631687255714</v>
      </c>
      <c r="AE525" s="34">
        <f t="shared" si="134"/>
        <v>1.9429145893122706E-2</v>
      </c>
      <c r="AF525" s="33">
        <f t="shared" si="135"/>
        <v>2.0481901572079031</v>
      </c>
      <c r="AG525" s="33">
        <f t="shared" si="136"/>
        <v>3.1017823674006601E-4</v>
      </c>
      <c r="AH525" s="35">
        <f t="shared" si="137"/>
        <v>4.8315043188862878</v>
      </c>
      <c r="AI525" s="36">
        <f t="shared" si="168"/>
        <v>11.960114551335469</v>
      </c>
      <c r="AJ525" s="23"/>
      <c r="AK525" s="76"/>
    </row>
    <row r="526" spans="1:44" ht="16.8">
      <c r="A526" s="45"/>
      <c r="B526" s="45">
        <v>206</v>
      </c>
      <c r="C526" s="45" t="s">
        <v>1244</v>
      </c>
      <c r="D526" s="46" t="s">
        <v>1245</v>
      </c>
      <c r="E526" s="47" t="s">
        <v>39</v>
      </c>
      <c r="F526" s="48"/>
      <c r="G526" s="68">
        <v>2021</v>
      </c>
      <c r="H526" s="49"/>
      <c r="I526" s="49"/>
      <c r="J526" s="49"/>
      <c r="K526" s="49"/>
      <c r="L526" s="49"/>
      <c r="M526" s="49"/>
      <c r="N526" s="49"/>
      <c r="O526" s="49">
        <f t="shared" si="161"/>
        <v>0</v>
      </c>
      <c r="P526" s="49"/>
      <c r="Q526" s="49"/>
      <c r="R526" s="49">
        <f t="shared" si="162"/>
        <v>0</v>
      </c>
      <c r="S526" s="50" t="e">
        <f t="shared" si="163"/>
        <v>#DIV/0!</v>
      </c>
      <c r="T526" s="51" t="e">
        <f t="shared" si="164"/>
        <v>#DIV/0!</v>
      </c>
      <c r="U526" s="50" t="e">
        <f t="shared" si="165"/>
        <v>#NUM!</v>
      </c>
      <c r="V526" s="50" t="e">
        <f t="shared" si="166"/>
        <v>#DIV/0!</v>
      </c>
      <c r="W526" s="52"/>
      <c r="X526" s="53">
        <v>0</v>
      </c>
      <c r="Y526" s="52"/>
      <c r="Z526" s="55">
        <f t="shared" si="103"/>
        <v>0</v>
      </c>
      <c r="AA526" s="48">
        <f t="shared" si="167"/>
        <v>2021</v>
      </c>
      <c r="AB526" s="49"/>
      <c r="AC526" s="49"/>
      <c r="AD526" s="50" t="e">
        <f t="shared" si="133"/>
        <v>#DIV/0!</v>
      </c>
      <c r="AE526" s="56" t="e">
        <f t="shared" si="134"/>
        <v>#DIV/0!</v>
      </c>
      <c r="AF526" s="50" t="e">
        <f t="shared" si="135"/>
        <v>#DIV/0!</v>
      </c>
      <c r="AG526" s="50" t="e">
        <f t="shared" si="136"/>
        <v>#DIV/0!</v>
      </c>
      <c r="AH526" s="57" t="e">
        <f t="shared" si="137"/>
        <v>#DIV/0!</v>
      </c>
      <c r="AI526" s="58" t="e">
        <f t="shared" si="168"/>
        <v>#DIV/0!</v>
      </c>
      <c r="AJ526" s="49"/>
      <c r="AK526" s="49"/>
      <c r="AL526" s="59"/>
      <c r="AM526" s="59"/>
      <c r="AN526" s="59"/>
      <c r="AO526" s="59"/>
      <c r="AP526" s="59"/>
      <c r="AQ526" s="59"/>
      <c r="AR526" s="59"/>
    </row>
    <row r="527" spans="1:44" ht="16.8">
      <c r="A527" s="70" t="s">
        <v>1246</v>
      </c>
      <c r="B527" s="71">
        <v>207</v>
      </c>
      <c r="C527" s="1" t="s">
        <v>1247</v>
      </c>
      <c r="D527" s="19" t="s">
        <v>1248</v>
      </c>
      <c r="E527" s="20" t="s">
        <v>39</v>
      </c>
      <c r="F527" s="21">
        <v>1992</v>
      </c>
      <c r="G527" s="22">
        <v>2021</v>
      </c>
      <c r="H527" s="23">
        <v>1525896792723</v>
      </c>
      <c r="I527" s="23">
        <v>1641850608403</v>
      </c>
      <c r="J527" s="23">
        <v>577942802820</v>
      </c>
      <c r="K527" s="23">
        <f>AVERAGE(J527,1217768774294)</f>
        <v>897855788557</v>
      </c>
      <c r="L527" s="23">
        <v>575025530095</v>
      </c>
      <c r="M527" s="23">
        <v>1063907805582</v>
      </c>
      <c r="N527" s="23">
        <v>509428883190</v>
      </c>
      <c r="O527" s="25">
        <f t="shared" si="161"/>
        <v>950871262628</v>
      </c>
      <c r="P527" s="23">
        <v>251788064022</v>
      </c>
      <c r="Q527" s="23">
        <f>17902473926+3280355010</f>
        <v>21182828936</v>
      </c>
      <c r="R527" s="25">
        <f t="shared" si="162"/>
        <v>488246054254</v>
      </c>
      <c r="S527" s="26">
        <f t="shared" si="163"/>
        <v>0.3520069364789255</v>
      </c>
      <c r="T527" s="27">
        <f t="shared" si="164"/>
        <v>2.6536157315848334</v>
      </c>
      <c r="U527" s="26">
        <f t="shared" si="165"/>
        <v>28.126845141335554</v>
      </c>
      <c r="V527" s="26">
        <f t="shared" si="166"/>
        <v>0.56738386017284015</v>
      </c>
      <c r="W527" s="73" t="s">
        <v>1249</v>
      </c>
      <c r="X527" s="29">
        <v>17630</v>
      </c>
      <c r="Y527" s="73">
        <v>1540571</v>
      </c>
      <c r="Z527" s="30">
        <f t="shared" si="103"/>
        <v>27160266730</v>
      </c>
      <c r="AA527" s="31">
        <f t="shared" si="167"/>
        <v>29</v>
      </c>
      <c r="AB527" s="32">
        <v>1.84E-2</v>
      </c>
      <c r="AC527" s="32">
        <v>2.58E-2</v>
      </c>
      <c r="AD527" s="33">
        <f t="shared" si="133"/>
        <v>0.57914603055931879</v>
      </c>
      <c r="AE527" s="34">
        <f t="shared" si="134"/>
        <v>0.1533562570999745</v>
      </c>
      <c r="AF527" s="33">
        <f t="shared" si="135"/>
        <v>0.29737544436452024</v>
      </c>
      <c r="AG527" s="33">
        <f t="shared" si="136"/>
        <v>4.6994731308141323E-2</v>
      </c>
      <c r="AH527" s="35">
        <f t="shared" si="137"/>
        <v>0.88145207571459516</v>
      </c>
      <c r="AI527" s="36">
        <f t="shared" si="168"/>
        <v>2.8006618775135435</v>
      </c>
      <c r="AJ527" s="23"/>
      <c r="AK527" s="23"/>
      <c r="AL527" s="44"/>
      <c r="AM527" s="44"/>
      <c r="AN527" s="44"/>
      <c r="AO527" s="44"/>
      <c r="AP527" s="44"/>
      <c r="AQ527" s="44"/>
      <c r="AR527" s="44"/>
    </row>
    <row r="528" spans="1:44" ht="16.8">
      <c r="A528" s="74" t="s">
        <v>1250</v>
      </c>
      <c r="B528" s="75"/>
      <c r="C528" s="1" t="s">
        <v>1247</v>
      </c>
      <c r="D528" s="19" t="s">
        <v>1248</v>
      </c>
      <c r="E528" s="20" t="s">
        <v>39</v>
      </c>
      <c r="F528" s="21">
        <v>1992</v>
      </c>
      <c r="G528" s="22">
        <v>2022</v>
      </c>
      <c r="H528" s="23">
        <v>1300487022330</v>
      </c>
      <c r="I528" s="23">
        <v>1497218187660</v>
      </c>
      <c r="J528" s="23">
        <v>600564236598</v>
      </c>
      <c r="K528" s="23">
        <f t="shared" ref="K528:K529" si="173">AVERAGE(J527:J528)</f>
        <v>589253519709</v>
      </c>
      <c r="L528" s="23">
        <v>598485765185</v>
      </c>
      <c r="M528" s="23">
        <v>896653951062</v>
      </c>
      <c r="N528" s="23">
        <v>3423990310</v>
      </c>
      <c r="O528" s="25">
        <f t="shared" si="161"/>
        <v>702001257145</v>
      </c>
      <c r="P528" s="23">
        <v>-142960624037</v>
      </c>
      <c r="Q528" s="23">
        <f>16683842+10318621401</f>
        <v>10335305243</v>
      </c>
      <c r="R528" s="25">
        <f t="shared" si="162"/>
        <v>-6911314933</v>
      </c>
      <c r="S528" s="26">
        <f t="shared" si="163"/>
        <v>0.4011200515381268</v>
      </c>
      <c r="T528" s="27">
        <f t="shared" si="164"/>
        <v>2.1729623292343501</v>
      </c>
      <c r="U528" s="26">
        <f t="shared" si="165"/>
        <v>28.034629960685429</v>
      </c>
      <c r="V528" s="26">
        <f t="shared" si="166"/>
        <v>5.8107252574255662E-3</v>
      </c>
      <c r="W528" s="73" t="s">
        <v>1251</v>
      </c>
      <c r="X528" s="29">
        <v>7000</v>
      </c>
      <c r="Y528" s="73">
        <v>13603</v>
      </c>
      <c r="Z528" s="30">
        <f t="shared" si="103"/>
        <v>95221000</v>
      </c>
      <c r="AA528" s="31">
        <f t="shared" si="167"/>
        <v>30</v>
      </c>
      <c r="AB528" s="32">
        <v>3.15E-2</v>
      </c>
      <c r="AC528" s="32">
        <v>8.0199999999999994E-2</v>
      </c>
      <c r="AD528" s="33">
        <f t="shared" si="133"/>
        <v>0.46887037769836115</v>
      </c>
      <c r="AE528" s="34">
        <f t="shared" si="134"/>
        <v>-9.5484162038154866E-2</v>
      </c>
      <c r="AF528" s="33">
        <f t="shared" si="135"/>
        <v>-4.6161040454642645E-3</v>
      </c>
      <c r="AG528" s="33">
        <f t="shared" si="136"/>
        <v>1.5855256473378405E-4</v>
      </c>
      <c r="AH528" s="35">
        <f t="shared" si="137"/>
        <v>5.7012890567639946E-3</v>
      </c>
      <c r="AI528" s="36">
        <f t="shared" si="168"/>
        <v>0.41952990363018877</v>
      </c>
      <c r="AJ528" s="23"/>
      <c r="AK528" s="76"/>
    </row>
    <row r="529" spans="1:44" ht="16.8">
      <c r="A529" s="74" t="s">
        <v>1252</v>
      </c>
      <c r="B529" s="75"/>
      <c r="C529" s="1" t="s">
        <v>1247</v>
      </c>
      <c r="D529" s="19" t="s">
        <v>1248</v>
      </c>
      <c r="E529" s="20" t="s">
        <v>39</v>
      </c>
      <c r="F529" s="21">
        <v>1992</v>
      </c>
      <c r="G529" s="22">
        <v>2023</v>
      </c>
      <c r="H529" s="23">
        <v>1082956046895</v>
      </c>
      <c r="I529" s="23">
        <v>1325203258483</v>
      </c>
      <c r="J529" s="23">
        <v>272458396112</v>
      </c>
      <c r="K529" s="23">
        <f t="shared" si="173"/>
        <v>436511316355</v>
      </c>
      <c r="L529" s="23">
        <v>271229959332</v>
      </c>
      <c r="M529" s="23">
        <v>1052744862371</v>
      </c>
      <c r="N529" s="23">
        <v>435756928839</v>
      </c>
      <c r="O529" s="25">
        <f t="shared" si="161"/>
        <v>811726087563</v>
      </c>
      <c r="P529" s="23">
        <v>218145970922</v>
      </c>
      <c r="Q529" s="23">
        <f>13225810107+5870593352</f>
        <v>19096403459</v>
      </c>
      <c r="R529" s="25">
        <f t="shared" si="162"/>
        <v>416660525380</v>
      </c>
      <c r="S529" s="26">
        <f t="shared" si="163"/>
        <v>0.20559743901014196</v>
      </c>
      <c r="T529" s="27">
        <f t="shared" si="164"/>
        <v>3.9927596846681817</v>
      </c>
      <c r="U529" s="26">
        <f t="shared" si="165"/>
        <v>27.912586966230432</v>
      </c>
      <c r="V529" s="26">
        <f t="shared" si="166"/>
        <v>0.99827178016299933</v>
      </c>
      <c r="W529" s="73" t="s">
        <v>1253</v>
      </c>
      <c r="X529" s="29">
        <v>9700</v>
      </c>
      <c r="Y529" s="73">
        <v>124267</v>
      </c>
      <c r="Z529" s="30">
        <f t="shared" si="103"/>
        <v>1205389900</v>
      </c>
      <c r="AA529" s="31">
        <f t="shared" si="167"/>
        <v>31</v>
      </c>
      <c r="AB529" s="32">
        <v>3.2500000000000001E-2</v>
      </c>
      <c r="AC529" s="32">
        <v>5.0500000000000003E-2</v>
      </c>
      <c r="AD529" s="33">
        <f t="shared" si="133"/>
        <v>0.61252949867645756</v>
      </c>
      <c r="AE529" s="34">
        <f t="shared" si="134"/>
        <v>0.1646132165202478</v>
      </c>
      <c r="AF529" s="33">
        <f t="shared" si="135"/>
        <v>0.31441254216124087</v>
      </c>
      <c r="AG529" s="33">
        <f t="shared" si="136"/>
        <v>4.4241246267356649E-3</v>
      </c>
      <c r="AH529" s="35">
        <f t="shared" si="137"/>
        <v>1.5993521765424787</v>
      </c>
      <c r="AI529" s="36">
        <f t="shared" si="168"/>
        <v>3.6050619419907104</v>
      </c>
      <c r="AJ529" s="23"/>
      <c r="AK529" s="76"/>
    </row>
    <row r="530" spans="1:44" ht="16.8">
      <c r="A530" s="70" t="s">
        <v>1254</v>
      </c>
      <c r="B530" s="71">
        <v>208</v>
      </c>
      <c r="C530" s="1" t="s">
        <v>1255</v>
      </c>
      <c r="D530" s="19" t="s">
        <v>1256</v>
      </c>
      <c r="E530" s="20" t="s">
        <v>39</v>
      </c>
      <c r="F530" s="21">
        <v>2008</v>
      </c>
      <c r="G530" s="22">
        <v>2021</v>
      </c>
      <c r="H530" s="23">
        <v>114686143498</v>
      </c>
      <c r="I530" s="23">
        <v>202704196006</v>
      </c>
      <c r="J530" s="23">
        <v>79731772011</v>
      </c>
      <c r="K530" s="23">
        <f>AVERAGE(J530,76610926742)</f>
        <v>78171349376.5</v>
      </c>
      <c r="L530" s="23">
        <v>64079072982</v>
      </c>
      <c r="M530" s="23">
        <v>122972423995</v>
      </c>
      <c r="N530" s="23">
        <v>121292796795</v>
      </c>
      <c r="O530" s="25">
        <f t="shared" si="161"/>
        <v>50607070516</v>
      </c>
      <c r="P530" s="23">
        <v>4576734053</v>
      </c>
      <c r="Q530" s="23">
        <f>1026046908+3582923679</f>
        <v>4608970587</v>
      </c>
      <c r="R530" s="25">
        <f t="shared" si="162"/>
        <v>116683826208</v>
      </c>
      <c r="S530" s="26">
        <f t="shared" si="163"/>
        <v>0.39334051086263627</v>
      </c>
      <c r="T530" s="27">
        <f t="shared" si="164"/>
        <v>1.7897597165648085</v>
      </c>
      <c r="U530" s="26">
        <f t="shared" si="165"/>
        <v>26.035013590762386</v>
      </c>
      <c r="V530" s="26">
        <f t="shared" si="166"/>
        <v>1.5516272619372646</v>
      </c>
      <c r="W530" s="73" t="s">
        <v>1257</v>
      </c>
      <c r="X530" s="29">
        <v>8550</v>
      </c>
      <c r="Y530" s="73">
        <v>79300</v>
      </c>
      <c r="Z530" s="30">
        <f t="shared" si="103"/>
        <v>678015000</v>
      </c>
      <c r="AA530" s="31">
        <f t="shared" si="167"/>
        <v>13</v>
      </c>
      <c r="AB530" s="32">
        <v>1.84E-2</v>
      </c>
      <c r="AC530" s="32">
        <v>2.58E-2</v>
      </c>
      <c r="AD530" s="33">
        <f t="shared" si="133"/>
        <v>0.2496597086451138</v>
      </c>
      <c r="AE530" s="34">
        <f t="shared" si="134"/>
        <v>2.2578388327316765E-2</v>
      </c>
      <c r="AF530" s="33">
        <f t="shared" si="135"/>
        <v>0.57563596860395616</v>
      </c>
      <c r="AG530" s="33">
        <f t="shared" si="136"/>
        <v>8.5036991264468495E-3</v>
      </c>
      <c r="AH530" s="35">
        <f t="shared" si="137"/>
        <v>1.5212605180562917</v>
      </c>
      <c r="AI530" s="36">
        <f t="shared" si="168"/>
        <v>3.757162827957595</v>
      </c>
      <c r="AJ530" s="23" t="s">
        <v>1054</v>
      </c>
      <c r="AK530" s="23"/>
      <c r="AL530" s="44"/>
      <c r="AM530" s="44"/>
      <c r="AN530" s="44"/>
      <c r="AO530" s="44"/>
      <c r="AP530" s="44"/>
      <c r="AQ530" s="44"/>
      <c r="AR530" s="44"/>
    </row>
    <row r="531" spans="1:44" ht="16.8">
      <c r="A531" s="74" t="s">
        <v>1258</v>
      </c>
      <c r="B531" s="75"/>
      <c r="C531" s="1" t="s">
        <v>1255</v>
      </c>
      <c r="D531" s="19" t="s">
        <v>1256</v>
      </c>
      <c r="E531" s="20" t="s">
        <v>39</v>
      </c>
      <c r="F531" s="21">
        <v>2008</v>
      </c>
      <c r="G531" s="22">
        <v>2022</v>
      </c>
      <c r="H531" s="23">
        <v>147457975696</v>
      </c>
      <c r="I531" s="23">
        <v>230945441427</v>
      </c>
      <c r="J531" s="23">
        <v>102047973930</v>
      </c>
      <c r="K531" s="23">
        <f t="shared" ref="K531:K532" si="174">AVERAGE(J530:J531)</f>
        <v>90889872970.5</v>
      </c>
      <c r="L531" s="23">
        <v>89474310502</v>
      </c>
      <c r="M531" s="23">
        <v>128897467497</v>
      </c>
      <c r="N531" s="23">
        <v>178467522917</v>
      </c>
      <c r="O531" s="25">
        <f t="shared" si="161"/>
        <v>57983665194</v>
      </c>
      <c r="P531" s="23">
        <v>9145280855</v>
      </c>
      <c r="Q531" s="23">
        <f>1776392855+4737069666</f>
        <v>6513462521</v>
      </c>
      <c r="R531" s="25">
        <f t="shared" si="162"/>
        <v>171954060396</v>
      </c>
      <c r="S531" s="26">
        <f t="shared" si="163"/>
        <v>0.44187048377941918</v>
      </c>
      <c r="T531" s="27">
        <f t="shared" si="164"/>
        <v>1.6480481924775927</v>
      </c>
      <c r="U531" s="26">
        <f t="shared" si="165"/>
        <v>26.165447335273601</v>
      </c>
      <c r="V531" s="26">
        <f t="shared" si="166"/>
        <v>1.963557842961503</v>
      </c>
      <c r="W531" s="73" t="s">
        <v>1259</v>
      </c>
      <c r="X531" s="29">
        <v>4650</v>
      </c>
      <c r="Y531" s="73">
        <v>100</v>
      </c>
      <c r="Z531" s="30">
        <f t="shared" si="103"/>
        <v>465000</v>
      </c>
      <c r="AA531" s="31">
        <f t="shared" si="167"/>
        <v>14</v>
      </c>
      <c r="AB531" s="32">
        <v>3.15E-2</v>
      </c>
      <c r="AC531" s="32">
        <v>8.0199999999999994E-2</v>
      </c>
      <c r="AD531" s="33">
        <f t="shared" si="133"/>
        <v>0.25107083662583646</v>
      </c>
      <c r="AE531" s="34">
        <f t="shared" si="134"/>
        <v>3.9599313147260153E-2</v>
      </c>
      <c r="AF531" s="33">
        <f t="shared" si="135"/>
        <v>0.7445657265781247</v>
      </c>
      <c r="AG531" s="33">
        <f t="shared" si="136"/>
        <v>4.5566803738697213E-6</v>
      </c>
      <c r="AH531" s="35">
        <f t="shared" si="137"/>
        <v>1.7488590517183626</v>
      </c>
      <c r="AI531" s="36">
        <f t="shared" si="168"/>
        <v>4.5626527257915663</v>
      </c>
      <c r="AJ531" s="23" t="s">
        <v>1054</v>
      </c>
      <c r="AK531" s="76"/>
    </row>
    <row r="532" spans="1:44" ht="16.8">
      <c r="A532" s="74" t="s">
        <v>1260</v>
      </c>
      <c r="B532" s="75"/>
      <c r="C532" s="1" t="s">
        <v>1255</v>
      </c>
      <c r="D532" s="19" t="s">
        <v>1256</v>
      </c>
      <c r="E532" s="20" t="s">
        <v>39</v>
      </c>
      <c r="F532" s="21">
        <v>2008</v>
      </c>
      <c r="G532" s="22">
        <v>2023</v>
      </c>
      <c r="H532" s="23">
        <v>153227063134</v>
      </c>
      <c r="I532" s="23">
        <v>231722453664</v>
      </c>
      <c r="J532" s="23">
        <v>108119540392</v>
      </c>
      <c r="K532" s="23">
        <f t="shared" si="174"/>
        <v>105083757161</v>
      </c>
      <c r="L532" s="23">
        <v>98554968949</v>
      </c>
      <c r="M532" s="23">
        <v>123602913272</v>
      </c>
      <c r="N532" s="23">
        <v>114224088979</v>
      </c>
      <c r="O532" s="25">
        <f t="shared" si="161"/>
        <v>54672094185</v>
      </c>
      <c r="P532" s="23">
        <v>3791511075</v>
      </c>
      <c r="Q532" s="23">
        <f>930330350+2253649978</f>
        <v>3183980328</v>
      </c>
      <c r="R532" s="25">
        <f t="shared" si="162"/>
        <v>111040108651</v>
      </c>
      <c r="S532" s="26">
        <f t="shared" si="163"/>
        <v>0.46659069366136813</v>
      </c>
      <c r="T532" s="27">
        <f t="shared" si="164"/>
        <v>1.5547370646861205</v>
      </c>
      <c r="U532" s="26">
        <f t="shared" si="165"/>
        <v>26.168806172036433</v>
      </c>
      <c r="V532" s="26">
        <f t="shared" si="166"/>
        <v>1.0869813952692613</v>
      </c>
      <c r="W532" s="73" t="s">
        <v>1261</v>
      </c>
      <c r="X532" s="29">
        <v>5990</v>
      </c>
      <c r="Y532" s="73">
        <v>1700</v>
      </c>
      <c r="Z532" s="30">
        <f t="shared" si="103"/>
        <v>10183000</v>
      </c>
      <c r="AA532" s="31">
        <f t="shared" si="167"/>
        <v>15</v>
      </c>
      <c r="AB532" s="32">
        <v>3.2500000000000001E-2</v>
      </c>
      <c r="AC532" s="32">
        <v>5.0500000000000003E-2</v>
      </c>
      <c r="AD532" s="33">
        <f t="shared" si="133"/>
        <v>0.23593783563277435</v>
      </c>
      <c r="AE532" s="34">
        <f t="shared" si="134"/>
        <v>1.6362294698025817E-2</v>
      </c>
      <c r="AF532" s="33">
        <f t="shared" si="135"/>
        <v>0.47919442805490625</v>
      </c>
      <c r="AG532" s="33">
        <f t="shared" si="136"/>
        <v>9.4182790299333002E-5</v>
      </c>
      <c r="AH532" s="35">
        <f t="shared" si="137"/>
        <v>1.0564611037456064</v>
      </c>
      <c r="AI532" s="36">
        <f t="shared" si="168"/>
        <v>2.9438918413375417</v>
      </c>
      <c r="AJ532" s="23" t="s">
        <v>1054</v>
      </c>
      <c r="AK532" s="76"/>
    </row>
    <row r="533" spans="1:44" ht="16.8">
      <c r="A533" s="70" t="s">
        <v>1262</v>
      </c>
      <c r="B533" s="71">
        <v>209</v>
      </c>
      <c r="C533" s="1" t="s">
        <v>1263</v>
      </c>
      <c r="D533" s="19" t="s">
        <v>1264</v>
      </c>
      <c r="E533" s="20" t="s">
        <v>39</v>
      </c>
      <c r="F533" s="21">
        <v>1968</v>
      </c>
      <c r="G533" s="22">
        <v>2021</v>
      </c>
      <c r="H533" s="23">
        <v>405908491608</v>
      </c>
      <c r="I533" s="23">
        <v>704509866629</v>
      </c>
      <c r="J533" s="23">
        <v>346419049373</v>
      </c>
      <c r="K533" s="23">
        <f>AVERAGE(J533,308518446622)</f>
        <v>327468747997.5</v>
      </c>
      <c r="L533" s="23">
        <v>346319049373</v>
      </c>
      <c r="M533" s="23">
        <v>358090817256</v>
      </c>
      <c r="N533" s="23">
        <v>1479644749575</v>
      </c>
      <c r="O533" s="25">
        <f t="shared" si="161"/>
        <v>59589442235</v>
      </c>
      <c r="P533" s="23">
        <v>113363537475</v>
      </c>
      <c r="Q533" s="23">
        <f>144799293382+30422708458</f>
        <v>175222001840</v>
      </c>
      <c r="R533" s="25">
        <f t="shared" si="162"/>
        <v>1304422747735</v>
      </c>
      <c r="S533" s="26">
        <f t="shared" si="163"/>
        <v>0.491716391468832</v>
      </c>
      <c r="T533" s="27">
        <f t="shared" si="164"/>
        <v>1.1720651588264777</v>
      </c>
      <c r="U533" s="26">
        <f t="shared" si="165"/>
        <v>27.280768173338245</v>
      </c>
      <c r="V533" s="26">
        <f t="shared" si="166"/>
        <v>4.5184304109114439</v>
      </c>
      <c r="W533" s="73" t="s">
        <v>1265</v>
      </c>
      <c r="X533" s="29">
        <v>45080</v>
      </c>
      <c r="Y533" s="73">
        <v>239</v>
      </c>
      <c r="Z533" s="30">
        <f t="shared" si="103"/>
        <v>10774120</v>
      </c>
      <c r="AA533" s="31">
        <f t="shared" si="167"/>
        <v>53</v>
      </c>
      <c r="AB533" s="32">
        <v>1.84E-2</v>
      </c>
      <c r="AC533" s="32">
        <v>2.58E-2</v>
      </c>
      <c r="AD533" s="33">
        <f t="shared" si="133"/>
        <v>8.4582835610420529E-2</v>
      </c>
      <c r="AE533" s="34">
        <f t="shared" si="134"/>
        <v>0.1609112133765162</v>
      </c>
      <c r="AF533" s="33">
        <f t="shared" si="135"/>
        <v>1.851532263098763</v>
      </c>
      <c r="AG533" s="33">
        <f t="shared" si="136"/>
        <v>3.1101407441364968E-5</v>
      </c>
      <c r="AH533" s="35">
        <f t="shared" si="137"/>
        <v>4.2712568845537744</v>
      </c>
      <c r="AI533" s="36">
        <f t="shared" si="168"/>
        <v>10.708107115083784</v>
      </c>
      <c r="AJ533" s="23"/>
      <c r="AK533" s="23"/>
      <c r="AL533" s="44"/>
      <c r="AM533" s="44"/>
      <c r="AN533" s="44"/>
      <c r="AO533" s="44"/>
      <c r="AP533" s="44"/>
      <c r="AQ533" s="44"/>
      <c r="AR533" s="44"/>
    </row>
    <row r="534" spans="1:44" ht="16.8">
      <c r="A534" s="74" t="s">
        <v>1266</v>
      </c>
      <c r="B534" s="75"/>
      <c r="C534" s="1" t="s">
        <v>1263</v>
      </c>
      <c r="D534" s="19" t="s">
        <v>1264</v>
      </c>
      <c r="E534" s="20" t="s">
        <v>39</v>
      </c>
      <c r="F534" s="21">
        <v>1968</v>
      </c>
      <c r="G534" s="22">
        <v>2022</v>
      </c>
      <c r="H534" s="23">
        <v>481207043158</v>
      </c>
      <c r="I534" s="23">
        <v>758946958924</v>
      </c>
      <c r="J534" s="23">
        <v>424692948656</v>
      </c>
      <c r="K534" s="23">
        <f t="shared" ref="K534:K535" si="175">AVERAGE(J533:J534)</f>
        <v>385555999014.5</v>
      </c>
      <c r="L534" s="23">
        <v>424592948656</v>
      </c>
      <c r="M534" s="23">
        <v>334254010268</v>
      </c>
      <c r="N534" s="23">
        <v>1540164943720</v>
      </c>
      <c r="O534" s="25">
        <f t="shared" si="161"/>
        <v>56614094502</v>
      </c>
      <c r="P534" s="23">
        <v>88155063012</v>
      </c>
      <c r="Q534" s="23">
        <f>146079486157+27361231933</f>
        <v>173440718090</v>
      </c>
      <c r="R534" s="25">
        <f t="shared" si="162"/>
        <v>1366724225630</v>
      </c>
      <c r="S534" s="26">
        <f t="shared" si="163"/>
        <v>0.55958185702214303</v>
      </c>
      <c r="T534" s="27">
        <f t="shared" si="164"/>
        <v>1.1333373403425691</v>
      </c>
      <c r="U534" s="26">
        <f t="shared" si="165"/>
        <v>27.35519772905954</v>
      </c>
      <c r="V534" s="26">
        <f t="shared" si="166"/>
        <v>3.9946595245742174</v>
      </c>
      <c r="W534" s="73" t="s">
        <v>1267</v>
      </c>
      <c r="X534" s="29">
        <v>37880</v>
      </c>
      <c r="Y534" s="73">
        <v>900</v>
      </c>
      <c r="Z534" s="30">
        <f t="shared" si="103"/>
        <v>34092000</v>
      </c>
      <c r="AA534" s="31">
        <f t="shared" si="167"/>
        <v>54</v>
      </c>
      <c r="AB534" s="32">
        <v>3.15E-2</v>
      </c>
      <c r="AC534" s="32">
        <v>8.0199999999999994E-2</v>
      </c>
      <c r="AD534" s="33">
        <f t="shared" si="133"/>
        <v>7.4595587789514112E-2</v>
      </c>
      <c r="AE534" s="34">
        <f t="shared" si="134"/>
        <v>0.11615444528163363</v>
      </c>
      <c r="AF534" s="33">
        <f t="shared" si="135"/>
        <v>1.8008165255285806</v>
      </c>
      <c r="AG534" s="33">
        <f t="shared" si="136"/>
        <v>8.0274466783328716E-5</v>
      </c>
      <c r="AH534" s="35">
        <f t="shared" si="137"/>
        <v>3.6265375928516508</v>
      </c>
      <c r="AI534" s="36">
        <f t="shared" si="168"/>
        <v>9.8214112205177404</v>
      </c>
      <c r="AJ534" s="23"/>
      <c r="AK534" s="76"/>
    </row>
    <row r="535" spans="1:44" ht="16.8">
      <c r="A535" s="74" t="s">
        <v>1268</v>
      </c>
      <c r="B535" s="75"/>
      <c r="C535" s="1" t="s">
        <v>1263</v>
      </c>
      <c r="D535" s="19" t="s">
        <v>1264</v>
      </c>
      <c r="E535" s="20" t="s">
        <v>39</v>
      </c>
      <c r="F535" s="21">
        <v>1968</v>
      </c>
      <c r="G535" s="22">
        <v>2023</v>
      </c>
      <c r="H535" s="23">
        <v>625160914563</v>
      </c>
      <c r="I535" s="23">
        <v>893814199420</v>
      </c>
      <c r="J535" s="23">
        <v>459519739914</v>
      </c>
      <c r="K535" s="23">
        <f t="shared" si="175"/>
        <v>442106344285</v>
      </c>
      <c r="L535" s="23">
        <v>459341029914</v>
      </c>
      <c r="M535" s="23">
        <v>434294459506</v>
      </c>
      <c r="N535" s="23">
        <v>1831351012651</v>
      </c>
      <c r="O535" s="25">
        <f t="shared" si="161"/>
        <v>165819884649</v>
      </c>
      <c r="P535" s="23">
        <v>178434758238</v>
      </c>
      <c r="Q535" s="23">
        <f>243843986221+38492665503</f>
        <v>282336651724</v>
      </c>
      <c r="R535" s="25">
        <f t="shared" si="162"/>
        <v>1549014360927</v>
      </c>
      <c r="S535" s="26">
        <f t="shared" si="163"/>
        <v>0.51411103136668046</v>
      </c>
      <c r="T535" s="27">
        <f t="shared" si="164"/>
        <v>1.3609951514238683</v>
      </c>
      <c r="U535" s="26">
        <f t="shared" si="165"/>
        <v>27.518763759893751</v>
      </c>
      <c r="V535" s="26">
        <f t="shared" si="166"/>
        <v>4.1423314465499628</v>
      </c>
      <c r="W535" s="73" t="s">
        <v>1269</v>
      </c>
      <c r="X535" s="29">
        <v>60870</v>
      </c>
      <c r="Y535" s="73">
        <v>5100</v>
      </c>
      <c r="Z535" s="30">
        <f t="shared" si="103"/>
        <v>310437000</v>
      </c>
      <c r="AA535" s="31">
        <f t="shared" si="167"/>
        <v>55</v>
      </c>
      <c r="AB535" s="32">
        <v>3.2500000000000001E-2</v>
      </c>
      <c r="AC535" s="32">
        <v>5.0500000000000003E-2</v>
      </c>
      <c r="AD535" s="33">
        <f t="shared" si="133"/>
        <v>0.18551941192767049</v>
      </c>
      <c r="AE535" s="34">
        <f t="shared" si="134"/>
        <v>0.1996329420071723</v>
      </c>
      <c r="AF535" s="33">
        <f t="shared" si="135"/>
        <v>1.7330384345338912</v>
      </c>
      <c r="AG535" s="33">
        <f t="shared" si="136"/>
        <v>6.7556836635157146E-4</v>
      </c>
      <c r="AH535" s="35">
        <f t="shared" si="137"/>
        <v>3.9853587421374779</v>
      </c>
      <c r="AI535" s="36">
        <f t="shared" si="168"/>
        <v>10.206900330242375</v>
      </c>
      <c r="AJ535" s="23"/>
      <c r="AK535" s="76"/>
    </row>
    <row r="536" spans="1:44" ht="16.8">
      <c r="A536" s="70" t="s">
        <v>1270</v>
      </c>
      <c r="B536" s="71">
        <v>210</v>
      </c>
      <c r="C536" s="1" t="s">
        <v>1271</v>
      </c>
      <c r="D536" s="19" t="s">
        <v>1272</v>
      </c>
      <c r="E536" s="20" t="s">
        <v>39</v>
      </c>
      <c r="F536" s="21">
        <v>1977</v>
      </c>
      <c r="G536" s="22">
        <v>2021</v>
      </c>
      <c r="H536" s="23">
        <v>225408318426</v>
      </c>
      <c r="I536" s="23">
        <v>238905385443</v>
      </c>
      <c r="J536" s="23">
        <v>52739415190</v>
      </c>
      <c r="K536" s="23">
        <f>AVERAGE(J536,60382990735)</f>
        <v>56561202962.5</v>
      </c>
      <c r="L536" s="23">
        <v>52583640190</v>
      </c>
      <c r="M536" s="23">
        <v>186165970253</v>
      </c>
      <c r="N536" s="23">
        <v>556302661655</v>
      </c>
      <c r="O536" s="25">
        <f t="shared" si="161"/>
        <v>172824678236</v>
      </c>
      <c r="P536" s="23">
        <v>13588642072</v>
      </c>
      <c r="Q536" s="23">
        <f>32191395372+20980985825</f>
        <v>53172381197</v>
      </c>
      <c r="R536" s="25">
        <f t="shared" si="162"/>
        <v>503130280458</v>
      </c>
      <c r="S536" s="26">
        <f t="shared" si="163"/>
        <v>0.22075440071058172</v>
      </c>
      <c r="T536" s="27">
        <f t="shared" si="164"/>
        <v>4.2866624982890897</v>
      </c>
      <c r="U536" s="26">
        <f t="shared" si="165"/>
        <v>26.19933343369048</v>
      </c>
      <c r="V536" s="26">
        <f t="shared" si="166"/>
        <v>9.8354107147230927</v>
      </c>
      <c r="W536" s="73" t="s">
        <v>1273</v>
      </c>
      <c r="X536" s="29">
        <v>10370</v>
      </c>
      <c r="Y536" s="73">
        <v>0</v>
      </c>
      <c r="Z536" s="30">
        <f t="shared" si="103"/>
        <v>0</v>
      </c>
      <c r="AA536" s="31">
        <f t="shared" si="167"/>
        <v>44</v>
      </c>
      <c r="AB536" s="32">
        <v>1.84E-2</v>
      </c>
      <c r="AC536" s="32">
        <v>2.58E-2</v>
      </c>
      <c r="AD536" s="33">
        <f t="shared" si="133"/>
        <v>0.72340218666704748</v>
      </c>
      <c r="AE536" s="34">
        <f t="shared" si="134"/>
        <v>5.6878759960989199E-2</v>
      </c>
      <c r="AF536" s="33">
        <f t="shared" si="135"/>
        <v>2.1059813261431937</v>
      </c>
      <c r="AG536" s="33">
        <f t="shared" si="136"/>
        <v>0</v>
      </c>
      <c r="AH536" s="35">
        <f t="shared" si="137"/>
        <v>10.548138610389472</v>
      </c>
      <c r="AI536" s="36">
        <f t="shared" si="168"/>
        <v>18.445589874607855</v>
      </c>
      <c r="AJ536" s="23"/>
      <c r="AK536" s="23"/>
      <c r="AL536" s="44"/>
      <c r="AM536" s="44"/>
      <c r="AN536" s="44"/>
      <c r="AO536" s="44"/>
      <c r="AP536" s="44"/>
      <c r="AQ536" s="44"/>
      <c r="AR536" s="44"/>
    </row>
    <row r="537" spans="1:44" ht="16.8">
      <c r="A537" s="74" t="s">
        <v>1274</v>
      </c>
      <c r="B537" s="75"/>
      <c r="C537" s="1" t="s">
        <v>1271</v>
      </c>
      <c r="D537" s="19" t="s">
        <v>1272</v>
      </c>
      <c r="E537" s="20" t="s">
        <v>39</v>
      </c>
      <c r="F537" s="21">
        <v>1977</v>
      </c>
      <c r="G537" s="22">
        <v>2022</v>
      </c>
      <c r="H537" s="23">
        <v>308104223037</v>
      </c>
      <c r="I537" s="23">
        <v>319837714978</v>
      </c>
      <c r="J537" s="23">
        <v>122222464260</v>
      </c>
      <c r="K537" s="23">
        <f t="shared" ref="K537:K538" si="176">AVERAGE(J536:J537)</f>
        <v>87480939725</v>
      </c>
      <c r="L537" s="23">
        <v>122222464260</v>
      </c>
      <c r="M537" s="23">
        <v>197615250718</v>
      </c>
      <c r="N537" s="23">
        <v>698301526628</v>
      </c>
      <c r="O537" s="25">
        <f t="shared" si="161"/>
        <v>185881758777</v>
      </c>
      <c r="P537" s="23">
        <v>25613902672</v>
      </c>
      <c r="Q537" s="23">
        <f>43761867788+24633848469</f>
        <v>68395716257</v>
      </c>
      <c r="R537" s="25">
        <f t="shared" si="162"/>
        <v>629905810371</v>
      </c>
      <c r="S537" s="26">
        <f t="shared" si="163"/>
        <v>0.38213899904958692</v>
      </c>
      <c r="T537" s="27">
        <f t="shared" si="164"/>
        <v>2.5208477418813908</v>
      </c>
      <c r="U537" s="26">
        <f t="shared" si="165"/>
        <v>26.491079563407098</v>
      </c>
      <c r="V537" s="26">
        <f t="shared" si="166"/>
        <v>7.9823276798710676</v>
      </c>
      <c r="W537" s="77">
        <v>45728</v>
      </c>
      <c r="X537" s="42">
        <v>12030</v>
      </c>
      <c r="Y537" s="73">
        <v>300</v>
      </c>
      <c r="Z537" s="30">
        <f t="shared" si="103"/>
        <v>3609000</v>
      </c>
      <c r="AA537" s="31">
        <f t="shared" si="167"/>
        <v>45</v>
      </c>
      <c r="AB537" s="32">
        <v>3.15E-2</v>
      </c>
      <c r="AC537" s="32">
        <v>8.0199999999999994E-2</v>
      </c>
      <c r="AD537" s="33">
        <f t="shared" si="133"/>
        <v>0.5811752337893793</v>
      </c>
      <c r="AE537" s="34">
        <f t="shared" si="134"/>
        <v>8.0084059735612639E-2</v>
      </c>
      <c r="AF537" s="33">
        <f t="shared" si="135"/>
        <v>1.9694544479043943</v>
      </c>
      <c r="AG537" s="33">
        <f t="shared" si="136"/>
        <v>2.9528123343370723E-5</v>
      </c>
      <c r="AH537" s="35">
        <f t="shared" si="137"/>
        <v>5.7133648127280852</v>
      </c>
      <c r="AI537" s="36">
        <f t="shared" si="168"/>
        <v>13.022110171863705</v>
      </c>
      <c r="AJ537" s="23"/>
      <c r="AK537" s="76"/>
    </row>
    <row r="538" spans="1:44" ht="16.8">
      <c r="A538" s="74" t="s">
        <v>1275</v>
      </c>
      <c r="B538" s="75"/>
      <c r="C538" s="1" t="s">
        <v>1271</v>
      </c>
      <c r="D538" s="19" t="s">
        <v>1272</v>
      </c>
      <c r="E538" s="20" t="s">
        <v>39</v>
      </c>
      <c r="F538" s="21">
        <v>1977</v>
      </c>
      <c r="G538" s="22">
        <v>2023</v>
      </c>
      <c r="H538" s="23">
        <v>282328073917</v>
      </c>
      <c r="I538" s="23">
        <v>290102676581</v>
      </c>
      <c r="J538" s="23">
        <v>84979348158</v>
      </c>
      <c r="K538" s="23">
        <f t="shared" si="176"/>
        <v>103600906209</v>
      </c>
      <c r="L538" s="23">
        <v>84979348158</v>
      </c>
      <c r="M538" s="23">
        <v>205123328423</v>
      </c>
      <c r="N538" s="23">
        <v>727048526432</v>
      </c>
      <c r="O538" s="25">
        <f t="shared" si="161"/>
        <v>197348725759</v>
      </c>
      <c r="P538" s="23">
        <v>28141146912</v>
      </c>
      <c r="Q538" s="23">
        <f>42158309545+26742634624</f>
        <v>68900944169</v>
      </c>
      <c r="R538" s="25">
        <f t="shared" si="162"/>
        <v>658147582263</v>
      </c>
      <c r="S538" s="26">
        <f t="shared" si="163"/>
        <v>0.29292852158250526</v>
      </c>
      <c r="T538" s="27">
        <f t="shared" si="164"/>
        <v>3.3223139508210204</v>
      </c>
      <c r="U538" s="26">
        <f t="shared" si="165"/>
        <v>26.393500754439341</v>
      </c>
      <c r="V538" s="26">
        <f t="shared" si="166"/>
        <v>7.0177815333514904</v>
      </c>
      <c r="W538" s="73" t="s">
        <v>1276</v>
      </c>
      <c r="X538" s="29">
        <v>17150</v>
      </c>
      <c r="Y538" s="73">
        <v>100</v>
      </c>
      <c r="Z538" s="30">
        <f t="shared" si="103"/>
        <v>1715000</v>
      </c>
      <c r="AA538" s="31">
        <f t="shared" si="167"/>
        <v>46</v>
      </c>
      <c r="AB538" s="32">
        <v>3.2500000000000001E-2</v>
      </c>
      <c r="AC538" s="32">
        <v>5.0500000000000003E-2</v>
      </c>
      <c r="AD538" s="33">
        <f t="shared" si="133"/>
        <v>0.68027199226442836</v>
      </c>
      <c r="AE538" s="34">
        <f t="shared" si="134"/>
        <v>9.7004092632501676E-2</v>
      </c>
      <c r="AF538" s="33">
        <f t="shared" si="135"/>
        <v>2.2686711822847925</v>
      </c>
      <c r="AG538" s="33">
        <f t="shared" si="136"/>
        <v>2.0181373912298583E-5</v>
      </c>
      <c r="AH538" s="35">
        <f t="shared" si="137"/>
        <v>8.555590766361453</v>
      </c>
      <c r="AI538" s="36">
        <f t="shared" si="168"/>
        <v>16.99434989712843</v>
      </c>
      <c r="AJ538" s="23"/>
      <c r="AK538" s="76"/>
    </row>
    <row r="539" spans="1:44" ht="16.8">
      <c r="A539" s="67" t="s">
        <v>1277</v>
      </c>
      <c r="B539" s="45">
        <v>211</v>
      </c>
      <c r="C539" s="45" t="s">
        <v>1278</v>
      </c>
      <c r="D539" s="46" t="s">
        <v>1279</v>
      </c>
      <c r="E539" s="47" t="s">
        <v>39</v>
      </c>
      <c r="F539" s="48"/>
      <c r="G539" s="68">
        <v>2021</v>
      </c>
      <c r="H539" s="49"/>
      <c r="I539" s="49"/>
      <c r="J539" s="49"/>
      <c r="K539" s="49"/>
      <c r="L539" s="49"/>
      <c r="M539" s="49"/>
      <c r="N539" s="49"/>
      <c r="O539" s="49">
        <f t="shared" si="161"/>
        <v>0</v>
      </c>
      <c r="P539" s="49"/>
      <c r="Q539" s="49"/>
      <c r="R539" s="49">
        <f t="shared" si="162"/>
        <v>0</v>
      </c>
      <c r="S539" s="50" t="e">
        <f t="shared" si="163"/>
        <v>#DIV/0!</v>
      </c>
      <c r="T539" s="51" t="e">
        <f t="shared" si="164"/>
        <v>#DIV/0!</v>
      </c>
      <c r="U539" s="50" t="e">
        <f t="shared" si="165"/>
        <v>#NUM!</v>
      </c>
      <c r="V539" s="50" t="e">
        <f t="shared" si="166"/>
        <v>#DIV/0!</v>
      </c>
      <c r="W539" s="52"/>
      <c r="X539" s="53">
        <v>0</v>
      </c>
      <c r="Y539" s="52"/>
      <c r="Z539" s="55">
        <f t="shared" si="103"/>
        <v>0</v>
      </c>
      <c r="AA539" s="48">
        <f t="shared" si="167"/>
        <v>2021</v>
      </c>
      <c r="AB539" s="49"/>
      <c r="AC539" s="49"/>
      <c r="AD539" s="50" t="e">
        <f t="shared" si="133"/>
        <v>#DIV/0!</v>
      </c>
      <c r="AE539" s="56" t="e">
        <f t="shared" si="134"/>
        <v>#DIV/0!</v>
      </c>
      <c r="AF539" s="50" t="e">
        <f t="shared" si="135"/>
        <v>#DIV/0!</v>
      </c>
      <c r="AG539" s="50" t="e">
        <f t="shared" si="136"/>
        <v>#DIV/0!</v>
      </c>
      <c r="AH539" s="57" t="e">
        <f t="shared" si="137"/>
        <v>#DIV/0!</v>
      </c>
      <c r="AI539" s="58" t="e">
        <f t="shared" si="168"/>
        <v>#DIV/0!</v>
      </c>
      <c r="AJ539" s="49"/>
      <c r="AK539" s="49"/>
      <c r="AL539" s="59"/>
      <c r="AM539" s="59"/>
      <c r="AN539" s="59"/>
      <c r="AO539" s="59"/>
      <c r="AP539" s="59"/>
      <c r="AQ539" s="59"/>
      <c r="AR539" s="59"/>
    </row>
    <row r="540" spans="1:44" ht="16.8">
      <c r="A540" s="70" t="s">
        <v>1280</v>
      </c>
      <c r="B540" s="71">
        <v>212</v>
      </c>
      <c r="C540" s="1" t="s">
        <v>1281</v>
      </c>
      <c r="D540" s="19" t="s">
        <v>1282</v>
      </c>
      <c r="E540" s="20" t="s">
        <v>414</v>
      </c>
      <c r="F540" s="21">
        <v>2004</v>
      </c>
      <c r="G540" s="22">
        <v>2021</v>
      </c>
      <c r="H540" s="23">
        <v>100089146602</v>
      </c>
      <c r="I540" s="23">
        <v>506185670850</v>
      </c>
      <c r="J540" s="23">
        <v>221727560143</v>
      </c>
      <c r="K540" s="23">
        <f>AVERAGE(J540,35284283803)</f>
        <v>128505921973</v>
      </c>
      <c r="L540" s="23">
        <v>162888857443</v>
      </c>
      <c r="M540" s="23">
        <v>284458110707</v>
      </c>
      <c r="N540" s="23">
        <v>122477632406</v>
      </c>
      <c r="O540" s="25">
        <f t="shared" si="161"/>
        <v>-62799710841</v>
      </c>
      <c r="P540" s="23">
        <v>2384611810</v>
      </c>
      <c r="Q540" s="23">
        <v>9732810543</v>
      </c>
      <c r="R540" s="25">
        <f t="shared" si="162"/>
        <v>112744821863</v>
      </c>
      <c r="S540" s="26">
        <f t="shared" si="163"/>
        <v>0.43803602692006149</v>
      </c>
      <c r="T540" s="27">
        <f t="shared" si="164"/>
        <v>0.61446281945359205</v>
      </c>
      <c r="U540" s="26">
        <f t="shared" si="165"/>
        <v>26.950169377367168</v>
      </c>
      <c r="V540" s="26">
        <f t="shared" si="166"/>
        <v>0.95308940261705144</v>
      </c>
      <c r="W540" s="73" t="s">
        <v>1283</v>
      </c>
      <c r="X540" s="29">
        <v>53660</v>
      </c>
      <c r="Y540" s="73">
        <v>127400</v>
      </c>
      <c r="Z540" s="30">
        <f t="shared" si="103"/>
        <v>6836284000</v>
      </c>
      <c r="AA540" s="31">
        <f t="shared" si="167"/>
        <v>17</v>
      </c>
      <c r="AB540" s="32">
        <v>1.84E-2</v>
      </c>
      <c r="AC540" s="32">
        <v>2.58E-2</v>
      </c>
      <c r="AD540" s="33">
        <f t="shared" si="133"/>
        <v>-0.12406457641431277</v>
      </c>
      <c r="AE540" s="34">
        <f t="shared" si="134"/>
        <v>4.7109429352192025E-3</v>
      </c>
      <c r="AF540" s="33">
        <f t="shared" si="135"/>
        <v>0.22273412377255958</v>
      </c>
      <c r="AG540" s="33">
        <f t="shared" si="136"/>
        <v>3.0831909193385961E-2</v>
      </c>
      <c r="AH540" s="35">
        <f t="shared" si="137"/>
        <v>0.55237892992197191</v>
      </c>
      <c r="AI540" s="36">
        <f t="shared" si="168"/>
        <v>1.1636185122995815</v>
      </c>
      <c r="AJ540" s="23" t="s">
        <v>1021</v>
      </c>
      <c r="AK540" s="23"/>
      <c r="AL540" s="44"/>
      <c r="AM540" s="44"/>
      <c r="AN540" s="44"/>
      <c r="AO540" s="44"/>
      <c r="AP540" s="44"/>
      <c r="AQ540" s="44"/>
      <c r="AR540" s="44"/>
    </row>
    <row r="541" spans="1:44" ht="16.8">
      <c r="A541" s="74" t="s">
        <v>1284</v>
      </c>
      <c r="B541" s="75"/>
      <c r="C541" s="1" t="s">
        <v>1281</v>
      </c>
      <c r="D541" s="19" t="s">
        <v>1282</v>
      </c>
      <c r="E541" s="20" t="s">
        <v>414</v>
      </c>
      <c r="F541" s="21">
        <v>2004</v>
      </c>
      <c r="G541" s="22">
        <v>2022</v>
      </c>
      <c r="H541" s="23">
        <v>227869350472</v>
      </c>
      <c r="I541" s="23">
        <v>697084867466</v>
      </c>
      <c r="J541" s="23">
        <v>269968536599</v>
      </c>
      <c r="K541" s="23">
        <f t="shared" ref="K541:K542" si="177">AVERAGE(J540:J541)</f>
        <v>245848048371</v>
      </c>
      <c r="L541" s="23">
        <v>208893255675</v>
      </c>
      <c r="M541" s="23">
        <v>427116330867</v>
      </c>
      <c r="N541" s="23">
        <v>108276033433</v>
      </c>
      <c r="O541" s="25">
        <f t="shared" si="161"/>
        <v>18976094797</v>
      </c>
      <c r="P541" s="23">
        <v>1872404160</v>
      </c>
      <c r="Q541" s="23">
        <v>12794719301</v>
      </c>
      <c r="R541" s="25">
        <f t="shared" si="162"/>
        <v>95481314132</v>
      </c>
      <c r="S541" s="26">
        <f t="shared" si="163"/>
        <v>0.38728216491110046</v>
      </c>
      <c r="T541" s="27">
        <f t="shared" si="164"/>
        <v>1.0908411079892564</v>
      </c>
      <c r="U541" s="26">
        <f t="shared" si="165"/>
        <v>27.270173001364959</v>
      </c>
      <c r="V541" s="26">
        <f t="shared" si="166"/>
        <v>0.44041851928637127</v>
      </c>
      <c r="W541" s="73" t="s">
        <v>1285</v>
      </c>
      <c r="X541" s="29">
        <v>11300</v>
      </c>
      <c r="Y541" s="73">
        <v>97014</v>
      </c>
      <c r="Z541" s="30">
        <f t="shared" si="103"/>
        <v>1096258200</v>
      </c>
      <c r="AA541" s="31">
        <f t="shared" si="167"/>
        <v>18</v>
      </c>
      <c r="AB541" s="32">
        <v>3.15E-2</v>
      </c>
      <c r="AC541" s="32">
        <v>8.0199999999999994E-2</v>
      </c>
      <c r="AD541" s="33">
        <f t="shared" si="133"/>
        <v>2.722207249453102E-2</v>
      </c>
      <c r="AE541" s="34">
        <f t="shared" si="134"/>
        <v>2.6860490700457294E-3</v>
      </c>
      <c r="AF541" s="33">
        <f t="shared" si="135"/>
        <v>0.13697229503645345</v>
      </c>
      <c r="AG541" s="33">
        <f t="shared" si="136"/>
        <v>4.0606887521427585E-3</v>
      </c>
      <c r="AH541" s="35">
        <f t="shared" si="137"/>
        <v>0.4010690830755167</v>
      </c>
      <c r="AI541" s="36">
        <f t="shared" si="168"/>
        <v>0.89194102563859989</v>
      </c>
      <c r="AJ541" s="23" t="s">
        <v>1021</v>
      </c>
      <c r="AK541" s="76"/>
    </row>
    <row r="542" spans="1:44" ht="16.8">
      <c r="A542" s="74" t="s">
        <v>1286</v>
      </c>
      <c r="B542" s="75"/>
      <c r="C542" s="1" t="s">
        <v>1281</v>
      </c>
      <c r="D542" s="19" t="s">
        <v>1282</v>
      </c>
      <c r="E542" s="20" t="s">
        <v>414</v>
      </c>
      <c r="F542" s="21">
        <v>2004</v>
      </c>
      <c r="G542" s="22">
        <v>2023</v>
      </c>
      <c r="H542" s="23">
        <v>179357861478</v>
      </c>
      <c r="I542" s="23">
        <v>684684086112</v>
      </c>
      <c r="J542" s="23">
        <v>251674709622</v>
      </c>
      <c r="K542" s="23">
        <f t="shared" si="177"/>
        <v>260821623110.5</v>
      </c>
      <c r="L542" s="23">
        <v>192680903498</v>
      </c>
      <c r="M542" s="23">
        <v>433009376490</v>
      </c>
      <c r="N542" s="23">
        <v>73133546015</v>
      </c>
      <c r="O542" s="25">
        <f t="shared" si="161"/>
        <v>-13323042020</v>
      </c>
      <c r="P542" s="23">
        <v>5893045623</v>
      </c>
      <c r="Q542" s="23">
        <v>13644573710</v>
      </c>
      <c r="R542" s="25">
        <f t="shared" si="162"/>
        <v>59488972305</v>
      </c>
      <c r="S542" s="26">
        <f t="shared" si="163"/>
        <v>0.36757785776962149</v>
      </c>
      <c r="T542" s="27">
        <f t="shared" si="164"/>
        <v>0.9308543722905146</v>
      </c>
      <c r="U542" s="26">
        <f t="shared" si="165"/>
        <v>27.252223380671005</v>
      </c>
      <c r="V542" s="26">
        <f t="shared" si="166"/>
        <v>0.28039679050695943</v>
      </c>
      <c r="W542" s="77">
        <v>45794</v>
      </c>
      <c r="X542" s="42">
        <v>17050</v>
      </c>
      <c r="Y542" s="73">
        <v>158002</v>
      </c>
      <c r="Z542" s="30">
        <f t="shared" si="103"/>
        <v>2693934100</v>
      </c>
      <c r="AA542" s="31">
        <f t="shared" si="167"/>
        <v>19</v>
      </c>
      <c r="AB542" s="32">
        <v>3.2500000000000001E-2</v>
      </c>
      <c r="AC542" s="32">
        <v>5.0500000000000003E-2</v>
      </c>
      <c r="AD542" s="33">
        <f t="shared" si="133"/>
        <v>-1.9458670487954979E-2</v>
      </c>
      <c r="AE542" s="34">
        <f t="shared" si="134"/>
        <v>8.6069557370083531E-3</v>
      </c>
      <c r="AF542" s="33">
        <f t="shared" si="135"/>
        <v>8.6885285508547433E-2</v>
      </c>
      <c r="AG542" s="33">
        <f t="shared" si="136"/>
        <v>1.070403181966962E-2</v>
      </c>
      <c r="AH542" s="35">
        <f t="shared" si="137"/>
        <v>0.2905875847630543</v>
      </c>
      <c r="AI542" s="36">
        <f t="shared" si="168"/>
        <v>0.57243077947932819</v>
      </c>
      <c r="AJ542" s="23" t="s">
        <v>1021</v>
      </c>
      <c r="AK542" s="76"/>
    </row>
    <row r="543" spans="1:44" ht="16.8">
      <c r="A543" s="70" t="s">
        <v>1287</v>
      </c>
      <c r="B543" s="71">
        <v>213</v>
      </c>
      <c r="C543" s="1" t="s">
        <v>1288</v>
      </c>
      <c r="D543" s="19" t="s">
        <v>1289</v>
      </c>
      <c r="E543" s="20" t="s">
        <v>39</v>
      </c>
      <c r="F543" s="21">
        <v>1952</v>
      </c>
      <c r="G543" s="22">
        <v>2021</v>
      </c>
      <c r="H543" s="23">
        <v>57842358008</v>
      </c>
      <c r="I543" s="23">
        <v>72408237166</v>
      </c>
      <c r="J543" s="23">
        <v>5831468463</v>
      </c>
      <c r="K543" s="23">
        <f>AVERAGE(J543,6173103820)</f>
        <v>6002286141.5</v>
      </c>
      <c r="L543" s="23">
        <v>4949309414</v>
      </c>
      <c r="M543" s="23">
        <v>66576768703</v>
      </c>
      <c r="N543" s="23">
        <v>28615446689</v>
      </c>
      <c r="O543" s="25">
        <f t="shared" si="161"/>
        <v>52893048594</v>
      </c>
      <c r="P543" s="23">
        <v>10187466395</v>
      </c>
      <c r="Q543" s="23">
        <f>2223126989+4464228208</f>
        <v>6687355197</v>
      </c>
      <c r="R543" s="25">
        <f t="shared" si="162"/>
        <v>21928091492</v>
      </c>
      <c r="S543" s="26">
        <f t="shared" si="163"/>
        <v>8.0535981695439254E-2</v>
      </c>
      <c r="T543" s="27">
        <f t="shared" si="164"/>
        <v>11.686955324389828</v>
      </c>
      <c r="U543" s="26">
        <f t="shared" si="165"/>
        <v>25.005585902877474</v>
      </c>
      <c r="V543" s="26">
        <f t="shared" si="166"/>
        <v>4.7674246136237786</v>
      </c>
      <c r="W543" s="73" t="s">
        <v>1290</v>
      </c>
      <c r="X543" s="29">
        <v>28680</v>
      </c>
      <c r="Y543" s="73">
        <v>0</v>
      </c>
      <c r="Z543" s="30">
        <f t="shared" si="103"/>
        <v>0</v>
      </c>
      <c r="AA543" s="31">
        <f t="shared" si="167"/>
        <v>69</v>
      </c>
      <c r="AB543" s="32">
        <v>1.84E-2</v>
      </c>
      <c r="AC543" s="32">
        <v>2.58E-2</v>
      </c>
      <c r="AD543" s="33">
        <f t="shared" si="133"/>
        <v>0.73048386018209055</v>
      </c>
      <c r="AE543" s="34">
        <f t="shared" si="134"/>
        <v>0.14069485453215294</v>
      </c>
      <c r="AF543" s="33">
        <f t="shared" si="135"/>
        <v>0.3028397368897216</v>
      </c>
      <c r="AG543" s="33">
        <f t="shared" si="136"/>
        <v>0</v>
      </c>
      <c r="AH543" s="35">
        <f t="shared" si="137"/>
        <v>4.9070738992351126</v>
      </c>
      <c r="AI543" s="36">
        <f t="shared" si="168"/>
        <v>6.9799984595347162</v>
      </c>
      <c r="AJ543" s="23" t="s">
        <v>1054</v>
      </c>
      <c r="AK543" s="23"/>
      <c r="AL543" s="44"/>
      <c r="AM543" s="44"/>
      <c r="AN543" s="44"/>
      <c r="AO543" s="44"/>
      <c r="AP543" s="44"/>
      <c r="AQ543" s="44"/>
      <c r="AR543" s="44"/>
    </row>
    <row r="544" spans="1:44" ht="16.8">
      <c r="A544" s="74" t="s">
        <v>1291</v>
      </c>
      <c r="B544" s="75"/>
      <c r="C544" s="1" t="s">
        <v>1288</v>
      </c>
      <c r="D544" s="19" t="s">
        <v>1289</v>
      </c>
      <c r="E544" s="20" t="s">
        <v>39</v>
      </c>
      <c r="F544" s="21">
        <v>1952</v>
      </c>
      <c r="G544" s="22">
        <v>2022</v>
      </c>
      <c r="H544" s="23">
        <v>47751832612</v>
      </c>
      <c r="I544" s="23">
        <v>60852173140</v>
      </c>
      <c r="J544" s="23">
        <v>2369534907</v>
      </c>
      <c r="K544" s="23">
        <f t="shared" ref="K544:K545" si="178">AVERAGE(J543:J544)</f>
        <v>4100501685</v>
      </c>
      <c r="L544" s="23">
        <v>2242535467</v>
      </c>
      <c r="M544" s="23">
        <v>58482638233</v>
      </c>
      <c r="N544" s="23">
        <v>33383216771</v>
      </c>
      <c r="O544" s="25">
        <f t="shared" si="161"/>
        <v>45509297145</v>
      </c>
      <c r="P544" s="23">
        <v>3032137122</v>
      </c>
      <c r="Q544" s="23">
        <f>1208455550+5519418682</f>
        <v>6727874232</v>
      </c>
      <c r="R544" s="25">
        <f t="shared" si="162"/>
        <v>26655342539</v>
      </c>
      <c r="S544" s="26">
        <f t="shared" si="163"/>
        <v>3.8939199452228471E-2</v>
      </c>
      <c r="T544" s="27">
        <f t="shared" si="164"/>
        <v>21.293679995117778</v>
      </c>
      <c r="U544" s="26">
        <f t="shared" si="165"/>
        <v>24.831713368807165</v>
      </c>
      <c r="V544" s="26">
        <f t="shared" si="166"/>
        <v>8.1412518114841355</v>
      </c>
      <c r="W544" s="73" t="s">
        <v>1292</v>
      </c>
      <c r="X544" s="29">
        <v>29130</v>
      </c>
      <c r="Y544" s="73">
        <v>0</v>
      </c>
      <c r="Z544" s="30">
        <f t="shared" si="103"/>
        <v>0</v>
      </c>
      <c r="AA544" s="31">
        <f t="shared" si="167"/>
        <v>70</v>
      </c>
      <c r="AB544" s="32">
        <v>3.15E-2</v>
      </c>
      <c r="AC544" s="32">
        <v>8.0199999999999994E-2</v>
      </c>
      <c r="AD544" s="33">
        <f t="shared" si="133"/>
        <v>0.7478664244298836</v>
      </c>
      <c r="AE544" s="34">
        <f t="shared" si="134"/>
        <v>4.9827918470949119E-2</v>
      </c>
      <c r="AF544" s="33">
        <f t="shared" si="135"/>
        <v>0.43803435709149102</v>
      </c>
      <c r="AG544" s="33">
        <f t="shared" si="136"/>
        <v>0</v>
      </c>
      <c r="AH544" s="35">
        <f t="shared" si="137"/>
        <v>14.088510227209749</v>
      </c>
      <c r="AI544" s="36">
        <f t="shared" si="168"/>
        <v>16.501222400786858</v>
      </c>
      <c r="AJ544" s="23" t="s">
        <v>1054</v>
      </c>
      <c r="AK544" s="76"/>
    </row>
    <row r="545" spans="1:44" ht="16.8">
      <c r="A545" s="74" t="s">
        <v>1293</v>
      </c>
      <c r="B545" s="75"/>
      <c r="C545" s="1" t="s">
        <v>1288</v>
      </c>
      <c r="D545" s="19" t="s">
        <v>1289</v>
      </c>
      <c r="E545" s="20" t="s">
        <v>39</v>
      </c>
      <c r="F545" s="21">
        <v>1952</v>
      </c>
      <c r="G545" s="22">
        <v>2023</v>
      </c>
      <c r="H545" s="23">
        <v>53739652179</v>
      </c>
      <c r="I545" s="23">
        <v>64924161299</v>
      </c>
      <c r="J545" s="23">
        <v>10521284669</v>
      </c>
      <c r="K545" s="23">
        <f t="shared" si="178"/>
        <v>6445409788</v>
      </c>
      <c r="L545" s="23">
        <v>9980884799</v>
      </c>
      <c r="M545" s="23">
        <v>54402876630</v>
      </c>
      <c r="N545" s="23">
        <v>13624704204</v>
      </c>
      <c r="O545" s="25">
        <f t="shared" si="161"/>
        <v>43758767380</v>
      </c>
      <c r="P545" s="23">
        <v>-1042639405</v>
      </c>
      <c r="Q545" s="23">
        <f>761103135+5688744954</f>
        <v>6449848089</v>
      </c>
      <c r="R545" s="25">
        <f t="shared" si="162"/>
        <v>7174856115</v>
      </c>
      <c r="S545" s="26">
        <f t="shared" si="163"/>
        <v>0.16205499552848371</v>
      </c>
      <c r="T545" s="27">
        <f t="shared" si="164"/>
        <v>5.3842573340175468</v>
      </c>
      <c r="U545" s="26">
        <f t="shared" si="165"/>
        <v>24.896485676414095</v>
      </c>
      <c r="V545" s="26">
        <f t="shared" si="166"/>
        <v>2.1138615933103804</v>
      </c>
      <c r="W545" s="73" t="s">
        <v>1294</v>
      </c>
      <c r="X545" s="29">
        <v>33000</v>
      </c>
      <c r="Y545" s="73">
        <v>2</v>
      </c>
      <c r="Z545" s="30">
        <f t="shared" si="103"/>
        <v>66000</v>
      </c>
      <c r="AA545" s="31">
        <f t="shared" si="167"/>
        <v>71</v>
      </c>
      <c r="AB545" s="32">
        <v>3.2500000000000001E-2</v>
      </c>
      <c r="AC545" s="32">
        <v>5.0500000000000003E-2</v>
      </c>
      <c r="AD545" s="33">
        <f t="shared" si="133"/>
        <v>0.67399819272942996</v>
      </c>
      <c r="AE545" s="34">
        <f t="shared" si="134"/>
        <v>-1.6059343457642161E-2</v>
      </c>
      <c r="AF545" s="33">
        <f t="shared" si="135"/>
        <v>0.11051134079279221</v>
      </c>
      <c r="AG545" s="33">
        <f t="shared" si="136"/>
        <v>6.2729982199286881E-6</v>
      </c>
      <c r="AH545" s="35">
        <f t="shared" si="137"/>
        <v>1.2949658366476806</v>
      </c>
      <c r="AI545" s="36">
        <f t="shared" si="168"/>
        <v>2.4459717754974437</v>
      </c>
      <c r="AJ545" s="23" t="s">
        <v>1054</v>
      </c>
      <c r="AK545" s="76"/>
    </row>
    <row r="546" spans="1:44" ht="16.8">
      <c r="A546" s="45"/>
      <c r="B546" s="45">
        <v>214</v>
      </c>
      <c r="C546" s="45" t="s">
        <v>1295</v>
      </c>
      <c r="D546" s="46" t="s">
        <v>1296</v>
      </c>
      <c r="E546" s="47" t="s">
        <v>39</v>
      </c>
      <c r="F546" s="48"/>
      <c r="G546" s="68"/>
      <c r="H546" s="49"/>
      <c r="I546" s="49"/>
      <c r="J546" s="49"/>
      <c r="K546" s="49"/>
      <c r="L546" s="49"/>
      <c r="M546" s="49"/>
      <c r="N546" s="49"/>
      <c r="O546" s="49">
        <f t="shared" si="161"/>
        <v>0</v>
      </c>
      <c r="P546" s="49"/>
      <c r="Q546" s="49"/>
      <c r="R546" s="49">
        <f t="shared" si="162"/>
        <v>0</v>
      </c>
      <c r="S546" s="50" t="e">
        <f t="shared" si="163"/>
        <v>#DIV/0!</v>
      </c>
      <c r="T546" s="51" t="e">
        <f t="shared" si="164"/>
        <v>#DIV/0!</v>
      </c>
      <c r="U546" s="50" t="e">
        <f t="shared" si="165"/>
        <v>#NUM!</v>
      </c>
      <c r="V546" s="50" t="e">
        <f t="shared" si="166"/>
        <v>#DIV/0!</v>
      </c>
      <c r="W546" s="52"/>
      <c r="X546" s="53">
        <v>0</v>
      </c>
      <c r="Y546" s="52"/>
      <c r="Z546" s="55">
        <f t="shared" si="103"/>
        <v>0</v>
      </c>
      <c r="AA546" s="48">
        <f t="shared" si="167"/>
        <v>0</v>
      </c>
      <c r="AB546" s="49"/>
      <c r="AC546" s="49"/>
      <c r="AD546" s="50" t="e">
        <f t="shared" si="133"/>
        <v>#DIV/0!</v>
      </c>
      <c r="AE546" s="56" t="e">
        <f t="shared" si="134"/>
        <v>#DIV/0!</v>
      </c>
      <c r="AF546" s="50" t="e">
        <f t="shared" si="135"/>
        <v>#DIV/0!</v>
      </c>
      <c r="AG546" s="50" t="e">
        <f t="shared" si="136"/>
        <v>#DIV/0!</v>
      </c>
      <c r="AH546" s="57" t="e">
        <f t="shared" si="137"/>
        <v>#DIV/0!</v>
      </c>
      <c r="AI546" s="58" t="e">
        <f t="shared" si="168"/>
        <v>#DIV/0!</v>
      </c>
      <c r="AJ546" s="49"/>
      <c r="AK546" s="49"/>
      <c r="AL546" s="59"/>
      <c r="AM546" s="59"/>
      <c r="AN546" s="59"/>
      <c r="AO546" s="59"/>
      <c r="AP546" s="59"/>
      <c r="AQ546" s="59"/>
      <c r="AR546" s="59"/>
    </row>
    <row r="547" spans="1:44" ht="16.8">
      <c r="A547" s="45"/>
      <c r="B547" s="45">
        <v>215</v>
      </c>
      <c r="C547" s="45" t="s">
        <v>1297</v>
      </c>
      <c r="D547" s="46" t="s">
        <v>1298</v>
      </c>
      <c r="E547" s="47" t="s">
        <v>39</v>
      </c>
      <c r="F547" s="48"/>
      <c r="G547" s="68"/>
      <c r="H547" s="49"/>
      <c r="I547" s="49"/>
      <c r="J547" s="49"/>
      <c r="K547" s="49"/>
      <c r="L547" s="49"/>
      <c r="M547" s="49"/>
      <c r="N547" s="49"/>
      <c r="O547" s="49">
        <f t="shared" si="161"/>
        <v>0</v>
      </c>
      <c r="P547" s="49"/>
      <c r="Q547" s="49"/>
      <c r="R547" s="49">
        <f t="shared" si="162"/>
        <v>0</v>
      </c>
      <c r="S547" s="50" t="e">
        <f t="shared" si="163"/>
        <v>#DIV/0!</v>
      </c>
      <c r="T547" s="51" t="e">
        <f t="shared" si="164"/>
        <v>#DIV/0!</v>
      </c>
      <c r="U547" s="50" t="e">
        <f t="shared" si="165"/>
        <v>#NUM!</v>
      </c>
      <c r="V547" s="50" t="e">
        <f t="shared" si="166"/>
        <v>#DIV/0!</v>
      </c>
      <c r="W547" s="52"/>
      <c r="X547" s="53">
        <v>0</v>
      </c>
      <c r="Y547" s="52"/>
      <c r="Z547" s="55">
        <f t="shared" si="103"/>
        <v>0</v>
      </c>
      <c r="AA547" s="48">
        <f t="shared" si="167"/>
        <v>0</v>
      </c>
      <c r="AB547" s="49"/>
      <c r="AC547" s="49"/>
      <c r="AD547" s="50" t="e">
        <f t="shared" si="133"/>
        <v>#DIV/0!</v>
      </c>
      <c r="AE547" s="56" t="e">
        <f t="shared" si="134"/>
        <v>#DIV/0!</v>
      </c>
      <c r="AF547" s="50" t="e">
        <f t="shared" si="135"/>
        <v>#DIV/0!</v>
      </c>
      <c r="AG547" s="50" t="e">
        <f t="shared" si="136"/>
        <v>#DIV/0!</v>
      </c>
      <c r="AH547" s="57" t="e">
        <f t="shared" si="137"/>
        <v>#DIV/0!</v>
      </c>
      <c r="AI547" s="58" t="e">
        <f t="shared" si="168"/>
        <v>#DIV/0!</v>
      </c>
      <c r="AJ547" s="49"/>
      <c r="AK547" s="49"/>
      <c r="AL547" s="59"/>
      <c r="AM547" s="59"/>
      <c r="AN547" s="59"/>
      <c r="AO547" s="59"/>
      <c r="AP547" s="59"/>
      <c r="AQ547" s="59"/>
      <c r="AR547" s="59"/>
    </row>
    <row r="548" spans="1:44" ht="16.8">
      <c r="A548" s="45"/>
      <c r="B548" s="45">
        <v>216</v>
      </c>
      <c r="C548" s="45" t="s">
        <v>1299</v>
      </c>
      <c r="D548" s="46" t="s">
        <v>1300</v>
      </c>
      <c r="E548" s="47" t="s">
        <v>39</v>
      </c>
      <c r="F548" s="48"/>
      <c r="G548" s="68"/>
      <c r="H548" s="49"/>
      <c r="I548" s="49"/>
      <c r="J548" s="49"/>
      <c r="K548" s="49"/>
      <c r="L548" s="49"/>
      <c r="M548" s="49"/>
      <c r="N548" s="49"/>
      <c r="O548" s="49">
        <f t="shared" si="161"/>
        <v>0</v>
      </c>
      <c r="P548" s="49"/>
      <c r="Q548" s="49"/>
      <c r="R548" s="49">
        <f t="shared" si="162"/>
        <v>0</v>
      </c>
      <c r="S548" s="50" t="e">
        <f t="shared" si="163"/>
        <v>#DIV/0!</v>
      </c>
      <c r="T548" s="51" t="e">
        <f t="shared" si="164"/>
        <v>#DIV/0!</v>
      </c>
      <c r="U548" s="50" t="e">
        <f t="shared" si="165"/>
        <v>#NUM!</v>
      </c>
      <c r="V548" s="50" t="e">
        <f t="shared" si="166"/>
        <v>#DIV/0!</v>
      </c>
      <c r="W548" s="52"/>
      <c r="X548" s="53">
        <v>0</v>
      </c>
      <c r="Y548" s="52"/>
      <c r="Z548" s="55">
        <f t="shared" si="103"/>
        <v>0</v>
      </c>
      <c r="AA548" s="48">
        <f t="shared" si="167"/>
        <v>0</v>
      </c>
      <c r="AB548" s="49"/>
      <c r="AC548" s="49"/>
      <c r="AD548" s="50" t="e">
        <f t="shared" si="133"/>
        <v>#DIV/0!</v>
      </c>
      <c r="AE548" s="56" t="e">
        <f t="shared" si="134"/>
        <v>#DIV/0!</v>
      </c>
      <c r="AF548" s="50" t="e">
        <f t="shared" si="135"/>
        <v>#DIV/0!</v>
      </c>
      <c r="AG548" s="50" t="e">
        <f t="shared" si="136"/>
        <v>#DIV/0!</v>
      </c>
      <c r="AH548" s="57" t="e">
        <f t="shared" si="137"/>
        <v>#DIV/0!</v>
      </c>
      <c r="AI548" s="58" t="e">
        <f t="shared" si="168"/>
        <v>#DIV/0!</v>
      </c>
      <c r="AJ548" s="49"/>
      <c r="AK548" s="49"/>
      <c r="AL548" s="59"/>
      <c r="AM548" s="59"/>
      <c r="AN548" s="59"/>
      <c r="AO548" s="59"/>
      <c r="AP548" s="59"/>
      <c r="AQ548" s="59"/>
      <c r="AR548" s="59"/>
    </row>
    <row r="549" spans="1:44" ht="16.8">
      <c r="A549" s="45"/>
      <c r="B549" s="45">
        <v>217</v>
      </c>
      <c r="C549" s="45" t="s">
        <v>1301</v>
      </c>
      <c r="D549" s="46" t="s">
        <v>1302</v>
      </c>
      <c r="E549" s="47" t="s">
        <v>39</v>
      </c>
      <c r="F549" s="48"/>
      <c r="G549" s="48"/>
      <c r="H549" s="49"/>
      <c r="I549" s="49"/>
      <c r="J549" s="49"/>
      <c r="K549" s="49"/>
      <c r="L549" s="49"/>
      <c r="M549" s="49"/>
      <c r="N549" s="49"/>
      <c r="O549" s="49">
        <f t="shared" si="161"/>
        <v>0</v>
      </c>
      <c r="P549" s="49"/>
      <c r="Q549" s="49"/>
      <c r="R549" s="49">
        <f t="shared" si="162"/>
        <v>0</v>
      </c>
      <c r="S549" s="50" t="e">
        <f t="shared" si="163"/>
        <v>#DIV/0!</v>
      </c>
      <c r="T549" s="51" t="e">
        <f t="shared" si="164"/>
        <v>#DIV/0!</v>
      </c>
      <c r="U549" s="50" t="e">
        <f t="shared" si="165"/>
        <v>#NUM!</v>
      </c>
      <c r="V549" s="50" t="e">
        <f t="shared" si="166"/>
        <v>#DIV/0!</v>
      </c>
      <c r="W549" s="52"/>
      <c r="X549" s="53">
        <v>0</v>
      </c>
      <c r="Y549" s="52"/>
      <c r="Z549" s="55">
        <f t="shared" si="103"/>
        <v>0</v>
      </c>
      <c r="AA549" s="48">
        <f t="shared" si="167"/>
        <v>0</v>
      </c>
      <c r="AB549" s="49"/>
      <c r="AC549" s="49"/>
      <c r="AD549" s="50" t="e">
        <f t="shared" si="133"/>
        <v>#DIV/0!</v>
      </c>
      <c r="AE549" s="56" t="e">
        <f t="shared" si="134"/>
        <v>#DIV/0!</v>
      </c>
      <c r="AF549" s="50" t="e">
        <f t="shared" si="135"/>
        <v>#DIV/0!</v>
      </c>
      <c r="AG549" s="50" t="e">
        <f t="shared" si="136"/>
        <v>#DIV/0!</v>
      </c>
      <c r="AH549" s="57" t="e">
        <f t="shared" si="137"/>
        <v>#DIV/0!</v>
      </c>
      <c r="AI549" s="58" t="e">
        <f t="shared" si="168"/>
        <v>#DIV/0!</v>
      </c>
      <c r="AJ549" s="49"/>
      <c r="AK549" s="49"/>
      <c r="AL549" s="59"/>
      <c r="AM549" s="59"/>
      <c r="AN549" s="59"/>
      <c r="AO549" s="59"/>
      <c r="AP549" s="59"/>
      <c r="AQ549" s="59"/>
      <c r="AR549" s="59"/>
    </row>
    <row r="550" spans="1:44" ht="16.8">
      <c r="A550" s="45"/>
      <c r="B550" s="45">
        <v>218</v>
      </c>
      <c r="C550" s="45" t="s">
        <v>1303</v>
      </c>
      <c r="D550" s="46" t="s">
        <v>1304</v>
      </c>
      <c r="E550" s="47" t="s">
        <v>39</v>
      </c>
      <c r="F550" s="48"/>
      <c r="G550" s="48"/>
      <c r="H550" s="49"/>
      <c r="I550" s="49"/>
      <c r="J550" s="49"/>
      <c r="K550" s="49"/>
      <c r="L550" s="49"/>
      <c r="M550" s="49"/>
      <c r="N550" s="49"/>
      <c r="O550" s="49">
        <f t="shared" si="161"/>
        <v>0</v>
      </c>
      <c r="P550" s="49"/>
      <c r="Q550" s="49"/>
      <c r="R550" s="49">
        <f t="shared" si="162"/>
        <v>0</v>
      </c>
      <c r="S550" s="50" t="e">
        <f t="shared" si="163"/>
        <v>#DIV/0!</v>
      </c>
      <c r="T550" s="51" t="e">
        <f t="shared" si="164"/>
        <v>#DIV/0!</v>
      </c>
      <c r="U550" s="50" t="e">
        <f t="shared" si="165"/>
        <v>#NUM!</v>
      </c>
      <c r="V550" s="50" t="e">
        <f t="shared" si="166"/>
        <v>#DIV/0!</v>
      </c>
      <c r="W550" s="52"/>
      <c r="X550" s="53">
        <v>0</v>
      </c>
      <c r="Y550" s="52"/>
      <c r="Z550" s="55">
        <f t="shared" si="103"/>
        <v>0</v>
      </c>
      <c r="AA550" s="48">
        <f t="shared" si="167"/>
        <v>0</v>
      </c>
      <c r="AB550" s="49"/>
      <c r="AC550" s="49"/>
      <c r="AD550" s="50" t="e">
        <f t="shared" si="133"/>
        <v>#DIV/0!</v>
      </c>
      <c r="AE550" s="56" t="e">
        <f t="shared" si="134"/>
        <v>#DIV/0!</v>
      </c>
      <c r="AF550" s="50" t="e">
        <f t="shared" si="135"/>
        <v>#DIV/0!</v>
      </c>
      <c r="AG550" s="50" t="e">
        <f t="shared" si="136"/>
        <v>#DIV/0!</v>
      </c>
      <c r="AH550" s="57" t="e">
        <f t="shared" si="137"/>
        <v>#DIV/0!</v>
      </c>
      <c r="AI550" s="58" t="e">
        <f t="shared" si="168"/>
        <v>#DIV/0!</v>
      </c>
      <c r="AJ550" s="49"/>
      <c r="AK550" s="49"/>
      <c r="AL550" s="59"/>
      <c r="AM550" s="59"/>
      <c r="AN550" s="59"/>
      <c r="AO550" s="59"/>
      <c r="AP550" s="59"/>
      <c r="AQ550" s="59"/>
      <c r="AR550" s="59"/>
    </row>
    <row r="551" spans="1:44" ht="16.8">
      <c r="A551" s="78" t="s">
        <v>1305</v>
      </c>
      <c r="B551" s="79">
        <v>219</v>
      </c>
      <c r="C551" s="1" t="s">
        <v>1306</v>
      </c>
      <c r="D551" s="19" t="s">
        <v>1307</v>
      </c>
      <c r="E551" s="20" t="s">
        <v>39</v>
      </c>
      <c r="F551" s="21">
        <v>1996</v>
      </c>
      <c r="G551" s="40">
        <v>2021</v>
      </c>
      <c r="H551" s="23">
        <v>213621303866</v>
      </c>
      <c r="I551" s="23">
        <v>311995489668</v>
      </c>
      <c r="J551" s="23">
        <v>137463767931</v>
      </c>
      <c r="K551" s="23">
        <v>162018117876</v>
      </c>
      <c r="L551" s="23">
        <v>130888587879</v>
      </c>
      <c r="M551" s="23">
        <v>174531721737</v>
      </c>
      <c r="N551" s="23">
        <v>655909687631</v>
      </c>
      <c r="O551" s="25">
        <f t="shared" si="161"/>
        <v>82732715987</v>
      </c>
      <c r="P551" s="23">
        <v>6361437304</v>
      </c>
      <c r="Q551" s="23">
        <v>68332424882</v>
      </c>
      <c r="R551" s="25">
        <f t="shared" si="162"/>
        <v>587577262749</v>
      </c>
      <c r="S551" s="26">
        <f t="shared" si="163"/>
        <v>0.44059536911023189</v>
      </c>
      <c r="T551" s="27">
        <f t="shared" si="164"/>
        <v>1.6320850222899668</v>
      </c>
      <c r="U551" s="26">
        <f t="shared" si="165"/>
        <v>26.466254568459092</v>
      </c>
      <c r="V551" s="26">
        <f t="shared" si="166"/>
        <v>4.0483724674113191</v>
      </c>
      <c r="W551" s="73" t="s">
        <v>1308</v>
      </c>
      <c r="X551" s="29">
        <v>8930</v>
      </c>
      <c r="Y551" s="73">
        <v>94706</v>
      </c>
      <c r="Z551" s="30">
        <f t="shared" si="103"/>
        <v>845724580</v>
      </c>
      <c r="AA551" s="31">
        <f t="shared" si="167"/>
        <v>25</v>
      </c>
      <c r="AB551" s="32">
        <v>1.84E-2</v>
      </c>
      <c r="AC551" s="32">
        <v>2.58E-2</v>
      </c>
      <c r="AD551" s="33">
        <f t="shared" si="133"/>
        <v>0.26517279488571249</v>
      </c>
      <c r="AE551" s="34">
        <f t="shared" si="134"/>
        <v>2.038951688298225E-2</v>
      </c>
      <c r="AF551" s="33">
        <f t="shared" si="135"/>
        <v>1.883287682697758</v>
      </c>
      <c r="AG551" s="33">
        <f t="shared" si="136"/>
        <v>6.1523453978397551E-3</v>
      </c>
      <c r="AH551" s="35">
        <f t="shared" si="137"/>
        <v>4.7715095948790971</v>
      </c>
      <c r="AI551" s="36">
        <f t="shared" si="168"/>
        <v>11.336803032519432</v>
      </c>
      <c r="AJ551" s="23"/>
      <c r="AK551" s="23"/>
      <c r="AL551" s="44"/>
      <c r="AM551" s="44"/>
      <c r="AN551" s="44"/>
      <c r="AO551" s="44"/>
      <c r="AP551" s="44"/>
      <c r="AQ551" s="44"/>
      <c r="AR551" s="44"/>
    </row>
    <row r="552" spans="1:44" ht="16.8">
      <c r="A552" s="78" t="s">
        <v>1309</v>
      </c>
      <c r="B552" s="79"/>
      <c r="C552" s="1" t="s">
        <v>1306</v>
      </c>
      <c r="D552" s="19" t="s">
        <v>1307</v>
      </c>
      <c r="E552" s="20" t="s">
        <v>39</v>
      </c>
      <c r="F552" s="21">
        <v>1996</v>
      </c>
      <c r="G552" s="40">
        <v>2022</v>
      </c>
      <c r="H552" s="23">
        <v>208918410584</v>
      </c>
      <c r="I552" s="23">
        <v>290266076851</v>
      </c>
      <c r="J552" s="23">
        <v>114802602913</v>
      </c>
      <c r="K552" s="23">
        <v>126133185422</v>
      </c>
      <c r="L552" s="23">
        <v>113166513334</v>
      </c>
      <c r="M552" s="23">
        <v>175463473938</v>
      </c>
      <c r="N552" s="23">
        <v>569573406630</v>
      </c>
      <c r="O552" s="25">
        <f t="shared" si="161"/>
        <v>95751897250</v>
      </c>
      <c r="P552" s="23">
        <v>7104541703</v>
      </c>
      <c r="Q552" s="23">
        <v>77862934158</v>
      </c>
      <c r="R552" s="25">
        <f t="shared" si="162"/>
        <v>491710472472</v>
      </c>
      <c r="S552" s="26">
        <f t="shared" si="163"/>
        <v>0.39550816326335891</v>
      </c>
      <c r="T552" s="27">
        <f t="shared" si="164"/>
        <v>1.8461151132879525</v>
      </c>
      <c r="U552" s="26">
        <f t="shared" si="165"/>
        <v>26.394063845657989</v>
      </c>
      <c r="V552" s="26">
        <f t="shared" si="166"/>
        <v>4.5156506967170884</v>
      </c>
      <c r="W552" s="73" t="s">
        <v>1310</v>
      </c>
      <c r="X552" s="29">
        <v>5440</v>
      </c>
      <c r="Y552" s="73">
        <v>0</v>
      </c>
      <c r="Z552" s="30">
        <f t="shared" si="103"/>
        <v>0</v>
      </c>
      <c r="AA552" s="31">
        <f t="shared" si="167"/>
        <v>26</v>
      </c>
      <c r="AB552" s="32">
        <v>3.15E-2</v>
      </c>
      <c r="AC552" s="32">
        <v>8.0199999999999994E-2</v>
      </c>
      <c r="AD552" s="33">
        <f t="shared" si="133"/>
        <v>0.32987629243065686</v>
      </c>
      <c r="AE552" s="34">
        <f t="shared" si="134"/>
        <v>2.4475962813411772E-2</v>
      </c>
      <c r="AF552" s="33">
        <f t="shared" si="135"/>
        <v>1.6939990983665854</v>
      </c>
      <c r="AG552" s="33">
        <f t="shared" si="136"/>
        <v>0</v>
      </c>
      <c r="AH552" s="35">
        <f t="shared" si="137"/>
        <v>4.9613283338326006</v>
      </c>
      <c r="AI552" s="36">
        <f t="shared" si="168"/>
        <v>10.981643257297897</v>
      </c>
      <c r="AJ552" s="23"/>
      <c r="AK552" s="23"/>
      <c r="AL552" s="44"/>
      <c r="AM552" s="44"/>
      <c r="AN552" s="44"/>
      <c r="AO552" s="44"/>
      <c r="AP552" s="44"/>
      <c r="AQ552" s="44"/>
      <c r="AR552" s="44"/>
    </row>
    <row r="553" spans="1:44" ht="16.8">
      <c r="A553" s="78" t="s">
        <v>1311</v>
      </c>
      <c r="B553" s="79"/>
      <c r="C553" s="1" t="s">
        <v>1306</v>
      </c>
      <c r="D553" s="19" t="s">
        <v>1307</v>
      </c>
      <c r="E553" s="20" t="s">
        <v>39</v>
      </c>
      <c r="F553" s="21">
        <v>1996</v>
      </c>
      <c r="G553" s="40">
        <v>2023</v>
      </c>
      <c r="H553" s="23">
        <v>297869885068</v>
      </c>
      <c r="I553" s="23">
        <v>371293069439</v>
      </c>
      <c r="J553" s="23">
        <v>191403664656</v>
      </c>
      <c r="K553" s="23">
        <v>153103133784.5</v>
      </c>
      <c r="L553" s="23">
        <v>191403664656</v>
      </c>
      <c r="M553" s="23">
        <v>179889404783</v>
      </c>
      <c r="N553" s="23">
        <v>706481577093</v>
      </c>
      <c r="O553" s="25">
        <f t="shared" si="161"/>
        <v>106466220412</v>
      </c>
      <c r="P553" s="23">
        <v>11247532810</v>
      </c>
      <c r="Q553" s="23">
        <v>106057364591</v>
      </c>
      <c r="R553" s="25">
        <f t="shared" si="162"/>
        <v>600424212502</v>
      </c>
      <c r="S553" s="26">
        <f t="shared" si="163"/>
        <v>0.51550562186684135</v>
      </c>
      <c r="T553" s="27">
        <f t="shared" si="164"/>
        <v>1.5562391953327868</v>
      </c>
      <c r="U553" s="26">
        <f t="shared" si="165"/>
        <v>26.640257532291358</v>
      </c>
      <c r="V553" s="26">
        <f t="shared" si="166"/>
        <v>4.614416175748608</v>
      </c>
      <c r="W553" s="73" t="s">
        <v>1312</v>
      </c>
      <c r="X553" s="29">
        <v>6590</v>
      </c>
      <c r="Y553" s="73">
        <v>400</v>
      </c>
      <c r="Z553" s="30">
        <f t="shared" si="103"/>
        <v>2636000</v>
      </c>
      <c r="AA553" s="31">
        <f t="shared" si="167"/>
        <v>27</v>
      </c>
      <c r="AB553" s="32">
        <v>3.2500000000000001E-2</v>
      </c>
      <c r="AC553" s="32">
        <v>5.0500000000000003E-2</v>
      </c>
      <c r="AD553" s="33">
        <f t="shared" si="133"/>
        <v>0.28674443229673968</v>
      </c>
      <c r="AE553" s="34">
        <f t="shared" si="134"/>
        <v>3.0292870338232546E-2</v>
      </c>
      <c r="AF553" s="33">
        <f t="shared" si="135"/>
        <v>1.6171166712300944</v>
      </c>
      <c r="AG553" s="33">
        <f t="shared" si="136"/>
        <v>1.3771941121072826E-5</v>
      </c>
      <c r="AH553" s="35">
        <f t="shared" si="137"/>
        <v>3.6910556459967636</v>
      </c>
      <c r="AI553" s="36">
        <f t="shared" si="168"/>
        <v>9.4140522614503599</v>
      </c>
      <c r="AJ553" s="23"/>
      <c r="AK553" s="23"/>
      <c r="AL553" s="44"/>
      <c r="AM553" s="44"/>
      <c r="AN553" s="44"/>
      <c r="AO553" s="44"/>
      <c r="AP553" s="44"/>
      <c r="AQ553" s="44"/>
      <c r="AR553" s="44"/>
    </row>
    <row r="554" spans="1:44" ht="16.8">
      <c r="A554" s="78" t="s">
        <v>1313</v>
      </c>
      <c r="B554" s="79">
        <v>220</v>
      </c>
      <c r="C554" s="1" t="s">
        <v>1314</v>
      </c>
      <c r="D554" s="19" t="s">
        <v>1315</v>
      </c>
      <c r="E554" s="20" t="s">
        <v>39</v>
      </c>
      <c r="F554" s="21">
        <v>1960</v>
      </c>
      <c r="G554" s="40">
        <v>2021</v>
      </c>
      <c r="H554" s="23">
        <v>2721738069056</v>
      </c>
      <c r="I554" s="23">
        <v>4898198061937</v>
      </c>
      <c r="J554" s="23">
        <v>2190220357037</v>
      </c>
      <c r="K554" s="23">
        <v>1748175340709</v>
      </c>
      <c r="L554" s="23">
        <v>2173499759514</v>
      </c>
      <c r="M554" s="23">
        <v>2707977704900</v>
      </c>
      <c r="N554" s="23">
        <v>4995476207069</v>
      </c>
      <c r="O554" s="25">
        <f t="shared" si="161"/>
        <v>548238309542</v>
      </c>
      <c r="P554" s="23">
        <v>467759648912</v>
      </c>
      <c r="Q554" s="23">
        <v>474617398007</v>
      </c>
      <c r="R554" s="25">
        <f t="shared" si="162"/>
        <v>4520858809062</v>
      </c>
      <c r="S554" s="26">
        <f t="shared" si="163"/>
        <v>0.44714818170722848</v>
      </c>
      <c r="T554" s="27">
        <f t="shared" si="164"/>
        <v>1.2522375754320707</v>
      </c>
      <c r="U554" s="26">
        <f t="shared" si="165"/>
        <v>29.219888510949453</v>
      </c>
      <c r="V554" s="26">
        <f t="shared" si="166"/>
        <v>2.8575372794373166</v>
      </c>
      <c r="W554" s="73" t="s">
        <v>1316</v>
      </c>
      <c r="X554" s="29">
        <v>42190</v>
      </c>
      <c r="Y554" s="73">
        <v>168701</v>
      </c>
      <c r="Z554" s="30">
        <f t="shared" si="103"/>
        <v>7117495190</v>
      </c>
      <c r="AA554" s="31">
        <f t="shared" si="167"/>
        <v>61</v>
      </c>
      <c r="AB554" s="32">
        <v>1.84E-2</v>
      </c>
      <c r="AC554" s="32">
        <v>2.58E-2</v>
      </c>
      <c r="AD554" s="33">
        <f t="shared" si="133"/>
        <v>0.11192652943176379</v>
      </c>
      <c r="AE554" s="34">
        <f t="shared" si="134"/>
        <v>9.5496270872930708E-2</v>
      </c>
      <c r="AF554" s="33">
        <f t="shared" si="135"/>
        <v>0.9229636596757419</v>
      </c>
      <c r="AG554" s="33">
        <f t="shared" si="136"/>
        <v>3.2496708229069584E-3</v>
      </c>
      <c r="AH554" s="35">
        <f t="shared" si="137"/>
        <v>2.280809869664</v>
      </c>
      <c r="AI554" s="36">
        <f t="shared" si="168"/>
        <v>5.5965463636279118</v>
      </c>
      <c r="AJ554" s="23"/>
      <c r="AK554" s="23"/>
      <c r="AL554" s="44"/>
      <c r="AM554" s="44"/>
      <c r="AN554" s="44"/>
      <c r="AO554" s="44"/>
      <c r="AP554" s="44"/>
      <c r="AQ554" s="44"/>
      <c r="AR554" s="44"/>
    </row>
    <row r="555" spans="1:44" ht="16.8">
      <c r="A555" s="78" t="s">
        <v>1317</v>
      </c>
      <c r="B555" s="79"/>
      <c r="C555" s="1" t="s">
        <v>1314</v>
      </c>
      <c r="D555" s="19" t="s">
        <v>1315</v>
      </c>
      <c r="E555" s="20" t="s">
        <v>39</v>
      </c>
      <c r="F555" s="21">
        <v>1960</v>
      </c>
      <c r="G555" s="40">
        <v>2022</v>
      </c>
      <c r="H555" s="23">
        <v>3075796747433</v>
      </c>
      <c r="I555" s="23">
        <v>5063837090084</v>
      </c>
      <c r="J555" s="23">
        <v>2233019745258</v>
      </c>
      <c r="K555" s="23">
        <v>2211620051147.5</v>
      </c>
      <c r="L555" s="24">
        <v>2233019745258</v>
      </c>
      <c r="M555" s="23">
        <v>2830817344826</v>
      </c>
      <c r="N555" s="23">
        <v>5833535613193</v>
      </c>
      <c r="O555" s="25">
        <f t="shared" si="161"/>
        <v>842777002175</v>
      </c>
      <c r="P555" s="23">
        <v>479539723632</v>
      </c>
      <c r="Q555" s="23">
        <f>620367663869+154378233969</f>
        <v>774745897838</v>
      </c>
      <c r="R555" s="25">
        <f t="shared" si="162"/>
        <v>5058789715355</v>
      </c>
      <c r="S555" s="26">
        <f t="shared" si="163"/>
        <v>0.44097385155432761</v>
      </c>
      <c r="T555" s="27">
        <f t="shared" si="164"/>
        <v>1.3774158307219209</v>
      </c>
      <c r="U555" s="26">
        <f t="shared" si="165"/>
        <v>29.253145630048369</v>
      </c>
      <c r="V555" s="26">
        <f t="shared" si="166"/>
        <v>2.6376753141509401</v>
      </c>
      <c r="W555" s="73" t="s">
        <v>286</v>
      </c>
      <c r="X555" s="29">
        <v>26440</v>
      </c>
      <c r="Y555" s="73">
        <v>4200</v>
      </c>
      <c r="Z555" s="30">
        <f t="shared" si="103"/>
        <v>111048000</v>
      </c>
      <c r="AA555" s="31">
        <f t="shared" si="167"/>
        <v>62</v>
      </c>
      <c r="AB555" s="32">
        <v>3.15E-2</v>
      </c>
      <c r="AC555" s="32">
        <v>8.0199999999999994E-2</v>
      </c>
      <c r="AD555" s="33">
        <f t="shared" si="133"/>
        <v>0.16643051251102153</v>
      </c>
      <c r="AE555" s="34">
        <f t="shared" si="134"/>
        <v>9.4698884482487422E-2</v>
      </c>
      <c r="AF555" s="33">
        <f t="shared" si="135"/>
        <v>0.9990032509657778</v>
      </c>
      <c r="AG555" s="33">
        <f t="shared" si="136"/>
        <v>4.9729967787261847E-5</v>
      </c>
      <c r="AH555" s="35">
        <f t="shared" si="137"/>
        <v>2.6123976850545052</v>
      </c>
      <c r="AI555" s="36">
        <f t="shared" si="168"/>
        <v>6.2414333045109522</v>
      </c>
      <c r="AJ555" s="23"/>
      <c r="AK555" s="23"/>
      <c r="AL555" s="44"/>
      <c r="AM555" s="44"/>
      <c r="AN555" s="44"/>
      <c r="AO555" s="44"/>
      <c r="AP555" s="44"/>
      <c r="AQ555" s="44"/>
      <c r="AR555" s="44"/>
    </row>
    <row r="556" spans="1:44" ht="16.8">
      <c r="A556" s="78" t="s">
        <v>1318</v>
      </c>
      <c r="B556" s="79"/>
      <c r="C556" s="1" t="s">
        <v>1314</v>
      </c>
      <c r="D556" s="19" t="s">
        <v>1315</v>
      </c>
      <c r="E556" s="20" t="s">
        <v>39</v>
      </c>
      <c r="F556" s="21">
        <v>1960</v>
      </c>
      <c r="G556" s="40">
        <v>2023</v>
      </c>
      <c r="H556" s="23">
        <v>3501190530399</v>
      </c>
      <c r="I556" s="23">
        <v>5453699138864</v>
      </c>
      <c r="J556" s="23">
        <v>2338199851626</v>
      </c>
      <c r="K556" s="23">
        <f>AVERAGE(J555:J556)</f>
        <v>2285609798442</v>
      </c>
      <c r="L556" s="23">
        <v>2338199851626</v>
      </c>
      <c r="M556" s="23">
        <v>3115499287238</v>
      </c>
      <c r="N556" s="23">
        <v>5304817250684</v>
      </c>
      <c r="O556" s="25">
        <f t="shared" si="161"/>
        <v>1162990678773</v>
      </c>
      <c r="P556" s="23">
        <v>5591414720517</v>
      </c>
      <c r="Q556" s="23">
        <f>632394350574+190068009046</f>
        <v>822462359620</v>
      </c>
      <c r="R556" s="25">
        <f t="shared" si="162"/>
        <v>4482354891064</v>
      </c>
      <c r="S556" s="26">
        <f t="shared" si="163"/>
        <v>0.42873649464151492</v>
      </c>
      <c r="T556" s="27">
        <f t="shared" si="164"/>
        <v>1.4973872006553453</v>
      </c>
      <c r="U556" s="26">
        <f t="shared" si="165"/>
        <v>29.327315235439116</v>
      </c>
      <c r="V556" s="26">
        <f t="shared" si="166"/>
        <v>2.3209636458069358</v>
      </c>
      <c r="W556" s="73" t="s">
        <v>1319</v>
      </c>
      <c r="X556" s="29">
        <v>34480</v>
      </c>
      <c r="Y556" s="73">
        <v>126600</v>
      </c>
      <c r="Z556" s="30">
        <f t="shared" si="103"/>
        <v>4365168000</v>
      </c>
      <c r="AA556" s="31">
        <f t="shared" si="167"/>
        <v>63</v>
      </c>
      <c r="AB556" s="32">
        <v>3.2500000000000001E-2</v>
      </c>
      <c r="AC556" s="32">
        <v>5.0500000000000003E-2</v>
      </c>
      <c r="AD556" s="33">
        <f t="shared" si="133"/>
        <v>0.21324804488852858</v>
      </c>
      <c r="AE556" s="34">
        <f t="shared" si="134"/>
        <v>1.025251774648076</v>
      </c>
      <c r="AF556" s="33">
        <f t="shared" si="135"/>
        <v>0.82189258646887331</v>
      </c>
      <c r="AG556" s="33">
        <f t="shared" si="136"/>
        <v>1.8668925998624251E-3</v>
      </c>
      <c r="AH556" s="35">
        <f t="shared" si="137"/>
        <v>2.2687612639248926</v>
      </c>
      <c r="AI556" s="36">
        <f t="shared" si="168"/>
        <v>6.6733770732056321</v>
      </c>
      <c r="AJ556" s="23"/>
      <c r="AK556" s="23"/>
      <c r="AL556" s="44"/>
      <c r="AM556" s="44"/>
      <c r="AN556" s="44"/>
      <c r="AO556" s="44"/>
      <c r="AP556" s="44"/>
      <c r="AQ556" s="44"/>
      <c r="AR556" s="44"/>
    </row>
    <row r="557" spans="1:44" ht="16.8">
      <c r="A557" s="78" t="s">
        <v>1320</v>
      </c>
      <c r="B557" s="79">
        <v>221</v>
      </c>
      <c r="C557" s="1" t="s">
        <v>1321</v>
      </c>
      <c r="D557" s="19" t="s">
        <v>1322</v>
      </c>
      <c r="E557" s="20" t="s">
        <v>39</v>
      </c>
      <c r="F557" s="21">
        <v>1995</v>
      </c>
      <c r="G557" s="40">
        <v>2021</v>
      </c>
      <c r="H557" s="142">
        <v>5410117000000</v>
      </c>
      <c r="I557" s="23">
        <v>73782685000000</v>
      </c>
      <c r="J557" s="23">
        <v>69518465000000</v>
      </c>
      <c r="K557" s="23">
        <v>77428442500000</v>
      </c>
      <c r="L557" s="142">
        <v>67461600000000</v>
      </c>
      <c r="M557" s="23">
        <v>4264220000000</v>
      </c>
      <c r="N557" s="23">
        <v>5542515000000</v>
      </c>
      <c r="O557" s="25">
        <f t="shared" si="161"/>
        <v>-62051483000000</v>
      </c>
      <c r="P557" s="23">
        <v>1400000000</v>
      </c>
      <c r="Q557" s="23">
        <v>99773000000</v>
      </c>
      <c r="R557" s="25">
        <f t="shared" si="162"/>
        <v>5442742000000</v>
      </c>
      <c r="S557" s="26">
        <f t="shared" si="163"/>
        <v>0.94220568145493755</v>
      </c>
      <c r="T557" s="27">
        <f t="shared" si="164"/>
        <v>8.0195503812539287E-2</v>
      </c>
      <c r="U557" s="26">
        <f t="shared" si="165"/>
        <v>31.93214519941105</v>
      </c>
      <c r="V557" s="26">
        <f t="shared" si="166"/>
        <v>7.1582416241938479E-2</v>
      </c>
      <c r="W557" s="73" t="s">
        <v>1323</v>
      </c>
      <c r="X557" s="29">
        <v>25480</v>
      </c>
      <c r="Y557" s="73">
        <v>1535658</v>
      </c>
      <c r="Z557" s="30">
        <f t="shared" si="103"/>
        <v>39128565840</v>
      </c>
      <c r="AA557" s="31">
        <f t="shared" si="167"/>
        <v>26</v>
      </c>
      <c r="AB557" s="32">
        <v>1.84E-2</v>
      </c>
      <c r="AC557" s="32">
        <v>2.58E-2</v>
      </c>
      <c r="AD557" s="33">
        <f t="shared" si="133"/>
        <v>-0.84100331941023831</v>
      </c>
      <c r="AE557" s="34">
        <f t="shared" si="134"/>
        <v>1.8974641543608776E-5</v>
      </c>
      <c r="AF557" s="33">
        <f t="shared" si="135"/>
        <v>7.3767198903103084E-2</v>
      </c>
      <c r="AG557" s="33">
        <f t="shared" si="136"/>
        <v>5.6285140703264951E-4</v>
      </c>
      <c r="AH557" s="35">
        <f t="shared" si="137"/>
        <v>7.9727235059059487E-2</v>
      </c>
      <c r="AI557" s="36">
        <f t="shared" si="168"/>
        <v>-0.68568071651060558</v>
      </c>
      <c r="AJ557" s="23"/>
      <c r="AK557" s="23"/>
      <c r="AL557" s="44"/>
      <c r="AM557" s="44"/>
      <c r="AN557" s="44"/>
      <c r="AO557" s="44"/>
      <c r="AP557" s="44"/>
      <c r="AQ557" s="44"/>
      <c r="AR557" s="44"/>
    </row>
    <row r="558" spans="1:44" ht="16.8">
      <c r="A558" s="78" t="s">
        <v>1324</v>
      </c>
      <c r="B558" s="79"/>
      <c r="C558" s="1" t="s">
        <v>1321</v>
      </c>
      <c r="D558" s="19" t="s">
        <v>1322</v>
      </c>
      <c r="E558" s="20" t="s">
        <v>39</v>
      </c>
      <c r="F558" s="21">
        <v>1995</v>
      </c>
      <c r="G558" s="40">
        <v>2022</v>
      </c>
      <c r="H558" s="142">
        <f>384031000000+3749729000000+11658654000000</f>
        <v>15792414000000</v>
      </c>
      <c r="I558" s="23">
        <v>89847242000000</v>
      </c>
      <c r="J558" s="23">
        <v>84083014000000</v>
      </c>
      <c r="K558" s="23">
        <v>76800739500000</v>
      </c>
      <c r="L558" s="142">
        <f>85172444000000+71350329000000+1996755000000+2196446000000</f>
        <v>160715974000000</v>
      </c>
      <c r="M558" s="23">
        <v>5764228000000</v>
      </c>
      <c r="N558" s="23">
        <v>4763294000000</v>
      </c>
      <c r="O558" s="25">
        <f t="shared" si="161"/>
        <v>-144923560000000</v>
      </c>
      <c r="P558" s="23">
        <v>8000000</v>
      </c>
      <c r="Q558" s="23">
        <v>142188000000</v>
      </c>
      <c r="R558" s="25">
        <f t="shared" si="162"/>
        <v>4621106000000</v>
      </c>
      <c r="S558" s="26">
        <f t="shared" si="163"/>
        <v>0.93584412975080522</v>
      </c>
      <c r="T558" s="27">
        <f t="shared" si="164"/>
        <v>9.8262877092727574E-2</v>
      </c>
      <c r="U558" s="26">
        <f t="shared" si="165"/>
        <v>32.129132033083209</v>
      </c>
      <c r="V558" s="26">
        <f t="shared" si="166"/>
        <v>6.2021460092841943E-2</v>
      </c>
      <c r="W558" s="73" t="s">
        <v>1325</v>
      </c>
      <c r="X558" s="29">
        <v>19500</v>
      </c>
      <c r="Y558" s="73">
        <v>119658</v>
      </c>
      <c r="Z558" s="30">
        <f t="shared" si="103"/>
        <v>2333331000</v>
      </c>
      <c r="AA558" s="31">
        <f t="shared" si="167"/>
        <v>27</v>
      </c>
      <c r="AB558" s="32">
        <v>3.15E-2</v>
      </c>
      <c r="AC558" s="32">
        <v>8.0199999999999994E-2</v>
      </c>
      <c r="AD558" s="33">
        <f t="shared" si="133"/>
        <v>-1.6129995398189296</v>
      </c>
      <c r="AE558" s="34">
        <f t="shared" si="134"/>
        <v>8.9040017499925043E-8</v>
      </c>
      <c r="AF558" s="33">
        <f t="shared" si="135"/>
        <v>5.1432919888626076E-2</v>
      </c>
      <c r="AG558" s="33">
        <f t="shared" si="136"/>
        <v>2.7750325410552007E-5</v>
      </c>
      <c r="AH558" s="35">
        <f t="shared" si="137"/>
        <v>5.6649896018237403E-2</v>
      </c>
      <c r="AI558" s="36">
        <f t="shared" si="168"/>
        <v>-1.7092041412807413</v>
      </c>
      <c r="AJ558" s="23"/>
      <c r="AK558" s="23"/>
      <c r="AL558" s="44"/>
      <c r="AM558" s="44"/>
      <c r="AN558" s="44"/>
      <c r="AO558" s="44"/>
      <c r="AP558" s="44"/>
      <c r="AQ558" s="44"/>
      <c r="AR558" s="44"/>
    </row>
    <row r="559" spans="1:44" ht="16.8">
      <c r="A559" s="78" t="s">
        <v>1326</v>
      </c>
      <c r="B559" s="79"/>
      <c r="C559" s="1" t="s">
        <v>1321</v>
      </c>
      <c r="D559" s="19" t="s">
        <v>1322</v>
      </c>
      <c r="E559" s="20" t="s">
        <v>39</v>
      </c>
      <c r="F559" s="21">
        <v>1995</v>
      </c>
      <c r="G559" s="40">
        <v>2023</v>
      </c>
      <c r="H559" s="142">
        <f>248513000000+2287057000000+8460000000</f>
        <v>2544030000000</v>
      </c>
      <c r="I559" s="23">
        <v>96249499000000</v>
      </c>
      <c r="J559" s="23">
        <v>91154827000000</v>
      </c>
      <c r="K559" s="23">
        <v>87618920500000</v>
      </c>
      <c r="L559" s="142">
        <f>(9030301+76850214+256047+3166906+2064341)*1000000</f>
        <v>91367809000000</v>
      </c>
      <c r="M559" s="23">
        <v>5094672000000</v>
      </c>
      <c r="N559" s="23">
        <v>6433619000000</v>
      </c>
      <c r="O559" s="25">
        <f t="shared" si="161"/>
        <v>-88823779000000</v>
      </c>
      <c r="P559" s="23">
        <v>-669556000000</v>
      </c>
      <c r="Q559" s="23">
        <v>102350000000</v>
      </c>
      <c r="R559" s="25">
        <f t="shared" si="162"/>
        <v>6331269000000</v>
      </c>
      <c r="S559" s="26">
        <f t="shared" si="163"/>
        <v>0.94706806733612192</v>
      </c>
      <c r="T559" s="27">
        <f t="shared" si="164"/>
        <v>2.7843832831758064E-2</v>
      </c>
      <c r="U559" s="26">
        <f t="shared" si="165"/>
        <v>32.197964883888091</v>
      </c>
      <c r="V559" s="26">
        <f t="shared" si="166"/>
        <v>7.3427279898980263E-2</v>
      </c>
      <c r="W559" s="73" t="s">
        <v>1327</v>
      </c>
      <c r="X559" s="29">
        <v>10500</v>
      </c>
      <c r="Y559" s="73">
        <v>466063</v>
      </c>
      <c r="Z559" s="30">
        <f t="shared" si="103"/>
        <v>4893661500</v>
      </c>
      <c r="AA559" s="31">
        <f t="shared" si="167"/>
        <v>28</v>
      </c>
      <c r="AB559" s="32">
        <v>3.2500000000000001E-2</v>
      </c>
      <c r="AC559" s="32">
        <v>5.0500000000000003E-2</v>
      </c>
      <c r="AD559" s="33">
        <f t="shared" si="133"/>
        <v>-0.92284926075303519</v>
      </c>
      <c r="AE559" s="34">
        <f t="shared" si="134"/>
        <v>-6.9564621837667952E-3</v>
      </c>
      <c r="AF559" s="33">
        <f t="shared" si="135"/>
        <v>6.5779760578286231E-2</v>
      </c>
      <c r="AG559" s="33">
        <f t="shared" si="136"/>
        <v>5.36851603042371E-5</v>
      </c>
      <c r="AH559" s="35">
        <f t="shared" si="137"/>
        <v>7.0579027043735157E-2</v>
      </c>
      <c r="AI559" s="36">
        <f t="shared" si="168"/>
        <v>-0.8294737119126534</v>
      </c>
      <c r="AJ559" s="23"/>
      <c r="AK559" s="23"/>
      <c r="AL559" s="44"/>
      <c r="AM559" s="44"/>
      <c r="AN559" s="44"/>
      <c r="AO559" s="44"/>
      <c r="AP559" s="44"/>
      <c r="AQ559" s="44"/>
      <c r="AR559" s="44"/>
    </row>
    <row r="560" spans="1:44" ht="16.8">
      <c r="A560" s="45"/>
      <c r="B560" s="45">
        <v>222</v>
      </c>
      <c r="C560" s="45" t="s">
        <v>1328</v>
      </c>
      <c r="D560" s="46" t="s">
        <v>1329</v>
      </c>
      <c r="E560" s="47" t="s">
        <v>39</v>
      </c>
      <c r="F560" s="48"/>
      <c r="G560" s="48"/>
      <c r="H560" s="49"/>
      <c r="I560" s="49"/>
      <c r="J560" s="49"/>
      <c r="K560" s="49"/>
      <c r="L560" s="49"/>
      <c r="M560" s="49"/>
      <c r="N560" s="49"/>
      <c r="O560" s="49">
        <f t="shared" si="161"/>
        <v>0</v>
      </c>
      <c r="P560" s="49"/>
      <c r="Q560" s="49"/>
      <c r="R560" s="49">
        <f t="shared" si="162"/>
        <v>0</v>
      </c>
      <c r="S560" s="50" t="e">
        <f t="shared" si="163"/>
        <v>#DIV/0!</v>
      </c>
      <c r="T560" s="51" t="e">
        <f t="shared" si="164"/>
        <v>#DIV/0!</v>
      </c>
      <c r="U560" s="50" t="e">
        <f t="shared" si="165"/>
        <v>#NUM!</v>
      </c>
      <c r="V560" s="50" t="e">
        <f t="shared" si="166"/>
        <v>#DIV/0!</v>
      </c>
      <c r="W560" s="52"/>
      <c r="X560" s="53">
        <v>0</v>
      </c>
      <c r="Y560" s="52"/>
      <c r="Z560" s="55">
        <f t="shared" si="103"/>
        <v>0</v>
      </c>
      <c r="AA560" s="48">
        <f t="shared" si="167"/>
        <v>0</v>
      </c>
      <c r="AB560" s="49"/>
      <c r="AC560" s="49"/>
      <c r="AD560" s="50" t="e">
        <f t="shared" si="133"/>
        <v>#DIV/0!</v>
      </c>
      <c r="AE560" s="56" t="e">
        <f t="shared" si="134"/>
        <v>#DIV/0!</v>
      </c>
      <c r="AF560" s="50" t="e">
        <f t="shared" si="135"/>
        <v>#DIV/0!</v>
      </c>
      <c r="AG560" s="50" t="e">
        <f t="shared" si="136"/>
        <v>#DIV/0!</v>
      </c>
      <c r="AH560" s="57" t="e">
        <f t="shared" si="137"/>
        <v>#DIV/0!</v>
      </c>
      <c r="AI560" s="58" t="e">
        <f t="shared" si="168"/>
        <v>#DIV/0!</v>
      </c>
      <c r="AJ560" s="49"/>
      <c r="AK560" s="49"/>
      <c r="AL560" s="59"/>
      <c r="AM560" s="59"/>
      <c r="AN560" s="59"/>
      <c r="AO560" s="59"/>
      <c r="AP560" s="59"/>
      <c r="AQ560" s="59"/>
      <c r="AR560" s="59"/>
    </row>
    <row r="561" spans="1:44" ht="16.8">
      <c r="A561" s="78" t="s">
        <v>1330</v>
      </c>
      <c r="B561" s="79">
        <v>224</v>
      </c>
      <c r="C561" s="1" t="s">
        <v>1331</v>
      </c>
      <c r="D561" s="19" t="s">
        <v>1332</v>
      </c>
      <c r="E561" s="20" t="s">
        <v>39</v>
      </c>
      <c r="F561" s="21">
        <v>1994</v>
      </c>
      <c r="G561" s="40">
        <v>2021</v>
      </c>
      <c r="H561" s="23">
        <v>511920974113</v>
      </c>
      <c r="I561" s="23">
        <v>530547924338</v>
      </c>
      <c r="J561" s="23">
        <v>431873747941</v>
      </c>
      <c r="K561" s="37">
        <v>410440370878</v>
      </c>
      <c r="L561" s="23">
        <v>422950963130</v>
      </c>
      <c r="M561" s="23">
        <v>98674176397</v>
      </c>
      <c r="N561" s="23">
        <v>705612396316</v>
      </c>
      <c r="O561" s="25">
        <f t="shared" si="161"/>
        <v>88970010983</v>
      </c>
      <c r="P561" s="23">
        <v>6730806186</v>
      </c>
      <c r="Q561" s="23">
        <f>3011723320+22594674268</f>
        <v>25606397588</v>
      </c>
      <c r="R561" s="25">
        <f t="shared" si="162"/>
        <v>680005998728</v>
      </c>
      <c r="S561" s="26">
        <f t="shared" si="163"/>
        <v>0.81401458403569793</v>
      </c>
      <c r="T561" s="27">
        <f t="shared" si="164"/>
        <v>1.210355380975108</v>
      </c>
      <c r="U561" s="26">
        <f t="shared" si="165"/>
        <v>26.997176128974878</v>
      </c>
      <c r="V561" s="26">
        <f t="shared" si="166"/>
        <v>1.7191593380704195</v>
      </c>
      <c r="W561" s="91" t="s">
        <v>1333</v>
      </c>
      <c r="X561" s="29">
        <v>7790</v>
      </c>
      <c r="Y561" s="91">
        <v>30620</v>
      </c>
      <c r="Z561" s="30">
        <f t="shared" si="103"/>
        <v>238529800</v>
      </c>
      <c r="AA561" s="31">
        <f t="shared" si="167"/>
        <v>27</v>
      </c>
      <c r="AB561" s="32">
        <v>1.84E-2</v>
      </c>
      <c r="AC561" s="32">
        <v>2.58E-2</v>
      </c>
      <c r="AD561" s="33">
        <f t="shared" si="133"/>
        <v>0.16769457932384491</v>
      </c>
      <c r="AE561" s="34">
        <f t="shared" si="134"/>
        <v>1.2686518742672447E-2</v>
      </c>
      <c r="AF561" s="33">
        <f t="shared" si="135"/>
        <v>1.2817051345106831</v>
      </c>
      <c r="AG561" s="33">
        <f t="shared" si="136"/>
        <v>5.5231372857742335E-4</v>
      </c>
      <c r="AH561" s="35">
        <f t="shared" si="137"/>
        <v>1.6338395183316319</v>
      </c>
      <c r="AI561" s="36">
        <f t="shared" si="168"/>
        <v>6.0827924718823878</v>
      </c>
      <c r="AJ561" s="23"/>
      <c r="AK561" s="23"/>
      <c r="AL561" s="44"/>
      <c r="AM561" s="44"/>
      <c r="AN561" s="44"/>
      <c r="AO561" s="44"/>
      <c r="AP561" s="44"/>
      <c r="AQ561" s="44"/>
      <c r="AR561" s="44"/>
    </row>
    <row r="562" spans="1:44" ht="16.8">
      <c r="A562" s="78" t="s">
        <v>1334</v>
      </c>
      <c r="B562" s="79"/>
      <c r="C562" s="1" t="s">
        <v>1331</v>
      </c>
      <c r="D562" s="19" t="s">
        <v>1335</v>
      </c>
      <c r="E562" s="20" t="s">
        <v>39</v>
      </c>
      <c r="F562" s="21">
        <v>1994</v>
      </c>
      <c r="G562" s="40">
        <v>2022</v>
      </c>
      <c r="H562" s="23">
        <v>495463025125</v>
      </c>
      <c r="I562" s="23">
        <v>511993711184</v>
      </c>
      <c r="J562" s="23">
        <v>411658561960</v>
      </c>
      <c r="K562" s="37">
        <v>421766154950.5</v>
      </c>
      <c r="L562" s="23">
        <v>404658561960</v>
      </c>
      <c r="M562" s="23">
        <v>100335149224</v>
      </c>
      <c r="N562" s="23">
        <v>725818606219</v>
      </c>
      <c r="O562" s="25">
        <f t="shared" si="161"/>
        <v>90804463165</v>
      </c>
      <c r="P562" s="23">
        <v>6038964967</v>
      </c>
      <c r="Q562" s="23">
        <f>2259331595+27731268206</f>
        <v>29990599801</v>
      </c>
      <c r="R562" s="25">
        <f t="shared" si="162"/>
        <v>695828006418</v>
      </c>
      <c r="S562" s="26">
        <f t="shared" si="163"/>
        <v>0.80403050460918335</v>
      </c>
      <c r="T562" s="27">
        <f t="shared" si="164"/>
        <v>1.2243977310777274</v>
      </c>
      <c r="U562" s="26">
        <f t="shared" si="165"/>
        <v>26.961578179066734</v>
      </c>
      <c r="V562" s="26">
        <f t="shared" si="166"/>
        <v>1.7209029166984362</v>
      </c>
      <c r="W562" s="91" t="s">
        <v>1336</v>
      </c>
      <c r="X562" s="29">
        <v>5590</v>
      </c>
      <c r="Y562" s="91">
        <v>6009</v>
      </c>
      <c r="Z562" s="30">
        <f t="shared" si="103"/>
        <v>33590310</v>
      </c>
      <c r="AA562" s="31">
        <f t="shared" si="167"/>
        <v>28</v>
      </c>
      <c r="AB562" s="32">
        <v>3.15E-2</v>
      </c>
      <c r="AC562" s="32">
        <v>8.0199999999999994E-2</v>
      </c>
      <c r="AD562" s="33">
        <f t="shared" si="133"/>
        <v>0.17735464553854011</v>
      </c>
      <c r="AE562" s="34">
        <f t="shared" si="134"/>
        <v>1.179499832729336E-2</v>
      </c>
      <c r="AF562" s="33">
        <f t="shared" si="135"/>
        <v>1.3590557681048034</v>
      </c>
      <c r="AG562" s="33">
        <f t="shared" si="136"/>
        <v>8.1597501191445887E-5</v>
      </c>
      <c r="AH562" s="35">
        <f t="shared" si="137"/>
        <v>1.7631568326022726</v>
      </c>
      <c r="AI562" s="36">
        <f t="shared" si="168"/>
        <v>6.4774283981532976</v>
      </c>
      <c r="AJ562" s="23"/>
      <c r="AK562" s="23"/>
      <c r="AL562" s="44"/>
      <c r="AM562" s="44"/>
      <c r="AN562" s="44"/>
      <c r="AO562" s="44"/>
      <c r="AP562" s="44"/>
      <c r="AQ562" s="44"/>
      <c r="AR562" s="44"/>
    </row>
    <row r="563" spans="1:44" ht="16.8">
      <c r="A563" s="78" t="s">
        <v>1337</v>
      </c>
      <c r="B563" s="79"/>
      <c r="C563" s="1" t="s">
        <v>1331</v>
      </c>
      <c r="D563" s="19" t="s">
        <v>1338</v>
      </c>
      <c r="E563" s="20" t="s">
        <v>39</v>
      </c>
      <c r="F563" s="21">
        <v>1994</v>
      </c>
      <c r="G563" s="40">
        <v>2023</v>
      </c>
      <c r="H563" s="23">
        <v>352664810142</v>
      </c>
      <c r="I563" s="23">
        <v>366939884252</v>
      </c>
      <c r="J563" s="23">
        <v>265889364645</v>
      </c>
      <c r="K563" s="37">
        <v>338773963302.5</v>
      </c>
      <c r="L563" s="23">
        <v>260790630466</v>
      </c>
      <c r="M563" s="23">
        <v>101050519607</v>
      </c>
      <c r="N563" s="23">
        <v>524026441095</v>
      </c>
      <c r="O563" s="25">
        <f t="shared" si="161"/>
        <v>91874179676</v>
      </c>
      <c r="P563" s="23">
        <v>1802370383</v>
      </c>
      <c r="Q563" s="23">
        <f>2333780096+22338801524</f>
        <v>24672581620</v>
      </c>
      <c r="R563" s="25">
        <f t="shared" si="162"/>
        <v>499353859475</v>
      </c>
      <c r="S563" s="26">
        <f t="shared" si="163"/>
        <v>0.72461287544964059</v>
      </c>
      <c r="T563" s="27">
        <f t="shared" si="164"/>
        <v>1.3522909527532965</v>
      </c>
      <c r="U563" s="26">
        <f t="shared" si="165"/>
        <v>26.628463868455718</v>
      </c>
      <c r="V563" s="26">
        <f t="shared" si="166"/>
        <v>1.5468321000427159</v>
      </c>
      <c r="W563" s="91" t="s">
        <v>1339</v>
      </c>
      <c r="X563" s="29">
        <v>5500</v>
      </c>
      <c r="Y563" s="91">
        <v>206</v>
      </c>
      <c r="Z563" s="30">
        <f t="shared" si="103"/>
        <v>1133000</v>
      </c>
      <c r="AA563" s="31">
        <f t="shared" si="167"/>
        <v>29</v>
      </c>
      <c r="AB563" s="32">
        <v>3.2500000000000001E-2</v>
      </c>
      <c r="AC563" s="32">
        <v>5.0500000000000003E-2</v>
      </c>
      <c r="AD563" s="33">
        <f t="shared" si="133"/>
        <v>0.25037937716496472</v>
      </c>
      <c r="AE563" s="34">
        <f t="shared" si="134"/>
        <v>4.9118955457079783E-3</v>
      </c>
      <c r="AF563" s="33">
        <f t="shared" si="135"/>
        <v>1.3608601324244798</v>
      </c>
      <c r="AG563" s="33">
        <f t="shared" si="136"/>
        <v>4.2611708125773126E-6</v>
      </c>
      <c r="AH563" s="35">
        <f t="shared" si="137"/>
        <v>1.9708439327562033</v>
      </c>
      <c r="AI563" s="36">
        <f t="shared" si="168"/>
        <v>6.7690168328214231</v>
      </c>
      <c r="AJ563" s="23"/>
      <c r="AK563" s="23"/>
      <c r="AL563" s="44"/>
      <c r="AM563" s="44"/>
      <c r="AN563" s="44"/>
      <c r="AO563" s="44"/>
      <c r="AP563" s="44"/>
      <c r="AQ563" s="44"/>
      <c r="AR563" s="44"/>
    </row>
    <row r="564" spans="1:44" ht="16.8">
      <c r="A564" s="78" t="s">
        <v>1340</v>
      </c>
      <c r="B564" s="79">
        <v>225</v>
      </c>
      <c r="C564" s="1" t="s">
        <v>1341</v>
      </c>
      <c r="D564" s="19" t="s">
        <v>1342</v>
      </c>
      <c r="E564" s="20" t="s">
        <v>39</v>
      </c>
      <c r="F564" s="21">
        <v>2006</v>
      </c>
      <c r="G564" s="40">
        <v>2021</v>
      </c>
      <c r="H564" s="23">
        <v>4732110458051</v>
      </c>
      <c r="I564" s="23">
        <v>4764070036075</v>
      </c>
      <c r="J564" s="23">
        <v>2591992675682</v>
      </c>
      <c r="K564" s="23">
        <v>8782230648517</v>
      </c>
      <c r="L564" s="23">
        <v>591992675682</v>
      </c>
      <c r="M564" s="23">
        <v>2172077360393</v>
      </c>
      <c r="N564" s="23">
        <v>1346028798482</v>
      </c>
      <c r="O564" s="25">
        <f t="shared" si="161"/>
        <v>4140117782369</v>
      </c>
      <c r="P564" s="23">
        <v>210684062435</v>
      </c>
      <c r="Q564" s="23">
        <v>781091372858</v>
      </c>
      <c r="R564" s="25">
        <f t="shared" si="162"/>
        <v>564937425624</v>
      </c>
      <c r="S564" s="26">
        <f t="shared" si="163"/>
        <v>0.54407106865655541</v>
      </c>
      <c r="T564" s="27">
        <f t="shared" si="164"/>
        <v>7.9935287249954801</v>
      </c>
      <c r="U564" s="26">
        <f t="shared" si="165"/>
        <v>29.192123468420803</v>
      </c>
      <c r="V564" s="26">
        <f t="shared" si="166"/>
        <v>0.15326730216420534</v>
      </c>
      <c r="W564" s="91" t="s">
        <v>1343</v>
      </c>
      <c r="X564" s="29">
        <v>20000</v>
      </c>
      <c r="Y564" s="91">
        <v>1802500</v>
      </c>
      <c r="Z564" s="30">
        <f t="shared" si="103"/>
        <v>36050000000</v>
      </c>
      <c r="AA564" s="31">
        <f t="shared" si="167"/>
        <v>15</v>
      </c>
      <c r="AB564" s="32">
        <v>1.84E-2</v>
      </c>
      <c r="AC564" s="32">
        <v>2.58E-2</v>
      </c>
      <c r="AD564" s="33">
        <f t="shared" si="133"/>
        <v>0.8690295799639296</v>
      </c>
      <c r="AE564" s="34">
        <f t="shared" si="134"/>
        <v>4.4223544330716305E-2</v>
      </c>
      <c r="AF564" s="33">
        <f t="shared" si="135"/>
        <v>0.11858293882040366</v>
      </c>
      <c r="AG564" s="33">
        <f t="shared" si="136"/>
        <v>1.3908218313354067E-2</v>
      </c>
      <c r="AH564" s="35">
        <f t="shared" si="137"/>
        <v>0.51930270139665247</v>
      </c>
      <c r="AI564" s="36">
        <f t="shared" si="168"/>
        <v>2.0237197885117153</v>
      </c>
      <c r="AJ564" s="23"/>
      <c r="AK564" s="23"/>
      <c r="AL564" s="44"/>
      <c r="AM564" s="44"/>
      <c r="AN564" s="44"/>
      <c r="AO564" s="44"/>
      <c r="AP564" s="44"/>
      <c r="AQ564" s="44"/>
      <c r="AR564" s="44"/>
    </row>
    <row r="565" spans="1:44" ht="16.8">
      <c r="A565" s="78" t="s">
        <v>1344</v>
      </c>
      <c r="B565" s="79"/>
      <c r="C565" s="1" t="s">
        <v>1341</v>
      </c>
      <c r="D565" s="19" t="s">
        <v>1342</v>
      </c>
      <c r="E565" s="20" t="s">
        <v>39</v>
      </c>
      <c r="F565" s="21">
        <v>2006</v>
      </c>
      <c r="G565" s="40">
        <v>2022</v>
      </c>
      <c r="H565" s="23">
        <v>6626296601622</v>
      </c>
      <c r="I565" s="23">
        <v>6706708866907</v>
      </c>
      <c r="J565" s="23">
        <v>4398956657152</v>
      </c>
      <c r="K565" s="23">
        <v>3495474666417</v>
      </c>
      <c r="L565" s="23">
        <v>1398956657152</v>
      </c>
      <c r="M565" s="23">
        <v>2307752209755</v>
      </c>
      <c r="N565" s="23">
        <v>2720792461443</v>
      </c>
      <c r="O565" s="25">
        <f t="shared" si="161"/>
        <v>5227339944470</v>
      </c>
      <c r="P565" s="23">
        <v>135674849362</v>
      </c>
      <c r="Q565" s="23">
        <v>2045230289028</v>
      </c>
      <c r="R565" s="25">
        <f t="shared" si="162"/>
        <v>675562172415</v>
      </c>
      <c r="S565" s="26">
        <f t="shared" si="163"/>
        <v>0.65590392313849022</v>
      </c>
      <c r="T565" s="27">
        <f t="shared" si="164"/>
        <v>4.7365989273118965</v>
      </c>
      <c r="U565" s="26">
        <f t="shared" si="165"/>
        <v>29.534129464754535</v>
      </c>
      <c r="V565" s="26">
        <f t="shared" si="166"/>
        <v>0.7783756774389442</v>
      </c>
      <c r="W565" s="91" t="s">
        <v>1345</v>
      </c>
      <c r="X565" s="29">
        <v>6640</v>
      </c>
      <c r="Y565" s="91">
        <v>505412</v>
      </c>
      <c r="Z565" s="30">
        <f t="shared" si="103"/>
        <v>3355935680</v>
      </c>
      <c r="AA565" s="31">
        <f t="shared" si="167"/>
        <v>16</v>
      </c>
      <c r="AB565" s="32">
        <v>3.15E-2</v>
      </c>
      <c r="AC565" s="32">
        <v>8.0199999999999994E-2</v>
      </c>
      <c r="AD565" s="33">
        <f t="shared" si="133"/>
        <v>0.77941954067267338</v>
      </c>
      <c r="AE565" s="34">
        <f t="shared" si="134"/>
        <v>2.022972102329686E-2</v>
      </c>
      <c r="AF565" s="33">
        <f t="shared" si="135"/>
        <v>0.10072931236786424</v>
      </c>
      <c r="AG565" s="33">
        <f t="shared" si="136"/>
        <v>7.6289355443950218E-4</v>
      </c>
      <c r="AH565" s="35">
        <f t="shared" si="137"/>
        <v>0.61850858589830082</v>
      </c>
      <c r="AI565" s="36">
        <f t="shared" si="168"/>
        <v>1.9149981110847403</v>
      </c>
      <c r="AJ565" s="23"/>
      <c r="AK565" s="23"/>
      <c r="AL565" s="44"/>
      <c r="AM565" s="44"/>
      <c r="AN565" s="44"/>
      <c r="AO565" s="44"/>
      <c r="AP565" s="44"/>
      <c r="AQ565" s="44"/>
      <c r="AR565" s="44"/>
    </row>
    <row r="566" spans="1:44" ht="16.8">
      <c r="A566" s="78" t="s">
        <v>1346</v>
      </c>
      <c r="B566" s="79"/>
      <c r="C566" s="1" t="s">
        <v>1341</v>
      </c>
      <c r="D566" s="19" t="s">
        <v>1342</v>
      </c>
      <c r="E566" s="20" t="s">
        <v>39</v>
      </c>
      <c r="F566" s="21">
        <v>2006</v>
      </c>
      <c r="G566" s="40">
        <v>2023</v>
      </c>
      <c r="H566" s="23">
        <v>6877348376033</v>
      </c>
      <c r="I566" s="23">
        <v>6931757094757</v>
      </c>
      <c r="J566" s="23">
        <v>4395485041182</v>
      </c>
      <c r="K566" s="23">
        <v>4397220849167</v>
      </c>
      <c r="L566" s="23">
        <v>1395485041182</v>
      </c>
      <c r="M566" s="23">
        <v>2536272053575</v>
      </c>
      <c r="N566" s="23">
        <v>2821596037478</v>
      </c>
      <c r="O566" s="25">
        <f t="shared" si="161"/>
        <v>5481863334851</v>
      </c>
      <c r="P566" s="23">
        <v>228519843820</v>
      </c>
      <c r="Q566" s="23">
        <v>2034144191485</v>
      </c>
      <c r="R566" s="25">
        <f t="shared" si="162"/>
        <v>787451845993</v>
      </c>
      <c r="S566" s="26">
        <f t="shared" si="163"/>
        <v>0.63410834815701056</v>
      </c>
      <c r="T566" s="27">
        <f t="shared" si="164"/>
        <v>4.9282852722002426</v>
      </c>
      <c r="U566" s="26">
        <f t="shared" si="165"/>
        <v>29.567134446019221</v>
      </c>
      <c r="V566" s="26">
        <f t="shared" si="166"/>
        <v>0.64167712613582217</v>
      </c>
      <c r="W566" s="94">
        <v>45729</v>
      </c>
      <c r="X566" s="42">
        <v>13030</v>
      </c>
      <c r="Y566" s="91">
        <v>2630707</v>
      </c>
      <c r="Z566" s="30">
        <f t="shared" si="103"/>
        <v>34278112210</v>
      </c>
      <c r="AA566" s="31">
        <f t="shared" si="167"/>
        <v>17</v>
      </c>
      <c r="AB566" s="32">
        <v>3.2500000000000001E-2</v>
      </c>
      <c r="AC566" s="32">
        <v>5.0500000000000003E-2</v>
      </c>
      <c r="AD566" s="33">
        <f t="shared" si="133"/>
        <v>0.79083315527564257</v>
      </c>
      <c r="AE566" s="34">
        <f t="shared" si="134"/>
        <v>3.2967087665672308E-2</v>
      </c>
      <c r="AF566" s="33">
        <f t="shared" si="135"/>
        <v>0.11360061168164823</v>
      </c>
      <c r="AG566" s="33">
        <f t="shared" si="136"/>
        <v>7.7984822809867181E-3</v>
      </c>
      <c r="AH566" s="35">
        <f t="shared" si="137"/>
        <v>0.64193052895005143</v>
      </c>
      <c r="AI566" s="36">
        <f t="shared" si="168"/>
        <v>2.0166453459307947</v>
      </c>
      <c r="AJ566" s="23"/>
      <c r="AK566" s="23"/>
      <c r="AL566" s="44"/>
      <c r="AM566" s="44"/>
      <c r="AN566" s="44"/>
      <c r="AO566" s="44"/>
      <c r="AP566" s="44"/>
      <c r="AQ566" s="44"/>
      <c r="AR566" s="44"/>
    </row>
    <row r="567" spans="1:44" ht="16.8">
      <c r="A567" s="78" t="s">
        <v>1347</v>
      </c>
      <c r="B567" s="79">
        <v>226</v>
      </c>
      <c r="C567" s="1" t="s">
        <v>1348</v>
      </c>
      <c r="D567" s="19" t="s">
        <v>1349</v>
      </c>
      <c r="E567" s="20" t="s">
        <v>39</v>
      </c>
      <c r="F567" s="21">
        <v>2010</v>
      </c>
      <c r="G567" s="40">
        <v>2021</v>
      </c>
      <c r="H567" s="23">
        <v>59039032850</v>
      </c>
      <c r="I567" s="23">
        <v>102143513634</v>
      </c>
      <c r="J567" s="23">
        <v>38896327438</v>
      </c>
      <c r="K567" s="23">
        <v>30003912384</v>
      </c>
      <c r="L567" s="23">
        <v>36219983906</v>
      </c>
      <c r="M567" s="23">
        <v>63247186196</v>
      </c>
      <c r="N567" s="23">
        <v>329896168593</v>
      </c>
      <c r="O567" s="25">
        <f t="shared" si="161"/>
        <v>22819048944</v>
      </c>
      <c r="P567" s="23">
        <v>5800458987</v>
      </c>
      <c r="Q567" s="23">
        <f>7220588958+14405103333</f>
        <v>21625692291</v>
      </c>
      <c r="R567" s="25">
        <f t="shared" si="162"/>
        <v>308270476302</v>
      </c>
      <c r="S567" s="26">
        <f t="shared" si="163"/>
        <v>0.38080075820940601</v>
      </c>
      <c r="T567" s="27">
        <f t="shared" si="164"/>
        <v>1.6300126748598562</v>
      </c>
      <c r="U567" s="26">
        <f t="shared" si="165"/>
        <v>25.349644657750463</v>
      </c>
      <c r="V567" s="26">
        <f t="shared" si="166"/>
        <v>10.99510505066405</v>
      </c>
      <c r="W567" s="91" t="s">
        <v>1350</v>
      </c>
      <c r="X567" s="29">
        <v>12360</v>
      </c>
      <c r="Y567" s="91">
        <v>59211</v>
      </c>
      <c r="Z567" s="30">
        <f t="shared" si="103"/>
        <v>731847960</v>
      </c>
      <c r="AA567" s="31">
        <f t="shared" si="167"/>
        <v>11</v>
      </c>
      <c r="AB567" s="32">
        <v>1.84E-2</v>
      </c>
      <c r="AC567" s="32">
        <v>2.58E-2</v>
      </c>
      <c r="AD567" s="33">
        <f t="shared" si="133"/>
        <v>0.22340184052964021</v>
      </c>
      <c r="AE567" s="34">
        <f t="shared" si="134"/>
        <v>5.6787345379405767E-2</v>
      </c>
      <c r="AF567" s="33">
        <f t="shared" si="135"/>
        <v>3.0180132377920037</v>
      </c>
      <c r="AG567" s="33">
        <f t="shared" si="136"/>
        <v>1.8815348599853073E-2</v>
      </c>
      <c r="AH567" s="35">
        <f t="shared" si="137"/>
        <v>8.4814220344799427</v>
      </c>
      <c r="AI567" s="36">
        <f t="shared" si="168"/>
        <v>18.799739420520204</v>
      </c>
      <c r="AJ567" s="23"/>
      <c r="AK567" s="23"/>
      <c r="AL567" s="44"/>
      <c r="AM567" s="44"/>
      <c r="AN567" s="44"/>
      <c r="AO567" s="44"/>
      <c r="AP567" s="44"/>
      <c r="AQ567" s="44"/>
      <c r="AR567" s="44"/>
    </row>
    <row r="568" spans="1:44" ht="16.8">
      <c r="A568" s="78" t="s">
        <v>1351</v>
      </c>
      <c r="B568" s="79"/>
      <c r="C568" s="1" t="s">
        <v>1348</v>
      </c>
      <c r="D568" s="19" t="s">
        <v>1349</v>
      </c>
      <c r="E568" s="20" t="s">
        <v>39</v>
      </c>
      <c r="F568" s="21">
        <v>2010</v>
      </c>
      <c r="G568" s="40">
        <v>2022</v>
      </c>
      <c r="H568" s="23">
        <v>100483636686</v>
      </c>
      <c r="I568" s="23">
        <v>138810193557</v>
      </c>
      <c r="J568" s="23">
        <v>74063653727</v>
      </c>
      <c r="K568" s="23">
        <v>56479990582.5</v>
      </c>
      <c r="L568" s="23">
        <v>73015172227</v>
      </c>
      <c r="M568" s="23">
        <v>64746539830</v>
      </c>
      <c r="N568" s="23">
        <v>355551316675</v>
      </c>
      <c r="O568" s="25">
        <f t="shared" si="161"/>
        <v>27468464459</v>
      </c>
      <c r="P568" s="23">
        <v>6752091082</v>
      </c>
      <c r="Q568" s="23">
        <f>5146722331+12637629764</f>
        <v>17784352095</v>
      </c>
      <c r="R568" s="25">
        <f t="shared" si="162"/>
        <v>337766964580</v>
      </c>
      <c r="S568" s="26">
        <f t="shared" si="163"/>
        <v>0.5335606256941573</v>
      </c>
      <c r="T568" s="27">
        <f t="shared" si="164"/>
        <v>1.3762021456801077</v>
      </c>
      <c r="U568" s="26">
        <f t="shared" si="165"/>
        <v>25.656373322934879</v>
      </c>
      <c r="V568" s="26">
        <f t="shared" si="166"/>
        <v>6.295173087106809</v>
      </c>
      <c r="W568" s="91" t="s">
        <v>1352</v>
      </c>
      <c r="X568" s="29">
        <v>10620</v>
      </c>
      <c r="Y568" s="91">
        <v>25502</v>
      </c>
      <c r="Z568" s="30">
        <f t="shared" si="103"/>
        <v>270831240</v>
      </c>
      <c r="AA568" s="31">
        <f t="shared" si="167"/>
        <v>12</v>
      </c>
      <c r="AB568" s="32">
        <v>3.15E-2</v>
      </c>
      <c r="AC568" s="32">
        <v>8.0199999999999994E-2</v>
      </c>
      <c r="AD568" s="33">
        <f t="shared" si="133"/>
        <v>0.19788506704819595</v>
      </c>
      <c r="AE568" s="34">
        <f t="shared" si="134"/>
        <v>4.8642617008003604E-2</v>
      </c>
      <c r="AF568" s="33">
        <f t="shared" si="135"/>
        <v>2.4333008687960791</v>
      </c>
      <c r="AG568" s="33">
        <f t="shared" si="136"/>
        <v>3.6567361502078868E-3</v>
      </c>
      <c r="AH568" s="35">
        <f t="shared" si="137"/>
        <v>4.8006181005540007</v>
      </c>
      <c r="AI568" s="36">
        <f t="shared" si="168"/>
        <v>13.138266753540226</v>
      </c>
      <c r="AJ568" s="23"/>
      <c r="AK568" s="23"/>
      <c r="AL568" s="44"/>
      <c r="AM568" s="44"/>
      <c r="AN568" s="44"/>
      <c r="AO568" s="44"/>
      <c r="AP568" s="44"/>
      <c r="AQ568" s="44"/>
      <c r="AR568" s="44"/>
    </row>
    <row r="569" spans="1:44" ht="16.8">
      <c r="A569" s="78" t="s">
        <v>1353</v>
      </c>
      <c r="B569" s="79"/>
      <c r="C569" s="1" t="s">
        <v>1348</v>
      </c>
      <c r="D569" s="19" t="s">
        <v>1349</v>
      </c>
      <c r="E569" s="20" t="s">
        <v>39</v>
      </c>
      <c r="F569" s="21">
        <v>2010</v>
      </c>
      <c r="G569" s="40">
        <v>2023</v>
      </c>
      <c r="H569" s="23">
        <v>86182109845</v>
      </c>
      <c r="I569" s="23">
        <v>125071510762</v>
      </c>
      <c r="J569" s="23">
        <v>58026682492</v>
      </c>
      <c r="K569" s="23">
        <v>66045168109.5</v>
      </c>
      <c r="L569" s="23">
        <v>55062202617</v>
      </c>
      <c r="M569" s="23">
        <v>67044828270</v>
      </c>
      <c r="N569" s="23">
        <v>359733249950</v>
      </c>
      <c r="O569" s="25">
        <f t="shared" si="161"/>
        <v>31119907228</v>
      </c>
      <c r="P569" s="23">
        <v>8020425256</v>
      </c>
      <c r="Q569" s="23">
        <f>6364572879+16181093575</f>
        <v>22545666454</v>
      </c>
      <c r="R569" s="25">
        <f t="shared" si="162"/>
        <v>337187583496</v>
      </c>
      <c r="S569" s="26">
        <f t="shared" si="163"/>
        <v>0.4639480417120701</v>
      </c>
      <c r="T569" s="27">
        <f t="shared" si="164"/>
        <v>1.5651773040113</v>
      </c>
      <c r="U569" s="26">
        <f t="shared" si="165"/>
        <v>25.552151496765845</v>
      </c>
      <c r="V569" s="26">
        <f t="shared" si="166"/>
        <v>5.4467762025161024</v>
      </c>
      <c r="W569" s="91" t="s">
        <v>1354</v>
      </c>
      <c r="X569" s="29">
        <v>10650</v>
      </c>
      <c r="Y569" s="91">
        <v>3500</v>
      </c>
      <c r="Z569" s="30">
        <f t="shared" si="103"/>
        <v>37275000</v>
      </c>
      <c r="AA569" s="31">
        <f t="shared" si="167"/>
        <v>13</v>
      </c>
      <c r="AB569" s="32">
        <v>3.2500000000000001E-2</v>
      </c>
      <c r="AC569" s="32">
        <v>5.0500000000000003E-2</v>
      </c>
      <c r="AD569" s="33">
        <f t="shared" si="133"/>
        <v>0.24881691312755008</v>
      </c>
      <c r="AE569" s="34">
        <f t="shared" si="134"/>
        <v>6.4126716045368307E-2</v>
      </c>
      <c r="AF569" s="33">
        <f t="shared" si="135"/>
        <v>2.6959583476818962</v>
      </c>
      <c r="AG569" s="33">
        <f t="shared" si="136"/>
        <v>6.4237689282234975E-4</v>
      </c>
      <c r="AH569" s="35">
        <f t="shared" si="137"/>
        <v>6.1994454016838816</v>
      </c>
      <c r="AI569" s="36">
        <f t="shared" si="168"/>
        <v>15.484851073386407</v>
      </c>
      <c r="AJ569" s="23"/>
      <c r="AK569" s="23"/>
      <c r="AL569" s="44"/>
      <c r="AM569" s="44"/>
      <c r="AN569" s="44"/>
      <c r="AO569" s="44"/>
      <c r="AP569" s="44"/>
      <c r="AQ569" s="44"/>
      <c r="AR569" s="44"/>
    </row>
    <row r="570" spans="1:44" ht="16.8">
      <c r="A570" s="78" t="s">
        <v>1355</v>
      </c>
      <c r="B570" s="79">
        <v>227</v>
      </c>
      <c r="C570" s="1" t="s">
        <v>1356</v>
      </c>
      <c r="D570" s="19" t="s">
        <v>1357</v>
      </c>
      <c r="E570" s="20" t="s">
        <v>39</v>
      </c>
      <c r="F570" s="21">
        <v>2005</v>
      </c>
      <c r="G570" s="40">
        <v>2021</v>
      </c>
      <c r="H570" s="23">
        <v>248354155575</v>
      </c>
      <c r="I570" s="23">
        <v>284400694656</v>
      </c>
      <c r="J570" s="23">
        <v>81014605011</v>
      </c>
      <c r="K570" s="23">
        <v>58635496983.5</v>
      </c>
      <c r="L570" s="23">
        <v>81014605011</v>
      </c>
      <c r="M570" s="23">
        <v>203386089645</v>
      </c>
      <c r="N570" s="23">
        <v>3061331154446</v>
      </c>
      <c r="O570" s="25">
        <f t="shared" si="161"/>
        <v>167339550564</v>
      </c>
      <c r="P570" s="23">
        <v>65809337329</v>
      </c>
      <c r="Q570" s="23">
        <f>43963254737+17281431088</f>
        <v>61244685825</v>
      </c>
      <c r="R570" s="25">
        <f t="shared" si="162"/>
        <v>3000086468621</v>
      </c>
      <c r="S570" s="26">
        <f t="shared" si="163"/>
        <v>0.2848607845666204</v>
      </c>
      <c r="T570" s="27">
        <f t="shared" si="164"/>
        <v>3.0655479409086666</v>
      </c>
      <c r="U570" s="26">
        <f t="shared" si="165"/>
        <v>26.37364997740416</v>
      </c>
      <c r="V570" s="26">
        <f t="shared" si="166"/>
        <v>52.209520033700016</v>
      </c>
      <c r="W570" s="91" t="s">
        <v>1358</v>
      </c>
      <c r="X570" s="29">
        <v>17480</v>
      </c>
      <c r="Y570" s="91">
        <v>1610</v>
      </c>
      <c r="Z570" s="30">
        <f t="shared" si="103"/>
        <v>28142800</v>
      </c>
      <c r="AA570" s="31">
        <f t="shared" si="167"/>
        <v>16</v>
      </c>
      <c r="AB570" s="32">
        <v>1.84E-2</v>
      </c>
      <c r="AC570" s="32">
        <v>2.58E-2</v>
      </c>
      <c r="AD570" s="33">
        <f t="shared" si="133"/>
        <v>0.58839360700721</v>
      </c>
      <c r="AE570" s="34">
        <f t="shared" si="134"/>
        <v>0.23139654215191144</v>
      </c>
      <c r="AF570" s="33">
        <f t="shared" si="135"/>
        <v>10.548801479721376</v>
      </c>
      <c r="AG570" s="33">
        <f t="shared" si="136"/>
        <v>3.4737933976446378E-4</v>
      </c>
      <c r="AH570" s="35">
        <f t="shared" si="137"/>
        <v>37.787398383665987</v>
      </c>
      <c r="AI570" s="36">
        <f t="shared" si="168"/>
        <v>73.628679181771716</v>
      </c>
      <c r="AJ570" s="23"/>
      <c r="AK570" s="23"/>
      <c r="AL570" s="44"/>
      <c r="AM570" s="44"/>
      <c r="AN570" s="44"/>
      <c r="AO570" s="44"/>
      <c r="AP570" s="44"/>
      <c r="AQ570" s="44"/>
      <c r="AR570" s="44"/>
    </row>
    <row r="571" spans="1:44" ht="16.8">
      <c r="A571" s="78" t="s">
        <v>1359</v>
      </c>
      <c r="B571" s="79"/>
      <c r="C571" s="1" t="s">
        <v>1356</v>
      </c>
      <c r="D571" s="19" t="s">
        <v>1357</v>
      </c>
      <c r="E571" s="20" t="s">
        <v>39</v>
      </c>
      <c r="F571" s="21">
        <v>2005</v>
      </c>
      <c r="G571" s="40">
        <v>2022</v>
      </c>
      <c r="H571" s="23">
        <v>237353609003</v>
      </c>
      <c r="I571" s="23">
        <v>269479198201</v>
      </c>
      <c r="J571" s="23">
        <v>69063427202</v>
      </c>
      <c r="K571" s="23">
        <v>75039016106.5</v>
      </c>
      <c r="L571" s="23">
        <v>69063427202</v>
      </c>
      <c r="M571" s="23">
        <v>200415770999</v>
      </c>
      <c r="N571" s="23">
        <v>3518885907500</v>
      </c>
      <c r="O571" s="25">
        <f t="shared" si="161"/>
        <v>168290181801</v>
      </c>
      <c r="P571" s="23">
        <v>29698171805</v>
      </c>
      <c r="Q571" s="23">
        <f>41772790011+21523754499</f>
        <v>63296544510</v>
      </c>
      <c r="R571" s="25">
        <f t="shared" si="162"/>
        <v>3455589362990</v>
      </c>
      <c r="S571" s="26">
        <f t="shared" si="163"/>
        <v>0.2562848177635097</v>
      </c>
      <c r="T571" s="27">
        <f t="shared" si="164"/>
        <v>3.4367481982725367</v>
      </c>
      <c r="U571" s="26">
        <f t="shared" si="165"/>
        <v>26.319757037678201</v>
      </c>
      <c r="V571" s="26">
        <f t="shared" si="166"/>
        <v>46.894083772444191</v>
      </c>
      <c r="W571" s="91" t="s">
        <v>1360</v>
      </c>
      <c r="X571" s="29">
        <v>19930</v>
      </c>
      <c r="Y571" s="91">
        <v>0</v>
      </c>
      <c r="Z571" s="30">
        <f t="shared" si="103"/>
        <v>0</v>
      </c>
      <c r="AA571" s="31">
        <f t="shared" si="167"/>
        <v>17</v>
      </c>
      <c r="AB571" s="32">
        <v>3.15E-2</v>
      </c>
      <c r="AC571" s="32">
        <v>8.0199999999999994E-2</v>
      </c>
      <c r="AD571" s="33">
        <f t="shared" si="133"/>
        <v>0.62450156792983769</v>
      </c>
      <c r="AE571" s="34">
        <f t="shared" si="134"/>
        <v>0.11020580439328988</v>
      </c>
      <c r="AF571" s="33">
        <f t="shared" si="135"/>
        <v>12.823213762171482</v>
      </c>
      <c r="AG571" s="33">
        <f t="shared" si="136"/>
        <v>0</v>
      </c>
      <c r="AH571" s="35">
        <f t="shared" si="137"/>
        <v>50.951510083734981</v>
      </c>
      <c r="AI571" s="36">
        <f t="shared" si="168"/>
        <v>94.171805506567281</v>
      </c>
      <c r="AJ571" s="23"/>
      <c r="AK571" s="23"/>
      <c r="AL571" s="44"/>
      <c r="AM571" s="44"/>
      <c r="AN571" s="44"/>
      <c r="AO571" s="44"/>
      <c r="AP571" s="44"/>
      <c r="AQ571" s="44"/>
      <c r="AR571" s="44"/>
    </row>
    <row r="572" spans="1:44" ht="16.8">
      <c r="A572" s="78" t="s">
        <v>1361</v>
      </c>
      <c r="B572" s="79"/>
      <c r="C572" s="1" t="s">
        <v>1356</v>
      </c>
      <c r="D572" s="19" t="s">
        <v>1357</v>
      </c>
      <c r="E572" s="20" t="s">
        <v>39</v>
      </c>
      <c r="F572" s="21">
        <v>2005</v>
      </c>
      <c r="G572" s="40">
        <v>2023</v>
      </c>
      <c r="H572" s="23">
        <v>195691508442</v>
      </c>
      <c r="I572" s="23">
        <v>228094379748</v>
      </c>
      <c r="J572" s="23">
        <v>41416268885</v>
      </c>
      <c r="K572" s="23">
        <v>55239848043.5</v>
      </c>
      <c r="L572" s="23">
        <v>41416268885</v>
      </c>
      <c r="M572" s="23">
        <v>186678110863</v>
      </c>
      <c r="N572" s="23">
        <v>3230271713987</v>
      </c>
      <c r="O572" s="25">
        <f t="shared" si="161"/>
        <v>154275239557</v>
      </c>
      <c r="P572" s="23">
        <v>20939056949</v>
      </c>
      <c r="Q572" s="23">
        <f>43254504748+22190456901</f>
        <v>65444961649</v>
      </c>
      <c r="R572" s="25">
        <f t="shared" si="162"/>
        <v>3164826752338</v>
      </c>
      <c r="S572" s="26">
        <f t="shared" si="163"/>
        <v>0.18157513977660009</v>
      </c>
      <c r="T572" s="27">
        <f t="shared" si="164"/>
        <v>4.7249912585166474</v>
      </c>
      <c r="U572" s="26">
        <f t="shared" si="165"/>
        <v>26.153025326511891</v>
      </c>
      <c r="V572" s="26">
        <f t="shared" si="166"/>
        <v>58.477201303002168</v>
      </c>
      <c r="W572" s="91" t="s">
        <v>1362</v>
      </c>
      <c r="X572" s="29">
        <v>18420</v>
      </c>
      <c r="Y572" s="91">
        <v>800</v>
      </c>
      <c r="Z572" s="30">
        <f t="shared" si="103"/>
        <v>14736000</v>
      </c>
      <c r="AA572" s="31">
        <f t="shared" si="167"/>
        <v>18</v>
      </c>
      <c r="AB572" s="32">
        <v>3.2500000000000001E-2</v>
      </c>
      <c r="AC572" s="32">
        <v>5.0500000000000003E-2</v>
      </c>
      <c r="AD572" s="33">
        <f t="shared" si="133"/>
        <v>0.67636580843177363</v>
      </c>
      <c r="AE572" s="34">
        <f t="shared" si="134"/>
        <v>9.1799968820510142E-2</v>
      </c>
      <c r="AF572" s="33">
        <f t="shared" si="135"/>
        <v>13.875075553525338</v>
      </c>
      <c r="AG572" s="33">
        <f t="shared" si="136"/>
        <v>3.55802210018417E-4</v>
      </c>
      <c r="AH572" s="35">
        <f t="shared" si="137"/>
        <v>77.995237160461087</v>
      </c>
      <c r="AI572" s="36">
        <f t="shared" si="168"/>
        <v>124.72335889488755</v>
      </c>
      <c r="AJ572" s="23"/>
      <c r="AK572" s="23"/>
      <c r="AL572" s="44"/>
      <c r="AM572" s="44"/>
      <c r="AN572" s="44"/>
      <c r="AO572" s="44"/>
      <c r="AP572" s="44"/>
      <c r="AQ572" s="44"/>
      <c r="AR572" s="44"/>
    </row>
    <row r="573" spans="1:44" ht="16.8">
      <c r="A573" s="78" t="s">
        <v>1363</v>
      </c>
      <c r="B573" s="79">
        <v>228</v>
      </c>
      <c r="C573" s="1" t="s">
        <v>1364</v>
      </c>
      <c r="D573" s="19" t="s">
        <v>1365</v>
      </c>
      <c r="E573" s="20" t="s">
        <v>39</v>
      </c>
      <c r="F573" s="21">
        <v>2007</v>
      </c>
      <c r="G573" s="40">
        <v>2021</v>
      </c>
      <c r="H573" s="23">
        <v>175713612539</v>
      </c>
      <c r="I573" s="23">
        <v>254855371202</v>
      </c>
      <c r="J573" s="23">
        <v>86561623016</v>
      </c>
      <c r="K573" s="23">
        <v>74907077433</v>
      </c>
      <c r="L573" s="23">
        <v>69374069197</v>
      </c>
      <c r="M573" s="23">
        <v>168293748186</v>
      </c>
      <c r="N573" s="23">
        <v>392828338242</v>
      </c>
      <c r="O573" s="25">
        <f t="shared" si="161"/>
        <v>106339543342</v>
      </c>
      <c r="P573" s="23">
        <v>3916341765</v>
      </c>
      <c r="Q573" s="23">
        <f>12132818152+14234556275</f>
        <v>26367374427</v>
      </c>
      <c r="R573" s="25">
        <f t="shared" si="162"/>
        <v>366460963815</v>
      </c>
      <c r="S573" s="26">
        <f t="shared" si="163"/>
        <v>0.3396499850395176</v>
      </c>
      <c r="T573" s="27">
        <f t="shared" si="164"/>
        <v>2.5328428124928055</v>
      </c>
      <c r="U573" s="26">
        <f t="shared" si="165"/>
        <v>26.263962049445229</v>
      </c>
      <c r="V573" s="26">
        <f t="shared" si="166"/>
        <v>5.2442085808695706</v>
      </c>
      <c r="W573" s="93">
        <v>45787</v>
      </c>
      <c r="X573" s="42">
        <v>10500</v>
      </c>
      <c r="Y573" s="91">
        <v>46637</v>
      </c>
      <c r="Z573" s="30">
        <f t="shared" si="103"/>
        <v>489688500</v>
      </c>
      <c r="AA573" s="31">
        <f t="shared" si="167"/>
        <v>14</v>
      </c>
      <c r="AB573" s="32">
        <v>1.84E-2</v>
      </c>
      <c r="AC573" s="32">
        <v>2.58E-2</v>
      </c>
      <c r="AD573" s="33">
        <f t="shared" si="133"/>
        <v>0.41725447197938237</v>
      </c>
      <c r="AE573" s="34">
        <f t="shared" si="134"/>
        <v>1.5366918682266587E-2</v>
      </c>
      <c r="AF573" s="33">
        <f t="shared" si="135"/>
        <v>1.4379173650004837</v>
      </c>
      <c r="AG573" s="33">
        <f t="shared" si="136"/>
        <v>5.6571085769670272E-3</v>
      </c>
      <c r="AH573" s="35">
        <f t="shared" si="137"/>
        <v>4.5381350829037697</v>
      </c>
      <c r="AI573" s="36">
        <f t="shared" si="168"/>
        <v>9.8088757050819773</v>
      </c>
      <c r="AJ573" s="23"/>
      <c r="AK573" s="23"/>
      <c r="AL573" s="44"/>
      <c r="AM573" s="44"/>
      <c r="AN573" s="44"/>
      <c r="AO573" s="44"/>
      <c r="AP573" s="44"/>
      <c r="AQ573" s="44"/>
      <c r="AR573" s="44"/>
    </row>
    <row r="574" spans="1:44" ht="16.8">
      <c r="A574" s="78" t="s">
        <v>1366</v>
      </c>
      <c r="B574" s="79"/>
      <c r="C574" s="1" t="s">
        <v>1364</v>
      </c>
      <c r="D574" s="19" t="s">
        <v>1365</v>
      </c>
      <c r="E574" s="20" t="s">
        <v>39</v>
      </c>
      <c r="F574" s="21">
        <v>2007</v>
      </c>
      <c r="G574" s="40">
        <v>2022</v>
      </c>
      <c r="H574" s="23">
        <v>175081447702</v>
      </c>
      <c r="I574" s="23">
        <v>251121452493</v>
      </c>
      <c r="J574" s="23">
        <v>82898561286</v>
      </c>
      <c r="K574" s="23">
        <v>84730092151</v>
      </c>
      <c r="L574" s="23">
        <v>82277561286</v>
      </c>
      <c r="M574" s="23">
        <v>168222891207</v>
      </c>
      <c r="N574" s="23">
        <v>421037037038</v>
      </c>
      <c r="O574" s="25">
        <f t="shared" si="161"/>
        <v>92803886416</v>
      </c>
      <c r="P574" s="23">
        <v>97143021</v>
      </c>
      <c r="Q574" s="23">
        <f>11813867660+11963970776</f>
        <v>23777838436</v>
      </c>
      <c r="R574" s="25">
        <f t="shared" si="162"/>
        <v>397259198602</v>
      </c>
      <c r="S574" s="26">
        <f t="shared" si="163"/>
        <v>0.33011341907681419</v>
      </c>
      <c r="T574" s="27">
        <f t="shared" si="164"/>
        <v>2.1279367663002322</v>
      </c>
      <c r="U574" s="26">
        <f t="shared" si="165"/>
        <v>26.249202533522794</v>
      </c>
      <c r="V574" s="26">
        <f t="shared" si="166"/>
        <v>4.9691558966754981</v>
      </c>
      <c r="W574" s="93">
        <v>45753</v>
      </c>
      <c r="X574" s="42">
        <v>6400</v>
      </c>
      <c r="Y574" s="91">
        <v>0</v>
      </c>
      <c r="Z574" s="30">
        <f t="shared" si="103"/>
        <v>0</v>
      </c>
      <c r="AA574" s="31">
        <f t="shared" si="167"/>
        <v>15</v>
      </c>
      <c r="AB574" s="32">
        <v>3.15E-2</v>
      </c>
      <c r="AC574" s="32">
        <v>8.0199999999999994E-2</v>
      </c>
      <c r="AD574" s="33">
        <f t="shared" si="133"/>
        <v>0.36955777969063358</v>
      </c>
      <c r="AE574" s="34">
        <f t="shared" si="134"/>
        <v>3.8683680759097179E-4</v>
      </c>
      <c r="AF574" s="33">
        <f t="shared" si="135"/>
        <v>1.5819405098936086</v>
      </c>
      <c r="AG574" s="33">
        <f t="shared" si="136"/>
        <v>0</v>
      </c>
      <c r="AH574" s="35">
        <f t="shared" si="137"/>
        <v>5.0789426318922759</v>
      </c>
      <c r="AI574" s="36">
        <f t="shared" si="168"/>
        <v>10.74335722170057</v>
      </c>
      <c r="AJ574" s="23"/>
      <c r="AK574" s="23"/>
      <c r="AL574" s="44"/>
      <c r="AM574" s="44"/>
      <c r="AN574" s="44"/>
      <c r="AO574" s="44"/>
      <c r="AP574" s="44"/>
      <c r="AQ574" s="44"/>
      <c r="AR574" s="44"/>
    </row>
    <row r="575" spans="1:44" ht="16.8">
      <c r="A575" s="78" t="s">
        <v>1367</v>
      </c>
      <c r="B575" s="79"/>
      <c r="C575" s="1" t="s">
        <v>1364</v>
      </c>
      <c r="D575" s="19" t="s">
        <v>1365</v>
      </c>
      <c r="E575" s="20" t="s">
        <v>39</v>
      </c>
      <c r="F575" s="21">
        <v>2007</v>
      </c>
      <c r="G575" s="40">
        <v>2023</v>
      </c>
      <c r="H575" s="23">
        <v>153982580182</v>
      </c>
      <c r="I575" s="23">
        <v>272126385030</v>
      </c>
      <c r="J575" s="23">
        <v>105746065053</v>
      </c>
      <c r="K575" s="23">
        <v>94322313169.5</v>
      </c>
      <c r="L575" s="23">
        <v>105271516402</v>
      </c>
      <c r="M575" s="23">
        <v>166380319977</v>
      </c>
      <c r="N575" s="23">
        <v>309092519276</v>
      </c>
      <c r="O575" s="25">
        <f t="shared" si="161"/>
        <v>48711063780</v>
      </c>
      <c r="P575" s="23">
        <v>994298424</v>
      </c>
      <c r="Q575" s="23">
        <f>11388928592+15239181449</f>
        <v>26628110041</v>
      </c>
      <c r="R575" s="25">
        <f t="shared" si="162"/>
        <v>282464409235</v>
      </c>
      <c r="S575" s="26">
        <f t="shared" si="163"/>
        <v>0.38859173850908374</v>
      </c>
      <c r="T575" s="27">
        <f t="shared" si="164"/>
        <v>1.4627183633793894</v>
      </c>
      <c r="U575" s="26">
        <f t="shared" si="165"/>
        <v>26.329532446171221</v>
      </c>
      <c r="V575" s="26">
        <f t="shared" si="166"/>
        <v>3.2769819662983832</v>
      </c>
      <c r="W575" s="93">
        <v>45875</v>
      </c>
      <c r="X575" s="42">
        <v>6800</v>
      </c>
      <c r="Y575" s="91">
        <v>26600</v>
      </c>
      <c r="Z575" s="30">
        <f t="shared" si="103"/>
        <v>180880000</v>
      </c>
      <c r="AA575" s="31">
        <f t="shared" si="167"/>
        <v>16</v>
      </c>
      <c r="AB575" s="32">
        <v>3.2500000000000001E-2</v>
      </c>
      <c r="AC575" s="32">
        <v>5.0500000000000003E-2</v>
      </c>
      <c r="AD575" s="33">
        <f t="shared" si="133"/>
        <v>0.17900162005470344</v>
      </c>
      <c r="AE575" s="34">
        <f t="shared" si="134"/>
        <v>3.6538111653171214E-3</v>
      </c>
      <c r="AF575" s="33">
        <f t="shared" si="135"/>
        <v>1.0379897899421267</v>
      </c>
      <c r="AG575" s="33">
        <f t="shared" si="136"/>
        <v>1.7105128205890481E-3</v>
      </c>
      <c r="AH575" s="35">
        <f t="shared" si="137"/>
        <v>2.9229694657771201</v>
      </c>
      <c r="AI575" s="36">
        <f t="shared" si="168"/>
        <v>6.5692793599755799</v>
      </c>
      <c r="AJ575" s="23"/>
      <c r="AK575" s="23"/>
      <c r="AL575" s="44"/>
      <c r="AM575" s="44"/>
      <c r="AN575" s="44"/>
      <c r="AO575" s="44"/>
      <c r="AP575" s="44"/>
      <c r="AQ575" s="44"/>
      <c r="AR575" s="44"/>
    </row>
    <row r="576" spans="1:44" ht="16.8">
      <c r="A576" s="78" t="s">
        <v>1368</v>
      </c>
      <c r="B576" s="79">
        <v>229</v>
      </c>
      <c r="C576" s="1" t="s">
        <v>1369</v>
      </c>
      <c r="D576" s="19" t="s">
        <v>1370</v>
      </c>
      <c r="E576" s="20" t="s">
        <v>1371</v>
      </c>
      <c r="F576" s="21">
        <v>1990</v>
      </c>
      <c r="G576" s="40">
        <v>2021</v>
      </c>
      <c r="H576" s="23">
        <v>45335084948</v>
      </c>
      <c r="I576" s="23">
        <v>46141446414</v>
      </c>
      <c r="J576" s="23">
        <v>37562375393</v>
      </c>
      <c r="K576" s="23">
        <v>22647129594</v>
      </c>
      <c r="L576" s="23">
        <v>37562375393</v>
      </c>
      <c r="M576" s="23">
        <v>8679071921</v>
      </c>
      <c r="N576" s="23">
        <v>14246539655</v>
      </c>
      <c r="O576" s="25">
        <f t="shared" si="161"/>
        <v>7772709555</v>
      </c>
      <c r="P576" s="23">
        <v>231939473</v>
      </c>
      <c r="Q576" s="23">
        <v>4269691101</v>
      </c>
      <c r="R576" s="25">
        <f t="shared" si="162"/>
        <v>9976848554</v>
      </c>
      <c r="S576" s="26">
        <f t="shared" si="163"/>
        <v>0.81407017578025076</v>
      </c>
      <c r="T576" s="27">
        <f t="shared" si="164"/>
        <v>1.2069280622877885</v>
      </c>
      <c r="U576" s="26">
        <f t="shared" si="165"/>
        <v>24.554977437575182</v>
      </c>
      <c r="V576" s="26">
        <f t="shared" si="166"/>
        <v>0.6290660189790408</v>
      </c>
      <c r="W576" s="93">
        <v>45873</v>
      </c>
      <c r="X576" s="42">
        <v>4800</v>
      </c>
      <c r="Y576" s="91">
        <v>13100</v>
      </c>
      <c r="Z576" s="30">
        <f t="shared" si="103"/>
        <v>62880000</v>
      </c>
      <c r="AA576" s="31">
        <f t="shared" si="167"/>
        <v>31</v>
      </c>
      <c r="AB576" s="32">
        <v>1.84E-2</v>
      </c>
      <c r="AC576" s="32">
        <v>2.58E-2</v>
      </c>
      <c r="AD576" s="33">
        <f t="shared" si="133"/>
        <v>0.16845396404048671</v>
      </c>
      <c r="AE576" s="34">
        <f t="shared" si="134"/>
        <v>5.0267057282717981E-3</v>
      </c>
      <c r="AF576" s="33">
        <f t="shared" si="135"/>
        <v>0.2162231427355705</v>
      </c>
      <c r="AG576" s="33">
        <f t="shared" si="136"/>
        <v>1.6740155366137496E-3</v>
      </c>
      <c r="AH576" s="35">
        <f t="shared" si="137"/>
        <v>0.37927685632083158</v>
      </c>
      <c r="AI576" s="36">
        <f t="shared" si="168"/>
        <v>1.3029997815383469</v>
      </c>
      <c r="AJ576" s="23"/>
      <c r="AK576" s="23"/>
      <c r="AL576" s="44"/>
      <c r="AM576" s="44"/>
      <c r="AN576" s="44"/>
      <c r="AO576" s="44"/>
      <c r="AP576" s="44"/>
      <c r="AQ576" s="44"/>
      <c r="AR576" s="44"/>
    </row>
    <row r="577" spans="1:44" ht="16.8">
      <c r="A577" s="78" t="s">
        <v>1372</v>
      </c>
      <c r="B577" s="79"/>
      <c r="C577" s="1" t="s">
        <v>1369</v>
      </c>
      <c r="D577" s="19" t="s">
        <v>1370</v>
      </c>
      <c r="E577" s="20" t="s">
        <v>1371</v>
      </c>
      <c r="F577" s="21">
        <v>1990</v>
      </c>
      <c r="G577" s="40">
        <v>2022</v>
      </c>
      <c r="H577" s="23">
        <v>56560183390</v>
      </c>
      <c r="I577" s="23">
        <v>58591322918</v>
      </c>
      <c r="J577" s="23">
        <v>45141697720</v>
      </c>
      <c r="K577" s="23">
        <v>41352036556.5</v>
      </c>
      <c r="L577" s="23">
        <v>45141697720</v>
      </c>
      <c r="M577" s="23">
        <v>13449625198</v>
      </c>
      <c r="N577" s="23">
        <v>27092281244</v>
      </c>
      <c r="O577" s="25">
        <f t="shared" si="161"/>
        <v>11418485670</v>
      </c>
      <c r="P577" s="23">
        <v>48705544177</v>
      </c>
      <c r="Q577" s="23">
        <v>671142247</v>
      </c>
      <c r="R577" s="25">
        <f t="shared" si="162"/>
        <v>26421138997</v>
      </c>
      <c r="S577" s="26">
        <f t="shared" si="163"/>
        <v>0.77045022149742071</v>
      </c>
      <c r="T577" s="27">
        <f t="shared" si="164"/>
        <v>1.2529476348192603</v>
      </c>
      <c r="U577" s="26">
        <f t="shared" si="165"/>
        <v>24.793852449493805</v>
      </c>
      <c r="V577" s="26">
        <f t="shared" si="166"/>
        <v>0.65516195815370182</v>
      </c>
      <c r="W577" s="93">
        <v>45815</v>
      </c>
      <c r="X577" s="42">
        <v>7600</v>
      </c>
      <c r="Y577" s="91">
        <v>800</v>
      </c>
      <c r="Z577" s="30">
        <f t="shared" si="103"/>
        <v>6080000</v>
      </c>
      <c r="AA577" s="31">
        <f t="shared" si="167"/>
        <v>32</v>
      </c>
      <c r="AB577" s="32">
        <v>3.15E-2</v>
      </c>
      <c r="AC577" s="32">
        <v>8.0199999999999994E-2</v>
      </c>
      <c r="AD577" s="33">
        <f t="shared" si="133"/>
        <v>0.19488356127374787</v>
      </c>
      <c r="AE577" s="34">
        <f t="shared" si="134"/>
        <v>0.83127572055617538</v>
      </c>
      <c r="AF577" s="33">
        <f t="shared" si="135"/>
        <v>0.45093945111935835</v>
      </c>
      <c r="AG577" s="33">
        <f t="shared" si="136"/>
        <v>1.3468700352637069E-4</v>
      </c>
      <c r="AH577" s="35">
        <f t="shared" si="137"/>
        <v>0.60016088477764062</v>
      </c>
      <c r="AI577" s="36">
        <f t="shared" si="168"/>
        <v>3.4859881679807816</v>
      </c>
      <c r="AJ577" s="23"/>
      <c r="AK577" s="23"/>
      <c r="AL577" s="44"/>
      <c r="AM577" s="44"/>
      <c r="AN577" s="44"/>
      <c r="AO577" s="44"/>
      <c r="AP577" s="44"/>
      <c r="AQ577" s="44"/>
      <c r="AR577" s="44"/>
    </row>
    <row r="578" spans="1:44" ht="16.8">
      <c r="A578" s="78" t="s">
        <v>1373</v>
      </c>
      <c r="B578" s="79"/>
      <c r="C578" s="1" t="s">
        <v>1369</v>
      </c>
      <c r="D578" s="19" t="s">
        <v>1370</v>
      </c>
      <c r="E578" s="20" t="s">
        <v>1371</v>
      </c>
      <c r="F578" s="21">
        <v>1990</v>
      </c>
      <c r="G578" s="40">
        <v>2023</v>
      </c>
      <c r="H578" s="23">
        <v>59150187600</v>
      </c>
      <c r="I578" s="23">
        <v>60355203160</v>
      </c>
      <c r="J578" s="23">
        <v>44206802368</v>
      </c>
      <c r="K578" s="23">
        <v>44674250044</v>
      </c>
      <c r="L578" s="23">
        <v>44206802368</v>
      </c>
      <c r="M578" s="23">
        <v>16148400792</v>
      </c>
      <c r="N578" s="23">
        <v>7581728060</v>
      </c>
      <c r="O578" s="25">
        <f t="shared" si="161"/>
        <v>14943385232</v>
      </c>
      <c r="P578" s="23">
        <v>2698775594</v>
      </c>
      <c r="Q578" s="23">
        <v>952559135</v>
      </c>
      <c r="R578" s="25">
        <f t="shared" si="162"/>
        <v>6629168925</v>
      </c>
      <c r="S578" s="26">
        <f t="shared" si="163"/>
        <v>0.73244393280905662</v>
      </c>
      <c r="T578" s="27">
        <f t="shared" si="164"/>
        <v>1.3380336154513874</v>
      </c>
      <c r="U578" s="26">
        <f t="shared" si="165"/>
        <v>24.82351299717784</v>
      </c>
      <c r="V578" s="26">
        <f t="shared" si="166"/>
        <v>0.16971136734321673</v>
      </c>
      <c r="W578" s="93">
        <v>45790</v>
      </c>
      <c r="X578" s="42">
        <v>13500</v>
      </c>
      <c r="Y578" s="91">
        <v>1900</v>
      </c>
      <c r="Z578" s="30">
        <f t="shared" ref="Z578:Z689" si="179">X578*Y578</f>
        <v>25650000</v>
      </c>
      <c r="AA578" s="31">
        <f t="shared" si="167"/>
        <v>33</v>
      </c>
      <c r="AB578" s="32">
        <v>3.2500000000000001E-2</v>
      </c>
      <c r="AC578" s="32">
        <v>5.0500000000000003E-2</v>
      </c>
      <c r="AD578" s="33">
        <f t="shared" si="133"/>
        <v>0.24759067072287858</v>
      </c>
      <c r="AE578" s="34">
        <f t="shared" si="134"/>
        <v>4.471487879587812E-2</v>
      </c>
      <c r="AF578" s="33">
        <f t="shared" si="135"/>
        <v>0.10983591435234265</v>
      </c>
      <c r="AG578" s="33">
        <f t="shared" si="136"/>
        <v>5.8022744523515408E-4</v>
      </c>
      <c r="AH578" s="35">
        <f t="shared" si="137"/>
        <v>0.17150591433612011</v>
      </c>
      <c r="AI578" s="36">
        <f t="shared" si="168"/>
        <v>0.89402220334767546</v>
      </c>
      <c r="AJ578" s="23"/>
      <c r="AK578" s="23"/>
      <c r="AL578" s="44"/>
      <c r="AM578" s="44"/>
      <c r="AN578" s="44"/>
      <c r="AO578" s="44"/>
      <c r="AP578" s="44"/>
      <c r="AQ578" s="44"/>
      <c r="AR578" s="44"/>
    </row>
    <row r="579" spans="1:44" ht="16.8">
      <c r="A579" s="78" t="s">
        <v>1374</v>
      </c>
      <c r="B579" s="79">
        <v>230</v>
      </c>
      <c r="C579" s="1" t="s">
        <v>1375</v>
      </c>
      <c r="D579" s="19" t="s">
        <v>1376</v>
      </c>
      <c r="E579" s="20" t="s">
        <v>39</v>
      </c>
      <c r="F579" s="21">
        <v>2007</v>
      </c>
      <c r="G579" s="40">
        <v>2021</v>
      </c>
      <c r="H579" s="23">
        <v>307797000000</v>
      </c>
      <c r="I579" s="23">
        <v>312853000000</v>
      </c>
      <c r="J579" s="23">
        <v>10263000000</v>
      </c>
      <c r="K579" s="23">
        <v>31893901184</v>
      </c>
      <c r="L579" s="23">
        <v>8045000000</v>
      </c>
      <c r="M579" s="23">
        <v>302590000000</v>
      </c>
      <c r="N579" s="23">
        <v>464208000000</v>
      </c>
      <c r="O579" s="25">
        <f t="shared" si="161"/>
        <v>299752000000</v>
      </c>
      <c r="P579" s="23">
        <v>13489000000</v>
      </c>
      <c r="Q579" s="23">
        <v>11916653249</v>
      </c>
      <c r="R579" s="25">
        <f t="shared" si="162"/>
        <v>452291346751</v>
      </c>
      <c r="S579" s="26">
        <f t="shared" si="163"/>
        <v>3.2804543987112161E-2</v>
      </c>
      <c r="T579" s="27">
        <f t="shared" si="164"/>
        <v>38.259415786202609</v>
      </c>
      <c r="U579" s="26">
        <f t="shared" si="165"/>
        <v>26.468999268604836</v>
      </c>
      <c r="V579" s="26">
        <f t="shared" si="166"/>
        <v>14.554757579573744</v>
      </c>
      <c r="W579" s="91" t="s">
        <v>1377</v>
      </c>
      <c r="X579" s="29">
        <v>7330</v>
      </c>
      <c r="Y579" s="91">
        <v>1200</v>
      </c>
      <c r="Z579" s="30">
        <f t="shared" si="179"/>
        <v>8796000</v>
      </c>
      <c r="AA579" s="31">
        <f t="shared" si="167"/>
        <v>14</v>
      </c>
      <c r="AB579" s="32">
        <v>1.84E-2</v>
      </c>
      <c r="AC579" s="32">
        <v>2.58E-2</v>
      </c>
      <c r="AD579" s="33">
        <f t="shared" si="133"/>
        <v>0.95812410301323625</v>
      </c>
      <c r="AE579" s="34">
        <f t="shared" si="134"/>
        <v>4.3116096057893002E-2</v>
      </c>
      <c r="AF579" s="33">
        <f t="shared" si="135"/>
        <v>1.4456992477329609</v>
      </c>
      <c r="AG579" s="33">
        <f t="shared" si="136"/>
        <v>8.570593393744519E-4</v>
      </c>
      <c r="AH579" s="35">
        <f t="shared" si="137"/>
        <v>45.231218941829873</v>
      </c>
      <c r="AI579" s="36">
        <f t="shared" si="168"/>
        <v>51.212652153049206</v>
      </c>
      <c r="AJ579" s="81"/>
      <c r="AK579" s="23"/>
      <c r="AL579" s="44"/>
      <c r="AM579" s="44"/>
      <c r="AN579" s="44"/>
      <c r="AO579" s="44"/>
      <c r="AP579" s="44"/>
      <c r="AQ579" s="44"/>
      <c r="AR579" s="44"/>
    </row>
    <row r="580" spans="1:44" ht="16.8">
      <c r="A580" s="78" t="s">
        <v>1378</v>
      </c>
      <c r="B580" s="79"/>
      <c r="C580" s="1" t="s">
        <v>1375</v>
      </c>
      <c r="D580" s="19" t="s">
        <v>1376</v>
      </c>
      <c r="E580" s="20" t="s">
        <v>39</v>
      </c>
      <c r="F580" s="21">
        <v>2007</v>
      </c>
      <c r="G580" s="40">
        <v>2022</v>
      </c>
      <c r="H580" s="23">
        <v>209744000000</v>
      </c>
      <c r="I580" s="23">
        <v>551963000000</v>
      </c>
      <c r="J580" s="23">
        <v>236941000000</v>
      </c>
      <c r="K580" s="23">
        <v>27234901184</v>
      </c>
      <c r="L580" s="23">
        <v>52745000000</v>
      </c>
      <c r="M580" s="23">
        <v>315022000000</v>
      </c>
      <c r="N580" s="23">
        <v>305402000000</v>
      </c>
      <c r="O580" s="25">
        <f t="shared" si="161"/>
        <v>156999000000</v>
      </c>
      <c r="P580" s="23">
        <v>14181000000</v>
      </c>
      <c r="Q580" s="23">
        <v>9766348248</v>
      </c>
      <c r="R580" s="25">
        <f t="shared" si="162"/>
        <v>295635651752</v>
      </c>
      <c r="S580" s="26">
        <f t="shared" si="163"/>
        <v>0.4292697155425273</v>
      </c>
      <c r="T580" s="27">
        <f t="shared" si="164"/>
        <v>3.9765664991942362</v>
      </c>
      <c r="U580" s="26">
        <f t="shared" si="165"/>
        <v>27.036746851991456</v>
      </c>
      <c r="V580" s="26">
        <f t="shared" si="166"/>
        <v>11.213626145976914</v>
      </c>
      <c r="W580" s="91" t="s">
        <v>1379</v>
      </c>
      <c r="X580" s="29">
        <v>4900</v>
      </c>
      <c r="Y580" s="91">
        <v>1500</v>
      </c>
      <c r="Z580" s="30">
        <f t="shared" si="179"/>
        <v>7350000</v>
      </c>
      <c r="AA580" s="31">
        <f t="shared" si="167"/>
        <v>15</v>
      </c>
      <c r="AB580" s="32">
        <v>3.15E-2</v>
      </c>
      <c r="AC580" s="32">
        <v>8.0199999999999994E-2</v>
      </c>
      <c r="AD580" s="33">
        <f t="shared" si="133"/>
        <v>0.28443754382087205</v>
      </c>
      <c r="AE580" s="34">
        <f t="shared" si="134"/>
        <v>2.5691939495944473E-2</v>
      </c>
      <c r="AF580" s="33">
        <f t="shared" si="135"/>
        <v>0.53560773412710638</v>
      </c>
      <c r="AG580" s="33">
        <f t="shared" si="136"/>
        <v>3.1020380601077907E-5</v>
      </c>
      <c r="AH580" s="35">
        <f t="shared" si="137"/>
        <v>1.2889369083442714</v>
      </c>
      <c r="AI580" s="36">
        <f t="shared" si="168"/>
        <v>3.4337548110714518</v>
      </c>
      <c r="AJ580" s="23"/>
      <c r="AK580" s="23"/>
      <c r="AL580" s="44"/>
      <c r="AM580" s="44"/>
      <c r="AN580" s="44"/>
      <c r="AO580" s="44"/>
      <c r="AP580" s="44"/>
      <c r="AQ580" s="44"/>
      <c r="AR580" s="44"/>
    </row>
    <row r="581" spans="1:44" ht="16.8">
      <c r="A581" s="78" t="s">
        <v>1380</v>
      </c>
      <c r="B581" s="79"/>
      <c r="C581" s="1" t="s">
        <v>1375</v>
      </c>
      <c r="D581" s="19" t="s">
        <v>1376</v>
      </c>
      <c r="E581" s="20" t="s">
        <v>39</v>
      </c>
      <c r="F581" s="21">
        <v>2007</v>
      </c>
      <c r="G581" s="40">
        <v>2023</v>
      </c>
      <c r="H581" s="23">
        <v>192220000000</v>
      </c>
      <c r="I581" s="23">
        <v>1238532000000</v>
      </c>
      <c r="J581" s="23">
        <v>662763000000</v>
      </c>
      <c r="K581" s="23">
        <v>449852000000</v>
      </c>
      <c r="L581" s="23">
        <v>167945000000</v>
      </c>
      <c r="M581" s="23">
        <v>575770000000</v>
      </c>
      <c r="N581" s="23">
        <v>409437000000</v>
      </c>
      <c r="O581" s="25">
        <f t="shared" si="161"/>
        <v>24275000000</v>
      </c>
      <c r="P581" s="23">
        <v>37724000000</v>
      </c>
      <c r="Q581" s="23">
        <v>12203086283</v>
      </c>
      <c r="R581" s="25">
        <f t="shared" si="162"/>
        <v>397233913717</v>
      </c>
      <c r="S581" s="26">
        <f t="shared" si="163"/>
        <v>0.53511980312176033</v>
      </c>
      <c r="T581" s="27">
        <f t="shared" si="164"/>
        <v>1.1445413677096667</v>
      </c>
      <c r="U581" s="26">
        <f t="shared" si="165"/>
        <v>27.844947923248942</v>
      </c>
      <c r="V581" s="26">
        <f t="shared" si="166"/>
        <v>0.91015934129447018</v>
      </c>
      <c r="W581" s="91" t="s">
        <v>1381</v>
      </c>
      <c r="X581" s="29">
        <v>7200</v>
      </c>
      <c r="Y581" s="91">
        <v>31</v>
      </c>
      <c r="Z581" s="30">
        <f t="shared" si="179"/>
        <v>223200</v>
      </c>
      <c r="AA581" s="31">
        <f t="shared" si="167"/>
        <v>16</v>
      </c>
      <c r="AB581" s="32">
        <v>3.2500000000000001E-2</v>
      </c>
      <c r="AC581" s="32">
        <v>5.0500000000000003E-2</v>
      </c>
      <c r="AD581" s="33">
        <f t="shared" si="133"/>
        <v>1.9599816557020731E-2</v>
      </c>
      <c r="AE581" s="34">
        <f t="shared" si="134"/>
        <v>3.0458639744471681E-2</v>
      </c>
      <c r="AF581" s="33">
        <f t="shared" si="135"/>
        <v>0.32072963291784146</v>
      </c>
      <c r="AG581" s="33">
        <f t="shared" si="136"/>
        <v>3.3677196826014728E-7</v>
      </c>
      <c r="AH581" s="35">
        <f t="shared" si="137"/>
        <v>0.61777286903463224</v>
      </c>
      <c r="AI581" s="36">
        <f t="shared" si="168"/>
        <v>1.742342735237375</v>
      </c>
      <c r="AJ581" s="23"/>
      <c r="AK581" s="23"/>
      <c r="AL581" s="44"/>
      <c r="AM581" s="44"/>
      <c r="AN581" s="44"/>
      <c r="AO581" s="44"/>
      <c r="AP581" s="44"/>
      <c r="AQ581" s="44"/>
      <c r="AR581" s="44"/>
    </row>
    <row r="582" spans="1:44" ht="16.8">
      <c r="A582" s="78" t="s">
        <v>1382</v>
      </c>
      <c r="B582" s="79">
        <v>231</v>
      </c>
      <c r="C582" s="1" t="s">
        <v>1383</v>
      </c>
      <c r="D582" s="19" t="s">
        <v>1384</v>
      </c>
      <c r="E582" s="20" t="s">
        <v>39</v>
      </c>
      <c r="F582" s="21">
        <v>2010</v>
      </c>
      <c r="G582" s="40">
        <v>2021</v>
      </c>
      <c r="H582" s="23">
        <v>139261219318</v>
      </c>
      <c r="I582" s="23">
        <v>222302842361</v>
      </c>
      <c r="J582" s="23">
        <v>85773043607</v>
      </c>
      <c r="K582" s="23">
        <v>97669456835</v>
      </c>
      <c r="L582" s="23">
        <v>80804991007</v>
      </c>
      <c r="M582" s="23">
        <v>136529798754</v>
      </c>
      <c r="N582" s="23">
        <v>263034060685</v>
      </c>
      <c r="O582" s="25">
        <f t="shared" si="161"/>
        <v>58456228311</v>
      </c>
      <c r="P582" s="23">
        <v>2085100822</v>
      </c>
      <c r="Q582" s="23">
        <f>1641571968+18149942606</f>
        <v>19791514574</v>
      </c>
      <c r="R582" s="25">
        <f t="shared" si="162"/>
        <v>243242546111</v>
      </c>
      <c r="S582" s="26">
        <f t="shared" si="163"/>
        <v>0.38583871756219934</v>
      </c>
      <c r="T582" s="27">
        <f t="shared" si="164"/>
        <v>1.7234234863776674</v>
      </c>
      <c r="U582" s="26">
        <f t="shared" si="165"/>
        <v>26.127306443984168</v>
      </c>
      <c r="V582" s="26">
        <f t="shared" si="166"/>
        <v>2.6931045713642319</v>
      </c>
      <c r="W582" s="91" t="s">
        <v>1052</v>
      </c>
      <c r="X582" s="29">
        <v>21940</v>
      </c>
      <c r="Y582" s="91">
        <v>34800</v>
      </c>
      <c r="Z582" s="30">
        <f t="shared" si="179"/>
        <v>763512000</v>
      </c>
      <c r="AA582" s="31">
        <f t="shared" si="167"/>
        <v>11</v>
      </c>
      <c r="AB582" s="32">
        <v>1.84E-2</v>
      </c>
      <c r="AC582" s="32">
        <v>2.58E-2</v>
      </c>
      <c r="AD582" s="33">
        <f t="shared" si="133"/>
        <v>0.26295762883711715</v>
      </c>
      <c r="AE582" s="34">
        <f t="shared" si="134"/>
        <v>9.3795508858765825E-3</v>
      </c>
      <c r="AF582" s="33">
        <f t="shared" si="135"/>
        <v>1.0941944939956989</v>
      </c>
      <c r="AG582" s="33">
        <f t="shared" si="136"/>
        <v>8.9015379178836694E-3</v>
      </c>
      <c r="AH582" s="35">
        <f t="shared" si="137"/>
        <v>3.066628507322009</v>
      </c>
      <c r="AI582" s="36">
        <f t="shared" si="168"/>
        <v>7.0114917861033135</v>
      </c>
      <c r="AJ582" s="23"/>
      <c r="AK582" s="23"/>
      <c r="AL582" s="44"/>
      <c r="AM582" s="44"/>
      <c r="AN582" s="44"/>
      <c r="AO582" s="44"/>
      <c r="AP582" s="44"/>
      <c r="AQ582" s="44"/>
      <c r="AR582" s="44"/>
    </row>
    <row r="583" spans="1:44" ht="16.8">
      <c r="A583" s="78" t="s">
        <v>1385</v>
      </c>
      <c r="B583" s="79"/>
      <c r="C583" s="1" t="s">
        <v>1383</v>
      </c>
      <c r="D583" s="19" t="s">
        <v>1384</v>
      </c>
      <c r="E583" s="20" t="s">
        <v>39</v>
      </c>
      <c r="F583" s="21">
        <v>2010</v>
      </c>
      <c r="G583" s="40">
        <v>2022</v>
      </c>
      <c r="H583" s="23">
        <v>148476179765</v>
      </c>
      <c r="I583" s="23">
        <v>222465700988</v>
      </c>
      <c r="J583" s="23">
        <v>94707029250</v>
      </c>
      <c r="K583" s="23">
        <v>90240036428.5</v>
      </c>
      <c r="L583" s="23">
        <v>91424096650</v>
      </c>
      <c r="M583" s="23">
        <v>127758671738</v>
      </c>
      <c r="N583" s="23">
        <v>281350535843</v>
      </c>
      <c r="O583" s="25">
        <f t="shared" si="161"/>
        <v>57052083115</v>
      </c>
      <c r="P583" s="23">
        <v>414348304</v>
      </c>
      <c r="Q583" s="23">
        <f>2322037795+13839325111</f>
        <v>16161362906</v>
      </c>
      <c r="R583" s="25">
        <f t="shared" si="162"/>
        <v>265189172937</v>
      </c>
      <c r="S583" s="26">
        <f t="shared" si="163"/>
        <v>0.42571519487900106</v>
      </c>
      <c r="T583" s="27">
        <f t="shared" si="164"/>
        <v>1.6240377012792722</v>
      </c>
      <c r="U583" s="26">
        <f t="shared" si="165"/>
        <v>26.12803877380701</v>
      </c>
      <c r="V583" s="26">
        <f t="shared" si="166"/>
        <v>3.1178016651835332</v>
      </c>
      <c r="W583" s="91" t="s">
        <v>1386</v>
      </c>
      <c r="X583" s="29">
        <v>9710</v>
      </c>
      <c r="Y583" s="91">
        <v>3600</v>
      </c>
      <c r="Z583" s="30">
        <f t="shared" si="179"/>
        <v>34956000</v>
      </c>
      <c r="AA583" s="31">
        <f t="shared" si="167"/>
        <v>12</v>
      </c>
      <c r="AB583" s="32">
        <v>3.15E-2</v>
      </c>
      <c r="AC583" s="32">
        <v>8.0199999999999994E-2</v>
      </c>
      <c r="AD583" s="33">
        <f t="shared" si="133"/>
        <v>0.25645338972086057</v>
      </c>
      <c r="AE583" s="34">
        <f t="shared" si="134"/>
        <v>1.8625266823596789E-3</v>
      </c>
      <c r="AF583" s="33">
        <f t="shared" si="135"/>
        <v>1.192045208583882</v>
      </c>
      <c r="AG583" s="33">
        <f t="shared" si="136"/>
        <v>3.6909615132923199E-4</v>
      </c>
      <c r="AH583" s="35">
        <f t="shared" si="137"/>
        <v>2.9707460794732929</v>
      </c>
      <c r="AI583" s="36">
        <f t="shared" si="168"/>
        <v>7.2150683305112375</v>
      </c>
      <c r="AJ583" s="23"/>
      <c r="AK583" s="23"/>
      <c r="AL583" s="44"/>
      <c r="AM583" s="44"/>
      <c r="AN583" s="44"/>
      <c r="AO583" s="44"/>
      <c r="AP583" s="44"/>
      <c r="AQ583" s="44"/>
      <c r="AR583" s="44"/>
    </row>
    <row r="584" spans="1:44" ht="16.8">
      <c r="A584" s="78" t="s">
        <v>1387</v>
      </c>
      <c r="B584" s="79"/>
      <c r="C584" s="1" t="s">
        <v>1383</v>
      </c>
      <c r="D584" s="19" t="s">
        <v>1384</v>
      </c>
      <c r="E584" s="20" t="s">
        <v>39</v>
      </c>
      <c r="F584" s="21">
        <v>2010</v>
      </c>
      <c r="G584" s="40">
        <v>2023</v>
      </c>
      <c r="H584" s="23">
        <v>160836919566</v>
      </c>
      <c r="I584" s="23">
        <v>221544896797</v>
      </c>
      <c r="J584" s="23">
        <v>91977483815</v>
      </c>
      <c r="K584" s="23">
        <v>93342256532.5</v>
      </c>
      <c r="L584" s="23">
        <v>91187483815</v>
      </c>
      <c r="M584" s="23">
        <v>129567412982</v>
      </c>
      <c r="N584" s="23">
        <v>235118964915</v>
      </c>
      <c r="O584" s="25">
        <f t="shared" si="161"/>
        <v>69649435751</v>
      </c>
      <c r="P584" s="23">
        <v>2494998514</v>
      </c>
      <c r="Q584" s="23">
        <f>2020447179+9863338485</f>
        <v>11883785664</v>
      </c>
      <c r="R584" s="25">
        <f t="shared" si="162"/>
        <v>223235179251</v>
      </c>
      <c r="S584" s="26">
        <f t="shared" si="163"/>
        <v>0.4151640825167745</v>
      </c>
      <c r="T584" s="27">
        <f t="shared" si="164"/>
        <v>1.7638047771150687</v>
      </c>
      <c r="U584" s="26">
        <f t="shared" si="165"/>
        <v>26.123891100234992</v>
      </c>
      <c r="V584" s="26">
        <f t="shared" si="166"/>
        <v>2.5188909466007612</v>
      </c>
      <c r="W584" s="91" t="s">
        <v>1388</v>
      </c>
      <c r="X584" s="29">
        <v>8380</v>
      </c>
      <c r="Y584" s="91">
        <v>10200</v>
      </c>
      <c r="Z584" s="30">
        <f t="shared" si="179"/>
        <v>85476000</v>
      </c>
      <c r="AA584" s="31">
        <f t="shared" si="167"/>
        <v>13</v>
      </c>
      <c r="AB584" s="32">
        <v>3.2500000000000001E-2</v>
      </c>
      <c r="AC584" s="32">
        <v>5.0500000000000003E-2</v>
      </c>
      <c r="AD584" s="33">
        <f t="shared" si="133"/>
        <v>0.31438068201056002</v>
      </c>
      <c r="AE584" s="34">
        <f t="shared" si="134"/>
        <v>1.1261818936349272E-2</v>
      </c>
      <c r="AF584" s="33">
        <f t="shared" si="135"/>
        <v>1.0076295255654153</v>
      </c>
      <c r="AG584" s="33">
        <f t="shared" si="136"/>
        <v>9.2931439798813332E-4</v>
      </c>
      <c r="AH584" s="35">
        <f t="shared" si="137"/>
        <v>2.5562665465812189</v>
      </c>
      <c r="AI584" s="36">
        <f t="shared" si="168"/>
        <v>6.2750249345094433</v>
      </c>
      <c r="AJ584" s="23"/>
      <c r="AK584" s="23"/>
      <c r="AL584" s="44"/>
      <c r="AM584" s="44"/>
      <c r="AN584" s="44"/>
      <c r="AO584" s="44"/>
      <c r="AP584" s="44"/>
      <c r="AQ584" s="44"/>
      <c r="AR584" s="44"/>
    </row>
    <row r="585" spans="1:44" ht="16.8">
      <c r="A585" s="78" t="s">
        <v>1389</v>
      </c>
      <c r="B585" s="79">
        <v>232</v>
      </c>
      <c r="C585" s="1" t="s">
        <v>1390</v>
      </c>
      <c r="D585" s="19" t="s">
        <v>1391</v>
      </c>
      <c r="E585" s="20" t="s">
        <v>178</v>
      </c>
      <c r="F585" s="21">
        <v>1994</v>
      </c>
      <c r="G585" s="40">
        <v>2021</v>
      </c>
      <c r="H585" s="23">
        <v>98870334604</v>
      </c>
      <c r="I585" s="23">
        <v>278713391373</v>
      </c>
      <c r="J585" s="23">
        <v>151908977102</v>
      </c>
      <c r="K585" s="23">
        <v>153387909526</v>
      </c>
      <c r="L585" s="23">
        <v>151755177102</v>
      </c>
      <c r="M585" s="23">
        <v>126804414271</v>
      </c>
      <c r="N585" s="23">
        <v>21151021069</v>
      </c>
      <c r="O585" s="25">
        <f t="shared" si="161"/>
        <v>-52884842498</v>
      </c>
      <c r="P585" s="23">
        <v>-14815697320</v>
      </c>
      <c r="Q585" s="23">
        <f>385036446+6126719968</f>
        <v>6511756414</v>
      </c>
      <c r="R585" s="25">
        <f t="shared" si="162"/>
        <v>14639264655</v>
      </c>
      <c r="S585" s="26">
        <f t="shared" si="163"/>
        <v>0.54503652068407926</v>
      </c>
      <c r="T585" s="27">
        <f t="shared" si="164"/>
        <v>0.65151210319201014</v>
      </c>
      <c r="U585" s="26">
        <f t="shared" si="165"/>
        <v>26.353449819698707</v>
      </c>
      <c r="V585" s="26">
        <f t="shared" si="166"/>
        <v>0.13789236149290371</v>
      </c>
      <c r="W585" s="93">
        <v>45695</v>
      </c>
      <c r="X585" s="42">
        <v>7200</v>
      </c>
      <c r="Y585" s="91">
        <v>26700</v>
      </c>
      <c r="Z585" s="30">
        <f t="shared" si="179"/>
        <v>192240000</v>
      </c>
      <c r="AA585" s="31">
        <f t="shared" si="167"/>
        <v>27</v>
      </c>
      <c r="AB585" s="32">
        <v>1.84E-2</v>
      </c>
      <c r="AC585" s="32">
        <v>2.58E-2</v>
      </c>
      <c r="AD585" s="33">
        <f t="shared" si="133"/>
        <v>-0.18974632771492711</v>
      </c>
      <c r="AE585" s="34">
        <f t="shared" si="134"/>
        <v>-5.3157464903336005E-2</v>
      </c>
      <c r="AF585" s="33">
        <f t="shared" si="135"/>
        <v>5.2524439471257352E-2</v>
      </c>
      <c r="AG585" s="33">
        <f t="shared" si="136"/>
        <v>1.2654946644194672E-3</v>
      </c>
      <c r="AH585" s="35">
        <f t="shared" si="137"/>
        <v>0.13923483307242632</v>
      </c>
      <c r="AI585" s="36">
        <f t="shared" si="168"/>
        <v>1.1208736003644332E-2</v>
      </c>
      <c r="AJ585" s="23"/>
      <c r="AK585" s="23"/>
      <c r="AL585" s="44"/>
      <c r="AM585" s="44"/>
      <c r="AN585" s="44"/>
      <c r="AO585" s="44"/>
      <c r="AP585" s="44"/>
      <c r="AQ585" s="44"/>
      <c r="AR585" s="44"/>
    </row>
    <row r="586" spans="1:44" ht="16.8">
      <c r="A586" s="78" t="s">
        <v>1392</v>
      </c>
      <c r="B586" s="79"/>
      <c r="C586" s="1" t="s">
        <v>1390</v>
      </c>
      <c r="D586" s="19" t="s">
        <v>1391</v>
      </c>
      <c r="E586" s="20" t="s">
        <v>178</v>
      </c>
      <c r="F586" s="21">
        <v>1994</v>
      </c>
      <c r="G586" s="40">
        <v>2022</v>
      </c>
      <c r="H586" s="23">
        <v>100798346307</v>
      </c>
      <c r="I586" s="23">
        <v>270529478040</v>
      </c>
      <c r="J586" s="23">
        <v>138872108479</v>
      </c>
      <c r="K586" s="23">
        <v>145390542790.5</v>
      </c>
      <c r="L586" s="23">
        <v>138872108479</v>
      </c>
      <c r="M586" s="23">
        <v>131657369561</v>
      </c>
      <c r="N586" s="23">
        <v>49524162475</v>
      </c>
      <c r="O586" s="25">
        <f t="shared" si="161"/>
        <v>-38073762172</v>
      </c>
      <c r="P586" s="23">
        <v>4852955290</v>
      </c>
      <c r="Q586" s="23">
        <f>393666141+8407181665</f>
        <v>8800847806</v>
      </c>
      <c r="R586" s="25">
        <f t="shared" si="162"/>
        <v>40723314669</v>
      </c>
      <c r="S586" s="26">
        <f t="shared" si="163"/>
        <v>0.5133344783168754</v>
      </c>
      <c r="T586" s="27">
        <f t="shared" si="164"/>
        <v>0.72583578812906513</v>
      </c>
      <c r="U586" s="26">
        <f t="shared" si="165"/>
        <v>26.323646905413781</v>
      </c>
      <c r="V586" s="26">
        <f t="shared" si="166"/>
        <v>0.34062849979425192</v>
      </c>
      <c r="W586" s="93">
        <v>45781</v>
      </c>
      <c r="X586" s="42">
        <v>4500</v>
      </c>
      <c r="Y586" s="91">
        <v>0</v>
      </c>
      <c r="Z586" s="30">
        <f t="shared" si="179"/>
        <v>0</v>
      </c>
      <c r="AA586" s="31">
        <f t="shared" si="167"/>
        <v>28</v>
      </c>
      <c r="AB586" s="32">
        <v>3.15E-2</v>
      </c>
      <c r="AC586" s="32">
        <v>8.0199999999999994E-2</v>
      </c>
      <c r="AD586" s="33">
        <f t="shared" si="133"/>
        <v>-0.14073794267392362</v>
      </c>
      <c r="AE586" s="34">
        <f t="shared" si="134"/>
        <v>1.79387300975846E-2</v>
      </c>
      <c r="AF586" s="33">
        <f t="shared" si="135"/>
        <v>0.15053189384034046</v>
      </c>
      <c r="AG586" s="33">
        <f t="shared" si="136"/>
        <v>0</v>
      </c>
      <c r="AH586" s="35">
        <f t="shared" si="137"/>
        <v>0.35661705591867615</v>
      </c>
      <c r="AI586" s="36">
        <f t="shared" si="168"/>
        <v>0.70960099651970976</v>
      </c>
      <c r="AJ586" s="23"/>
      <c r="AK586" s="23"/>
      <c r="AL586" s="44"/>
      <c r="AM586" s="44"/>
      <c r="AN586" s="44"/>
      <c r="AO586" s="44"/>
      <c r="AP586" s="44"/>
      <c r="AQ586" s="44"/>
      <c r="AR586" s="44"/>
    </row>
    <row r="587" spans="1:44" ht="16.8">
      <c r="A587" s="78" t="s">
        <v>1393</v>
      </c>
      <c r="B587" s="79"/>
      <c r="C587" s="1" t="s">
        <v>1390</v>
      </c>
      <c r="D587" s="19" t="s">
        <v>1391</v>
      </c>
      <c r="E587" s="20" t="s">
        <v>178</v>
      </c>
      <c r="F587" s="21">
        <v>1994</v>
      </c>
      <c r="G587" s="40">
        <v>2023</v>
      </c>
      <c r="H587" s="23">
        <v>103309693696</v>
      </c>
      <c r="I587" s="23">
        <v>267624913338</v>
      </c>
      <c r="J587" s="23">
        <v>129176832837</v>
      </c>
      <c r="K587" s="23">
        <v>134024470658</v>
      </c>
      <c r="L587" s="23">
        <v>129023832837</v>
      </c>
      <c r="M587" s="23">
        <v>138448080501</v>
      </c>
      <c r="N587" s="23">
        <v>48584405168</v>
      </c>
      <c r="O587" s="25">
        <f t="shared" si="161"/>
        <v>-25714139141</v>
      </c>
      <c r="P587" s="23">
        <v>6790710940</v>
      </c>
      <c r="Q587" s="23">
        <f>597315124+10472900608</f>
        <v>11070215732</v>
      </c>
      <c r="R587" s="25">
        <f t="shared" si="162"/>
        <v>37514189436</v>
      </c>
      <c r="S587" s="26">
        <f t="shared" si="163"/>
        <v>0.48267865358952816</v>
      </c>
      <c r="T587" s="27">
        <f t="shared" si="164"/>
        <v>0.8007024084187182</v>
      </c>
      <c r="U587" s="26">
        <f t="shared" si="165"/>
        <v>26.312852260037431</v>
      </c>
      <c r="V587" s="26">
        <f t="shared" si="166"/>
        <v>0.36250398848413556</v>
      </c>
      <c r="W587" s="93">
        <v>45752</v>
      </c>
      <c r="X587" s="42">
        <v>5400</v>
      </c>
      <c r="Y587" s="91">
        <v>2400</v>
      </c>
      <c r="Z587" s="30">
        <f t="shared" si="179"/>
        <v>12960000</v>
      </c>
      <c r="AA587" s="31">
        <f t="shared" si="167"/>
        <v>29</v>
      </c>
      <c r="AB587" s="32">
        <v>3.2500000000000001E-2</v>
      </c>
      <c r="AC587" s="32">
        <v>5.0500000000000003E-2</v>
      </c>
      <c r="AD587" s="33">
        <f t="shared" si="133"/>
        <v>-9.6082755601022946E-2</v>
      </c>
      <c r="AE587" s="34">
        <f t="shared" si="134"/>
        <v>2.537398650709171E-2</v>
      </c>
      <c r="AF587" s="33">
        <f t="shared" si="135"/>
        <v>0.14017450381617133</v>
      </c>
      <c r="AG587" s="33">
        <f t="shared" si="136"/>
        <v>1.0032758750443585E-4</v>
      </c>
      <c r="AH587" s="35">
        <f t="shared" si="137"/>
        <v>0.37610772846014545</v>
      </c>
      <c r="AI587" s="36">
        <f t="shared" si="168"/>
        <v>0.75896806199471434</v>
      </c>
      <c r="AJ587" s="23"/>
      <c r="AK587" s="23"/>
      <c r="AL587" s="44"/>
      <c r="AM587" s="44"/>
      <c r="AN587" s="44"/>
      <c r="AO587" s="44"/>
      <c r="AP587" s="44"/>
      <c r="AQ587" s="44"/>
      <c r="AR587" s="44"/>
    </row>
    <row r="588" spans="1:44" ht="16.8">
      <c r="A588" s="78" t="s">
        <v>1394</v>
      </c>
      <c r="B588" s="79">
        <v>233</v>
      </c>
      <c r="C588" s="1" t="s">
        <v>1395</v>
      </c>
      <c r="D588" s="19" t="s">
        <v>1396</v>
      </c>
      <c r="E588" s="20" t="s">
        <v>39</v>
      </c>
      <c r="F588" s="21">
        <v>1977</v>
      </c>
      <c r="G588" s="40">
        <v>2021</v>
      </c>
      <c r="H588" s="23">
        <v>240857346404</v>
      </c>
      <c r="I588" s="23">
        <v>272364348261</v>
      </c>
      <c r="J588" s="23">
        <v>200618504822</v>
      </c>
      <c r="K588" s="23">
        <v>247916475814.5</v>
      </c>
      <c r="L588" s="23">
        <v>186130104178</v>
      </c>
      <c r="M588" s="23">
        <v>71745843439</v>
      </c>
      <c r="N588" s="23">
        <v>131641831903</v>
      </c>
      <c r="O588" s="25">
        <f t="shared" si="161"/>
        <v>54727242226</v>
      </c>
      <c r="P588" s="23">
        <v>-8585883344</v>
      </c>
      <c r="Q588" s="23">
        <f>248208946+23502198977</f>
        <v>23750407923</v>
      </c>
      <c r="R588" s="25">
        <f t="shared" si="162"/>
        <v>107891423980</v>
      </c>
      <c r="S588" s="26">
        <f t="shared" si="163"/>
        <v>0.73658137014963598</v>
      </c>
      <c r="T588" s="27">
        <f t="shared" si="164"/>
        <v>1.2940268177879664</v>
      </c>
      <c r="U588" s="26">
        <f t="shared" si="165"/>
        <v>26.330406522557102</v>
      </c>
      <c r="V588" s="26">
        <f t="shared" si="166"/>
        <v>0.53099267190898247</v>
      </c>
      <c r="W588" s="91" t="s">
        <v>895</v>
      </c>
      <c r="X588" s="29">
        <v>9000</v>
      </c>
      <c r="Y588" s="91">
        <v>0</v>
      </c>
      <c r="Z588" s="30">
        <f t="shared" si="179"/>
        <v>0</v>
      </c>
      <c r="AA588" s="31">
        <f t="shared" si="167"/>
        <v>44</v>
      </c>
      <c r="AB588" s="32">
        <v>1.84E-2</v>
      </c>
      <c r="AC588" s="32">
        <v>2.58E-2</v>
      </c>
      <c r="AD588" s="33">
        <f t="shared" si="133"/>
        <v>0.20093394225574723</v>
      </c>
      <c r="AE588" s="34">
        <f t="shared" si="134"/>
        <v>-3.1523521337573746E-2</v>
      </c>
      <c r="AF588" s="33">
        <f t="shared" si="135"/>
        <v>0.39612902594949884</v>
      </c>
      <c r="AG588" s="33">
        <f t="shared" si="136"/>
        <v>0</v>
      </c>
      <c r="AH588" s="35">
        <f t="shared" si="137"/>
        <v>0.65617990733108111</v>
      </c>
      <c r="AI588" s="36">
        <f t="shared" si="168"/>
        <v>2.1603934937987206</v>
      </c>
      <c r="AJ588" s="23"/>
      <c r="AK588" s="23"/>
      <c r="AL588" s="44"/>
      <c r="AM588" s="44"/>
      <c r="AN588" s="44"/>
      <c r="AO588" s="44"/>
      <c r="AP588" s="44"/>
      <c r="AQ588" s="44"/>
      <c r="AR588" s="44"/>
    </row>
    <row r="589" spans="1:44" ht="16.8">
      <c r="A589" s="78" t="s">
        <v>1397</v>
      </c>
      <c r="B589" s="79"/>
      <c r="C589" s="1" t="s">
        <v>1395</v>
      </c>
      <c r="D589" s="19" t="s">
        <v>1396</v>
      </c>
      <c r="E589" s="20" t="s">
        <v>39</v>
      </c>
      <c r="F589" s="21">
        <v>1977</v>
      </c>
      <c r="G589" s="40">
        <v>2022</v>
      </c>
      <c r="H589" s="23">
        <v>184334390435</v>
      </c>
      <c r="I589" s="23">
        <v>234883424828</v>
      </c>
      <c r="J589" s="23">
        <v>162723768706</v>
      </c>
      <c r="K589" s="23">
        <v>181671136764</v>
      </c>
      <c r="L589" s="23">
        <v>154032057771</v>
      </c>
      <c r="M589" s="23">
        <v>72159656122</v>
      </c>
      <c r="N589" s="23">
        <v>157292882788</v>
      </c>
      <c r="O589" s="25">
        <f t="shared" si="161"/>
        <v>30302332664</v>
      </c>
      <c r="P589" s="23">
        <v>413812683</v>
      </c>
      <c r="Q589" s="23">
        <f>405719482+11455414836</f>
        <v>11861134318</v>
      </c>
      <c r="R589" s="25">
        <f t="shared" si="162"/>
        <v>145431748470</v>
      </c>
      <c r="S589" s="26">
        <f t="shared" si="163"/>
        <v>0.69278523516573831</v>
      </c>
      <c r="T589" s="27">
        <f t="shared" si="164"/>
        <v>1.196727441693018</v>
      </c>
      <c r="U589" s="26">
        <f t="shared" si="165"/>
        <v>26.182355163448136</v>
      </c>
      <c r="V589" s="26">
        <f t="shared" si="166"/>
        <v>0.86581107813692726</v>
      </c>
      <c r="W589" s="93">
        <v>45909</v>
      </c>
      <c r="X589" s="42">
        <v>9900</v>
      </c>
      <c r="Y589" s="91">
        <v>0</v>
      </c>
      <c r="Z589" s="30">
        <f t="shared" si="179"/>
        <v>0</v>
      </c>
      <c r="AA589" s="31">
        <f t="shared" si="167"/>
        <v>45</v>
      </c>
      <c r="AB589" s="32">
        <v>3.15E-2</v>
      </c>
      <c r="AC589" s="32">
        <v>8.0199999999999994E-2</v>
      </c>
      <c r="AD589" s="33">
        <f t="shared" si="133"/>
        <v>0.1290100937781784</v>
      </c>
      <c r="AE589" s="34">
        <f t="shared" si="134"/>
        <v>1.7617789901651255E-3</v>
      </c>
      <c r="AF589" s="33">
        <f t="shared" si="135"/>
        <v>0.61916565026457904</v>
      </c>
      <c r="AG589" s="33">
        <f t="shared" si="136"/>
        <v>0</v>
      </c>
      <c r="AH589" s="35">
        <f t="shared" si="137"/>
        <v>0.96662512206306983</v>
      </c>
      <c r="AI589" s="36">
        <f t="shared" si="168"/>
        <v>3.1671503710562261</v>
      </c>
      <c r="AJ589" s="23"/>
      <c r="AK589" s="23"/>
      <c r="AL589" s="44"/>
      <c r="AM589" s="44"/>
      <c r="AN589" s="44"/>
      <c r="AO589" s="44"/>
      <c r="AP589" s="44"/>
      <c r="AQ589" s="44"/>
      <c r="AR589" s="44"/>
    </row>
    <row r="590" spans="1:44" ht="16.8">
      <c r="A590" s="78" t="s">
        <v>1398</v>
      </c>
      <c r="B590" s="79"/>
      <c r="C590" s="1" t="s">
        <v>1395</v>
      </c>
      <c r="D590" s="19" t="s">
        <v>1396</v>
      </c>
      <c r="E590" s="20" t="s">
        <v>39</v>
      </c>
      <c r="F590" s="21">
        <v>1977</v>
      </c>
      <c r="G590" s="40">
        <v>2023</v>
      </c>
      <c r="H590" s="23">
        <v>235364179386</v>
      </c>
      <c r="I590" s="23">
        <v>255369924719</v>
      </c>
      <c r="J590" s="23">
        <v>198661049499</v>
      </c>
      <c r="K590" s="23">
        <v>180692409102.5</v>
      </c>
      <c r="L590" s="23">
        <v>188196435206</v>
      </c>
      <c r="M590" s="23">
        <v>56708875220</v>
      </c>
      <c r="N590" s="23">
        <v>133984999883</v>
      </c>
      <c r="O590" s="25">
        <f t="shared" si="161"/>
        <v>47167744180</v>
      </c>
      <c r="P590" s="23">
        <v>-15450780902</v>
      </c>
      <c r="Q590" s="23">
        <f>583987998+15527195217</f>
        <v>16111183215</v>
      </c>
      <c r="R590" s="25">
        <f t="shared" si="162"/>
        <v>117873816668</v>
      </c>
      <c r="S590" s="26">
        <f t="shared" si="163"/>
        <v>0.77793440131056768</v>
      </c>
      <c r="T590" s="27">
        <f t="shared" si="164"/>
        <v>1.2506303805827679</v>
      </c>
      <c r="U590" s="26">
        <f t="shared" si="165"/>
        <v>26.265979016050196</v>
      </c>
      <c r="V590" s="26">
        <f t="shared" si="166"/>
        <v>0.74150873602551481</v>
      </c>
      <c r="W590" s="93">
        <v>45724</v>
      </c>
      <c r="X590" s="42">
        <v>8300</v>
      </c>
      <c r="Y590" s="91">
        <v>0</v>
      </c>
      <c r="Z590" s="30">
        <f t="shared" si="179"/>
        <v>0</v>
      </c>
      <c r="AA590" s="31">
        <f t="shared" si="167"/>
        <v>46</v>
      </c>
      <c r="AB590" s="32">
        <v>3.2500000000000001E-2</v>
      </c>
      <c r="AC590" s="32">
        <v>5.0500000000000003E-2</v>
      </c>
      <c r="AD590" s="33">
        <f t="shared" si="133"/>
        <v>0.18470359903149014</v>
      </c>
      <c r="AE590" s="34">
        <f t="shared" si="134"/>
        <v>-6.0503526086721021E-2</v>
      </c>
      <c r="AF590" s="33">
        <f t="shared" si="135"/>
        <v>0.46158065323355585</v>
      </c>
      <c r="AG590" s="33">
        <f t="shared" si="136"/>
        <v>0</v>
      </c>
      <c r="AH590" s="35">
        <f t="shared" si="137"/>
        <v>0.67444020969835072</v>
      </c>
      <c r="AI590" s="36">
        <f t="shared" si="168"/>
        <v>2.3345957476854635</v>
      </c>
      <c r="AJ590" s="23"/>
      <c r="AK590" s="23"/>
      <c r="AL590" s="44"/>
      <c r="AM590" s="44"/>
      <c r="AN590" s="44"/>
      <c r="AO590" s="44"/>
      <c r="AP590" s="44"/>
      <c r="AQ590" s="44"/>
      <c r="AR590" s="44"/>
    </row>
    <row r="591" spans="1:44" ht="16.8">
      <c r="A591" s="78" t="s">
        <v>1399</v>
      </c>
      <c r="B591" s="79">
        <v>234</v>
      </c>
      <c r="C591" s="1" t="s">
        <v>1400</v>
      </c>
      <c r="D591" s="19" t="s">
        <v>1401</v>
      </c>
      <c r="E591" s="20" t="s">
        <v>39</v>
      </c>
      <c r="F591" s="21">
        <v>2000</v>
      </c>
      <c r="G591" s="40">
        <v>2021</v>
      </c>
      <c r="H591" s="23">
        <v>1174433329319</v>
      </c>
      <c r="I591" s="23">
        <v>2410013683460</v>
      </c>
      <c r="J591" s="23">
        <v>1403264205721</v>
      </c>
      <c r="K591" s="23">
        <v>1382749334259</v>
      </c>
      <c r="L591" s="23">
        <v>1169207345304</v>
      </c>
      <c r="M591" s="23">
        <v>1006749577739</v>
      </c>
      <c r="N591" s="23">
        <v>5863290405558</v>
      </c>
      <c r="O591" s="25">
        <f t="shared" si="161"/>
        <v>5225984015</v>
      </c>
      <c r="P591" s="23">
        <v>79186310898</v>
      </c>
      <c r="Q591" s="23">
        <f>595329545557+73419617303</f>
        <v>668749162860</v>
      </c>
      <c r="R591" s="25">
        <f t="shared" si="162"/>
        <v>5194541242698</v>
      </c>
      <c r="S591" s="26">
        <f t="shared" si="163"/>
        <v>0.58226399930906891</v>
      </c>
      <c r="T591" s="27">
        <f t="shared" si="164"/>
        <v>1.0044696811356768</v>
      </c>
      <c r="U591" s="26">
        <f t="shared" si="165"/>
        <v>28.510653541199225</v>
      </c>
      <c r="V591" s="26">
        <f t="shared" si="166"/>
        <v>4.2403133093534064</v>
      </c>
      <c r="W591" s="91" t="s">
        <v>1402</v>
      </c>
      <c r="X591" s="29">
        <v>20490</v>
      </c>
      <c r="Y591" s="91">
        <v>46200</v>
      </c>
      <c r="Z591" s="30">
        <f t="shared" si="179"/>
        <v>946638000</v>
      </c>
      <c r="AA591" s="31">
        <f t="shared" si="167"/>
        <v>21</v>
      </c>
      <c r="AB591" s="32">
        <v>1.84E-2</v>
      </c>
      <c r="AC591" s="32">
        <v>2.58E-2</v>
      </c>
      <c r="AD591" s="33">
        <f t="shared" si="133"/>
        <v>2.1684457855430835E-3</v>
      </c>
      <c r="AE591" s="34">
        <f t="shared" si="134"/>
        <v>3.28572038579939E-2</v>
      </c>
      <c r="AF591" s="33">
        <f t="shared" si="135"/>
        <v>2.1553990661332341</v>
      </c>
      <c r="AG591" s="33">
        <f t="shared" si="136"/>
        <v>6.7459712585885814E-4</v>
      </c>
      <c r="AH591" s="35">
        <f t="shared" si="137"/>
        <v>4.1783225009615563</v>
      </c>
      <c r="AI591" s="36">
        <f t="shared" si="168"/>
        <v>11.340146397820586</v>
      </c>
      <c r="AJ591" s="23"/>
      <c r="AK591" s="23"/>
      <c r="AL591" s="44"/>
      <c r="AM591" s="44"/>
      <c r="AN591" s="44"/>
      <c r="AO591" s="44"/>
      <c r="AP591" s="44"/>
      <c r="AQ591" s="44"/>
      <c r="AR591" s="44"/>
    </row>
    <row r="592" spans="1:44" ht="16.8">
      <c r="A592" s="78" t="s">
        <v>1403</v>
      </c>
      <c r="B592" s="79"/>
      <c r="C592" s="1" t="s">
        <v>1400</v>
      </c>
      <c r="D592" s="19" t="s">
        <v>1401</v>
      </c>
      <c r="E592" s="20" t="s">
        <v>39</v>
      </c>
      <c r="F592" s="21">
        <v>2000</v>
      </c>
      <c r="G592" s="40">
        <v>2022</v>
      </c>
      <c r="H592" s="23">
        <v>1161053243780</v>
      </c>
      <c r="I592" s="23">
        <v>2389451316230</v>
      </c>
      <c r="J592" s="23">
        <v>1370459551997</v>
      </c>
      <c r="K592" s="23">
        <v>1386861878859</v>
      </c>
      <c r="L592" s="23">
        <v>1140426364431</v>
      </c>
      <c r="M592" s="23">
        <v>1018991764233</v>
      </c>
      <c r="N592" s="23">
        <v>7024162697131</v>
      </c>
      <c r="O592" s="25">
        <f t="shared" si="161"/>
        <v>20626879349</v>
      </c>
      <c r="P592" s="23">
        <v>98858815869</v>
      </c>
      <c r="Q592" s="23">
        <f>632555080647+96116992210</f>
        <v>728672072857</v>
      </c>
      <c r="R592" s="25">
        <f t="shared" si="162"/>
        <v>6295490624274</v>
      </c>
      <c r="S592" s="26">
        <f t="shared" si="163"/>
        <v>0.5735457101336835</v>
      </c>
      <c r="T592" s="27">
        <f t="shared" si="164"/>
        <v>1.0180869892106463</v>
      </c>
      <c r="U592" s="26">
        <f t="shared" si="165"/>
        <v>28.502084880716477</v>
      </c>
      <c r="V592" s="26">
        <f t="shared" si="166"/>
        <v>5.0647889340717365</v>
      </c>
      <c r="W592" s="91" t="s">
        <v>1404</v>
      </c>
      <c r="X592" s="29">
        <v>22370</v>
      </c>
      <c r="Y592" s="91">
        <v>3</v>
      </c>
      <c r="Z592" s="30">
        <f t="shared" si="179"/>
        <v>67110</v>
      </c>
      <c r="AA592" s="31">
        <f t="shared" si="167"/>
        <v>22</v>
      </c>
      <c r="AB592" s="32">
        <v>3.15E-2</v>
      </c>
      <c r="AC592" s="32">
        <v>8.0199999999999994E-2</v>
      </c>
      <c r="AD592" s="33">
        <f t="shared" si="133"/>
        <v>8.6324752502362889E-3</v>
      </c>
      <c r="AE592" s="34">
        <f t="shared" si="134"/>
        <v>4.1373019486739861E-2</v>
      </c>
      <c r="AF592" s="33">
        <f t="shared" si="135"/>
        <v>2.6347013565469179</v>
      </c>
      <c r="AG592" s="33">
        <f t="shared" si="136"/>
        <v>4.8968975335469737E-8</v>
      </c>
      <c r="AH592" s="35">
        <f t="shared" si="137"/>
        <v>5.1254067928495681</v>
      </c>
      <c r="AI592" s="36">
        <f t="shared" si="168"/>
        <v>13.888202496417499</v>
      </c>
      <c r="AJ592" s="23"/>
      <c r="AK592" s="23"/>
      <c r="AL592" s="44"/>
      <c r="AM592" s="44"/>
      <c r="AN592" s="44"/>
      <c r="AO592" s="44"/>
      <c r="AP592" s="44"/>
      <c r="AQ592" s="44"/>
      <c r="AR592" s="44"/>
    </row>
    <row r="593" spans="1:44" ht="16.8">
      <c r="A593" s="78" t="s">
        <v>1405</v>
      </c>
      <c r="B593" s="79"/>
      <c r="C593" s="1" t="s">
        <v>1400</v>
      </c>
      <c r="D593" s="19" t="s">
        <v>1401</v>
      </c>
      <c r="E593" s="20" t="s">
        <v>39</v>
      </c>
      <c r="F593" s="21">
        <v>2000</v>
      </c>
      <c r="G593" s="40">
        <v>2023</v>
      </c>
      <c r="H593" s="23">
        <v>1578488435818</v>
      </c>
      <c r="I593" s="23">
        <v>2737637322267</v>
      </c>
      <c r="J593" s="23">
        <v>1727864471701</v>
      </c>
      <c r="K593" s="23">
        <v>1549162011849</v>
      </c>
      <c r="L593" s="23">
        <v>1528216103650</v>
      </c>
      <c r="M593" s="23">
        <v>1009772850566</v>
      </c>
      <c r="N593" s="23">
        <v>5905226559572</v>
      </c>
      <c r="O593" s="25">
        <f t="shared" si="161"/>
        <v>50272332168</v>
      </c>
      <c r="P593" s="23">
        <v>106160235957</v>
      </c>
      <c r="Q593" s="23">
        <f>655765955413+86514031540</f>
        <v>742279986953</v>
      </c>
      <c r="R593" s="25">
        <f t="shared" si="162"/>
        <v>5162946572619</v>
      </c>
      <c r="S593" s="26">
        <f t="shared" si="163"/>
        <v>0.63115170795165043</v>
      </c>
      <c r="T593" s="27">
        <f t="shared" si="164"/>
        <v>1.0328960884837748</v>
      </c>
      <c r="U593" s="26">
        <f t="shared" si="165"/>
        <v>28.638116373198233</v>
      </c>
      <c r="V593" s="26">
        <f t="shared" si="166"/>
        <v>3.8118844345555734</v>
      </c>
      <c r="W593" s="91" t="s">
        <v>1406</v>
      </c>
      <c r="X593" s="29">
        <v>25880</v>
      </c>
      <c r="Y593" s="91">
        <v>9600</v>
      </c>
      <c r="Z593" s="30">
        <f t="shared" si="179"/>
        <v>248448000</v>
      </c>
      <c r="AA593" s="31">
        <f t="shared" si="167"/>
        <v>23</v>
      </c>
      <c r="AB593" s="32">
        <v>3.2500000000000001E-2</v>
      </c>
      <c r="AC593" s="32">
        <v>5.0500000000000003E-2</v>
      </c>
      <c r="AD593" s="33">
        <f t="shared" si="133"/>
        <v>1.8363401082788486E-2</v>
      </c>
      <c r="AE593" s="34">
        <f t="shared" si="134"/>
        <v>3.8778049631895788E-2</v>
      </c>
      <c r="AF593" s="33">
        <f t="shared" si="135"/>
        <v>1.8859132766146083</v>
      </c>
      <c r="AG593" s="33">
        <f t="shared" si="136"/>
        <v>1.4378905525814465E-4</v>
      </c>
      <c r="AH593" s="35">
        <f t="shared" si="137"/>
        <v>3.4176445295843063</v>
      </c>
      <c r="AI593" s="36">
        <f t="shared" si="168"/>
        <v>9.717569966629668</v>
      </c>
      <c r="AJ593" s="23"/>
      <c r="AK593" s="23"/>
      <c r="AL593" s="44"/>
      <c r="AM593" s="44"/>
      <c r="AN593" s="44"/>
      <c r="AO593" s="44"/>
      <c r="AP593" s="44"/>
      <c r="AQ593" s="44"/>
      <c r="AR593" s="44"/>
    </row>
    <row r="594" spans="1:44" ht="16.8">
      <c r="A594" s="78" t="s">
        <v>1407</v>
      </c>
      <c r="B594" s="79">
        <v>235</v>
      </c>
      <c r="C594" s="1" t="s">
        <v>1408</v>
      </c>
      <c r="D594" s="19" t="s">
        <v>1409</v>
      </c>
      <c r="E594" s="20" t="s">
        <v>39</v>
      </c>
      <c r="F594" s="21">
        <v>2004</v>
      </c>
      <c r="G594" s="40">
        <v>2021</v>
      </c>
      <c r="H594" s="23">
        <v>27837429035</v>
      </c>
      <c r="I594" s="23">
        <v>53249007359</v>
      </c>
      <c r="J594" s="23">
        <v>21140605768</v>
      </c>
      <c r="K594" s="23">
        <v>18705362753.5</v>
      </c>
      <c r="L594" s="23">
        <v>21140605768</v>
      </c>
      <c r="M594" s="23">
        <v>32108401591</v>
      </c>
      <c r="N594" s="23">
        <v>828138943</v>
      </c>
      <c r="O594" s="25">
        <f t="shared" si="161"/>
        <v>6696823267</v>
      </c>
      <c r="P594" s="23">
        <v>865383235</v>
      </c>
      <c r="Q594" s="23">
        <v>8577591192</v>
      </c>
      <c r="R594" s="25">
        <f t="shared" si="162"/>
        <v>-7749452249</v>
      </c>
      <c r="S594" s="26">
        <f t="shared" si="163"/>
        <v>0.39701408188648374</v>
      </c>
      <c r="T594" s="27">
        <f t="shared" si="164"/>
        <v>1.3167753724983988</v>
      </c>
      <c r="U594" s="26">
        <f t="shared" si="165"/>
        <v>24.698245000216659</v>
      </c>
      <c r="V594" s="26">
        <f t="shared" si="166"/>
        <v>4.4272808494186792E-2</v>
      </c>
      <c r="W594" s="93">
        <v>45758</v>
      </c>
      <c r="X594" s="42">
        <v>11400</v>
      </c>
      <c r="Y594" s="91">
        <v>22900</v>
      </c>
      <c r="Z594" s="30">
        <f t="shared" si="179"/>
        <v>261060000</v>
      </c>
      <c r="AA594" s="31">
        <f t="shared" si="167"/>
        <v>17</v>
      </c>
      <c r="AB594" s="32">
        <v>1.84E-2</v>
      </c>
      <c r="AC594" s="32">
        <v>2.58E-2</v>
      </c>
      <c r="AD594" s="33">
        <f t="shared" si="133"/>
        <v>0.12576428367670073</v>
      </c>
      <c r="AE594" s="34">
        <f t="shared" si="134"/>
        <v>1.6251631305831946E-2</v>
      </c>
      <c r="AF594" s="33">
        <f t="shared" si="135"/>
        <v>-0.14553233258892306</v>
      </c>
      <c r="AG594" s="33">
        <f t="shared" si="136"/>
        <v>1.2348747375780495E-2</v>
      </c>
      <c r="AH594" s="35">
        <f t="shared" si="137"/>
        <v>3.9172905076047204E-2</v>
      </c>
      <c r="AI594" s="36">
        <f t="shared" si="168"/>
        <v>-0.26000511980172497</v>
      </c>
      <c r="AJ594" s="23"/>
      <c r="AK594" s="23"/>
      <c r="AL594" s="44"/>
      <c r="AM594" s="44"/>
      <c r="AN594" s="44"/>
      <c r="AO594" s="44"/>
      <c r="AP594" s="44"/>
      <c r="AQ594" s="44"/>
      <c r="AR594" s="44"/>
    </row>
    <row r="595" spans="1:44" ht="16.8">
      <c r="A595" s="78" t="s">
        <v>1410</v>
      </c>
      <c r="B595" s="79"/>
      <c r="C595" s="1" t="s">
        <v>1408</v>
      </c>
      <c r="D595" s="19" t="s">
        <v>1409</v>
      </c>
      <c r="E595" s="20" t="s">
        <v>39</v>
      </c>
      <c r="F595" s="21">
        <v>2004</v>
      </c>
      <c r="G595" s="40">
        <v>2022</v>
      </c>
      <c r="H595" s="23">
        <v>25995004688</v>
      </c>
      <c r="I595" s="23">
        <v>54738260596</v>
      </c>
      <c r="J595" s="23">
        <v>30919038577</v>
      </c>
      <c r="K595" s="23">
        <f>AVERAGE(J594:J595)</f>
        <v>26029822172.5</v>
      </c>
      <c r="L595" s="23">
        <v>30919038577</v>
      </c>
      <c r="M595" s="23">
        <v>23819222019</v>
      </c>
      <c r="N595" s="23">
        <v>17446801475</v>
      </c>
      <c r="O595" s="25">
        <f t="shared" si="161"/>
        <v>-4924033889</v>
      </c>
      <c r="P595" s="23">
        <v>-2260755121</v>
      </c>
      <c r="Q595" s="23">
        <f>168899307+14564097447</f>
        <v>14732996754</v>
      </c>
      <c r="R595" s="25">
        <f t="shared" si="162"/>
        <v>2713804721</v>
      </c>
      <c r="S595" s="26">
        <f t="shared" si="163"/>
        <v>0.56485241292558375</v>
      </c>
      <c r="T595" s="27">
        <f t="shared" si="164"/>
        <v>0.84074427551369979</v>
      </c>
      <c r="U595" s="26">
        <f t="shared" si="165"/>
        <v>24.725828764314222</v>
      </c>
      <c r="V595" s="26">
        <f t="shared" si="166"/>
        <v>0.67026203096509074</v>
      </c>
      <c r="W595" s="93">
        <v>45871</v>
      </c>
      <c r="X595" s="42">
        <v>2800</v>
      </c>
      <c r="Y595" s="91">
        <v>12718</v>
      </c>
      <c r="Z595" s="30">
        <f t="shared" si="179"/>
        <v>35610400</v>
      </c>
      <c r="AA595" s="31">
        <f t="shared" si="167"/>
        <v>18</v>
      </c>
      <c r="AB595" s="32">
        <v>3.15E-2</v>
      </c>
      <c r="AC595" s="32">
        <v>8.0199999999999994E-2</v>
      </c>
      <c r="AD595" s="33">
        <f t="shared" si="133"/>
        <v>-8.995598024829865E-2</v>
      </c>
      <c r="AE595" s="34">
        <f t="shared" si="134"/>
        <v>-4.1301186708976367E-2</v>
      </c>
      <c r="AF595" s="33">
        <f t="shared" si="135"/>
        <v>4.9577839914012746E-2</v>
      </c>
      <c r="AG595" s="33">
        <f t="shared" si="136"/>
        <v>1.1517305077684338E-3</v>
      </c>
      <c r="AH595" s="35">
        <f t="shared" si="137"/>
        <v>0.56427373805789338</v>
      </c>
      <c r="AI595" s="36">
        <f t="shared" si="168"/>
        <v>0.56280281038827118</v>
      </c>
      <c r="AJ595" s="23"/>
      <c r="AK595" s="23"/>
      <c r="AL595" s="44"/>
      <c r="AM595" s="44"/>
      <c r="AN595" s="44"/>
      <c r="AO595" s="44"/>
      <c r="AP595" s="44"/>
      <c r="AQ595" s="44"/>
      <c r="AR595" s="44"/>
    </row>
    <row r="596" spans="1:44" ht="16.8">
      <c r="A596" s="78" t="s">
        <v>1411</v>
      </c>
      <c r="B596" s="79"/>
      <c r="C596" s="1" t="s">
        <v>1408</v>
      </c>
      <c r="D596" s="19" t="s">
        <v>1409</v>
      </c>
      <c r="E596" s="20" t="s">
        <v>39</v>
      </c>
      <c r="F596" s="21">
        <v>2004</v>
      </c>
      <c r="G596" s="40">
        <v>2023</v>
      </c>
      <c r="H596" s="23">
        <v>37597997782</v>
      </c>
      <c r="I596" s="23">
        <v>62625243579</v>
      </c>
      <c r="J596" s="23">
        <v>24191865196</v>
      </c>
      <c r="K596" s="23">
        <v>27555451886.5</v>
      </c>
      <c r="L596" s="23">
        <v>24191865196</v>
      </c>
      <c r="M596" s="23">
        <v>38433378384</v>
      </c>
      <c r="N596" s="23">
        <v>22772448051</v>
      </c>
      <c r="O596" s="25">
        <f t="shared" si="161"/>
        <v>13406132586</v>
      </c>
      <c r="P596" s="23">
        <v>11160752843</v>
      </c>
      <c r="Q596" s="23">
        <f>449518776+11576180261</f>
        <v>12025699037</v>
      </c>
      <c r="R596" s="25">
        <f t="shared" si="162"/>
        <v>10746749014</v>
      </c>
      <c r="S596" s="26">
        <f t="shared" si="163"/>
        <v>0.3862957461472008</v>
      </c>
      <c r="T596" s="27">
        <f t="shared" si="164"/>
        <v>1.5541587007609745</v>
      </c>
      <c r="U596" s="26">
        <f t="shared" si="165"/>
        <v>24.860434285828905</v>
      </c>
      <c r="V596" s="26">
        <f t="shared" si="166"/>
        <v>0.82642259487519798</v>
      </c>
      <c r="W596" s="93">
        <v>45903</v>
      </c>
      <c r="X596" s="42">
        <v>3900</v>
      </c>
      <c r="Y596" s="91">
        <v>24600</v>
      </c>
      <c r="Z596" s="30">
        <f t="shared" si="179"/>
        <v>95940000</v>
      </c>
      <c r="AA596" s="31">
        <f t="shared" si="167"/>
        <v>19</v>
      </c>
      <c r="AB596" s="32">
        <v>3.2500000000000001E-2</v>
      </c>
      <c r="AC596" s="32">
        <v>5.0500000000000003E-2</v>
      </c>
      <c r="AD596" s="33">
        <f t="shared" si="133"/>
        <v>0.21406914879442404</v>
      </c>
      <c r="AE596" s="34">
        <f t="shared" si="134"/>
        <v>0.17821492109521334</v>
      </c>
      <c r="AF596" s="33">
        <f t="shared" si="135"/>
        <v>0.17160410722304459</v>
      </c>
      <c r="AG596" s="33">
        <f t="shared" si="136"/>
        <v>3.965795907951041E-3</v>
      </c>
      <c r="AH596" s="35">
        <f t="shared" si="137"/>
        <v>0.94132667599211439</v>
      </c>
      <c r="AI596" s="36">
        <f t="shared" si="168"/>
        <v>2.0163835754595398</v>
      </c>
      <c r="AJ596" s="23"/>
      <c r="AK596" s="23"/>
      <c r="AL596" s="44"/>
      <c r="AM596" s="44"/>
      <c r="AN596" s="44"/>
      <c r="AO596" s="44"/>
      <c r="AP596" s="44"/>
      <c r="AQ596" s="44"/>
      <c r="AR596" s="44"/>
    </row>
    <row r="597" spans="1:44" ht="16.8">
      <c r="A597" s="78" t="s">
        <v>1412</v>
      </c>
      <c r="B597" s="79">
        <v>236</v>
      </c>
      <c r="C597" s="1" t="s">
        <v>1413</v>
      </c>
      <c r="D597" s="19" t="s">
        <v>1414</v>
      </c>
      <c r="E597" s="20" t="s">
        <v>414</v>
      </c>
      <c r="F597" s="21">
        <v>2001</v>
      </c>
      <c r="G597" s="40">
        <v>2021</v>
      </c>
      <c r="H597" s="23">
        <v>1886012751012</v>
      </c>
      <c r="I597" s="23">
        <v>2462602693064</v>
      </c>
      <c r="J597" s="23">
        <v>1766692561517</v>
      </c>
      <c r="K597" s="23">
        <v>1698831642146.5</v>
      </c>
      <c r="L597" s="23">
        <v>1604292561517</v>
      </c>
      <c r="M597" s="23">
        <v>695910131547</v>
      </c>
      <c r="N597" s="23">
        <v>934849322567</v>
      </c>
      <c r="O597" s="25">
        <f t="shared" si="161"/>
        <v>281720189495</v>
      </c>
      <c r="P597" s="23">
        <v>54869905968</v>
      </c>
      <c r="Q597" s="23">
        <f>946272634+42702515175</f>
        <v>43648787809</v>
      </c>
      <c r="R597" s="25">
        <f t="shared" si="162"/>
        <v>891200534758</v>
      </c>
      <c r="S597" s="26">
        <f t="shared" si="163"/>
        <v>0.71740868573438443</v>
      </c>
      <c r="T597" s="27">
        <f t="shared" si="164"/>
        <v>1.1756039990789515</v>
      </c>
      <c r="U597" s="26">
        <f t="shared" si="165"/>
        <v>28.532239911890226</v>
      </c>
      <c r="V597" s="26">
        <f t="shared" si="166"/>
        <v>0.55028956335296619</v>
      </c>
      <c r="W597" s="91" t="s">
        <v>1415</v>
      </c>
      <c r="X597" s="29">
        <v>14380</v>
      </c>
      <c r="Y597" s="91">
        <v>707300</v>
      </c>
      <c r="Z597" s="30">
        <f t="shared" si="179"/>
        <v>10170974000</v>
      </c>
      <c r="AA597" s="31">
        <f t="shared" si="167"/>
        <v>20</v>
      </c>
      <c r="AB597" s="32">
        <v>1.84E-2</v>
      </c>
      <c r="AC597" s="32">
        <v>2.58E-2</v>
      </c>
      <c r="AD597" s="33">
        <f t="shared" si="133"/>
        <v>0.11439936709582671</v>
      </c>
      <c r="AE597" s="34">
        <f t="shared" si="134"/>
        <v>2.2281266126502202E-2</v>
      </c>
      <c r="AF597" s="33">
        <f t="shared" si="135"/>
        <v>0.36189375463126677</v>
      </c>
      <c r="AG597" s="33">
        <f t="shared" si="136"/>
        <v>5.7570707102918483E-3</v>
      </c>
      <c r="AH597" s="35">
        <f t="shared" si="137"/>
        <v>0.52915223787679055</v>
      </c>
      <c r="AI597" s="36">
        <f t="shared" si="168"/>
        <v>1.8953288836782411</v>
      </c>
      <c r="AJ597" s="23"/>
      <c r="AK597" s="23"/>
      <c r="AL597" s="44"/>
      <c r="AM597" s="44"/>
      <c r="AN597" s="44"/>
      <c r="AO597" s="44"/>
      <c r="AP597" s="44"/>
      <c r="AQ597" s="44"/>
      <c r="AR597" s="44"/>
    </row>
    <row r="598" spans="1:44" ht="16.8">
      <c r="A598" s="78" t="s">
        <v>1416</v>
      </c>
      <c r="B598" s="79"/>
      <c r="C598" s="1" t="s">
        <v>1413</v>
      </c>
      <c r="D598" s="19" t="s">
        <v>1414</v>
      </c>
      <c r="E598" s="20" t="s">
        <v>414</v>
      </c>
      <c r="F598" s="21">
        <v>2001</v>
      </c>
      <c r="G598" s="40">
        <v>2022</v>
      </c>
      <c r="H598" s="23">
        <v>2013250292260</v>
      </c>
      <c r="I598" s="23">
        <v>2709374309105</v>
      </c>
      <c r="J598" s="23">
        <v>2042404529626</v>
      </c>
      <c r="K598" s="23">
        <v>1904548545571.5</v>
      </c>
      <c r="L598" s="23">
        <v>1893288247909</v>
      </c>
      <c r="M598" s="23">
        <v>666969779479</v>
      </c>
      <c r="N598" s="23">
        <v>1927754523759</v>
      </c>
      <c r="O598" s="25">
        <f t="shared" si="161"/>
        <v>119962044351</v>
      </c>
      <c r="P598" s="23">
        <v>19839210555</v>
      </c>
      <c r="Q598" s="23">
        <v>61985042638</v>
      </c>
      <c r="R598" s="25">
        <f t="shared" si="162"/>
        <v>1865769481121</v>
      </c>
      <c r="S598" s="26">
        <f t="shared" si="163"/>
        <v>0.7538288536812312</v>
      </c>
      <c r="T598" s="27">
        <f t="shared" si="164"/>
        <v>1.0633617435081475</v>
      </c>
      <c r="U598" s="26">
        <f t="shared" si="165"/>
        <v>28.627738841913672</v>
      </c>
      <c r="V598" s="26">
        <f t="shared" si="166"/>
        <v>1.01218450337822</v>
      </c>
      <c r="W598" s="91" t="s">
        <v>1417</v>
      </c>
      <c r="X598" s="29">
        <v>5310</v>
      </c>
      <c r="Y598" s="91">
        <v>17800</v>
      </c>
      <c r="Z598" s="30">
        <f t="shared" si="179"/>
        <v>94518000</v>
      </c>
      <c r="AA598" s="31">
        <f t="shared" si="167"/>
        <v>21</v>
      </c>
      <c r="AB598" s="32">
        <v>3.15E-2</v>
      </c>
      <c r="AC598" s="32">
        <v>8.0199999999999994E-2</v>
      </c>
      <c r="AD598" s="33">
        <f t="shared" si="133"/>
        <v>4.4276659724668169E-2</v>
      </c>
      <c r="AE598" s="34">
        <f t="shared" si="134"/>
        <v>7.3224325219033975E-3</v>
      </c>
      <c r="AF598" s="33">
        <f t="shared" si="135"/>
        <v>0.68863481684718864</v>
      </c>
      <c r="AG598" s="33">
        <f t="shared" si="136"/>
        <v>4.6277805708405814E-5</v>
      </c>
      <c r="AH598" s="35">
        <f t="shared" si="137"/>
        <v>0.94386518233584493</v>
      </c>
      <c r="AI598" s="36">
        <f t="shared" si="168"/>
        <v>3.2797712418152587</v>
      </c>
      <c r="AJ598" s="23"/>
      <c r="AK598" s="23"/>
      <c r="AL598" s="44"/>
      <c r="AM598" s="44"/>
      <c r="AN598" s="44"/>
      <c r="AO598" s="44"/>
      <c r="AP598" s="44"/>
      <c r="AQ598" s="44"/>
      <c r="AR598" s="44"/>
    </row>
    <row r="599" spans="1:44" ht="16.8">
      <c r="A599" s="78" t="s">
        <v>1418</v>
      </c>
      <c r="B599" s="79"/>
      <c r="C599" s="1" t="s">
        <v>1413</v>
      </c>
      <c r="D599" s="19" t="s">
        <v>1414</v>
      </c>
      <c r="E599" s="20" t="s">
        <v>414</v>
      </c>
      <c r="F599" s="21">
        <v>2001</v>
      </c>
      <c r="G599" s="40">
        <v>2023</v>
      </c>
      <c r="H599" s="23">
        <v>2468347915959</v>
      </c>
      <c r="I599" s="23">
        <v>3172070975059</v>
      </c>
      <c r="J599" s="23">
        <v>2502530782128</v>
      </c>
      <c r="K599" s="23">
        <v>2272467655877</v>
      </c>
      <c r="L599" s="23">
        <v>2360501355001</v>
      </c>
      <c r="M599" s="23">
        <v>669540192931</v>
      </c>
      <c r="N599" s="23">
        <v>1810614036475</v>
      </c>
      <c r="O599" s="25">
        <f t="shared" si="161"/>
        <v>107846560958</v>
      </c>
      <c r="P599" s="23">
        <v>8413310629</v>
      </c>
      <c r="Q599" s="23">
        <f>18581819+58559351149</f>
        <v>58577932968</v>
      </c>
      <c r="R599" s="25">
        <f t="shared" si="162"/>
        <v>1752036103507</v>
      </c>
      <c r="S599" s="26">
        <f t="shared" si="163"/>
        <v>0.78892647793968529</v>
      </c>
      <c r="T599" s="27">
        <f t="shared" si="164"/>
        <v>1.0456879894305142</v>
      </c>
      <c r="U599" s="26">
        <f t="shared" si="165"/>
        <v>28.78540579494231</v>
      </c>
      <c r="V599" s="26">
        <f t="shared" si="166"/>
        <v>0.7967611912065875</v>
      </c>
      <c r="W599" s="91" t="s">
        <v>1419</v>
      </c>
      <c r="X599" s="29">
        <v>6370</v>
      </c>
      <c r="Y599" s="91">
        <v>88500</v>
      </c>
      <c r="Z599" s="30">
        <f t="shared" si="179"/>
        <v>563745000</v>
      </c>
      <c r="AA599" s="31">
        <f t="shared" si="167"/>
        <v>22</v>
      </c>
      <c r="AB599" s="32">
        <v>3.2500000000000001E-2</v>
      </c>
      <c r="AC599" s="32">
        <v>5.0500000000000003E-2</v>
      </c>
      <c r="AD599" s="33">
        <f t="shared" si="133"/>
        <v>3.3998785590222826E-2</v>
      </c>
      <c r="AE599" s="34">
        <f t="shared" si="134"/>
        <v>2.6523084430175822E-3</v>
      </c>
      <c r="AF599" s="33">
        <f t="shared" si="135"/>
        <v>0.55233193622800714</v>
      </c>
      <c r="AG599" s="33">
        <f t="shared" si="136"/>
        <v>2.2526995632821969E-4</v>
      </c>
      <c r="AH599" s="35">
        <f t="shared" si="137"/>
        <v>0.72351319288682792</v>
      </c>
      <c r="AI599" s="36">
        <f t="shared" si="168"/>
        <v>2.5908555189415403</v>
      </c>
      <c r="AJ599" s="23"/>
      <c r="AK599" s="23"/>
      <c r="AL599" s="44"/>
      <c r="AM599" s="44"/>
      <c r="AN599" s="44"/>
      <c r="AO599" s="44"/>
      <c r="AP599" s="44"/>
      <c r="AQ599" s="44"/>
      <c r="AR599" s="44"/>
    </row>
    <row r="600" spans="1:44" ht="16.8">
      <c r="A600" s="78" t="s">
        <v>1420</v>
      </c>
      <c r="B600" s="79">
        <v>237</v>
      </c>
      <c r="C600" s="1" t="s">
        <v>1421</v>
      </c>
      <c r="D600" s="19" t="s">
        <v>1422</v>
      </c>
      <c r="E600" s="20" t="s">
        <v>178</v>
      </c>
      <c r="F600" s="21">
        <v>1993</v>
      </c>
      <c r="G600" s="40">
        <v>2021</v>
      </c>
      <c r="H600" s="23">
        <v>3585274018798</v>
      </c>
      <c r="I600" s="23">
        <v>610250011535</v>
      </c>
      <c r="J600" s="23">
        <v>1105959276351</v>
      </c>
      <c r="K600" s="23">
        <v>1129230012668</v>
      </c>
      <c r="L600" s="23">
        <v>492959598342</v>
      </c>
      <c r="M600" s="23">
        <v>4996540835184</v>
      </c>
      <c r="N600" s="23">
        <v>2284630005397</v>
      </c>
      <c r="O600" s="25">
        <f t="shared" si="161"/>
        <v>3092314420456</v>
      </c>
      <c r="P600" s="23">
        <v>696445055111</v>
      </c>
      <c r="Q600" s="23">
        <v>182320730701</v>
      </c>
      <c r="R600" s="25">
        <f t="shared" si="162"/>
        <v>2102309274696</v>
      </c>
      <c r="S600" s="26">
        <f t="shared" si="163"/>
        <v>1.8123052117100522</v>
      </c>
      <c r="T600" s="27">
        <f t="shared" si="164"/>
        <v>7.2729571162759843</v>
      </c>
      <c r="U600" s="26">
        <f t="shared" si="165"/>
        <v>27.137134565121571</v>
      </c>
      <c r="V600" s="26">
        <f t="shared" si="166"/>
        <v>2.0231750659895842</v>
      </c>
      <c r="W600" s="91" t="s">
        <v>1423</v>
      </c>
      <c r="X600" s="29">
        <v>25400</v>
      </c>
      <c r="Y600" s="91">
        <v>68200</v>
      </c>
      <c r="Z600" s="30">
        <f t="shared" si="179"/>
        <v>1732280000</v>
      </c>
      <c r="AA600" s="31">
        <f t="shared" si="167"/>
        <v>28</v>
      </c>
      <c r="AB600" s="32">
        <v>1.84E-2</v>
      </c>
      <c r="AC600" s="32">
        <v>2.58E-2</v>
      </c>
      <c r="AD600" s="33">
        <f t="shared" si="133"/>
        <v>5.0672910479390376</v>
      </c>
      <c r="AE600" s="34">
        <f t="shared" si="134"/>
        <v>1.1412454599700674</v>
      </c>
      <c r="AF600" s="33">
        <f t="shared" si="135"/>
        <v>3.4449966980056748</v>
      </c>
      <c r="AG600" s="33">
        <f t="shared" si="136"/>
        <v>1.5663144539240915E-3</v>
      </c>
      <c r="AH600" s="35">
        <f t="shared" si="137"/>
        <v>2.0657451447352599</v>
      </c>
      <c r="AI600" s="36">
        <f t="shared" si="168"/>
        <v>21.11366693831128</v>
      </c>
      <c r="AJ600" s="23"/>
      <c r="AK600" s="23"/>
      <c r="AL600" s="44"/>
      <c r="AM600" s="44"/>
      <c r="AN600" s="44"/>
      <c r="AO600" s="44"/>
      <c r="AP600" s="44"/>
      <c r="AQ600" s="44"/>
      <c r="AR600" s="44"/>
    </row>
    <row r="601" spans="1:44" ht="16.8">
      <c r="A601" s="78" t="s">
        <v>1424</v>
      </c>
      <c r="B601" s="79"/>
      <c r="C601" s="1" t="s">
        <v>1421</v>
      </c>
      <c r="D601" s="19" t="s">
        <v>1422</v>
      </c>
      <c r="E601" s="20" t="s">
        <v>178</v>
      </c>
      <c r="F601" s="21">
        <v>1993</v>
      </c>
      <c r="G601" s="40">
        <v>2022</v>
      </c>
      <c r="H601" s="23">
        <v>4093443617376</v>
      </c>
      <c r="I601" s="23">
        <v>6615370761654</v>
      </c>
      <c r="J601" s="23">
        <v>1232592796541</v>
      </c>
      <c r="K601" s="23">
        <f t="shared" ref="K601:K602" si="180">AVERAGE(J600:J601)</f>
        <v>1169276036446</v>
      </c>
      <c r="L601" s="23">
        <v>678607063143</v>
      </c>
      <c r="M601" s="23">
        <v>5382777965113</v>
      </c>
      <c r="N601" s="23">
        <v>2349509752589</v>
      </c>
      <c r="O601" s="25">
        <f t="shared" si="161"/>
        <v>3414836554233</v>
      </c>
      <c r="P601" s="23">
        <v>724145545418</v>
      </c>
      <c r="Q601" s="23">
        <v>215446760798</v>
      </c>
      <c r="R601" s="25">
        <f t="shared" si="162"/>
        <v>2134062991791</v>
      </c>
      <c r="S601" s="26">
        <f t="shared" si="163"/>
        <v>0.18632255710983348</v>
      </c>
      <c r="T601" s="27">
        <f t="shared" si="164"/>
        <v>6.032126453881907</v>
      </c>
      <c r="U601" s="26">
        <f t="shared" si="165"/>
        <v>29.520416960549746</v>
      </c>
      <c r="V601" s="26">
        <f t="shared" si="166"/>
        <v>2.0093713369259714</v>
      </c>
      <c r="W601" s="91" t="s">
        <v>1425</v>
      </c>
      <c r="X601" s="29">
        <v>15770</v>
      </c>
      <c r="Y601" s="91">
        <v>4700</v>
      </c>
      <c r="Z601" s="30">
        <f t="shared" si="179"/>
        <v>74119000</v>
      </c>
      <c r="AA601" s="31">
        <f t="shared" si="167"/>
        <v>29</v>
      </c>
      <c r="AB601" s="32">
        <v>3.15E-2</v>
      </c>
      <c r="AC601" s="32">
        <v>8.0199999999999994E-2</v>
      </c>
      <c r="AD601" s="33">
        <f t="shared" si="133"/>
        <v>0.51619730431846722</v>
      </c>
      <c r="AE601" s="34">
        <f t="shared" si="134"/>
        <v>0.10946409075293406</v>
      </c>
      <c r="AF601" s="33">
        <f t="shared" si="135"/>
        <v>0.32259159292493433</v>
      </c>
      <c r="AG601" s="33">
        <f t="shared" si="136"/>
        <v>6.0132592213745395E-5</v>
      </c>
      <c r="AH601" s="35">
        <f t="shared" si="137"/>
        <v>1.9061524285898646</v>
      </c>
      <c r="AI601" s="36">
        <f t="shared" si="168"/>
        <v>3.7434272570337441</v>
      </c>
      <c r="AJ601" s="23"/>
      <c r="AK601" s="23"/>
      <c r="AL601" s="44"/>
      <c r="AM601" s="44"/>
      <c r="AN601" s="44"/>
      <c r="AO601" s="44"/>
      <c r="AP601" s="44"/>
      <c r="AQ601" s="44"/>
      <c r="AR601" s="44"/>
    </row>
    <row r="602" spans="1:44" ht="16.8">
      <c r="A602" s="78" t="s">
        <v>1426</v>
      </c>
      <c r="B602" s="79"/>
      <c r="C602" s="1" t="s">
        <v>1421</v>
      </c>
      <c r="D602" s="19" t="s">
        <v>1422</v>
      </c>
      <c r="E602" s="20" t="s">
        <v>178</v>
      </c>
      <c r="F602" s="21">
        <v>1993</v>
      </c>
      <c r="G602" s="40">
        <v>2023</v>
      </c>
      <c r="H602" s="23">
        <v>3080149353524</v>
      </c>
      <c r="I602" s="23">
        <v>7078981776448</v>
      </c>
      <c r="J602" s="23">
        <v>1343392680435</v>
      </c>
      <c r="K602" s="23">
        <f t="shared" si="180"/>
        <v>1287992738488</v>
      </c>
      <c r="L602" s="23">
        <v>819416783580</v>
      </c>
      <c r="M602" s="23">
        <v>5735589096052</v>
      </c>
      <c r="N602" s="23">
        <v>2156446439191</v>
      </c>
      <c r="O602" s="25">
        <f t="shared" si="161"/>
        <v>2260732569944</v>
      </c>
      <c r="P602" s="23">
        <v>745379622336</v>
      </c>
      <c r="Q602" s="23">
        <v>216285601475</v>
      </c>
      <c r="R602" s="25">
        <f t="shared" si="162"/>
        <v>1940160837716</v>
      </c>
      <c r="S602" s="26">
        <f t="shared" si="163"/>
        <v>0.18977202129612913</v>
      </c>
      <c r="T602" s="27">
        <f t="shared" si="164"/>
        <v>3.7589532155625949</v>
      </c>
      <c r="U602" s="26">
        <f t="shared" si="165"/>
        <v>29.588151196405661</v>
      </c>
      <c r="V602" s="26">
        <f t="shared" si="166"/>
        <v>1.6742690969845799</v>
      </c>
      <c r="W602" s="91" t="s">
        <v>1427</v>
      </c>
      <c r="X602" s="29">
        <v>20350</v>
      </c>
      <c r="Y602" s="91">
        <v>3410</v>
      </c>
      <c r="Z602" s="30">
        <f t="shared" si="179"/>
        <v>69393500</v>
      </c>
      <c r="AA602" s="31">
        <f t="shared" si="167"/>
        <v>30</v>
      </c>
      <c r="AB602" s="32">
        <v>3.2500000000000001E-2</v>
      </c>
      <c r="AC602" s="32">
        <v>5.0500000000000003E-2</v>
      </c>
      <c r="AD602" s="33">
        <f t="shared" si="133"/>
        <v>0.31935843901527333</v>
      </c>
      <c r="AE602" s="34">
        <f t="shared" si="134"/>
        <v>0.10529475083774081</v>
      </c>
      <c r="AF602" s="33">
        <f t="shared" si="135"/>
        <v>0.27407343301419101</v>
      </c>
      <c r="AG602" s="33">
        <f t="shared" si="136"/>
        <v>5.1655410224157167E-5</v>
      </c>
      <c r="AH602" s="35">
        <f t="shared" si="137"/>
        <v>1.6052241988490867</v>
      </c>
      <c r="AI602" s="36">
        <f t="shared" si="168"/>
        <v>3.0403402990332165</v>
      </c>
      <c r="AJ602" s="23"/>
      <c r="AK602" s="23"/>
      <c r="AL602" s="44"/>
      <c r="AM602" s="44"/>
      <c r="AN602" s="44"/>
      <c r="AO602" s="44"/>
      <c r="AP602" s="44"/>
      <c r="AQ602" s="44"/>
      <c r="AR602" s="44"/>
    </row>
    <row r="603" spans="1:44" ht="16.8">
      <c r="A603" s="78" t="s">
        <v>1428</v>
      </c>
      <c r="B603" s="79">
        <v>238</v>
      </c>
      <c r="C603" s="1" t="s">
        <v>1429</v>
      </c>
      <c r="D603" s="19" t="s">
        <v>1430</v>
      </c>
      <c r="E603" s="20" t="s">
        <v>178</v>
      </c>
      <c r="F603" s="21">
        <v>2006</v>
      </c>
      <c r="G603" s="40">
        <v>2021</v>
      </c>
      <c r="H603" s="23">
        <v>4694128159696</v>
      </c>
      <c r="I603" s="23">
        <v>4766910736417</v>
      </c>
      <c r="J603" s="23">
        <v>3162246553967</v>
      </c>
      <c r="K603" s="23">
        <f>(J603+1141671321227)/2</f>
        <v>2151958937597</v>
      </c>
      <c r="L603" s="23">
        <v>3160454543133</v>
      </c>
      <c r="M603" s="23">
        <v>1604664182450</v>
      </c>
      <c r="N603" s="23">
        <v>493564173717</v>
      </c>
      <c r="O603" s="25">
        <f t="shared" si="161"/>
        <v>1533673616563</v>
      </c>
      <c r="P603" s="23">
        <v>140935106927</v>
      </c>
      <c r="Q603" s="23">
        <v>214677225800</v>
      </c>
      <c r="R603" s="25">
        <f t="shared" si="162"/>
        <v>278886947917</v>
      </c>
      <c r="S603" s="26">
        <f t="shared" si="163"/>
        <v>0.66337440091103328</v>
      </c>
      <c r="T603" s="27">
        <f t="shared" si="164"/>
        <v>1.485269949506266</v>
      </c>
      <c r="U603" s="26">
        <f t="shared" si="165"/>
        <v>29.192719566659573</v>
      </c>
      <c r="V603" s="26">
        <f t="shared" si="166"/>
        <v>0.22935575818567519</v>
      </c>
      <c r="W603" s="91" t="s">
        <v>1431</v>
      </c>
      <c r="X603" s="29">
        <v>18360</v>
      </c>
      <c r="Y603" s="91">
        <v>5800</v>
      </c>
      <c r="Z603" s="30">
        <f t="shared" si="179"/>
        <v>106488000</v>
      </c>
      <c r="AA603" s="31">
        <f t="shared" si="167"/>
        <v>15</v>
      </c>
      <c r="AB603" s="32">
        <v>1.84E-2</v>
      </c>
      <c r="AC603" s="32">
        <v>2.58E-2</v>
      </c>
      <c r="AD603" s="33">
        <f t="shared" si="133"/>
        <v>0.32173323591869274</v>
      </c>
      <c r="AE603" s="34">
        <f t="shared" si="134"/>
        <v>2.9565291804254015E-2</v>
      </c>
      <c r="AF603" s="33">
        <f t="shared" si="135"/>
        <v>5.8504755666270884E-2</v>
      </c>
      <c r="AG603" s="33">
        <f t="shared" si="136"/>
        <v>3.3674793594576647E-5</v>
      </c>
      <c r="AH603" s="35">
        <f t="shared" si="137"/>
        <v>0.15608023134623381</v>
      </c>
      <c r="AI603" s="36">
        <f t="shared" si="168"/>
        <v>0.77663742154947135</v>
      </c>
      <c r="AJ603" s="23"/>
      <c r="AK603" s="23"/>
      <c r="AL603" s="44"/>
      <c r="AM603" s="44"/>
      <c r="AN603" s="44"/>
      <c r="AO603" s="44"/>
      <c r="AP603" s="44"/>
      <c r="AQ603" s="44"/>
      <c r="AR603" s="44"/>
    </row>
    <row r="604" spans="1:44" ht="16.8">
      <c r="A604" s="78" t="s">
        <v>1432</v>
      </c>
      <c r="B604" s="79"/>
      <c r="C604" s="1" t="s">
        <v>1429</v>
      </c>
      <c r="D604" s="19" t="s">
        <v>1430</v>
      </c>
      <c r="E604" s="20" t="s">
        <v>178</v>
      </c>
      <c r="F604" s="21">
        <v>2006</v>
      </c>
      <c r="G604" s="40">
        <v>2022</v>
      </c>
      <c r="H604" s="23">
        <v>3594952135875</v>
      </c>
      <c r="I604" s="23">
        <v>3676223540195</v>
      </c>
      <c r="J604" s="23">
        <v>2078779920986</v>
      </c>
      <c r="K604" s="23">
        <v>2620513237476.5</v>
      </c>
      <c r="L604" s="23">
        <v>2076799906542</v>
      </c>
      <c r="M604" s="23">
        <v>1596443619209</v>
      </c>
      <c r="N604" s="23">
        <v>535614846581</v>
      </c>
      <c r="O604" s="25">
        <f t="shared" si="161"/>
        <v>1518152229333</v>
      </c>
      <c r="P604" s="23">
        <v>59979201559</v>
      </c>
      <c r="Q604" s="23">
        <v>210776663446</v>
      </c>
      <c r="R604" s="25">
        <f t="shared" si="162"/>
        <v>324838183135</v>
      </c>
      <c r="S604" s="26">
        <f t="shared" si="163"/>
        <v>0.56546613617400809</v>
      </c>
      <c r="T604" s="27">
        <f t="shared" si="164"/>
        <v>1.731005536234262</v>
      </c>
      <c r="U604" s="26">
        <f t="shared" si="165"/>
        <v>28.932907129289905</v>
      </c>
      <c r="V604" s="26">
        <f t="shared" si="166"/>
        <v>0.20439310854112913</v>
      </c>
      <c r="W604" s="91" t="s">
        <v>1433</v>
      </c>
      <c r="X604" s="29">
        <v>14460</v>
      </c>
      <c r="Y604" s="91">
        <v>0</v>
      </c>
      <c r="Z604" s="30">
        <f t="shared" si="179"/>
        <v>0</v>
      </c>
      <c r="AA604" s="31">
        <f t="shared" si="167"/>
        <v>16</v>
      </c>
      <c r="AB604" s="32">
        <v>3.15E-2</v>
      </c>
      <c r="AC604" s="32">
        <v>8.0199999999999994E-2</v>
      </c>
      <c r="AD604" s="33">
        <f t="shared" si="133"/>
        <v>0.41296515642584447</v>
      </c>
      <c r="AE604" s="34">
        <f t="shared" si="134"/>
        <v>1.6315439173706637E-2</v>
      </c>
      <c r="AF604" s="33">
        <f t="shared" si="135"/>
        <v>8.8361923474808451E-2</v>
      </c>
      <c r="AG604" s="33">
        <f t="shared" si="136"/>
        <v>0</v>
      </c>
      <c r="AH604" s="35">
        <f t="shared" si="137"/>
        <v>0.25765827405478736</v>
      </c>
      <c r="AI604" s="36">
        <f t="shared" si="168"/>
        <v>1.0676524240758578</v>
      </c>
      <c r="AJ604" s="23"/>
      <c r="AK604" s="23"/>
      <c r="AL604" s="44"/>
      <c r="AM604" s="44"/>
      <c r="AN604" s="44"/>
      <c r="AO604" s="44"/>
      <c r="AP604" s="44"/>
      <c r="AQ604" s="44"/>
      <c r="AR604" s="44"/>
    </row>
    <row r="605" spans="1:44" ht="16.8">
      <c r="A605" s="78" t="s">
        <v>1434</v>
      </c>
      <c r="B605" s="79"/>
      <c r="C605" s="1" t="s">
        <v>1429</v>
      </c>
      <c r="D605" s="19" t="s">
        <v>1430</v>
      </c>
      <c r="E605" s="20" t="s">
        <v>178</v>
      </c>
      <c r="F605" s="21">
        <v>2006</v>
      </c>
      <c r="G605" s="40">
        <v>2023</v>
      </c>
      <c r="H605" s="23">
        <v>3959452700074</v>
      </c>
      <c r="I605" s="23">
        <v>4040738369898</v>
      </c>
      <c r="J605" s="23">
        <v>2428745823487</v>
      </c>
      <c r="K605" s="23">
        <v>2253762872236.5</v>
      </c>
      <c r="L605" s="23">
        <v>2426614761125</v>
      </c>
      <c r="M605" s="23">
        <v>1611992546411</v>
      </c>
      <c r="N605" s="23">
        <v>559039907367</v>
      </c>
      <c r="O605" s="25">
        <f t="shared" si="161"/>
        <v>1532837938949</v>
      </c>
      <c r="P605" s="23">
        <v>44550793002</v>
      </c>
      <c r="Q605" s="23">
        <v>206287921601</v>
      </c>
      <c r="R605" s="25">
        <f t="shared" si="162"/>
        <v>352751985766</v>
      </c>
      <c r="S605" s="26">
        <f t="shared" si="163"/>
        <v>0.60106485527007991</v>
      </c>
      <c r="T605" s="27">
        <f t="shared" si="164"/>
        <v>1.6316774971888668</v>
      </c>
      <c r="U605" s="26">
        <f t="shared" si="165"/>
        <v>29.027448556028389</v>
      </c>
      <c r="V605" s="26">
        <f t="shared" si="166"/>
        <v>0.24804734972505874</v>
      </c>
      <c r="W605" s="91" t="s">
        <v>1435</v>
      </c>
      <c r="X605" s="29">
        <v>16340</v>
      </c>
      <c r="Y605" s="91">
        <v>0</v>
      </c>
      <c r="Z605" s="30">
        <f t="shared" si="179"/>
        <v>0</v>
      </c>
      <c r="AA605" s="31">
        <f t="shared" si="167"/>
        <v>17</v>
      </c>
      <c r="AB605" s="32">
        <v>3.2500000000000001E-2</v>
      </c>
      <c r="AC605" s="32">
        <v>5.0500000000000003E-2</v>
      </c>
      <c r="AD605" s="33">
        <f t="shared" si="133"/>
        <v>0.3793460003171879</v>
      </c>
      <c r="AE605" s="34">
        <f t="shared" si="134"/>
        <v>1.1025408953444464E-2</v>
      </c>
      <c r="AF605" s="33">
        <f t="shared" si="135"/>
        <v>8.7298892794908795E-2</v>
      </c>
      <c r="AG605" s="33">
        <f t="shared" si="136"/>
        <v>0</v>
      </c>
      <c r="AH605" s="35">
        <f t="shared" si="137"/>
        <v>0.23017637414374428</v>
      </c>
      <c r="AI605" s="36">
        <f t="shared" si="168"/>
        <v>0.98891349328239098</v>
      </c>
      <c r="AJ605" s="23"/>
      <c r="AK605" s="23"/>
      <c r="AL605" s="44"/>
      <c r="AM605" s="44"/>
      <c r="AN605" s="44"/>
      <c r="AO605" s="44"/>
      <c r="AP605" s="44"/>
      <c r="AQ605" s="44"/>
      <c r="AR605" s="44"/>
    </row>
    <row r="606" spans="1:44" ht="16.8">
      <c r="A606" s="78" t="s">
        <v>1436</v>
      </c>
      <c r="B606" s="79">
        <v>239</v>
      </c>
      <c r="C606" s="1" t="s">
        <v>1437</v>
      </c>
      <c r="D606" s="19" t="s">
        <v>1438</v>
      </c>
      <c r="E606" s="20" t="s">
        <v>39</v>
      </c>
      <c r="F606" s="21">
        <v>2002</v>
      </c>
      <c r="G606" s="40">
        <v>2021</v>
      </c>
      <c r="H606" s="23">
        <v>83159622892</v>
      </c>
      <c r="I606" s="23">
        <v>535368077906</v>
      </c>
      <c r="J606" s="23">
        <v>166487838504</v>
      </c>
      <c r="K606" s="23">
        <f>(J606+191669897515)/2</f>
        <v>179078868009.5</v>
      </c>
      <c r="L606" s="23">
        <v>26026561357</v>
      </c>
      <c r="M606" s="23">
        <v>368880239402</v>
      </c>
      <c r="N606" s="23">
        <v>127377824095</v>
      </c>
      <c r="O606" s="25">
        <f t="shared" si="161"/>
        <v>57133061535</v>
      </c>
      <c r="P606" s="23">
        <v>31424056629</v>
      </c>
      <c r="Q606" s="23">
        <v>14214249448</v>
      </c>
      <c r="R606" s="25">
        <f t="shared" si="162"/>
        <v>113163574647</v>
      </c>
      <c r="S606" s="26">
        <f t="shared" si="163"/>
        <v>0.31097826967044523</v>
      </c>
      <c r="T606" s="27">
        <f t="shared" si="164"/>
        <v>3.195182865355116</v>
      </c>
      <c r="U606" s="26">
        <f t="shared" si="165"/>
        <v>27.006220343367588</v>
      </c>
      <c r="V606" s="26">
        <f t="shared" si="166"/>
        <v>0.71129455703418176</v>
      </c>
      <c r="W606" s="91" t="s">
        <v>1439</v>
      </c>
      <c r="X606" s="29">
        <v>9860</v>
      </c>
      <c r="Y606" s="91">
        <v>8200</v>
      </c>
      <c r="Z606" s="30">
        <f t="shared" si="179"/>
        <v>80852000</v>
      </c>
      <c r="AA606" s="31">
        <f t="shared" si="167"/>
        <v>19</v>
      </c>
      <c r="AB606" s="32">
        <v>1.84E-2</v>
      </c>
      <c r="AC606" s="32">
        <v>2.58E-2</v>
      </c>
      <c r="AD606" s="33">
        <f t="shared" si="133"/>
        <v>0.1067173481064955</v>
      </c>
      <c r="AE606" s="34">
        <f t="shared" si="134"/>
        <v>5.8696171710330175E-2</v>
      </c>
      <c r="AF606" s="33">
        <f t="shared" si="135"/>
        <v>0.21137527491295302</v>
      </c>
      <c r="AG606" s="33">
        <f t="shared" si="136"/>
        <v>4.8563306921698947E-4</v>
      </c>
      <c r="AH606" s="35">
        <f t="shared" si="137"/>
        <v>0.76508786010780994</v>
      </c>
      <c r="AI606" s="36">
        <f t="shared" si="168"/>
        <v>1.6731531052843418</v>
      </c>
      <c r="AJ606" s="23"/>
      <c r="AK606" s="23"/>
      <c r="AL606" s="44"/>
      <c r="AM606" s="44"/>
      <c r="AN606" s="44"/>
      <c r="AO606" s="44"/>
      <c r="AP606" s="44"/>
      <c r="AQ606" s="44"/>
      <c r="AR606" s="44"/>
    </row>
    <row r="607" spans="1:44" ht="16.8">
      <c r="A607" s="78" t="s">
        <v>1440</v>
      </c>
      <c r="B607" s="79"/>
      <c r="C607" s="1" t="s">
        <v>1437</v>
      </c>
      <c r="D607" s="19" t="s">
        <v>1441</v>
      </c>
      <c r="E607" s="20" t="s">
        <v>39</v>
      </c>
      <c r="F607" s="21">
        <v>2002</v>
      </c>
      <c r="G607" s="40">
        <v>2022</v>
      </c>
      <c r="H607" s="23">
        <v>93012376216</v>
      </c>
      <c r="I607" s="23">
        <v>508732854003</v>
      </c>
      <c r="J607" s="23">
        <v>154201205521</v>
      </c>
      <c r="K607" s="23">
        <f t="shared" ref="K607:K608" si="181">AVERAGE(J606:J607)</f>
        <v>160344522012.5</v>
      </c>
      <c r="L607" s="23">
        <v>48234584722</v>
      </c>
      <c r="M607" s="23">
        <v>354531648482</v>
      </c>
      <c r="N607" s="23">
        <v>149383100463</v>
      </c>
      <c r="O607" s="25">
        <f t="shared" si="161"/>
        <v>44777791494</v>
      </c>
      <c r="P607" s="23">
        <v>42877177680</v>
      </c>
      <c r="Q607" s="23">
        <v>19061537184</v>
      </c>
      <c r="R607" s="25">
        <f t="shared" si="162"/>
        <v>130321563279</v>
      </c>
      <c r="S607" s="26">
        <f t="shared" si="163"/>
        <v>0.30310840809209988</v>
      </c>
      <c r="T607" s="27">
        <f t="shared" si="164"/>
        <v>1.928333720546715</v>
      </c>
      <c r="U607" s="26">
        <f t="shared" si="165"/>
        <v>26.955188870929877</v>
      </c>
      <c r="V607" s="26">
        <f t="shared" si="166"/>
        <v>0.93163831597162094</v>
      </c>
      <c r="W607" s="91" t="s">
        <v>1442</v>
      </c>
      <c r="X607" s="29">
        <v>13900</v>
      </c>
      <c r="Y607" s="91">
        <v>0</v>
      </c>
      <c r="Z607" s="30">
        <f t="shared" si="179"/>
        <v>0</v>
      </c>
      <c r="AA607" s="31">
        <f t="shared" si="167"/>
        <v>20</v>
      </c>
      <c r="AB607" s="32">
        <v>3.15E-2</v>
      </c>
      <c r="AC607" s="32">
        <v>8.0199999999999994E-2</v>
      </c>
      <c r="AD607" s="33">
        <f t="shared" si="133"/>
        <v>8.8018281386120084E-2</v>
      </c>
      <c r="AE607" s="34">
        <f t="shared" si="134"/>
        <v>8.4282305226835524E-2</v>
      </c>
      <c r="AF607" s="33">
        <f t="shared" si="135"/>
        <v>0.25616895440024301</v>
      </c>
      <c r="AG607" s="33">
        <f t="shared" si="136"/>
        <v>0</v>
      </c>
      <c r="AH607" s="35">
        <f t="shared" si="137"/>
        <v>0.96875442677817558</v>
      </c>
      <c r="AI607" s="36">
        <f t="shared" si="168"/>
        <v>2.0377291412798915</v>
      </c>
      <c r="AJ607" s="23"/>
      <c r="AK607" s="23"/>
      <c r="AL607" s="44"/>
      <c r="AM607" s="44"/>
      <c r="AN607" s="44"/>
      <c r="AO607" s="44"/>
      <c r="AP607" s="44"/>
      <c r="AQ607" s="44"/>
      <c r="AR607" s="44"/>
    </row>
    <row r="608" spans="1:44" ht="16.8">
      <c r="A608" s="78" t="s">
        <v>1443</v>
      </c>
      <c r="B608" s="79"/>
      <c r="C608" s="1" t="s">
        <v>1437</v>
      </c>
      <c r="D608" s="19" t="s">
        <v>1444</v>
      </c>
      <c r="E608" s="20" t="s">
        <v>39</v>
      </c>
      <c r="F608" s="21">
        <v>2002</v>
      </c>
      <c r="G608" s="40">
        <v>2023</v>
      </c>
      <c r="H608" s="23">
        <v>67847233120</v>
      </c>
      <c r="I608" s="23">
        <v>447603097438</v>
      </c>
      <c r="J608" s="23">
        <v>88143654084</v>
      </c>
      <c r="K608" s="23">
        <f t="shared" si="181"/>
        <v>121172429802.5</v>
      </c>
      <c r="L608" s="23">
        <v>38143654084</v>
      </c>
      <c r="M608" s="23">
        <v>359459443354</v>
      </c>
      <c r="N608" s="23">
        <v>137853540657</v>
      </c>
      <c r="O608" s="25">
        <f t="shared" si="161"/>
        <v>29703579036</v>
      </c>
      <c r="P608" s="23">
        <v>38152100672</v>
      </c>
      <c r="Q608" s="23">
        <v>17857693020</v>
      </c>
      <c r="R608" s="25">
        <f t="shared" si="162"/>
        <v>119995847637</v>
      </c>
      <c r="S608" s="26">
        <f t="shared" si="163"/>
        <v>0.19692369107479035</v>
      </c>
      <c r="T608" s="27">
        <f t="shared" si="164"/>
        <v>1.7787292473496834</v>
      </c>
      <c r="U608" s="26">
        <f t="shared" si="165"/>
        <v>26.827172733463009</v>
      </c>
      <c r="V608" s="26">
        <f t="shared" si="166"/>
        <v>1.1376642432745525</v>
      </c>
      <c r="W608" s="91" t="s">
        <v>1445</v>
      </c>
      <c r="X608" s="29">
        <v>14530</v>
      </c>
      <c r="Y608" s="91">
        <v>2442</v>
      </c>
      <c r="Z608" s="30">
        <f t="shared" si="179"/>
        <v>35482260</v>
      </c>
      <c r="AA608" s="31">
        <f t="shared" si="167"/>
        <v>21</v>
      </c>
      <c r="AB608" s="32">
        <v>3.2500000000000001E-2</v>
      </c>
      <c r="AC608" s="32">
        <v>5.0500000000000003E-2</v>
      </c>
      <c r="AD608" s="33">
        <f t="shared" si="133"/>
        <v>6.6361424230569385E-2</v>
      </c>
      <c r="AE608" s="34">
        <f t="shared" si="134"/>
        <v>8.5236453658108696E-2</v>
      </c>
      <c r="AF608" s="33">
        <f t="shared" si="135"/>
        <v>0.26808538261650722</v>
      </c>
      <c r="AG608" s="33">
        <f t="shared" si="136"/>
        <v>4.0255036359379618E-4</v>
      </c>
      <c r="AH608" s="35">
        <f t="shared" si="137"/>
        <v>1.5639644406575997</v>
      </c>
      <c r="AI608" s="36">
        <f t="shared" si="168"/>
        <v>2.6478524777082653</v>
      </c>
      <c r="AJ608" s="23"/>
      <c r="AK608" s="23"/>
      <c r="AL608" s="44"/>
      <c r="AM608" s="44"/>
      <c r="AN608" s="44"/>
      <c r="AO608" s="44"/>
      <c r="AP608" s="44"/>
      <c r="AQ608" s="44"/>
      <c r="AR608" s="44"/>
    </row>
    <row r="609" spans="1:44" ht="16.8">
      <c r="A609" s="78" t="s">
        <v>1446</v>
      </c>
      <c r="B609" s="79">
        <v>240</v>
      </c>
      <c r="C609" s="1" t="s">
        <v>1447</v>
      </c>
      <c r="D609" s="19" t="s">
        <v>1448</v>
      </c>
      <c r="E609" s="20" t="s">
        <v>178</v>
      </c>
      <c r="F609" s="21">
        <v>2008</v>
      </c>
      <c r="G609" s="40">
        <v>2021</v>
      </c>
      <c r="H609" s="23">
        <v>1250299712</v>
      </c>
      <c r="I609" s="23">
        <v>158409204313</v>
      </c>
      <c r="J609" s="23">
        <v>7004088966</v>
      </c>
      <c r="K609" s="23">
        <f>(J609+30955757599)/2</f>
        <v>18979923282.5</v>
      </c>
      <c r="L609" s="23">
        <v>7004088966</v>
      </c>
      <c r="M609" s="23">
        <v>151405115347</v>
      </c>
      <c r="N609" s="23">
        <v>0</v>
      </c>
      <c r="O609" s="25">
        <f t="shared" si="161"/>
        <v>-5753789254</v>
      </c>
      <c r="P609" s="23">
        <v>-1137464040</v>
      </c>
      <c r="Q609" s="23">
        <v>1137478403</v>
      </c>
      <c r="R609" s="25">
        <f t="shared" si="162"/>
        <v>-1137478403</v>
      </c>
      <c r="S609" s="26">
        <f t="shared" si="163"/>
        <v>4.4215164114836746E-2</v>
      </c>
      <c r="T609" s="27">
        <f t="shared" si="164"/>
        <v>0.17850997011450581</v>
      </c>
      <c r="U609" s="26">
        <f t="shared" si="165"/>
        <v>25.788447422675148</v>
      </c>
      <c r="V609" s="26">
        <f t="shared" si="166"/>
        <v>0</v>
      </c>
      <c r="W609" s="93">
        <v>45810</v>
      </c>
      <c r="X609" s="42">
        <v>2600</v>
      </c>
      <c r="Y609" s="91">
        <v>698746</v>
      </c>
      <c r="Z609" s="30">
        <f t="shared" si="179"/>
        <v>1816739600</v>
      </c>
      <c r="AA609" s="31">
        <f t="shared" si="167"/>
        <v>13</v>
      </c>
      <c r="AB609" s="32">
        <v>1.84E-2</v>
      </c>
      <c r="AC609" s="32">
        <v>2.58E-2</v>
      </c>
      <c r="AD609" s="33">
        <f t="shared" si="133"/>
        <v>-3.6322316490089268E-2</v>
      </c>
      <c r="AE609" s="34">
        <f t="shared" si="134"/>
        <v>-7.1805426012524513E-3</v>
      </c>
      <c r="AF609" s="33">
        <f t="shared" si="135"/>
        <v>-7.1806332714888319E-3</v>
      </c>
      <c r="AG609" s="33">
        <f t="shared" si="136"/>
        <v>0.25938271327206325</v>
      </c>
      <c r="AH609" s="35">
        <f t="shared" si="137"/>
        <v>0</v>
      </c>
      <c r="AI609" s="36">
        <f t="shared" si="168"/>
        <v>7.829399873746426E-2</v>
      </c>
      <c r="AJ609" s="23"/>
      <c r="AK609" s="23"/>
      <c r="AL609" s="44"/>
      <c r="AM609" s="44"/>
      <c r="AN609" s="44"/>
      <c r="AO609" s="44"/>
      <c r="AP609" s="44"/>
      <c r="AQ609" s="44"/>
      <c r="AR609" s="44"/>
    </row>
    <row r="610" spans="1:44" ht="16.8">
      <c r="A610" s="78" t="s">
        <v>1449</v>
      </c>
      <c r="B610" s="79"/>
      <c r="C610" s="1" t="s">
        <v>1447</v>
      </c>
      <c r="D610" s="19" t="s">
        <v>1448</v>
      </c>
      <c r="E610" s="20" t="s">
        <v>178</v>
      </c>
      <c r="F610" s="21">
        <v>2008</v>
      </c>
      <c r="G610" s="40">
        <v>2022</v>
      </c>
      <c r="H610" s="23">
        <v>15319283892</v>
      </c>
      <c r="I610" s="23">
        <v>15319283892</v>
      </c>
      <c r="J610" s="23">
        <v>6980935881</v>
      </c>
      <c r="K610" s="23">
        <f t="shared" ref="K610:K611" si="182">AVERAGE(J609:J610)</f>
        <v>6992512423.5</v>
      </c>
      <c r="L610" s="23">
        <v>6980935881</v>
      </c>
      <c r="M610" s="23">
        <v>8338448011</v>
      </c>
      <c r="N610" s="23">
        <v>235925924</v>
      </c>
      <c r="O610" s="25">
        <f t="shared" si="161"/>
        <v>8338348011</v>
      </c>
      <c r="P610" s="23">
        <v>-143066667336</v>
      </c>
      <c r="Q610" s="23">
        <v>990095636</v>
      </c>
      <c r="R610" s="25">
        <f t="shared" si="162"/>
        <v>-754169712</v>
      </c>
      <c r="S610" s="26">
        <f t="shared" si="163"/>
        <v>0.45569596661405093</v>
      </c>
      <c r="T610" s="27">
        <f t="shared" si="164"/>
        <v>2.1944455805265974</v>
      </c>
      <c r="U610" s="26">
        <f t="shared" si="165"/>
        <v>23.452378256824314</v>
      </c>
      <c r="V610" s="26">
        <f t="shared" si="166"/>
        <v>3.3739793326232052E-2</v>
      </c>
      <c r="W610" s="93">
        <v>45658</v>
      </c>
      <c r="X610" s="42">
        <v>1100</v>
      </c>
      <c r="Y610" s="91">
        <v>13700</v>
      </c>
      <c r="Z610" s="30">
        <f t="shared" si="179"/>
        <v>15070000</v>
      </c>
      <c r="AA610" s="31">
        <f t="shared" si="167"/>
        <v>14</v>
      </c>
      <c r="AB610" s="32">
        <v>3.15E-2</v>
      </c>
      <c r="AC610" s="32">
        <v>8.0199999999999994E-2</v>
      </c>
      <c r="AD610" s="33">
        <f t="shared" si="133"/>
        <v>0.54430403338594913</v>
      </c>
      <c r="AE610" s="34">
        <f t="shared" si="134"/>
        <v>-9.3389918448284615</v>
      </c>
      <c r="AF610" s="33">
        <f t="shared" si="135"/>
        <v>-4.9230089168452625E-2</v>
      </c>
      <c r="AG610" s="33">
        <f t="shared" si="136"/>
        <v>2.1587363437925266E-3</v>
      </c>
      <c r="AH610" s="35">
        <f t="shared" si="137"/>
        <v>3.3795744298714896E-2</v>
      </c>
      <c r="AI610" s="36">
        <f t="shared" si="168"/>
        <v>-12.548792050847611</v>
      </c>
      <c r="AJ610" s="23"/>
      <c r="AK610" s="23"/>
      <c r="AL610" s="44"/>
      <c r="AM610" s="44"/>
      <c r="AN610" s="44"/>
      <c r="AO610" s="44"/>
      <c r="AP610" s="44"/>
      <c r="AQ610" s="44"/>
      <c r="AR610" s="44"/>
    </row>
    <row r="611" spans="1:44" ht="16.8">
      <c r="A611" s="78" t="s">
        <v>1450</v>
      </c>
      <c r="B611" s="79"/>
      <c r="C611" s="1" t="s">
        <v>1447</v>
      </c>
      <c r="D611" s="19" t="s">
        <v>1448</v>
      </c>
      <c r="E611" s="20" t="s">
        <v>178</v>
      </c>
      <c r="F611" s="21">
        <v>2008</v>
      </c>
      <c r="G611" s="40">
        <v>2023</v>
      </c>
      <c r="H611" s="23">
        <v>2635554302</v>
      </c>
      <c r="I611" s="23">
        <v>3129963395</v>
      </c>
      <c r="J611" s="23">
        <v>359617624</v>
      </c>
      <c r="K611" s="23">
        <f t="shared" si="182"/>
        <v>3670276752.5</v>
      </c>
      <c r="L611" s="23">
        <v>359617624</v>
      </c>
      <c r="M611" s="23">
        <v>2770345771</v>
      </c>
      <c r="N611" s="23">
        <v>6412470272</v>
      </c>
      <c r="O611" s="25">
        <f t="shared" si="161"/>
        <v>2275936678</v>
      </c>
      <c r="P611" s="23">
        <v>-5568102240</v>
      </c>
      <c r="Q611" s="23">
        <v>1654616463</v>
      </c>
      <c r="R611" s="25">
        <f t="shared" si="162"/>
        <v>4757853809</v>
      </c>
      <c r="S611" s="26">
        <f t="shared" si="163"/>
        <v>0.11489515327063433</v>
      </c>
      <c r="T611" s="27">
        <f t="shared" si="164"/>
        <v>7.3287684643620246</v>
      </c>
      <c r="U611" s="26">
        <f t="shared" si="165"/>
        <v>21.864287146541908</v>
      </c>
      <c r="V611" s="26">
        <f t="shared" si="166"/>
        <v>1.7471353536575032</v>
      </c>
      <c r="W611" s="93">
        <v>45658</v>
      </c>
      <c r="X611" s="42">
        <v>1100</v>
      </c>
      <c r="Y611" s="91">
        <v>122600</v>
      </c>
      <c r="Z611" s="30">
        <f t="shared" si="179"/>
        <v>134860000</v>
      </c>
      <c r="AA611" s="31">
        <f t="shared" si="167"/>
        <v>15</v>
      </c>
      <c r="AB611" s="32">
        <v>3.2500000000000001E-2</v>
      </c>
      <c r="AC611" s="32">
        <v>5.0500000000000003E-2</v>
      </c>
      <c r="AD611" s="33">
        <f t="shared" si="133"/>
        <v>0.72714482272723191</v>
      </c>
      <c r="AE611" s="34">
        <f t="shared" si="134"/>
        <v>-1.7789672073784748</v>
      </c>
      <c r="AF611" s="33">
        <f t="shared" si="135"/>
        <v>1.520098866523645</v>
      </c>
      <c r="AG611" s="33">
        <f t="shared" si="136"/>
        <v>0.37500942945999777</v>
      </c>
      <c r="AH611" s="35">
        <f t="shared" si="137"/>
        <v>17.831357097226135</v>
      </c>
      <c r="AI611" s="36">
        <f t="shared" si="168"/>
        <v>21.454708711372977</v>
      </c>
      <c r="AJ611" s="23"/>
      <c r="AK611" s="23"/>
      <c r="AL611" s="44"/>
      <c r="AM611" s="44"/>
      <c r="AN611" s="44"/>
      <c r="AO611" s="44"/>
      <c r="AP611" s="44"/>
      <c r="AQ611" s="44"/>
      <c r="AR611" s="44"/>
    </row>
    <row r="612" spans="1:44" ht="16.8">
      <c r="A612" s="78" t="s">
        <v>1436</v>
      </c>
      <c r="B612" s="79">
        <v>241</v>
      </c>
      <c r="C612" s="1" t="s">
        <v>1451</v>
      </c>
      <c r="D612" s="19" t="s">
        <v>1452</v>
      </c>
      <c r="E612" s="20" t="s">
        <v>39</v>
      </c>
      <c r="F612" s="21">
        <v>1999</v>
      </c>
      <c r="G612" s="40">
        <v>2021</v>
      </c>
      <c r="H612" s="23">
        <v>63473232649</v>
      </c>
      <c r="I612" s="23">
        <v>194116162963</v>
      </c>
      <c r="J612" s="23">
        <v>63615209428</v>
      </c>
      <c r="K612" s="23">
        <f>(J612+106115814135)/2</f>
        <v>84865511781.5</v>
      </c>
      <c r="L612" s="23">
        <v>47615696380</v>
      </c>
      <c r="M612" s="23">
        <v>130500953535</v>
      </c>
      <c r="N612" s="23">
        <v>788349274998</v>
      </c>
      <c r="O612" s="25">
        <f t="shared" si="161"/>
        <v>15857536269</v>
      </c>
      <c r="P612" s="23">
        <v>20753289928</v>
      </c>
      <c r="Q612" s="23">
        <f>20723004411+15606562798</f>
        <v>36329567209</v>
      </c>
      <c r="R612" s="25">
        <f t="shared" si="162"/>
        <v>752019707789</v>
      </c>
      <c r="S612" s="26">
        <f t="shared" si="163"/>
        <v>0.32771722074542314</v>
      </c>
      <c r="T612" s="27">
        <f t="shared" si="164"/>
        <v>1.3330316990945161</v>
      </c>
      <c r="U612" s="26">
        <f t="shared" si="165"/>
        <v>25.991722594973421</v>
      </c>
      <c r="V612" s="26">
        <f t="shared" si="166"/>
        <v>9.2893951671172719</v>
      </c>
      <c r="W612" s="93">
        <v>45855</v>
      </c>
      <c r="X612" s="42">
        <v>17700</v>
      </c>
      <c r="Y612" s="91">
        <v>306</v>
      </c>
      <c r="Z612" s="30">
        <f t="shared" si="179"/>
        <v>5416200</v>
      </c>
      <c r="AA612" s="31">
        <f t="shared" si="167"/>
        <v>22</v>
      </c>
      <c r="AB612" s="32">
        <v>1.84E-2</v>
      </c>
      <c r="AC612" s="32">
        <v>2.58E-2</v>
      </c>
      <c r="AD612" s="33">
        <f t="shared" si="133"/>
        <v>8.1690962910814208E-2</v>
      </c>
      <c r="AE612" s="34">
        <f t="shared" si="134"/>
        <v>0.10691170488443939</v>
      </c>
      <c r="AF612" s="33">
        <f t="shared" si="135"/>
        <v>3.8740705375076914</v>
      </c>
      <c r="AG612" s="33">
        <f t="shared" si="136"/>
        <v>8.5140016808874633E-5</v>
      </c>
      <c r="AH612" s="35">
        <f t="shared" si="137"/>
        <v>12.392465293858027</v>
      </c>
      <c r="AI612" s="36">
        <f t="shared" si="168"/>
        <v>25.424654693974684</v>
      </c>
      <c r="AJ612" s="23"/>
      <c r="AK612" s="23"/>
      <c r="AL612" s="44"/>
      <c r="AM612" s="44"/>
      <c r="AN612" s="44"/>
      <c r="AO612" s="44"/>
      <c r="AP612" s="44"/>
      <c r="AQ612" s="44"/>
      <c r="AR612" s="44"/>
    </row>
    <row r="613" spans="1:44" ht="16.8">
      <c r="A613" s="78" t="s">
        <v>1453</v>
      </c>
      <c r="B613" s="79"/>
      <c r="C613" s="1" t="s">
        <v>1451</v>
      </c>
      <c r="D613" s="19" t="s">
        <v>1452</v>
      </c>
      <c r="E613" s="20" t="s">
        <v>39</v>
      </c>
      <c r="F613" s="21">
        <v>1999</v>
      </c>
      <c r="G613" s="40">
        <v>2022</v>
      </c>
      <c r="H613" s="23">
        <v>131584142412</v>
      </c>
      <c r="I613" s="23">
        <v>228479676184</v>
      </c>
      <c r="J613" s="23">
        <v>89861947871</v>
      </c>
      <c r="K613" s="23">
        <f t="shared" ref="K613:K614" si="183">AVERAGE(J612:J613)</f>
        <v>76738578649.5</v>
      </c>
      <c r="L613" s="23">
        <v>75538474823</v>
      </c>
      <c r="M613" s="23">
        <v>138617728313</v>
      </c>
      <c r="N613" s="23">
        <v>1197197824380</v>
      </c>
      <c r="O613" s="25">
        <f t="shared" si="161"/>
        <v>56045667589</v>
      </c>
      <c r="P613" s="23">
        <v>24795240328</v>
      </c>
      <c r="Q613" s="23">
        <f>24443702657+27754262442</f>
        <v>52197965099</v>
      </c>
      <c r="R613" s="25">
        <f t="shared" si="162"/>
        <v>1144999859281</v>
      </c>
      <c r="S613" s="26">
        <f t="shared" si="163"/>
        <v>0.3933039006875696</v>
      </c>
      <c r="T613" s="27">
        <f t="shared" si="164"/>
        <v>1.7419486257873873</v>
      </c>
      <c r="U613" s="26">
        <f t="shared" si="165"/>
        <v>26.154713098834723</v>
      </c>
      <c r="V613" s="26">
        <f t="shared" si="166"/>
        <v>15.600990342134784</v>
      </c>
      <c r="W613" s="93">
        <v>45709</v>
      </c>
      <c r="X613" s="42">
        <v>21200</v>
      </c>
      <c r="Y613" s="91">
        <v>0</v>
      </c>
      <c r="Z613" s="30">
        <f t="shared" si="179"/>
        <v>0</v>
      </c>
      <c r="AA613" s="31">
        <f t="shared" si="167"/>
        <v>23</v>
      </c>
      <c r="AB613" s="32">
        <v>3.15E-2</v>
      </c>
      <c r="AC613" s="32">
        <v>8.0199999999999994E-2</v>
      </c>
      <c r="AD613" s="33">
        <f t="shared" si="133"/>
        <v>0.24529826251970491</v>
      </c>
      <c r="AE613" s="34">
        <f t="shared" si="134"/>
        <v>0.10852273927433186</v>
      </c>
      <c r="AF613" s="33">
        <f t="shared" si="135"/>
        <v>5.0113860383752691</v>
      </c>
      <c r="AG613" s="33">
        <f t="shared" si="136"/>
        <v>0</v>
      </c>
      <c r="AH613" s="35">
        <f t="shared" si="137"/>
        <v>13.322633803783329</v>
      </c>
      <c r="AI613" s="36">
        <f t="shared" si="168"/>
        <v>30.306497480429428</v>
      </c>
      <c r="AJ613" s="23"/>
      <c r="AK613" s="23"/>
      <c r="AL613" s="44"/>
      <c r="AM613" s="44"/>
      <c r="AN613" s="44"/>
      <c r="AO613" s="44"/>
      <c r="AP613" s="44"/>
      <c r="AQ613" s="44"/>
      <c r="AR613" s="44"/>
    </row>
    <row r="614" spans="1:44" ht="16.8">
      <c r="A614" s="78" t="s">
        <v>1454</v>
      </c>
      <c r="B614" s="79"/>
      <c r="C614" s="1" t="s">
        <v>1451</v>
      </c>
      <c r="D614" s="19" t="s">
        <v>1452</v>
      </c>
      <c r="E614" s="20" t="s">
        <v>39</v>
      </c>
      <c r="F614" s="21">
        <v>1999</v>
      </c>
      <c r="G614" s="40">
        <v>2023</v>
      </c>
      <c r="H614" s="23">
        <v>130468581472</v>
      </c>
      <c r="I614" s="23">
        <v>231732526095</v>
      </c>
      <c r="J614" s="23">
        <v>79105159302</v>
      </c>
      <c r="K614" s="23">
        <f t="shared" si="183"/>
        <v>84483553586.5</v>
      </c>
      <c r="L614" s="23">
        <v>64498699660</v>
      </c>
      <c r="M614" s="23">
        <v>152627366793</v>
      </c>
      <c r="N614" s="23">
        <v>1201255857686</v>
      </c>
      <c r="O614" s="25">
        <f t="shared" si="161"/>
        <v>65969881812</v>
      </c>
      <c r="P614" s="23">
        <v>31730209758</v>
      </c>
      <c r="Q614" s="23">
        <f>27823387111+54871620212</f>
        <v>82695007323</v>
      </c>
      <c r="R614" s="25">
        <f t="shared" si="162"/>
        <v>1118560850363</v>
      </c>
      <c r="S614" s="26">
        <f t="shared" si="163"/>
        <v>0.34136407450014339</v>
      </c>
      <c r="T614" s="27">
        <f t="shared" si="164"/>
        <v>2.0228094854587026</v>
      </c>
      <c r="U614" s="26">
        <f t="shared" si="165"/>
        <v>26.168849638743843</v>
      </c>
      <c r="V614" s="26">
        <f t="shared" si="166"/>
        <v>14.218813090716795</v>
      </c>
      <c r="W614" s="93">
        <v>45710</v>
      </c>
      <c r="X614" s="42">
        <v>22200</v>
      </c>
      <c r="Y614" s="91">
        <v>0</v>
      </c>
      <c r="Z614" s="30">
        <f t="shared" si="179"/>
        <v>0</v>
      </c>
      <c r="AA614" s="31">
        <f t="shared" si="167"/>
        <v>24</v>
      </c>
      <c r="AB614" s="32">
        <v>3.2500000000000001E-2</v>
      </c>
      <c r="AC614" s="32">
        <v>5.0500000000000003E-2</v>
      </c>
      <c r="AD614" s="33">
        <f t="shared" si="133"/>
        <v>0.28468114909753883</v>
      </c>
      <c r="AE614" s="34">
        <f t="shared" si="134"/>
        <v>0.13692600815559242</v>
      </c>
      <c r="AF614" s="33">
        <f t="shared" si="135"/>
        <v>4.8269479870272507</v>
      </c>
      <c r="AG614" s="33">
        <f t="shared" si="136"/>
        <v>0</v>
      </c>
      <c r="AH614" s="35">
        <f t="shared" si="137"/>
        <v>15.185556394621013</v>
      </c>
      <c r="AI614" s="36">
        <f t="shared" si="168"/>
        <v>31.647798542145814</v>
      </c>
      <c r="AJ614" s="23"/>
      <c r="AK614" s="23"/>
      <c r="AL614" s="44"/>
      <c r="AM614" s="44"/>
      <c r="AN614" s="44"/>
      <c r="AO614" s="44"/>
      <c r="AP614" s="44"/>
      <c r="AQ614" s="44"/>
      <c r="AR614" s="44"/>
    </row>
    <row r="615" spans="1:44" ht="16.8">
      <c r="A615" s="78" t="s">
        <v>1455</v>
      </c>
      <c r="B615" s="79">
        <v>242</v>
      </c>
      <c r="C615" s="1" t="s">
        <v>1456</v>
      </c>
      <c r="D615" s="19" t="s">
        <v>1457</v>
      </c>
      <c r="E615" s="20" t="s">
        <v>39</v>
      </c>
      <c r="F615" s="21">
        <v>1994</v>
      </c>
      <c r="G615" s="40">
        <v>2021</v>
      </c>
      <c r="H615" s="23">
        <v>3782712781572</v>
      </c>
      <c r="I615" s="23">
        <v>4827917409586</v>
      </c>
      <c r="J615" s="23">
        <v>3454420467766</v>
      </c>
      <c r="K615" s="23">
        <f>(J615+3445570605727)/2</f>
        <v>3449995536746.5</v>
      </c>
      <c r="L615" s="23">
        <v>3453252593685</v>
      </c>
      <c r="M615" s="23">
        <v>1373496941820</v>
      </c>
      <c r="N615" s="23">
        <v>6868373840486</v>
      </c>
      <c r="O615" s="25">
        <f t="shared" si="161"/>
        <v>329460187887</v>
      </c>
      <c r="P615" s="23">
        <v>174474422455</v>
      </c>
      <c r="Q615" s="23">
        <f>542271696598+187301419993</f>
        <v>729573116591</v>
      </c>
      <c r="R615" s="25">
        <f t="shared" si="162"/>
        <v>6138800723895</v>
      </c>
      <c r="S615" s="26">
        <f t="shared" si="163"/>
        <v>0.71550943703119829</v>
      </c>
      <c r="T615" s="27">
        <f t="shared" si="164"/>
        <v>1.0954057599173277</v>
      </c>
      <c r="U615" s="26">
        <f t="shared" si="165"/>
        <v>29.205436312469462</v>
      </c>
      <c r="V615" s="26">
        <f t="shared" si="166"/>
        <v>1.9908355727796632</v>
      </c>
      <c r="W615" s="91" t="s">
        <v>1458</v>
      </c>
      <c r="X615" s="29">
        <v>35920</v>
      </c>
      <c r="Y615" s="91">
        <v>230142</v>
      </c>
      <c r="Z615" s="30">
        <f t="shared" si="179"/>
        <v>8266700640</v>
      </c>
      <c r="AA615" s="31">
        <f t="shared" si="167"/>
        <v>27</v>
      </c>
      <c r="AB615" s="32">
        <v>1.84E-2</v>
      </c>
      <c r="AC615" s="32">
        <v>2.58E-2</v>
      </c>
      <c r="AD615" s="33">
        <f t="shared" si="133"/>
        <v>6.824064289766954E-2</v>
      </c>
      <c r="AE615" s="34">
        <f t="shared" si="134"/>
        <v>3.6138651027578662E-2</v>
      </c>
      <c r="AF615" s="33">
        <f t="shared" si="135"/>
        <v>1.271521487030038</v>
      </c>
      <c r="AG615" s="33">
        <f t="shared" si="136"/>
        <v>2.3930788730377509E-3</v>
      </c>
      <c r="AH615" s="35">
        <f t="shared" si="137"/>
        <v>1.9882854170696336</v>
      </c>
      <c r="AI615" s="36">
        <f t="shared" si="168"/>
        <v>6.3182250545083951</v>
      </c>
      <c r="AJ615" s="23"/>
      <c r="AK615" s="23"/>
      <c r="AL615" s="44"/>
      <c r="AM615" s="44"/>
      <c r="AN615" s="44"/>
      <c r="AO615" s="44"/>
      <c r="AP615" s="44"/>
      <c r="AQ615" s="44"/>
      <c r="AR615" s="44"/>
    </row>
    <row r="616" spans="1:44" ht="16.8">
      <c r="A616" s="78" t="s">
        <v>1459</v>
      </c>
      <c r="B616" s="79"/>
      <c r="C616" s="1" t="s">
        <v>1456</v>
      </c>
      <c r="D616" s="19" t="s">
        <v>1457</v>
      </c>
      <c r="E616" s="20" t="s">
        <v>39</v>
      </c>
      <c r="F616" s="21">
        <v>1994</v>
      </c>
      <c r="G616" s="40">
        <v>2022</v>
      </c>
      <c r="H616" s="23">
        <v>3686295962743</v>
      </c>
      <c r="I616" s="23">
        <v>4621257171993</v>
      </c>
      <c r="J616" s="23">
        <v>3392611680068</v>
      </c>
      <c r="K616" s="23">
        <f t="shared" ref="K616:K617" si="184">AVERAGE(J615:J616)</f>
        <v>3423516073917</v>
      </c>
      <c r="L616" s="23">
        <v>3387392745552</v>
      </c>
      <c r="M616" s="23">
        <v>1228645491925</v>
      </c>
      <c r="N616" s="23">
        <v>8600983109566</v>
      </c>
      <c r="O616" s="25">
        <f t="shared" si="161"/>
        <v>298903217191</v>
      </c>
      <c r="P616" s="23">
        <v>116957451259</v>
      </c>
      <c r="Q616" s="23">
        <f>610173142056+143247694987</f>
        <v>753420837043</v>
      </c>
      <c r="R616" s="25">
        <f t="shared" si="162"/>
        <v>7847562272523</v>
      </c>
      <c r="S616" s="26">
        <f t="shared" si="163"/>
        <v>0.73413176410714132</v>
      </c>
      <c r="T616" s="27">
        <f t="shared" si="164"/>
        <v>1.0882399059227752</v>
      </c>
      <c r="U616" s="26">
        <f t="shared" si="165"/>
        <v>29.161687899155584</v>
      </c>
      <c r="V616" s="26">
        <f t="shared" si="166"/>
        <v>2.5123244418494068</v>
      </c>
      <c r="W616" s="91" t="s">
        <v>1460</v>
      </c>
      <c r="X616" s="29">
        <v>21630</v>
      </c>
      <c r="Y616" s="91">
        <v>714400</v>
      </c>
      <c r="Z616" s="30">
        <f t="shared" si="179"/>
        <v>15452472000</v>
      </c>
      <c r="AA616" s="31">
        <f t="shared" si="167"/>
        <v>28</v>
      </c>
      <c r="AB616" s="32">
        <v>3.15E-2</v>
      </c>
      <c r="AC616" s="32">
        <v>8.0199999999999994E-2</v>
      </c>
      <c r="AD616" s="33">
        <f t="shared" si="133"/>
        <v>6.46800656328963E-2</v>
      </c>
      <c r="AE616" s="34">
        <f t="shared" si="134"/>
        <v>2.5308578792761712E-2</v>
      </c>
      <c r="AF616" s="33">
        <f t="shared" si="135"/>
        <v>1.6981444616592498</v>
      </c>
      <c r="AG616" s="33">
        <f t="shared" si="136"/>
        <v>4.5547423216117317E-3</v>
      </c>
      <c r="AH616" s="35">
        <f t="shared" si="137"/>
        <v>2.5352100153689285</v>
      </c>
      <c r="AI616" s="36">
        <f t="shared" si="168"/>
        <v>8.2548676733067623</v>
      </c>
      <c r="AJ616" s="23"/>
      <c r="AK616" s="23"/>
      <c r="AL616" s="44"/>
      <c r="AM616" s="44"/>
      <c r="AN616" s="44"/>
      <c r="AO616" s="44"/>
      <c r="AP616" s="44"/>
      <c r="AQ616" s="44"/>
      <c r="AR616" s="44"/>
    </row>
    <row r="617" spans="1:44" ht="16.8">
      <c r="A617" s="78" t="s">
        <v>1461</v>
      </c>
      <c r="B617" s="79"/>
      <c r="C617" s="1" t="s">
        <v>1456</v>
      </c>
      <c r="D617" s="19" t="s">
        <v>1457</v>
      </c>
      <c r="E617" s="20" t="s">
        <v>39</v>
      </c>
      <c r="F617" s="21">
        <v>1994</v>
      </c>
      <c r="G617" s="40">
        <v>2023</v>
      </c>
      <c r="H617" s="23">
        <v>3356358876316</v>
      </c>
      <c r="I617" s="23">
        <v>4239386557731</v>
      </c>
      <c r="J617" s="23">
        <v>2925910876037</v>
      </c>
      <c r="K617" s="23">
        <f t="shared" si="184"/>
        <v>3159261278052.5</v>
      </c>
      <c r="L617" s="23">
        <v>2918232435028</v>
      </c>
      <c r="M617" s="23">
        <v>1313475681694</v>
      </c>
      <c r="N617" s="23">
        <v>7960653697673</v>
      </c>
      <c r="O617" s="25">
        <f t="shared" si="161"/>
        <v>438126441288</v>
      </c>
      <c r="P617" s="23">
        <v>101918342402</v>
      </c>
      <c r="Q617" s="23">
        <f>589753276070+159797049660</f>
        <v>749550325730</v>
      </c>
      <c r="R617" s="25">
        <f t="shared" si="162"/>
        <v>7211103371943</v>
      </c>
      <c r="S617" s="26">
        <f t="shared" si="163"/>
        <v>0.69017317392330524</v>
      </c>
      <c r="T617" s="27">
        <f t="shared" si="164"/>
        <v>1.1501341826062585</v>
      </c>
      <c r="U617" s="26">
        <f t="shared" si="165"/>
        <v>29.07543969492486</v>
      </c>
      <c r="V617" s="26">
        <f t="shared" si="166"/>
        <v>2.5197832648334417</v>
      </c>
      <c r="W617" s="91" t="s">
        <v>1462</v>
      </c>
      <c r="X617" s="29">
        <v>29800</v>
      </c>
      <c r="Y617" s="91">
        <v>85644</v>
      </c>
      <c r="Z617" s="30">
        <f t="shared" si="179"/>
        <v>2552191200</v>
      </c>
      <c r="AA617" s="31">
        <f t="shared" si="167"/>
        <v>29</v>
      </c>
      <c r="AB617" s="32">
        <v>3.2500000000000001E-2</v>
      </c>
      <c r="AC617" s="32">
        <v>5.0500000000000003E-2</v>
      </c>
      <c r="AD617" s="33">
        <f t="shared" si="133"/>
        <v>0.10334666002302313</v>
      </c>
      <c r="AE617" s="34">
        <f t="shared" si="134"/>
        <v>2.4040823127143337E-2</v>
      </c>
      <c r="AF617" s="33">
        <f t="shared" si="135"/>
        <v>1.7009780244721346</v>
      </c>
      <c r="AG617" s="33">
        <f t="shared" si="136"/>
        <v>8.7227236512986872E-4</v>
      </c>
      <c r="AH617" s="35">
        <f t="shared" si="137"/>
        <v>2.7207437392813918</v>
      </c>
      <c r="AI617" s="36">
        <f t="shared" si="168"/>
        <v>8.4921677278641425</v>
      </c>
      <c r="AJ617" s="23"/>
      <c r="AK617" s="23"/>
      <c r="AL617" s="44"/>
      <c r="AM617" s="44"/>
      <c r="AN617" s="44"/>
      <c r="AO617" s="44"/>
      <c r="AP617" s="44"/>
      <c r="AQ617" s="44"/>
      <c r="AR617" s="44"/>
    </row>
    <row r="618" spans="1:44" ht="16.8">
      <c r="A618" s="78" t="s">
        <v>1463</v>
      </c>
      <c r="B618" s="79">
        <v>243</v>
      </c>
      <c r="C618" s="1" t="s">
        <v>1464</v>
      </c>
      <c r="D618" s="19" t="s">
        <v>1465</v>
      </c>
      <c r="E618" s="20" t="s">
        <v>39</v>
      </c>
      <c r="F618" s="21">
        <v>2011</v>
      </c>
      <c r="G618" s="40">
        <v>2021</v>
      </c>
      <c r="H618" s="23">
        <v>213779952289</v>
      </c>
      <c r="I618" s="23">
        <v>229402299044</v>
      </c>
      <c r="J618" s="23">
        <v>67186025195</v>
      </c>
      <c r="K618" s="23">
        <f>(J618+48654046270)/2</f>
        <v>57920035732.5</v>
      </c>
      <c r="L618" s="23">
        <v>67186025195</v>
      </c>
      <c r="M618" s="23">
        <v>162216283849</v>
      </c>
      <c r="N618" s="23">
        <v>2084107799763</v>
      </c>
      <c r="O618" s="25">
        <f t="shared" si="161"/>
        <v>146593927094</v>
      </c>
      <c r="P618" s="23">
        <v>38402353763</v>
      </c>
      <c r="Q618" s="23">
        <f>51499183774+15301164888</f>
        <v>66800348662</v>
      </c>
      <c r="R618" s="25">
        <f t="shared" si="162"/>
        <v>2017307451101</v>
      </c>
      <c r="S618" s="26">
        <f t="shared" si="163"/>
        <v>0.29287424526688605</v>
      </c>
      <c r="T618" s="27">
        <f t="shared" si="164"/>
        <v>3.1819109951589986</v>
      </c>
      <c r="U618" s="26">
        <f t="shared" si="165"/>
        <v>26.158743063579255</v>
      </c>
      <c r="V618" s="26">
        <f t="shared" si="166"/>
        <v>35.982501968547105</v>
      </c>
      <c r="W618" s="91" t="s">
        <v>1466</v>
      </c>
      <c r="X618" s="29">
        <v>12650</v>
      </c>
      <c r="Y618" s="91">
        <v>21100</v>
      </c>
      <c r="Z618" s="30">
        <f t="shared" si="179"/>
        <v>266915000</v>
      </c>
      <c r="AA618" s="31">
        <f t="shared" si="167"/>
        <v>10</v>
      </c>
      <c r="AB618" s="32">
        <v>1.84E-2</v>
      </c>
      <c r="AC618" s="32">
        <v>2.58E-2</v>
      </c>
      <c r="AD618" s="33">
        <f t="shared" si="133"/>
        <v>0.63902553594671196</v>
      </c>
      <c r="AE618" s="34">
        <f t="shared" si="134"/>
        <v>0.16740178247138807</v>
      </c>
      <c r="AF618" s="33">
        <f t="shared" si="135"/>
        <v>8.7937542888969684</v>
      </c>
      <c r="AG618" s="33">
        <f t="shared" si="136"/>
        <v>3.9727755768451667E-3</v>
      </c>
      <c r="AH618" s="35">
        <f t="shared" si="137"/>
        <v>31.019959786489942</v>
      </c>
      <c r="AI618" s="36">
        <f t="shared" si="168"/>
        <v>61.04292574379204</v>
      </c>
      <c r="AJ618" s="23"/>
      <c r="AK618" s="23"/>
      <c r="AL618" s="44"/>
      <c r="AM618" s="44"/>
      <c r="AN618" s="44"/>
      <c r="AO618" s="44"/>
      <c r="AP618" s="44"/>
      <c r="AQ618" s="44"/>
      <c r="AR618" s="44"/>
    </row>
    <row r="619" spans="1:44" ht="16.8">
      <c r="A619" s="78" t="s">
        <v>1467</v>
      </c>
      <c r="B619" s="79"/>
      <c r="C619" s="1" t="s">
        <v>1464</v>
      </c>
      <c r="D619" s="19" t="s">
        <v>1465</v>
      </c>
      <c r="E619" s="20" t="s">
        <v>39</v>
      </c>
      <c r="F619" s="21">
        <v>2011</v>
      </c>
      <c r="G619" s="40">
        <v>2022</v>
      </c>
      <c r="H619" s="23">
        <v>183642464294</v>
      </c>
      <c r="I619" s="23">
        <v>197720511549</v>
      </c>
      <c r="J619" s="23">
        <v>43408922991</v>
      </c>
      <c r="K619" s="23">
        <f t="shared" ref="K619:K620" si="185">AVERAGE(J618:J619)</f>
        <v>55297474093</v>
      </c>
      <c r="L619" s="23">
        <v>43408922991</v>
      </c>
      <c r="M619" s="23">
        <v>154311588558</v>
      </c>
      <c r="N619" s="23">
        <v>2767795242591</v>
      </c>
      <c r="O619" s="25">
        <f t="shared" si="161"/>
        <v>140233541303</v>
      </c>
      <c r="P619" s="23">
        <v>17845857919</v>
      </c>
      <c r="Q619" s="23">
        <f>55870709738+16520749176</f>
        <v>72391458914</v>
      </c>
      <c r="R619" s="25">
        <f t="shared" si="162"/>
        <v>2695403783677</v>
      </c>
      <c r="S619" s="26">
        <f t="shared" si="163"/>
        <v>0.21954688793247534</v>
      </c>
      <c r="T619" s="27">
        <f t="shared" si="164"/>
        <v>4.230523395663945</v>
      </c>
      <c r="U619" s="26">
        <f t="shared" si="165"/>
        <v>26.010120312621353</v>
      </c>
      <c r="V619" s="26">
        <f t="shared" si="166"/>
        <v>50.052833117405804</v>
      </c>
      <c r="W619" s="91" t="s">
        <v>1468</v>
      </c>
      <c r="X619" s="29">
        <v>9240</v>
      </c>
      <c r="Y619" s="91">
        <v>700</v>
      </c>
      <c r="Z619" s="30">
        <f t="shared" si="179"/>
        <v>6468000</v>
      </c>
      <c r="AA619" s="31">
        <f t="shared" si="167"/>
        <v>11</v>
      </c>
      <c r="AB619" s="32">
        <v>3.15E-2</v>
      </c>
      <c r="AC619" s="32">
        <v>8.0199999999999994E-2</v>
      </c>
      <c r="AD619" s="33">
        <f t="shared" si="133"/>
        <v>0.70925135791107174</v>
      </c>
      <c r="AE619" s="34">
        <f t="shared" si="134"/>
        <v>9.0257999937337602E-2</v>
      </c>
      <c r="AF619" s="33">
        <f t="shared" si="135"/>
        <v>13.632393334209095</v>
      </c>
      <c r="AG619" s="33">
        <f t="shared" si="136"/>
        <v>1.490016234989524E-4</v>
      </c>
      <c r="AH619" s="35">
        <f t="shared" si="137"/>
        <v>63.760974746248571</v>
      </c>
      <c r="AI619" s="36">
        <f t="shared" si="168"/>
        <v>109.72542497951824</v>
      </c>
      <c r="AJ619" s="23"/>
      <c r="AK619" s="23"/>
      <c r="AL619" s="44"/>
      <c r="AM619" s="44"/>
      <c r="AN619" s="44"/>
      <c r="AO619" s="44"/>
      <c r="AP619" s="44"/>
      <c r="AQ619" s="44"/>
      <c r="AR619" s="44"/>
    </row>
    <row r="620" spans="1:44" ht="16.8">
      <c r="A620" s="78" t="s">
        <v>1469</v>
      </c>
      <c r="B620" s="79"/>
      <c r="C620" s="1" t="s">
        <v>1464</v>
      </c>
      <c r="D620" s="19" t="s">
        <v>1465</v>
      </c>
      <c r="E620" s="20" t="s">
        <v>39</v>
      </c>
      <c r="F620" s="21">
        <v>2011</v>
      </c>
      <c r="G620" s="40">
        <v>2023</v>
      </c>
      <c r="H620" s="23">
        <v>172173099706</v>
      </c>
      <c r="I620" s="23">
        <v>184930832143</v>
      </c>
      <c r="J620" s="23">
        <v>40617068924</v>
      </c>
      <c r="K620" s="23">
        <f t="shared" si="185"/>
        <v>42012995957.5</v>
      </c>
      <c r="L620" s="23">
        <v>40617068924</v>
      </c>
      <c r="M620" s="23">
        <v>144313763219</v>
      </c>
      <c r="N620" s="23">
        <v>2183715954247</v>
      </c>
      <c r="O620" s="25">
        <f t="shared" si="161"/>
        <v>131556030782</v>
      </c>
      <c r="P620" s="23">
        <v>6328089314</v>
      </c>
      <c r="Q620" s="23">
        <f>56148164679+16454206270</f>
        <v>72602370949</v>
      </c>
      <c r="R620" s="25">
        <f t="shared" si="162"/>
        <v>2111113583298</v>
      </c>
      <c r="S620" s="26">
        <f t="shared" si="163"/>
        <v>0.21963384068153849</v>
      </c>
      <c r="T620" s="27">
        <f t="shared" si="164"/>
        <v>4.2389346219974424</v>
      </c>
      <c r="U620" s="26">
        <f t="shared" si="165"/>
        <v>25.943247711805959</v>
      </c>
      <c r="V620" s="26">
        <f t="shared" si="166"/>
        <v>51.977153842016627</v>
      </c>
      <c r="W620" s="94">
        <v>45878</v>
      </c>
      <c r="X620" s="42">
        <v>9080</v>
      </c>
      <c r="Y620" s="91">
        <v>7800</v>
      </c>
      <c r="Z620" s="30">
        <f t="shared" si="179"/>
        <v>70824000</v>
      </c>
      <c r="AA620" s="31">
        <f t="shared" si="167"/>
        <v>12</v>
      </c>
      <c r="AB620" s="32">
        <v>3.2500000000000001E-2</v>
      </c>
      <c r="AC620" s="32">
        <v>5.0500000000000003E-2</v>
      </c>
      <c r="AD620" s="33">
        <f t="shared" si="133"/>
        <v>0.71137965074570531</v>
      </c>
      <c r="AE620" s="34">
        <f t="shared" si="134"/>
        <v>3.4218681875106301E-2</v>
      </c>
      <c r="AF620" s="33">
        <f t="shared" si="135"/>
        <v>11.415692877354036</v>
      </c>
      <c r="AG620" s="33">
        <f t="shared" si="136"/>
        <v>1.7437004165052194E-3</v>
      </c>
      <c r="AH620" s="35">
        <f t="shared" si="137"/>
        <v>53.763504164542901</v>
      </c>
      <c r="AI620" s="36">
        <f t="shared" si="168"/>
        <v>92.337898615581125</v>
      </c>
      <c r="AJ620" s="23"/>
      <c r="AK620" s="23"/>
      <c r="AL620" s="44"/>
      <c r="AM620" s="44"/>
      <c r="AN620" s="44"/>
      <c r="AO620" s="44"/>
      <c r="AP620" s="44"/>
      <c r="AQ620" s="44"/>
      <c r="AR620" s="44"/>
    </row>
    <row r="621" spans="1:44" ht="16.8">
      <c r="A621" s="78" t="s">
        <v>1470</v>
      </c>
      <c r="B621" s="79">
        <v>244</v>
      </c>
      <c r="C621" s="1" t="s">
        <v>1471</v>
      </c>
      <c r="D621" s="19" t="s">
        <v>1472</v>
      </c>
      <c r="E621" s="20" t="s">
        <v>39</v>
      </c>
      <c r="F621" s="21">
        <v>1993</v>
      </c>
      <c r="G621" s="40">
        <v>2021</v>
      </c>
      <c r="H621" s="23">
        <v>389042182267</v>
      </c>
      <c r="I621" s="23">
        <v>451493874509</v>
      </c>
      <c r="J621" s="23">
        <v>62617001170</v>
      </c>
      <c r="K621" s="23">
        <f>(J621+64879371204)/2</f>
        <v>63748186187</v>
      </c>
      <c r="L621" s="23">
        <v>62617001170</v>
      </c>
      <c r="M621" s="23">
        <v>388876873339</v>
      </c>
      <c r="N621" s="23">
        <v>414407156530</v>
      </c>
      <c r="O621" s="25">
        <f t="shared" si="161"/>
        <v>326425181097</v>
      </c>
      <c r="P621" s="23">
        <v>62759699988</v>
      </c>
      <c r="Q621" s="23">
        <f>39168792680+35743249656</f>
        <v>74912042336</v>
      </c>
      <c r="R621" s="25">
        <f t="shared" si="162"/>
        <v>339495114194</v>
      </c>
      <c r="S621" s="26">
        <f t="shared" si="163"/>
        <v>0.13868848439659573</v>
      </c>
      <c r="T621" s="27">
        <f t="shared" si="164"/>
        <v>6.2130439816302045</v>
      </c>
      <c r="U621" s="26">
        <f t="shared" si="165"/>
        <v>26.835827642732461</v>
      </c>
      <c r="V621" s="26">
        <f t="shared" si="166"/>
        <v>6.500689373566976</v>
      </c>
      <c r="W621" s="91" t="s">
        <v>1473</v>
      </c>
      <c r="X621" s="29">
        <v>46590</v>
      </c>
      <c r="Y621" s="91">
        <v>0</v>
      </c>
      <c r="Z621" s="30">
        <f t="shared" si="179"/>
        <v>0</v>
      </c>
      <c r="AA621" s="31">
        <f t="shared" si="167"/>
        <v>28</v>
      </c>
      <c r="AB621" s="32">
        <v>1.84E-2</v>
      </c>
      <c r="AC621" s="32">
        <v>2.58E-2</v>
      </c>
      <c r="AD621" s="33">
        <f t="shared" si="133"/>
        <v>0.72298916890508802</v>
      </c>
      <c r="AE621" s="34">
        <f t="shared" si="134"/>
        <v>0.13900454365244985</v>
      </c>
      <c r="AF621" s="33">
        <f t="shared" si="135"/>
        <v>0.75193736473878248</v>
      </c>
      <c r="AG621" s="33">
        <f t="shared" si="136"/>
        <v>0</v>
      </c>
      <c r="AH621" s="35">
        <f t="shared" si="137"/>
        <v>6.6181252501204701</v>
      </c>
      <c r="AI621" s="36">
        <f t="shared" si="168"/>
        <v>10.161711917557987</v>
      </c>
      <c r="AJ621" s="23"/>
      <c r="AK621" s="23"/>
      <c r="AL621" s="44"/>
      <c r="AM621" s="44"/>
      <c r="AN621" s="44"/>
      <c r="AO621" s="44"/>
      <c r="AP621" s="44"/>
      <c r="AQ621" s="44"/>
      <c r="AR621" s="44"/>
    </row>
    <row r="622" spans="1:44" ht="16.8">
      <c r="A622" s="78" t="s">
        <v>1474</v>
      </c>
      <c r="B622" s="79"/>
      <c r="C622" s="1" t="s">
        <v>1471</v>
      </c>
      <c r="D622" s="19" t="s">
        <v>1472</v>
      </c>
      <c r="E622" s="20" t="s">
        <v>39</v>
      </c>
      <c r="F622" s="21">
        <v>1993</v>
      </c>
      <c r="G622" s="40">
        <v>2022</v>
      </c>
      <c r="H622" s="23">
        <v>441141345528</v>
      </c>
      <c r="I622" s="23">
        <v>49412415167</v>
      </c>
      <c r="J622" s="23">
        <v>66342117399</v>
      </c>
      <c r="K622" s="23">
        <f t="shared" ref="K622:K623" si="186">AVERAGE(J621:J622)</f>
        <v>64479559284.5</v>
      </c>
      <c r="L622" s="23">
        <v>66342117399</v>
      </c>
      <c r="M622" s="23">
        <v>427782034298</v>
      </c>
      <c r="N622" s="23">
        <v>472709909155</v>
      </c>
      <c r="O622" s="25">
        <f t="shared" si="161"/>
        <v>374799228129</v>
      </c>
      <c r="P622" s="23">
        <v>83416455155</v>
      </c>
      <c r="Q622" s="23">
        <f>49660059392+45927909547</f>
        <v>95587968939</v>
      </c>
      <c r="R622" s="25">
        <f t="shared" si="162"/>
        <v>377121940216</v>
      </c>
      <c r="S622" s="26">
        <f t="shared" si="163"/>
        <v>1.3426204158364328</v>
      </c>
      <c r="T622" s="27">
        <f t="shared" si="164"/>
        <v>6.6494914968548997</v>
      </c>
      <c r="U622" s="26">
        <f t="shared" si="165"/>
        <v>24.623467548734958</v>
      </c>
      <c r="V622" s="26">
        <f t="shared" si="166"/>
        <v>7.3311591208197502</v>
      </c>
      <c r="W622" s="91" t="s">
        <v>1475</v>
      </c>
      <c r="X622" s="29">
        <v>62760</v>
      </c>
      <c r="Y622" s="91">
        <v>4821</v>
      </c>
      <c r="Z622" s="30">
        <f t="shared" si="179"/>
        <v>302565960</v>
      </c>
      <c r="AA622" s="31">
        <f t="shared" si="167"/>
        <v>29</v>
      </c>
      <c r="AB622" s="32">
        <v>3.15E-2</v>
      </c>
      <c r="AC622" s="32">
        <v>8.0199999999999994E-2</v>
      </c>
      <c r="AD622" s="33">
        <f t="shared" si="133"/>
        <v>7.585122622771717</v>
      </c>
      <c r="AE622" s="34">
        <f t="shared" si="134"/>
        <v>1.6881679406496517</v>
      </c>
      <c r="AF622" s="33">
        <f t="shared" si="135"/>
        <v>7.6321292723991414</v>
      </c>
      <c r="AG622" s="33">
        <f t="shared" si="136"/>
        <v>4.5606919384300615E-3</v>
      </c>
      <c r="AH622" s="35">
        <f t="shared" si="137"/>
        <v>7.1253364783639741</v>
      </c>
      <c r="AI622" s="36">
        <f t="shared" si="168"/>
        <v>43.779681756679771</v>
      </c>
      <c r="AJ622" s="23"/>
      <c r="AK622" s="23"/>
      <c r="AL622" s="44"/>
      <c r="AM622" s="44"/>
      <c r="AN622" s="44"/>
      <c r="AO622" s="44"/>
      <c r="AP622" s="44"/>
      <c r="AQ622" s="44"/>
      <c r="AR622" s="44"/>
    </row>
    <row r="623" spans="1:44" ht="16.8">
      <c r="A623" s="78" t="s">
        <v>1476</v>
      </c>
      <c r="B623" s="79"/>
      <c r="C623" s="1" t="s">
        <v>1471</v>
      </c>
      <c r="D623" s="19" t="s">
        <v>1472</v>
      </c>
      <c r="E623" s="20" t="s">
        <v>39</v>
      </c>
      <c r="F623" s="21">
        <v>1993</v>
      </c>
      <c r="G623" s="40">
        <v>2023</v>
      </c>
      <c r="H623" s="23">
        <v>370070958797</v>
      </c>
      <c r="I623" s="23">
        <v>426374584270</v>
      </c>
      <c r="J623" s="23">
        <v>83177690919</v>
      </c>
      <c r="K623" s="23">
        <f t="shared" si="186"/>
        <v>74759904159</v>
      </c>
      <c r="L623" s="23">
        <v>83177690919</v>
      </c>
      <c r="M623" s="23">
        <v>343196893351</v>
      </c>
      <c r="N623" s="23">
        <v>485445722077</v>
      </c>
      <c r="O623" s="25">
        <f t="shared" si="161"/>
        <v>286893267878</v>
      </c>
      <c r="P623" s="23">
        <v>83564440745</v>
      </c>
      <c r="Q623" s="23">
        <f>45082620142+40562476</f>
        <v>45123182618</v>
      </c>
      <c r="R623" s="25">
        <f t="shared" si="162"/>
        <v>440322539459</v>
      </c>
      <c r="S623" s="26">
        <f t="shared" si="163"/>
        <v>0.19508125950192204</v>
      </c>
      <c r="T623" s="27">
        <f t="shared" si="164"/>
        <v>4.4491612439371764</v>
      </c>
      <c r="U623" s="26">
        <f t="shared" si="165"/>
        <v>26.778584102651031</v>
      </c>
      <c r="V623" s="26">
        <f t="shared" si="166"/>
        <v>6.4933967952199341</v>
      </c>
      <c r="W623" s="91" t="s">
        <v>1477</v>
      </c>
      <c r="X623" s="29">
        <v>76360</v>
      </c>
      <c r="Y623" s="91">
        <v>104</v>
      </c>
      <c r="Z623" s="30">
        <f t="shared" si="179"/>
        <v>7941440</v>
      </c>
      <c r="AA623" s="31">
        <f t="shared" si="167"/>
        <v>30</v>
      </c>
      <c r="AB623" s="32">
        <v>3.2500000000000001E-2</v>
      </c>
      <c r="AC623" s="32">
        <v>5.0500000000000003E-2</v>
      </c>
      <c r="AD623" s="33">
        <f t="shared" si="133"/>
        <v>0.67286671969248046</v>
      </c>
      <c r="AE623" s="34">
        <f t="shared" si="134"/>
        <v>0.19598832535497274</v>
      </c>
      <c r="AF623" s="33">
        <f t="shared" si="135"/>
        <v>1.0327129141922951</v>
      </c>
      <c r="AG623" s="33">
        <f t="shared" si="136"/>
        <v>9.5475600635914787E-5</v>
      </c>
      <c r="AH623" s="35">
        <f t="shared" si="137"/>
        <v>5.8362490796929691</v>
      </c>
      <c r="AI623" s="36">
        <f t="shared" si="168"/>
        <v>10.326082701015864</v>
      </c>
      <c r="AJ623" s="23"/>
      <c r="AK623" s="23"/>
      <c r="AL623" s="44"/>
      <c r="AM623" s="44"/>
      <c r="AN623" s="44"/>
      <c r="AO623" s="44"/>
      <c r="AP623" s="44"/>
      <c r="AQ623" s="44"/>
      <c r="AR623" s="44"/>
    </row>
    <row r="624" spans="1:44" ht="16.8">
      <c r="A624" s="78" t="s">
        <v>1478</v>
      </c>
      <c r="B624" s="79">
        <v>245</v>
      </c>
      <c r="C624" s="1" t="s">
        <v>1479</v>
      </c>
      <c r="D624" s="19" t="s">
        <v>1480</v>
      </c>
      <c r="E624" s="20" t="s">
        <v>39</v>
      </c>
      <c r="F624" s="21">
        <v>2004</v>
      </c>
      <c r="G624" s="40">
        <v>2021</v>
      </c>
      <c r="H624" s="23">
        <v>186471291087</v>
      </c>
      <c r="I624" s="23">
        <v>255043578621</v>
      </c>
      <c r="J624" s="23">
        <v>189011777979</v>
      </c>
      <c r="K624" s="23">
        <f>(J624+178204840117)/2</f>
        <v>183608309048</v>
      </c>
      <c r="L624" s="23">
        <v>181312688730</v>
      </c>
      <c r="M624" s="23">
        <v>66031800642</v>
      </c>
      <c r="N624" s="23">
        <v>594202927093</v>
      </c>
      <c r="O624" s="25">
        <f t="shared" si="161"/>
        <v>5158602357</v>
      </c>
      <c r="P624" s="23">
        <v>6719426973</v>
      </c>
      <c r="Q624" s="23">
        <f>15810364315+25396464174</f>
        <v>41206828489</v>
      </c>
      <c r="R624" s="25">
        <f t="shared" si="162"/>
        <v>552996098604</v>
      </c>
      <c r="S624" s="26">
        <f t="shared" si="163"/>
        <v>0.74109600798801289</v>
      </c>
      <c r="T624" s="27">
        <f t="shared" si="164"/>
        <v>1.0284514139254859</v>
      </c>
      <c r="U624" s="26">
        <f t="shared" si="165"/>
        <v>26.264700264056625</v>
      </c>
      <c r="V624" s="26">
        <f t="shared" si="166"/>
        <v>3.2362529243579052</v>
      </c>
      <c r="W624" s="93">
        <v>45974</v>
      </c>
      <c r="X624" s="42">
        <v>13110</v>
      </c>
      <c r="Y624" s="91">
        <v>1800</v>
      </c>
      <c r="Z624" s="30">
        <f t="shared" si="179"/>
        <v>23598000</v>
      </c>
      <c r="AA624" s="31">
        <f t="shared" si="167"/>
        <v>17</v>
      </c>
      <c r="AB624" s="32">
        <v>1.84E-2</v>
      </c>
      <c r="AC624" s="32">
        <v>2.58E-2</v>
      </c>
      <c r="AD624" s="33">
        <f t="shared" si="133"/>
        <v>2.0226356550092913E-2</v>
      </c>
      <c r="AE624" s="34">
        <f t="shared" si="134"/>
        <v>2.6346191538447656E-2</v>
      </c>
      <c r="AF624" s="33">
        <f t="shared" si="135"/>
        <v>2.1682416063717627</v>
      </c>
      <c r="AG624" s="33">
        <f t="shared" si="136"/>
        <v>1.2484936257581704E-4</v>
      </c>
      <c r="AH624" s="35">
        <f t="shared" si="137"/>
        <v>3.1437349219529507</v>
      </c>
      <c r="AI624" s="36">
        <f t="shared" si="168"/>
        <v>10.360163428611251</v>
      </c>
      <c r="AJ624" s="23"/>
      <c r="AK624" s="23"/>
      <c r="AL624" s="44"/>
      <c r="AM624" s="44"/>
      <c r="AN624" s="44"/>
      <c r="AO624" s="44"/>
      <c r="AP624" s="44"/>
      <c r="AQ624" s="44"/>
      <c r="AR624" s="44"/>
    </row>
    <row r="625" spans="1:44" ht="16.8">
      <c r="A625" s="78" t="s">
        <v>1481</v>
      </c>
      <c r="B625" s="79"/>
      <c r="C625" s="1" t="s">
        <v>1479</v>
      </c>
      <c r="D625" s="19" t="s">
        <v>1480</v>
      </c>
      <c r="E625" s="20" t="s">
        <v>39</v>
      </c>
      <c r="F625" s="21">
        <v>2004</v>
      </c>
      <c r="G625" s="40">
        <v>2022</v>
      </c>
      <c r="H625" s="23">
        <v>172855954729</v>
      </c>
      <c r="I625" s="23">
        <v>239540454934</v>
      </c>
      <c r="J625" s="23">
        <v>171994676649</v>
      </c>
      <c r="K625" s="23">
        <f t="shared" ref="K625:K626" si="187">AVERAGE(J624:J625)</f>
        <v>180503227314</v>
      </c>
      <c r="L625" s="23">
        <v>166936353723</v>
      </c>
      <c r="M625" s="23">
        <v>67545778285</v>
      </c>
      <c r="N625" s="23">
        <v>549741343737</v>
      </c>
      <c r="O625" s="25">
        <f t="shared" si="161"/>
        <v>5919601006</v>
      </c>
      <c r="P625" s="23">
        <v>7141891689</v>
      </c>
      <c r="Q625" s="23">
        <f>14335825350+27592940823</f>
        <v>41928766173</v>
      </c>
      <c r="R625" s="25">
        <f t="shared" si="162"/>
        <v>507812577564</v>
      </c>
      <c r="S625" s="26">
        <f t="shared" si="163"/>
        <v>0.71801932870332608</v>
      </c>
      <c r="T625" s="27">
        <f t="shared" si="164"/>
        <v>1.0354602270504991</v>
      </c>
      <c r="U625" s="26">
        <f t="shared" si="165"/>
        <v>26.20198815366243</v>
      </c>
      <c r="V625" s="26">
        <f t="shared" si="166"/>
        <v>3.045603959095315</v>
      </c>
      <c r="W625" s="91" t="s">
        <v>1482</v>
      </c>
      <c r="X625" s="29">
        <v>10260</v>
      </c>
      <c r="Y625" s="91">
        <v>0</v>
      </c>
      <c r="Z625" s="30">
        <f t="shared" si="179"/>
        <v>0</v>
      </c>
      <c r="AA625" s="31">
        <f t="shared" si="167"/>
        <v>18</v>
      </c>
      <c r="AB625" s="32">
        <v>3.15E-2</v>
      </c>
      <c r="AC625" s="32">
        <v>8.0199999999999994E-2</v>
      </c>
      <c r="AD625" s="33">
        <f t="shared" si="133"/>
        <v>2.471232263306427E-2</v>
      </c>
      <c r="AE625" s="34">
        <f t="shared" si="134"/>
        <v>2.9814970882341307E-2</v>
      </c>
      <c r="AF625" s="33">
        <f t="shared" si="135"/>
        <v>2.119944949189966</v>
      </c>
      <c r="AG625" s="33">
        <f t="shared" si="136"/>
        <v>0</v>
      </c>
      <c r="AH625" s="35">
        <f t="shared" si="137"/>
        <v>3.1962695267533809</v>
      </c>
      <c r="AI625" s="36">
        <f t="shared" si="168"/>
        <v>10.263483605475223</v>
      </c>
      <c r="AJ625" s="23"/>
      <c r="AK625" s="23"/>
      <c r="AL625" s="44"/>
      <c r="AM625" s="44"/>
      <c r="AN625" s="44"/>
      <c r="AO625" s="44"/>
      <c r="AP625" s="44"/>
      <c r="AQ625" s="44"/>
      <c r="AR625" s="44"/>
    </row>
    <row r="626" spans="1:44" ht="16.8">
      <c r="A626" s="78" t="s">
        <v>1483</v>
      </c>
      <c r="B626" s="79"/>
      <c r="C626" s="1" t="s">
        <v>1479</v>
      </c>
      <c r="D626" s="19" t="s">
        <v>1480</v>
      </c>
      <c r="E626" s="20" t="s">
        <v>39</v>
      </c>
      <c r="F626" s="21">
        <v>2004</v>
      </c>
      <c r="G626" s="40">
        <v>2023</v>
      </c>
      <c r="H626" s="23">
        <v>175102436132</v>
      </c>
      <c r="I626" s="23">
        <v>238292570844</v>
      </c>
      <c r="J626" s="23">
        <v>169559092932</v>
      </c>
      <c r="K626" s="23">
        <f t="shared" si="187"/>
        <v>170776884790.5</v>
      </c>
      <c r="L626" s="23">
        <v>167248912432</v>
      </c>
      <c r="M626" s="23">
        <v>68733477912</v>
      </c>
      <c r="N626" s="23">
        <v>538048603646</v>
      </c>
      <c r="O626" s="25">
        <f t="shared" si="161"/>
        <v>7853523700</v>
      </c>
      <c r="P626" s="23">
        <v>7298983380</v>
      </c>
      <c r="Q626" s="23">
        <f>12732407289+31569639769</f>
        <v>44302047058</v>
      </c>
      <c r="R626" s="25">
        <f t="shared" si="162"/>
        <v>493746556588</v>
      </c>
      <c r="S626" s="26">
        <f t="shared" si="163"/>
        <v>0.71155845241605586</v>
      </c>
      <c r="T626" s="27">
        <f t="shared" si="164"/>
        <v>1.0469570987685382</v>
      </c>
      <c r="U626" s="26">
        <f t="shared" si="165"/>
        <v>26.196765044920991</v>
      </c>
      <c r="V626" s="26">
        <f t="shared" si="166"/>
        <v>3.1505938541158507</v>
      </c>
      <c r="W626" s="91" t="s">
        <v>1484</v>
      </c>
      <c r="X626" s="29">
        <v>11530</v>
      </c>
      <c r="Y626" s="91">
        <v>100</v>
      </c>
      <c r="Z626" s="30">
        <f t="shared" si="179"/>
        <v>1153000</v>
      </c>
      <c r="AA626" s="31">
        <f t="shared" si="167"/>
        <v>19</v>
      </c>
      <c r="AB626" s="32">
        <v>3.2500000000000001E-2</v>
      </c>
      <c r="AC626" s="32">
        <v>5.0500000000000003E-2</v>
      </c>
      <c r="AD626" s="33">
        <f t="shared" si="133"/>
        <v>3.2957484457798593E-2</v>
      </c>
      <c r="AE626" s="34">
        <f t="shared" si="134"/>
        <v>3.0630343842227181E-2</v>
      </c>
      <c r="AF626" s="33">
        <f t="shared" si="135"/>
        <v>2.0720182540278809</v>
      </c>
      <c r="AG626" s="33">
        <f t="shared" si="136"/>
        <v>6.7999891958752061E-6</v>
      </c>
      <c r="AH626" s="35">
        <f t="shared" si="137"/>
        <v>3.1732217620542418</v>
      </c>
      <c r="AI626" s="36">
        <f t="shared" si="168"/>
        <v>10.093317543068242</v>
      </c>
      <c r="AJ626" s="23"/>
      <c r="AK626" s="23"/>
      <c r="AL626" s="44"/>
      <c r="AM626" s="44"/>
      <c r="AN626" s="44"/>
      <c r="AO626" s="44"/>
      <c r="AP626" s="44"/>
      <c r="AQ626" s="44"/>
      <c r="AR626" s="44"/>
    </row>
    <row r="627" spans="1:44" ht="16.8">
      <c r="A627" s="78" t="s">
        <v>1485</v>
      </c>
      <c r="B627" s="79">
        <v>246</v>
      </c>
      <c r="C627" s="1" t="s">
        <v>1486</v>
      </c>
      <c r="D627" s="19" t="s">
        <v>1487</v>
      </c>
      <c r="E627" s="20" t="s">
        <v>39</v>
      </c>
      <c r="F627" s="21">
        <v>1975</v>
      </c>
      <c r="G627" s="40">
        <v>2021</v>
      </c>
      <c r="H627" s="23">
        <v>187651975237</v>
      </c>
      <c r="I627" s="23">
        <v>324736163667</v>
      </c>
      <c r="J627" s="23">
        <v>161257998509</v>
      </c>
      <c r="K627" s="23">
        <f>(J627+162059312077)/2</f>
        <v>161658655293</v>
      </c>
      <c r="L627" s="23">
        <v>161257998509</v>
      </c>
      <c r="M627" s="23">
        <v>163478165058</v>
      </c>
      <c r="N627" s="23">
        <v>916366403149</v>
      </c>
      <c r="O627" s="25">
        <f t="shared" si="161"/>
        <v>26393976728</v>
      </c>
      <c r="P627" s="23">
        <v>24222249529</v>
      </c>
      <c r="Q627" s="23">
        <f>24096364481+37092520661</f>
        <v>61188885142</v>
      </c>
      <c r="R627" s="25">
        <f t="shared" si="162"/>
        <v>855177518007</v>
      </c>
      <c r="S627" s="26">
        <f t="shared" si="163"/>
        <v>0.49658158391734181</v>
      </c>
      <c r="T627" s="27">
        <f t="shared" si="164"/>
        <v>1.1636754577883894</v>
      </c>
      <c r="U627" s="26">
        <f t="shared" si="165"/>
        <v>26.506278885483219</v>
      </c>
      <c r="V627" s="26">
        <f t="shared" si="166"/>
        <v>5.6685266958835063</v>
      </c>
      <c r="W627" s="91" t="s">
        <v>1488</v>
      </c>
      <c r="X627" s="29">
        <v>17560</v>
      </c>
      <c r="Y627" s="91">
        <v>100</v>
      </c>
      <c r="Z627" s="30">
        <f t="shared" si="179"/>
        <v>1756000</v>
      </c>
      <c r="AA627" s="31">
        <f t="shared" si="167"/>
        <v>46</v>
      </c>
      <c r="AB627" s="32">
        <v>1.84E-2</v>
      </c>
      <c r="AC627" s="32">
        <v>2.58E-2</v>
      </c>
      <c r="AD627" s="33">
        <f t="shared" si="133"/>
        <v>8.1278218076954456E-2</v>
      </c>
      <c r="AE627" s="34">
        <f t="shared" si="134"/>
        <v>7.4590551466385657E-2</v>
      </c>
      <c r="AF627" s="33">
        <f t="shared" si="135"/>
        <v>2.6334532882021109</v>
      </c>
      <c r="AG627" s="33">
        <f t="shared" si="136"/>
        <v>1.0889382332883139E-5</v>
      </c>
      <c r="AH627" s="35">
        <f t="shared" si="137"/>
        <v>5.6826105472086494</v>
      </c>
      <c r="AI627" s="36">
        <f t="shared" si="168"/>
        <v>14.5749735656503</v>
      </c>
      <c r="AJ627" s="23"/>
      <c r="AK627" s="23"/>
      <c r="AL627" s="44"/>
      <c r="AM627" s="44"/>
      <c r="AN627" s="44"/>
      <c r="AO627" s="44"/>
      <c r="AP627" s="44"/>
      <c r="AQ627" s="44"/>
      <c r="AR627" s="44"/>
    </row>
    <row r="628" spans="1:44" ht="16.8">
      <c r="A628" s="78" t="s">
        <v>1489</v>
      </c>
      <c r="B628" s="79"/>
      <c r="C628" s="1" t="s">
        <v>1486</v>
      </c>
      <c r="D628" s="19" t="s">
        <v>1487</v>
      </c>
      <c r="E628" s="20" t="s">
        <v>39</v>
      </c>
      <c r="F628" s="21">
        <v>1975</v>
      </c>
      <c r="G628" s="40">
        <v>2022</v>
      </c>
      <c r="H628" s="23">
        <v>207591815071</v>
      </c>
      <c r="I628" s="23">
        <v>333347980449</v>
      </c>
      <c r="J628" s="23">
        <v>167256121546</v>
      </c>
      <c r="K628" s="23">
        <f t="shared" ref="K628:K629" si="188">AVERAGE(J627:J628)</f>
        <v>164257060027.5</v>
      </c>
      <c r="L628" s="23">
        <v>167256121546</v>
      </c>
      <c r="M628" s="23">
        <v>166091858903</v>
      </c>
      <c r="N628" s="23">
        <v>1570827568321</v>
      </c>
      <c r="O628" s="25">
        <f t="shared" si="161"/>
        <v>40335693525</v>
      </c>
      <c r="P628" s="23">
        <v>24057472161</v>
      </c>
      <c r="Q628" s="23">
        <f>28789696732+37985296888</f>
        <v>66774993620</v>
      </c>
      <c r="R628" s="25">
        <f t="shared" si="162"/>
        <v>1504052574701</v>
      </c>
      <c r="S628" s="26">
        <f t="shared" si="163"/>
        <v>0.50174631722896867</v>
      </c>
      <c r="T628" s="27">
        <f t="shared" si="164"/>
        <v>1.2411612391353137</v>
      </c>
      <c r="U628" s="26">
        <f t="shared" si="165"/>
        <v>26.532452767642045</v>
      </c>
      <c r="V628" s="26">
        <f t="shared" si="166"/>
        <v>9.5632271030420934</v>
      </c>
      <c r="W628" s="91" t="s">
        <v>1490</v>
      </c>
      <c r="X628" s="29">
        <v>18390</v>
      </c>
      <c r="Y628" s="91">
        <v>0</v>
      </c>
      <c r="Z628" s="30">
        <f t="shared" si="179"/>
        <v>0</v>
      </c>
      <c r="AA628" s="31">
        <f t="shared" si="167"/>
        <v>47</v>
      </c>
      <c r="AB628" s="32">
        <v>3.15E-2</v>
      </c>
      <c r="AC628" s="32">
        <v>8.0199999999999994E-2</v>
      </c>
      <c r="AD628" s="33">
        <f t="shared" si="133"/>
        <v>0.12100176359451828</v>
      </c>
      <c r="AE628" s="34">
        <f t="shared" si="134"/>
        <v>7.2169245269150903E-2</v>
      </c>
      <c r="AF628" s="33">
        <f t="shared" si="135"/>
        <v>4.5119594625266073</v>
      </c>
      <c r="AG628" s="33">
        <f t="shared" si="136"/>
        <v>0</v>
      </c>
      <c r="AH628" s="35">
        <f t="shared" si="137"/>
        <v>9.3917493350996999</v>
      </c>
      <c r="AI628" s="36">
        <f t="shared" si="168"/>
        <v>24.527454621127735</v>
      </c>
      <c r="AJ628" s="23"/>
      <c r="AK628" s="23"/>
      <c r="AL628" s="44"/>
      <c r="AM628" s="44"/>
      <c r="AN628" s="44"/>
      <c r="AO628" s="44"/>
      <c r="AP628" s="44"/>
      <c r="AQ628" s="44"/>
      <c r="AR628" s="44"/>
    </row>
    <row r="629" spans="1:44" ht="16.8">
      <c r="A629" s="78" t="s">
        <v>1491</v>
      </c>
      <c r="B629" s="79"/>
      <c r="C629" s="1" t="s">
        <v>1486</v>
      </c>
      <c r="D629" s="19" t="s">
        <v>1487</v>
      </c>
      <c r="E629" s="20" t="s">
        <v>39</v>
      </c>
      <c r="F629" s="21">
        <v>1975</v>
      </c>
      <c r="G629" s="40">
        <v>2023</v>
      </c>
      <c r="H629" s="23">
        <v>300105059775</v>
      </c>
      <c r="I629" s="23">
        <v>421432877805</v>
      </c>
      <c r="J629" s="23">
        <v>249408285006</v>
      </c>
      <c r="K629" s="23">
        <f t="shared" si="188"/>
        <v>208332203276</v>
      </c>
      <c r="L629" s="23">
        <v>249408285006</v>
      </c>
      <c r="M629" s="23">
        <v>171443592799</v>
      </c>
      <c r="N629" s="23">
        <v>1421917259230</v>
      </c>
      <c r="O629" s="25">
        <f t="shared" si="161"/>
        <v>50696774769</v>
      </c>
      <c r="P629" s="23">
        <v>29567214467</v>
      </c>
      <c r="Q629" s="23">
        <f>34669169427+53679427</f>
        <v>34722848854</v>
      </c>
      <c r="R629" s="25">
        <f t="shared" si="162"/>
        <v>1387194410376</v>
      </c>
      <c r="S629" s="26">
        <f t="shared" si="163"/>
        <v>0.59181022208097156</v>
      </c>
      <c r="T629" s="27">
        <f t="shared" si="164"/>
        <v>1.2032682064582594</v>
      </c>
      <c r="U629" s="26">
        <f t="shared" si="165"/>
        <v>26.766926355693094</v>
      </c>
      <c r="V629" s="26">
        <f t="shared" si="166"/>
        <v>6.8252398662833409</v>
      </c>
      <c r="W629" s="91" t="s">
        <v>1492</v>
      </c>
      <c r="X629" s="29">
        <v>25920</v>
      </c>
      <c r="Y629" s="91">
        <v>100</v>
      </c>
      <c r="Z629" s="30">
        <f t="shared" si="179"/>
        <v>2592000</v>
      </c>
      <c r="AA629" s="31">
        <f t="shared" si="167"/>
        <v>48</v>
      </c>
      <c r="AB629" s="32">
        <v>3.2500000000000001E-2</v>
      </c>
      <c r="AC629" s="32">
        <v>5.0500000000000003E-2</v>
      </c>
      <c r="AD629" s="33">
        <f t="shared" si="133"/>
        <v>0.12029620240606324</v>
      </c>
      <c r="AE629" s="34">
        <f t="shared" si="134"/>
        <v>7.0158775036723547E-2</v>
      </c>
      <c r="AF629" s="33">
        <f t="shared" si="135"/>
        <v>3.2916141180087632</v>
      </c>
      <c r="AG629" s="33">
        <f t="shared" si="136"/>
        <v>1.0392597823835903E-5</v>
      </c>
      <c r="AH629" s="35">
        <f t="shared" si="137"/>
        <v>5.7011628911837997</v>
      </c>
      <c r="AI629" s="36">
        <f t="shared" si="168"/>
        <v>16.806073444110101</v>
      </c>
      <c r="AJ629" s="23"/>
      <c r="AK629" s="23"/>
      <c r="AL629" s="44"/>
      <c r="AM629" s="44"/>
      <c r="AN629" s="44"/>
      <c r="AO629" s="44"/>
      <c r="AP629" s="44"/>
      <c r="AQ629" s="44"/>
      <c r="AR629" s="44"/>
    </row>
    <row r="630" spans="1:44" ht="16.8">
      <c r="A630" s="78" t="s">
        <v>1493</v>
      </c>
      <c r="B630" s="79">
        <v>247</v>
      </c>
      <c r="C630" s="1" t="s">
        <v>1494</v>
      </c>
      <c r="D630" s="19" t="s">
        <v>1495</v>
      </c>
      <c r="E630" s="20" t="s">
        <v>39</v>
      </c>
      <c r="F630" s="21">
        <v>1954</v>
      </c>
      <c r="G630" s="40">
        <v>2021</v>
      </c>
      <c r="H630" s="23">
        <v>1227939225854</v>
      </c>
      <c r="I630" s="23">
        <v>2313265400716</v>
      </c>
      <c r="J630" s="23">
        <v>1985097387549</v>
      </c>
      <c r="K630" s="23">
        <f>(J630+1768334143496)/2</f>
        <v>1876715765522.5</v>
      </c>
      <c r="L630" s="23">
        <v>980939810679</v>
      </c>
      <c r="M630" s="23">
        <v>328168013167</v>
      </c>
      <c r="N630" s="23">
        <v>1126735747740</v>
      </c>
      <c r="O630" s="25">
        <f t="shared" si="161"/>
        <v>246999415175</v>
      </c>
      <c r="P630" s="23">
        <v>13255261535</v>
      </c>
      <c r="Q630" s="23">
        <f>33159484316+62437540570</f>
        <v>95597024886</v>
      </c>
      <c r="R630" s="25">
        <f t="shared" si="162"/>
        <v>1031138722854</v>
      </c>
      <c r="S630" s="26">
        <f t="shared" si="163"/>
        <v>0.8581364623940575</v>
      </c>
      <c r="T630" s="27">
        <f t="shared" si="164"/>
        <v>1.2517987469629035</v>
      </c>
      <c r="U630" s="26">
        <f t="shared" si="165"/>
        <v>28.469681235663245</v>
      </c>
      <c r="V630" s="26">
        <f t="shared" si="166"/>
        <v>0.60037634277895213</v>
      </c>
      <c r="W630" s="91" t="s">
        <v>1496</v>
      </c>
      <c r="X630" s="29">
        <v>17870</v>
      </c>
      <c r="Y630" s="91">
        <v>307</v>
      </c>
      <c r="Z630" s="30">
        <f t="shared" si="179"/>
        <v>5486090</v>
      </c>
      <c r="AA630" s="31">
        <f t="shared" si="167"/>
        <v>67</v>
      </c>
      <c r="AB630" s="32">
        <v>1.84E-2</v>
      </c>
      <c r="AC630" s="32">
        <v>2.58E-2</v>
      </c>
      <c r="AD630" s="33">
        <f t="shared" si="133"/>
        <v>0.1067752170151116</v>
      </c>
      <c r="AE630" s="34">
        <f t="shared" si="134"/>
        <v>5.7301084133697944E-3</v>
      </c>
      <c r="AF630" s="33">
        <f t="shared" si="135"/>
        <v>0.44575028984345799</v>
      </c>
      <c r="AG630" s="33">
        <f t="shared" si="136"/>
        <v>2.7636377108801074E-6</v>
      </c>
      <c r="AH630" s="35">
        <f t="shared" si="137"/>
        <v>0.56759721452819034</v>
      </c>
      <c r="AI630" s="36">
        <f t="shared" si="168"/>
        <v>2.1747272413910799</v>
      </c>
      <c r="AJ630" s="23"/>
      <c r="AK630" s="23"/>
      <c r="AL630" s="44"/>
      <c r="AM630" s="44"/>
      <c r="AN630" s="44"/>
      <c r="AO630" s="44"/>
      <c r="AP630" s="44"/>
      <c r="AQ630" s="44"/>
      <c r="AR630" s="44"/>
    </row>
    <row r="631" spans="1:44" ht="16.8">
      <c r="A631" s="78" t="s">
        <v>1497</v>
      </c>
      <c r="B631" s="79"/>
      <c r="C631" s="1" t="s">
        <v>1494</v>
      </c>
      <c r="D631" s="19" t="s">
        <v>1495</v>
      </c>
      <c r="E631" s="20" t="s">
        <v>39</v>
      </c>
      <c r="F631" s="21">
        <v>1954</v>
      </c>
      <c r="G631" s="40">
        <v>2022</v>
      </c>
      <c r="H631" s="23">
        <v>1252175418367</v>
      </c>
      <c r="I631" s="23">
        <v>2475297927443</v>
      </c>
      <c r="J631" s="23">
        <v>2144955667248</v>
      </c>
      <c r="K631" s="23">
        <f t="shared" ref="K631:K632" si="189">AVERAGE(J630:J631)</f>
        <v>2065026527398.5</v>
      </c>
      <c r="L631" s="23">
        <v>1170454428408</v>
      </c>
      <c r="M631" s="23">
        <v>330342260195</v>
      </c>
      <c r="N631" s="23">
        <v>1481436483495</v>
      </c>
      <c r="O631" s="25">
        <f t="shared" si="161"/>
        <v>81720989959</v>
      </c>
      <c r="P631" s="23">
        <v>15270804492</v>
      </c>
      <c r="Q631" s="23">
        <f>24690692957+72518597527</f>
        <v>97209290484</v>
      </c>
      <c r="R631" s="25">
        <f t="shared" si="162"/>
        <v>1384227193011</v>
      </c>
      <c r="S631" s="26">
        <f t="shared" si="163"/>
        <v>0.86654444439492351</v>
      </c>
      <c r="T631" s="27">
        <f t="shared" si="164"/>
        <v>1.0698198818984805</v>
      </c>
      <c r="U631" s="26">
        <f t="shared" si="165"/>
        <v>28.537381879429191</v>
      </c>
      <c r="V631" s="26">
        <f t="shared" si="166"/>
        <v>0.71739343966747926</v>
      </c>
      <c r="W631" s="91" t="s">
        <v>1498</v>
      </c>
      <c r="X631" s="29">
        <v>17640</v>
      </c>
      <c r="Y631" s="91">
        <v>8500</v>
      </c>
      <c r="Z631" s="30">
        <f t="shared" si="179"/>
        <v>149940000</v>
      </c>
      <c r="AA631" s="31">
        <f t="shared" si="167"/>
        <v>68</v>
      </c>
      <c r="AB631" s="32">
        <v>3.15E-2</v>
      </c>
      <c r="AC631" s="32">
        <v>8.0199999999999994E-2</v>
      </c>
      <c r="AD631" s="33">
        <f t="shared" si="133"/>
        <v>3.3014607677314366E-2</v>
      </c>
      <c r="AE631" s="34">
        <f t="shared" si="134"/>
        <v>6.169279391662905E-3</v>
      </c>
      <c r="AF631" s="33">
        <f t="shared" si="135"/>
        <v>0.55921639882796503</v>
      </c>
      <c r="AG631" s="33">
        <f t="shared" si="136"/>
        <v>6.9903542664998087E-5</v>
      </c>
      <c r="AH631" s="35">
        <f t="shared" si="137"/>
        <v>0.69066065379136632</v>
      </c>
      <c r="AI631" s="36">
        <f t="shared" si="168"/>
        <v>2.5843712324103554</v>
      </c>
      <c r="AJ631" s="23"/>
      <c r="AK631" s="23"/>
      <c r="AL631" s="44"/>
      <c r="AM631" s="44"/>
      <c r="AN631" s="44"/>
      <c r="AO631" s="44"/>
      <c r="AP631" s="44"/>
      <c r="AQ631" s="44"/>
      <c r="AR631" s="44"/>
    </row>
    <row r="632" spans="1:44" ht="16.8">
      <c r="A632" s="78" t="s">
        <v>1499</v>
      </c>
      <c r="B632" s="79"/>
      <c r="C632" s="1" t="s">
        <v>1494</v>
      </c>
      <c r="D632" s="19" t="s">
        <v>1495</v>
      </c>
      <c r="E632" s="20" t="s">
        <v>39</v>
      </c>
      <c r="F632" s="21">
        <v>1954</v>
      </c>
      <c r="G632" s="40">
        <v>2023</v>
      </c>
      <c r="H632" s="23">
        <v>1065773567021</v>
      </c>
      <c r="I632" s="23">
        <v>2281565023890</v>
      </c>
      <c r="J632" s="23">
        <v>1970679116944</v>
      </c>
      <c r="K632" s="23">
        <f t="shared" si="189"/>
        <v>2057817392096</v>
      </c>
      <c r="L632" s="23">
        <v>1003220435223</v>
      </c>
      <c r="M632" s="23">
        <v>310885906946</v>
      </c>
      <c r="N632" s="23">
        <v>1157718483295</v>
      </c>
      <c r="O632" s="25">
        <f t="shared" si="161"/>
        <v>62553131798</v>
      </c>
      <c r="P632" s="23">
        <v>2613478462</v>
      </c>
      <c r="Q632" s="23">
        <f>6236502541+50508520717</f>
        <v>56745023258</v>
      </c>
      <c r="R632" s="25">
        <f t="shared" si="162"/>
        <v>1100973460037</v>
      </c>
      <c r="S632" s="26">
        <f t="shared" si="163"/>
        <v>0.86374006276799031</v>
      </c>
      <c r="T632" s="27">
        <f t="shared" si="164"/>
        <v>1.062352330157724</v>
      </c>
      <c r="U632" s="26">
        <f t="shared" si="165"/>
        <v>28.455882737407407</v>
      </c>
      <c r="V632" s="26">
        <f t="shared" si="166"/>
        <v>0.56259534385400456</v>
      </c>
      <c r="W632" s="91" t="s">
        <v>1500</v>
      </c>
      <c r="X632" s="29">
        <v>16910</v>
      </c>
      <c r="Y632" s="91">
        <v>500</v>
      </c>
      <c r="Z632" s="30">
        <f t="shared" si="179"/>
        <v>8455000</v>
      </c>
      <c r="AA632" s="31">
        <f t="shared" si="167"/>
        <v>69</v>
      </c>
      <c r="AB632" s="32">
        <v>3.2500000000000001E-2</v>
      </c>
      <c r="AC632" s="32">
        <v>5.0500000000000003E-2</v>
      </c>
      <c r="AD632" s="33">
        <f t="shared" si="133"/>
        <v>2.7416764871048376E-2</v>
      </c>
      <c r="AE632" s="34">
        <f t="shared" si="134"/>
        <v>1.1454762124395198E-3</v>
      </c>
      <c r="AF632" s="33">
        <f t="shared" si="135"/>
        <v>0.48255186615714912</v>
      </c>
      <c r="AG632" s="33">
        <f t="shared" si="136"/>
        <v>4.2903991458089124E-6</v>
      </c>
      <c r="AH632" s="35">
        <f t="shared" si="137"/>
        <v>0.58747183818049176</v>
      </c>
      <c r="AI632" s="36">
        <f t="shared" si="168"/>
        <v>2.2143993552812447</v>
      </c>
      <c r="AJ632" s="23"/>
      <c r="AK632" s="23"/>
      <c r="AL632" s="44"/>
      <c r="AM632" s="44"/>
      <c r="AN632" s="44"/>
      <c r="AO632" s="44"/>
      <c r="AP632" s="44"/>
      <c r="AQ632" s="44"/>
      <c r="AR632" s="44"/>
    </row>
    <row r="633" spans="1:44" ht="16.8">
      <c r="A633" s="78" t="s">
        <v>1501</v>
      </c>
      <c r="B633" s="79">
        <v>248</v>
      </c>
      <c r="C633" s="1" t="s">
        <v>1502</v>
      </c>
      <c r="D633" s="19" t="s">
        <v>1503</v>
      </c>
      <c r="E633" s="20" t="s">
        <v>39</v>
      </c>
      <c r="F633" s="21">
        <v>2007</v>
      </c>
      <c r="G633" s="40">
        <v>2021</v>
      </c>
      <c r="H633" s="23">
        <v>18233143085</v>
      </c>
      <c r="I633" s="23">
        <v>18233143085</v>
      </c>
      <c r="J633" s="23">
        <v>9682106782</v>
      </c>
      <c r="K633" s="23">
        <f>(J633+41046083457)/2</f>
        <v>25364095119.5</v>
      </c>
      <c r="L633" s="23">
        <v>9682106782</v>
      </c>
      <c r="M633" s="23">
        <v>8551036303</v>
      </c>
      <c r="N633" s="23">
        <v>5351711468</v>
      </c>
      <c r="O633" s="25">
        <f t="shared" si="161"/>
        <v>8551036303</v>
      </c>
      <c r="P633" s="23">
        <v>675186562</v>
      </c>
      <c r="Q633" s="23">
        <f>18000000-394335821</f>
        <v>-376335821</v>
      </c>
      <c r="R633" s="25">
        <f t="shared" si="162"/>
        <v>5728047289</v>
      </c>
      <c r="S633" s="26">
        <f t="shared" si="163"/>
        <v>0.53101688155813642</v>
      </c>
      <c r="T633" s="27">
        <f t="shared" si="164"/>
        <v>1.8831793013166542</v>
      </c>
      <c r="U633" s="26">
        <f t="shared" si="165"/>
        <v>23.626506823556738</v>
      </c>
      <c r="V633" s="26">
        <f t="shared" si="166"/>
        <v>0.21099556056646337</v>
      </c>
      <c r="W633" s="91" t="s">
        <v>1202</v>
      </c>
      <c r="X633" s="29">
        <v>11000</v>
      </c>
      <c r="Y633" s="91">
        <v>0</v>
      </c>
      <c r="Z633" s="30">
        <f t="shared" si="179"/>
        <v>0</v>
      </c>
      <c r="AA633" s="31">
        <f t="shared" si="167"/>
        <v>14</v>
      </c>
      <c r="AB633" s="32">
        <v>1.84E-2</v>
      </c>
      <c r="AC633" s="32">
        <v>2.58E-2</v>
      </c>
      <c r="AD633" s="33">
        <f t="shared" si="133"/>
        <v>0.46898311844186352</v>
      </c>
      <c r="AE633" s="34">
        <f t="shared" si="134"/>
        <v>3.7030727990911283E-2</v>
      </c>
      <c r="AF633" s="33">
        <f t="shared" si="135"/>
        <v>0.31415578007021383</v>
      </c>
      <c r="AG633" s="33">
        <f t="shared" si="136"/>
        <v>0</v>
      </c>
      <c r="AH633" s="35">
        <f t="shared" si="137"/>
        <v>0.55274245456054716</v>
      </c>
      <c r="AI633" s="36">
        <f t="shared" si="168"/>
        <v>2.2040792901097648</v>
      </c>
      <c r="AJ633" s="23"/>
      <c r="AK633" s="23"/>
      <c r="AL633" s="44"/>
      <c r="AM633" s="44"/>
      <c r="AN633" s="44"/>
      <c r="AO633" s="44"/>
      <c r="AP633" s="44"/>
      <c r="AQ633" s="44"/>
      <c r="AR633" s="44"/>
    </row>
    <row r="634" spans="1:44" ht="16.8">
      <c r="A634" s="78" t="s">
        <v>1504</v>
      </c>
      <c r="B634" s="79"/>
      <c r="C634" s="1" t="s">
        <v>1502</v>
      </c>
      <c r="D634" s="19" t="s">
        <v>1503</v>
      </c>
      <c r="E634" s="20" t="s">
        <v>39</v>
      </c>
      <c r="F634" s="21">
        <v>2007</v>
      </c>
      <c r="G634" s="40">
        <v>2022</v>
      </c>
      <c r="H634" s="23">
        <v>18323842734</v>
      </c>
      <c r="I634" s="23">
        <v>18323842734</v>
      </c>
      <c r="J634" s="23">
        <v>7909064395</v>
      </c>
      <c r="K634" s="23">
        <f t="shared" ref="K634:K635" si="190">AVERAGE(J633:J634)</f>
        <v>8795585588.5</v>
      </c>
      <c r="L634" s="23">
        <v>7909064395</v>
      </c>
      <c r="M634" s="23">
        <v>10414778339</v>
      </c>
      <c r="N634" s="23">
        <v>1800000000</v>
      </c>
      <c r="O634" s="25">
        <f t="shared" si="161"/>
        <v>10414778339</v>
      </c>
      <c r="P634" s="23">
        <v>1863742036</v>
      </c>
      <c r="Q634" s="23">
        <v>286632402</v>
      </c>
      <c r="R634" s="25">
        <f t="shared" si="162"/>
        <v>1513367598</v>
      </c>
      <c r="S634" s="26">
        <f t="shared" si="163"/>
        <v>0.43162695237089566</v>
      </c>
      <c r="T634" s="27">
        <f t="shared" si="164"/>
        <v>2.3168154687909834</v>
      </c>
      <c r="U634" s="26">
        <f t="shared" si="165"/>
        <v>23.631468930419341</v>
      </c>
      <c r="V634" s="26">
        <f t="shared" si="166"/>
        <v>0.20464811374849826</v>
      </c>
      <c r="W634" s="93">
        <v>45731</v>
      </c>
      <c r="X634" s="42">
        <v>15300</v>
      </c>
      <c r="Y634" s="91">
        <v>0</v>
      </c>
      <c r="Z634" s="30">
        <f t="shared" si="179"/>
        <v>0</v>
      </c>
      <c r="AA634" s="31">
        <f t="shared" si="167"/>
        <v>15</v>
      </c>
      <c r="AB634" s="32">
        <v>3.15E-2</v>
      </c>
      <c r="AC634" s="32">
        <v>8.0199999999999994E-2</v>
      </c>
      <c r="AD634" s="33">
        <f t="shared" si="133"/>
        <v>0.56837304762910434</v>
      </c>
      <c r="AE634" s="34">
        <f t="shared" si="134"/>
        <v>0.10171130930641614</v>
      </c>
      <c r="AF634" s="33">
        <f t="shared" si="135"/>
        <v>8.2590077854790653E-2</v>
      </c>
      <c r="AG634" s="33">
        <f t="shared" si="136"/>
        <v>0</v>
      </c>
      <c r="AH634" s="35">
        <f t="shared" si="137"/>
        <v>0.22758696984916887</v>
      </c>
      <c r="AI634" s="36">
        <f t="shared" si="168"/>
        <v>1.3245777169538859</v>
      </c>
      <c r="AJ634" s="23"/>
      <c r="AK634" s="23"/>
      <c r="AL634" s="44"/>
      <c r="AM634" s="44"/>
      <c r="AN634" s="44"/>
      <c r="AO634" s="44"/>
      <c r="AP634" s="44"/>
      <c r="AQ634" s="44"/>
      <c r="AR634" s="44"/>
    </row>
    <row r="635" spans="1:44" ht="16.8">
      <c r="A635" s="78" t="s">
        <v>1505</v>
      </c>
      <c r="B635" s="79"/>
      <c r="C635" s="1" t="s">
        <v>1502</v>
      </c>
      <c r="D635" s="19" t="s">
        <v>1503</v>
      </c>
      <c r="E635" s="20" t="s">
        <v>39</v>
      </c>
      <c r="F635" s="21">
        <v>2007</v>
      </c>
      <c r="G635" s="40">
        <v>2023</v>
      </c>
      <c r="H635" s="23">
        <v>11108141421</v>
      </c>
      <c r="I635" s="23">
        <v>16108141421</v>
      </c>
      <c r="J635" s="23">
        <v>4949270351</v>
      </c>
      <c r="K635" s="23">
        <f t="shared" si="190"/>
        <v>6429167373</v>
      </c>
      <c r="L635" s="23">
        <v>4949270351</v>
      </c>
      <c r="M635" s="23">
        <v>11158871070</v>
      </c>
      <c r="N635" s="23">
        <v>5378843597</v>
      </c>
      <c r="O635" s="25">
        <f t="shared" si="161"/>
        <v>6158871070</v>
      </c>
      <c r="P635" s="23">
        <v>744092731</v>
      </c>
      <c r="Q635" s="23">
        <v>330420907</v>
      </c>
      <c r="R635" s="25">
        <f t="shared" si="162"/>
        <v>5048422690</v>
      </c>
      <c r="S635" s="26">
        <f t="shared" si="163"/>
        <v>0.30725272529254632</v>
      </c>
      <c r="T635" s="27">
        <f t="shared" si="164"/>
        <v>2.2443998070858262</v>
      </c>
      <c r="U635" s="26">
        <f t="shared" si="165"/>
        <v>23.502590659447613</v>
      </c>
      <c r="V635" s="26">
        <f t="shared" si="166"/>
        <v>0.83663144617902607</v>
      </c>
      <c r="W635" s="93">
        <v>45787</v>
      </c>
      <c r="X635" s="42">
        <v>10500</v>
      </c>
      <c r="Y635" s="91">
        <v>0</v>
      </c>
      <c r="Z635" s="30">
        <f t="shared" si="179"/>
        <v>0</v>
      </c>
      <c r="AA635" s="31">
        <f t="shared" si="167"/>
        <v>16</v>
      </c>
      <c r="AB635" s="32">
        <v>3.2500000000000001E-2</v>
      </c>
      <c r="AC635" s="32">
        <v>5.0500000000000003E-2</v>
      </c>
      <c r="AD635" s="33">
        <f t="shared" si="133"/>
        <v>0.38234523208063903</v>
      </c>
      <c r="AE635" s="34">
        <f t="shared" si="134"/>
        <v>4.6193580721232981E-2</v>
      </c>
      <c r="AF635" s="33">
        <f t="shared" si="135"/>
        <v>0.31340814300391162</v>
      </c>
      <c r="AG635" s="33">
        <f t="shared" si="136"/>
        <v>0</v>
      </c>
      <c r="AH635" s="35">
        <f t="shared" si="137"/>
        <v>1.0867952678950352</v>
      </c>
      <c r="AI635" s="36">
        <f t="shared" si="168"/>
        <v>2.6445274313144367</v>
      </c>
      <c r="AJ635" s="23"/>
      <c r="AK635" s="23"/>
      <c r="AL635" s="44"/>
      <c r="AM635" s="44"/>
      <c r="AN635" s="44"/>
      <c r="AO635" s="44"/>
      <c r="AP635" s="44"/>
      <c r="AQ635" s="44"/>
      <c r="AR635" s="44"/>
    </row>
    <row r="636" spans="1:44" ht="16.8">
      <c r="A636" s="78" t="s">
        <v>1506</v>
      </c>
      <c r="B636" s="79">
        <v>249</v>
      </c>
      <c r="C636" s="1" t="s">
        <v>1507</v>
      </c>
      <c r="D636" s="19" t="s">
        <v>1508</v>
      </c>
      <c r="E636" s="20" t="s">
        <v>39</v>
      </c>
      <c r="F636" s="21">
        <v>1975</v>
      </c>
      <c r="G636" s="40">
        <v>2021</v>
      </c>
      <c r="H636" s="23">
        <v>70775497176</v>
      </c>
      <c r="I636" s="23">
        <v>156030037380</v>
      </c>
      <c r="J636" s="23">
        <v>39446780161</v>
      </c>
      <c r="K636" s="23">
        <f>(J636+37063115191)/2</f>
        <v>38254947676</v>
      </c>
      <c r="L636" s="23">
        <v>39221780161</v>
      </c>
      <c r="M636" s="23">
        <v>116583257219</v>
      </c>
      <c r="N636" s="23">
        <v>133721634008</v>
      </c>
      <c r="O636" s="25">
        <f t="shared" si="161"/>
        <v>31553717015</v>
      </c>
      <c r="P636" s="23">
        <v>16852763893</v>
      </c>
      <c r="Q636" s="23">
        <f>14500056817+11107819133</f>
        <v>25607875950</v>
      </c>
      <c r="R636" s="25">
        <f t="shared" si="162"/>
        <v>108113758058</v>
      </c>
      <c r="S636" s="26">
        <f t="shared" si="163"/>
        <v>0.25281529648634377</v>
      </c>
      <c r="T636" s="27">
        <f t="shared" si="164"/>
        <v>1.8044947701373151</v>
      </c>
      <c r="U636" s="26">
        <f t="shared" si="165"/>
        <v>25.773314372968787</v>
      </c>
      <c r="V636" s="26">
        <f t="shared" si="166"/>
        <v>3.4955382801867723</v>
      </c>
      <c r="W636" s="91" t="s">
        <v>221</v>
      </c>
      <c r="X636" s="29">
        <v>13910</v>
      </c>
      <c r="Y636" s="91">
        <v>42950</v>
      </c>
      <c r="Z636" s="30">
        <f t="shared" si="179"/>
        <v>597434500</v>
      </c>
      <c r="AA636" s="31">
        <f t="shared" si="167"/>
        <v>46</v>
      </c>
      <c r="AB636" s="32">
        <v>1.84E-2</v>
      </c>
      <c r="AC636" s="32">
        <v>2.58E-2</v>
      </c>
      <c r="AD636" s="33">
        <f t="shared" si="133"/>
        <v>0.20222847821380174</v>
      </c>
      <c r="AE636" s="34">
        <f t="shared" si="134"/>
        <v>0.1080097407908472</v>
      </c>
      <c r="AF636" s="33">
        <f t="shared" si="135"/>
        <v>0.69290349392595907</v>
      </c>
      <c r="AG636" s="33">
        <f t="shared" si="136"/>
        <v>1.5145329924561697E-2</v>
      </c>
      <c r="AH636" s="35">
        <f t="shared" si="137"/>
        <v>3.3899251969925568</v>
      </c>
      <c r="AI636" s="36">
        <f t="shared" si="168"/>
        <v>6.0794817358667066</v>
      </c>
      <c r="AJ636" s="23"/>
      <c r="AK636" s="23"/>
      <c r="AL636" s="44"/>
      <c r="AM636" s="44"/>
      <c r="AN636" s="44"/>
      <c r="AO636" s="44"/>
      <c r="AP636" s="44"/>
      <c r="AQ636" s="44"/>
      <c r="AR636" s="44"/>
    </row>
    <row r="637" spans="1:44" ht="16.8">
      <c r="A637" s="78" t="s">
        <v>1509</v>
      </c>
      <c r="B637" s="79"/>
      <c r="C637" s="1" t="s">
        <v>1507</v>
      </c>
      <c r="D637" s="19" t="s">
        <v>1508</v>
      </c>
      <c r="E637" s="20" t="s">
        <v>39</v>
      </c>
      <c r="F637" s="21">
        <v>1975</v>
      </c>
      <c r="G637" s="40">
        <v>2022</v>
      </c>
      <c r="H637" s="23">
        <v>78472167697</v>
      </c>
      <c r="I637" s="23">
        <v>158194240169</v>
      </c>
      <c r="J637" s="23">
        <v>33641601378</v>
      </c>
      <c r="K637" s="23">
        <f t="shared" ref="K637:K638" si="191">AVERAGE(J636:J637)</f>
        <v>36544190769.5</v>
      </c>
      <c r="L637" s="23">
        <v>33416601378</v>
      </c>
      <c r="M637" s="23">
        <v>124552638791</v>
      </c>
      <c r="N637" s="23">
        <v>150926303111</v>
      </c>
      <c r="O637" s="25">
        <f t="shared" si="161"/>
        <v>45055566319</v>
      </c>
      <c r="P637" s="23">
        <v>20541412864</v>
      </c>
      <c r="Q637" s="23">
        <f>13554961971+12561960069</f>
        <v>26116922040</v>
      </c>
      <c r="R637" s="25">
        <f t="shared" si="162"/>
        <v>124809381071</v>
      </c>
      <c r="S637" s="26">
        <f t="shared" si="163"/>
        <v>0.21266009016548545</v>
      </c>
      <c r="T637" s="27">
        <f t="shared" si="164"/>
        <v>2.3482988832210379</v>
      </c>
      <c r="U637" s="26">
        <f t="shared" si="165"/>
        <v>25.787089483077335</v>
      </c>
      <c r="V637" s="26">
        <f t="shared" si="166"/>
        <v>4.1299670325978051</v>
      </c>
      <c r="W637" s="91" t="s">
        <v>1510</v>
      </c>
      <c r="X637" s="29">
        <v>10930</v>
      </c>
      <c r="Y637" s="91">
        <v>500</v>
      </c>
      <c r="Z637" s="30">
        <f t="shared" si="179"/>
        <v>5465000</v>
      </c>
      <c r="AA637" s="31">
        <f t="shared" si="167"/>
        <v>47</v>
      </c>
      <c r="AB637" s="32">
        <v>3.15E-2</v>
      </c>
      <c r="AC637" s="32">
        <v>8.0199999999999994E-2</v>
      </c>
      <c r="AD637" s="33">
        <f t="shared" si="133"/>
        <v>0.28481167374277866</v>
      </c>
      <c r="AE637" s="34">
        <f t="shared" si="134"/>
        <v>0.12984930957066115</v>
      </c>
      <c r="AF637" s="33">
        <f t="shared" si="135"/>
        <v>0.7889628657634139</v>
      </c>
      <c r="AG637" s="33">
        <f t="shared" si="136"/>
        <v>1.6244767716598203E-4</v>
      </c>
      <c r="AH637" s="35">
        <f t="shared" si="137"/>
        <v>4.4862996090815876</v>
      </c>
      <c r="AI637" s="36">
        <f t="shared" si="168"/>
        <v>7.6135375765974125</v>
      </c>
      <c r="AJ637" s="23"/>
      <c r="AK637" s="23"/>
      <c r="AL637" s="44"/>
      <c r="AM637" s="44"/>
      <c r="AN637" s="44"/>
      <c r="AO637" s="44"/>
      <c r="AP637" s="44"/>
      <c r="AQ637" s="44"/>
      <c r="AR637" s="44"/>
    </row>
    <row r="638" spans="1:44" ht="16.8">
      <c r="A638" s="78" t="s">
        <v>1511</v>
      </c>
      <c r="B638" s="79"/>
      <c r="C638" s="1" t="s">
        <v>1507</v>
      </c>
      <c r="D638" s="19" t="s">
        <v>1508</v>
      </c>
      <c r="E638" s="20" t="s">
        <v>39</v>
      </c>
      <c r="F638" s="21">
        <v>1975</v>
      </c>
      <c r="G638" s="40">
        <v>2023</v>
      </c>
      <c r="H638" s="23">
        <v>79644277505</v>
      </c>
      <c r="I638" s="23">
        <v>160022034706</v>
      </c>
      <c r="J638" s="23">
        <v>29651473355</v>
      </c>
      <c r="K638" s="23">
        <f t="shared" si="191"/>
        <v>31646537366.5</v>
      </c>
      <c r="L638" s="23">
        <v>29426473355</v>
      </c>
      <c r="M638" s="23">
        <v>130370561351</v>
      </c>
      <c r="N638" s="23">
        <v>152497167156</v>
      </c>
      <c r="O638" s="25">
        <f t="shared" si="161"/>
        <v>50217804150</v>
      </c>
      <c r="P638" s="23">
        <v>20101967280</v>
      </c>
      <c r="Q638" s="23">
        <f>13353663087+12692386950</f>
        <v>26046050037</v>
      </c>
      <c r="R638" s="25">
        <f t="shared" si="162"/>
        <v>126451117119</v>
      </c>
      <c r="S638" s="26">
        <f t="shared" si="163"/>
        <v>0.18529619004955836</v>
      </c>
      <c r="T638" s="27">
        <f t="shared" si="164"/>
        <v>2.7065519046123563</v>
      </c>
      <c r="U638" s="26">
        <f t="shared" si="165"/>
        <v>25.798577359610636</v>
      </c>
      <c r="V638" s="26">
        <f t="shared" si="166"/>
        <v>4.8187631205879908</v>
      </c>
      <c r="W638" s="91" t="s">
        <v>1512</v>
      </c>
      <c r="X638" s="29">
        <v>13870</v>
      </c>
      <c r="Y638" s="91">
        <v>500</v>
      </c>
      <c r="Z638" s="30">
        <f t="shared" si="179"/>
        <v>6935000</v>
      </c>
      <c r="AA638" s="31">
        <f t="shared" si="167"/>
        <v>48</v>
      </c>
      <c r="AB638" s="32">
        <v>3.2500000000000001E-2</v>
      </c>
      <c r="AC638" s="32">
        <v>5.0500000000000003E-2</v>
      </c>
      <c r="AD638" s="33">
        <f t="shared" si="133"/>
        <v>0.31381805788348155</v>
      </c>
      <c r="AE638" s="34">
        <f t="shared" si="134"/>
        <v>0.1256199955020712</v>
      </c>
      <c r="AF638" s="33">
        <f t="shared" si="135"/>
        <v>0.79021065662189538</v>
      </c>
      <c r="AG638" s="33">
        <f t="shared" si="136"/>
        <v>2.3388382482621495E-4</v>
      </c>
      <c r="AH638" s="35">
        <f t="shared" si="137"/>
        <v>5.142987848537552</v>
      </c>
      <c r="AI638" s="36">
        <f t="shared" si="168"/>
        <v>8.3032730088477802</v>
      </c>
      <c r="AJ638" s="23"/>
      <c r="AK638" s="23"/>
      <c r="AL638" s="44"/>
      <c r="AM638" s="44"/>
      <c r="AN638" s="44"/>
      <c r="AO638" s="44"/>
      <c r="AP638" s="44"/>
      <c r="AQ638" s="44"/>
      <c r="AR638" s="44"/>
    </row>
    <row r="639" spans="1:44" ht="16.8">
      <c r="A639" s="78" t="s">
        <v>1513</v>
      </c>
      <c r="B639" s="79">
        <v>250</v>
      </c>
      <c r="C639" s="1" t="s">
        <v>1514</v>
      </c>
      <c r="D639" s="19" t="s">
        <v>1515</v>
      </c>
      <c r="E639" s="20" t="s">
        <v>39</v>
      </c>
      <c r="F639" s="21">
        <v>2007</v>
      </c>
      <c r="G639" s="40">
        <v>2021</v>
      </c>
      <c r="H639" s="23">
        <v>386981642135</v>
      </c>
      <c r="I639" s="23">
        <v>430660216448</v>
      </c>
      <c r="J639" s="23">
        <v>243072724482</v>
      </c>
      <c r="K639" s="23">
        <f>(J639+290687899)/2</f>
        <v>121681706190.5</v>
      </c>
      <c r="L639" s="23">
        <v>243072724482</v>
      </c>
      <c r="M639" s="23">
        <v>187587491966</v>
      </c>
      <c r="N639" s="23">
        <v>237300824381</v>
      </c>
      <c r="O639" s="25">
        <f t="shared" si="161"/>
        <v>143908917653</v>
      </c>
      <c r="P639" s="23">
        <v>16827945059</v>
      </c>
      <c r="Q639" s="23">
        <v>34270421199</v>
      </c>
      <c r="R639" s="25">
        <f t="shared" si="162"/>
        <v>203030403182</v>
      </c>
      <c r="S639" s="26">
        <f t="shared" si="163"/>
        <v>0.56441880442734083</v>
      </c>
      <c r="T639" s="27">
        <f t="shared" si="164"/>
        <v>1.5920405835729905</v>
      </c>
      <c r="U639" s="26">
        <f t="shared" si="165"/>
        <v>26.788585255220763</v>
      </c>
      <c r="V639" s="26">
        <f t="shared" si="166"/>
        <v>1.9501766683768498</v>
      </c>
      <c r="W639" s="91" t="s">
        <v>1516</v>
      </c>
      <c r="X639" s="29">
        <v>10490</v>
      </c>
      <c r="Y639" s="91">
        <v>1900</v>
      </c>
      <c r="Z639" s="30">
        <f t="shared" si="179"/>
        <v>19931000</v>
      </c>
      <c r="AA639" s="31">
        <f t="shared" si="167"/>
        <v>14</v>
      </c>
      <c r="AB639" s="32">
        <v>1.84E-2</v>
      </c>
      <c r="AC639" s="32">
        <v>2.58E-2</v>
      </c>
      <c r="AD639" s="33">
        <f t="shared" si="133"/>
        <v>0.33415883835273247</v>
      </c>
      <c r="AE639" s="34">
        <f t="shared" si="134"/>
        <v>3.9074761067538467E-2</v>
      </c>
      <c r="AF639" s="33">
        <f t="shared" si="135"/>
        <v>0.47143988561691275</v>
      </c>
      <c r="AG639" s="33">
        <f t="shared" si="136"/>
        <v>8.1996036546156908E-5</v>
      </c>
      <c r="AH639" s="35">
        <f t="shared" si="137"/>
        <v>0.97625443120654443</v>
      </c>
      <c r="AI639" s="36">
        <f t="shared" si="168"/>
        <v>2.9877505228821173</v>
      </c>
      <c r="AJ639" s="23"/>
      <c r="AK639" s="23"/>
      <c r="AL639" s="44"/>
      <c r="AM639" s="44"/>
      <c r="AN639" s="44"/>
      <c r="AO639" s="44"/>
      <c r="AP639" s="44"/>
      <c r="AQ639" s="44"/>
      <c r="AR639" s="44"/>
    </row>
    <row r="640" spans="1:44" ht="16.8">
      <c r="A640" s="78" t="s">
        <v>1517</v>
      </c>
      <c r="B640" s="79"/>
      <c r="C640" s="1" t="s">
        <v>1514</v>
      </c>
      <c r="D640" s="19" t="s">
        <v>1515</v>
      </c>
      <c r="E640" s="20" t="s">
        <v>39</v>
      </c>
      <c r="F640" s="21">
        <v>2007</v>
      </c>
      <c r="G640" s="40">
        <v>2022</v>
      </c>
      <c r="H640" s="23">
        <v>406386016649</v>
      </c>
      <c r="I640" s="23">
        <v>446055307531</v>
      </c>
      <c r="J640" s="23">
        <v>256755507221</v>
      </c>
      <c r="K640" s="23">
        <f t="shared" ref="K640:K641" si="192">AVERAGE(J639:J640)</f>
        <v>249914115851.5</v>
      </c>
      <c r="L640" s="23">
        <v>256755507221</v>
      </c>
      <c r="M640" s="23">
        <v>189299800310</v>
      </c>
      <c r="N640" s="23">
        <v>259665241559</v>
      </c>
      <c r="O640" s="25">
        <f t="shared" si="161"/>
        <v>149630509428</v>
      </c>
      <c r="P640" s="23">
        <v>18469897356</v>
      </c>
      <c r="Q640" s="23">
        <v>39960371128</v>
      </c>
      <c r="R640" s="25">
        <f t="shared" si="162"/>
        <v>219704870431</v>
      </c>
      <c r="S640" s="26">
        <f t="shared" si="163"/>
        <v>0.57561361312387471</v>
      </c>
      <c r="T640" s="27">
        <f t="shared" si="164"/>
        <v>1.5827742939091347</v>
      </c>
      <c r="U640" s="26">
        <f t="shared" si="165"/>
        <v>26.82370878919517</v>
      </c>
      <c r="V640" s="26">
        <f t="shared" si="166"/>
        <v>1.0390179069088445</v>
      </c>
      <c r="W640" s="91" t="s">
        <v>1518</v>
      </c>
      <c r="X640" s="29">
        <v>8470</v>
      </c>
      <c r="Y640" s="91">
        <v>2500</v>
      </c>
      <c r="Z640" s="30">
        <f t="shared" si="179"/>
        <v>21175000</v>
      </c>
      <c r="AA640" s="31">
        <f t="shared" si="167"/>
        <v>15</v>
      </c>
      <c r="AB640" s="32">
        <v>3.15E-2</v>
      </c>
      <c r="AC640" s="32">
        <v>8.0199999999999994E-2</v>
      </c>
      <c r="AD640" s="33">
        <f t="shared" si="133"/>
        <v>0.33545281695275192</v>
      </c>
      <c r="AE640" s="34">
        <f t="shared" si="134"/>
        <v>4.1407191090796241E-2</v>
      </c>
      <c r="AF640" s="33">
        <f t="shared" si="135"/>
        <v>0.49255073691894347</v>
      </c>
      <c r="AG640" s="33">
        <f t="shared" si="136"/>
        <v>8.2471453988224716E-5</v>
      </c>
      <c r="AH640" s="35">
        <f t="shared" si="137"/>
        <v>1.0113327046788347</v>
      </c>
      <c r="AI640" s="36">
        <f t="shared" si="168"/>
        <v>3.097313067254158</v>
      </c>
      <c r="AJ640" s="23"/>
      <c r="AK640" s="23"/>
      <c r="AL640" s="44"/>
      <c r="AM640" s="44"/>
      <c r="AN640" s="44"/>
      <c r="AO640" s="44"/>
      <c r="AP640" s="44"/>
      <c r="AQ640" s="44"/>
      <c r="AR640" s="44"/>
    </row>
    <row r="641" spans="1:44" ht="16.8">
      <c r="A641" s="78" t="s">
        <v>1517</v>
      </c>
      <c r="B641" s="79"/>
      <c r="C641" s="1" t="s">
        <v>1514</v>
      </c>
      <c r="D641" s="19" t="s">
        <v>1515</v>
      </c>
      <c r="E641" s="20" t="s">
        <v>39</v>
      </c>
      <c r="F641" s="21">
        <v>2007</v>
      </c>
      <c r="G641" s="40">
        <v>2023</v>
      </c>
      <c r="H641" s="23">
        <v>224396863714</v>
      </c>
      <c r="I641" s="23">
        <v>265932504253</v>
      </c>
      <c r="J641" s="23">
        <v>77486163721</v>
      </c>
      <c r="K641" s="23">
        <f t="shared" si="192"/>
        <v>167120835471</v>
      </c>
      <c r="L641" s="23">
        <v>77486163721</v>
      </c>
      <c r="M641" s="23">
        <v>188446340532</v>
      </c>
      <c r="N641" s="23">
        <v>303639860524</v>
      </c>
      <c r="O641" s="25">
        <f t="shared" si="161"/>
        <v>146910699993</v>
      </c>
      <c r="P641" s="23">
        <v>17690519894</v>
      </c>
      <c r="Q641" s="23">
        <v>44159902919</v>
      </c>
      <c r="R641" s="25">
        <f t="shared" si="162"/>
        <v>259479957605</v>
      </c>
      <c r="S641" s="26">
        <f t="shared" si="163"/>
        <v>0.29137530193481742</v>
      </c>
      <c r="T641" s="27">
        <f t="shared" si="164"/>
        <v>2.8959604261990948</v>
      </c>
      <c r="U641" s="26">
        <f t="shared" si="165"/>
        <v>26.306508370120032</v>
      </c>
      <c r="V641" s="26">
        <f t="shared" si="166"/>
        <v>1.8168881197143714</v>
      </c>
      <c r="W641" s="91" t="s">
        <v>1519</v>
      </c>
      <c r="X641" s="29">
        <v>9790</v>
      </c>
      <c r="Y641" s="91">
        <v>8100</v>
      </c>
      <c r="Z641" s="30">
        <f t="shared" si="179"/>
        <v>79299000</v>
      </c>
      <c r="AA641" s="31">
        <f t="shared" si="167"/>
        <v>16</v>
      </c>
      <c r="AB641" s="32">
        <v>3.2500000000000001E-2</v>
      </c>
      <c r="AC641" s="32">
        <v>5.0500000000000003E-2</v>
      </c>
      <c r="AD641" s="33">
        <f t="shared" si="133"/>
        <v>0.55243604164022642</v>
      </c>
      <c r="AE641" s="34">
        <f t="shared" si="134"/>
        <v>6.6522593556934226E-2</v>
      </c>
      <c r="AF641" s="33">
        <f t="shared" si="135"/>
        <v>0.97573614904231021</v>
      </c>
      <c r="AG641" s="33">
        <f t="shared" si="136"/>
        <v>1.0233956127383901E-3</v>
      </c>
      <c r="AH641" s="35">
        <f t="shared" si="137"/>
        <v>3.918633288096423</v>
      </c>
      <c r="AI641" s="36">
        <f t="shared" si="168"/>
        <v>7.8952314982516691</v>
      </c>
      <c r="AJ641" s="23"/>
      <c r="AK641" s="23"/>
      <c r="AL641" s="44"/>
      <c r="AM641" s="44"/>
      <c r="AN641" s="44"/>
      <c r="AO641" s="44"/>
      <c r="AP641" s="44"/>
      <c r="AQ641" s="44"/>
      <c r="AR641" s="44"/>
    </row>
    <row r="642" spans="1:44" ht="16.8">
      <c r="A642" s="78" t="s">
        <v>1520</v>
      </c>
      <c r="B642" s="79">
        <v>251</v>
      </c>
      <c r="C642" s="1" t="s">
        <v>1521</v>
      </c>
      <c r="D642" s="19" t="s">
        <v>1522</v>
      </c>
      <c r="E642" s="20" t="s">
        <v>39</v>
      </c>
      <c r="F642" s="21">
        <v>1981</v>
      </c>
      <c r="G642" s="40">
        <v>2021</v>
      </c>
      <c r="H642" s="23">
        <v>128439461250</v>
      </c>
      <c r="I642" s="23">
        <v>260412359203</v>
      </c>
      <c r="J642" s="23">
        <v>122834138679</v>
      </c>
      <c r="K642" s="23">
        <f>(J642+91838786212)/2</f>
        <v>107336462445.5</v>
      </c>
      <c r="L642" s="23">
        <v>95370832162</v>
      </c>
      <c r="M642" s="23">
        <v>137578220524</v>
      </c>
      <c r="N642" s="23">
        <v>2030412799984</v>
      </c>
      <c r="O642" s="25">
        <f t="shared" si="161"/>
        <v>33068629088</v>
      </c>
      <c r="P642" s="23">
        <v>16849242651</v>
      </c>
      <c r="Q642" s="23">
        <f>89437922680+26701687427</f>
        <v>116139610107</v>
      </c>
      <c r="R642" s="25">
        <f t="shared" si="162"/>
        <v>1914273189877</v>
      </c>
      <c r="S642" s="26">
        <f t="shared" si="163"/>
        <v>0.4716908946062992</v>
      </c>
      <c r="T642" s="27">
        <f t="shared" si="164"/>
        <v>1.3467373445146054</v>
      </c>
      <c r="U642" s="26">
        <f t="shared" si="165"/>
        <v>26.285532208531635</v>
      </c>
      <c r="V642" s="26">
        <f t="shared" si="166"/>
        <v>18.916337968702297</v>
      </c>
      <c r="W642" s="91" t="s">
        <v>1523</v>
      </c>
      <c r="X642" s="29">
        <v>15800</v>
      </c>
      <c r="Y642" s="91">
        <v>20000</v>
      </c>
      <c r="Z642" s="30">
        <f t="shared" si="179"/>
        <v>316000000</v>
      </c>
      <c r="AA642" s="31">
        <f t="shared" si="167"/>
        <v>40</v>
      </c>
      <c r="AB642" s="32">
        <v>1.84E-2</v>
      </c>
      <c r="AC642" s="32">
        <v>2.58E-2</v>
      </c>
      <c r="AD642" s="33">
        <f t="shared" si="133"/>
        <v>0.12698563612421296</v>
      </c>
      <c r="AE642" s="34">
        <f t="shared" si="134"/>
        <v>6.4702161996333898E-2</v>
      </c>
      <c r="AF642" s="33">
        <f t="shared" si="135"/>
        <v>7.3509306383755817</v>
      </c>
      <c r="AG642" s="33">
        <f t="shared" si="136"/>
        <v>2.5725747206629297E-3</v>
      </c>
      <c r="AH642" s="35">
        <f t="shared" si="137"/>
        <v>16.529710891611632</v>
      </c>
      <c r="AI642" s="36">
        <f t="shared" si="168"/>
        <v>41.03229133322737</v>
      </c>
      <c r="AJ642" s="23"/>
      <c r="AK642" s="23"/>
      <c r="AL642" s="44"/>
      <c r="AM642" s="44"/>
      <c r="AN642" s="44"/>
      <c r="AO642" s="44"/>
      <c r="AP642" s="44"/>
      <c r="AQ642" s="44"/>
      <c r="AR642" s="44"/>
    </row>
    <row r="643" spans="1:44" ht="16.8">
      <c r="A643" s="78" t="s">
        <v>1524</v>
      </c>
      <c r="B643" s="79"/>
      <c r="C643" s="1" t="s">
        <v>1521</v>
      </c>
      <c r="D643" s="19" t="s">
        <v>1522</v>
      </c>
      <c r="E643" s="20" t="s">
        <v>39</v>
      </c>
      <c r="F643" s="21">
        <v>1981</v>
      </c>
      <c r="G643" s="40">
        <v>2022</v>
      </c>
      <c r="H643" s="23">
        <v>161087692115</v>
      </c>
      <c r="I643" s="23">
        <v>304868338956</v>
      </c>
      <c r="J643" s="23">
        <v>144482843529</v>
      </c>
      <c r="K643" s="23">
        <f t="shared" ref="K643:K644" si="193">AVERAGE(J642:J643)</f>
        <v>133658491104</v>
      </c>
      <c r="L643" s="23">
        <v>130964055371</v>
      </c>
      <c r="M643" s="23">
        <v>160385295427</v>
      </c>
      <c r="N643" s="23">
        <v>4237849552546</v>
      </c>
      <c r="O643" s="25">
        <f t="shared" si="161"/>
        <v>30123636744</v>
      </c>
      <c r="P643" s="23">
        <v>24747786953</v>
      </c>
      <c r="Q643" s="23">
        <f>110160082185+16547773914</f>
        <v>126707856099</v>
      </c>
      <c r="R643" s="25">
        <f t="shared" si="162"/>
        <v>4111141696447</v>
      </c>
      <c r="S643" s="26">
        <f t="shared" si="163"/>
        <v>0.47391882024801674</v>
      </c>
      <c r="T643" s="27">
        <f t="shared" si="164"/>
        <v>1.2300145384064705</v>
      </c>
      <c r="U643" s="26">
        <f t="shared" si="165"/>
        <v>26.443145844801009</v>
      </c>
      <c r="V643" s="26">
        <f t="shared" si="166"/>
        <v>31.706549412177029</v>
      </c>
      <c r="W643" s="91" t="s">
        <v>1525</v>
      </c>
      <c r="X643" s="29">
        <v>6670</v>
      </c>
      <c r="Y643" s="91">
        <v>200</v>
      </c>
      <c r="Z643" s="30">
        <f t="shared" si="179"/>
        <v>1334000</v>
      </c>
      <c r="AA643" s="31">
        <f t="shared" si="167"/>
        <v>41</v>
      </c>
      <c r="AB643" s="32">
        <v>3.15E-2</v>
      </c>
      <c r="AC643" s="32">
        <v>8.0199999999999994E-2</v>
      </c>
      <c r="AD643" s="33">
        <f t="shared" si="133"/>
        <v>9.8808675401178936E-2</v>
      </c>
      <c r="AE643" s="34">
        <f t="shared" si="134"/>
        <v>8.1175326495847494E-2</v>
      </c>
      <c r="AF643" s="33">
        <f t="shared" si="135"/>
        <v>13.484974236830604</v>
      </c>
      <c r="AG643" s="33">
        <f t="shared" si="136"/>
        <v>9.2329301349349825E-6</v>
      </c>
      <c r="AH643" s="35">
        <f t="shared" si="137"/>
        <v>29.331161050241903</v>
      </c>
      <c r="AI643" s="36">
        <f t="shared" si="168"/>
        <v>74.06379743911657</v>
      </c>
      <c r="AJ643" s="23"/>
      <c r="AK643" s="23"/>
      <c r="AL643" s="44"/>
      <c r="AM643" s="44"/>
      <c r="AN643" s="44"/>
      <c r="AO643" s="44"/>
      <c r="AP643" s="44"/>
      <c r="AQ643" s="44"/>
      <c r="AR643" s="44"/>
    </row>
    <row r="644" spans="1:44" ht="16.8">
      <c r="A644" s="78" t="s">
        <v>1526</v>
      </c>
      <c r="B644" s="79"/>
      <c r="C644" s="1" t="s">
        <v>1521</v>
      </c>
      <c r="D644" s="19" t="s">
        <v>1522</v>
      </c>
      <c r="E644" s="20" t="s">
        <v>39</v>
      </c>
      <c r="F644" s="21">
        <v>1981</v>
      </c>
      <c r="G644" s="40">
        <v>2023</v>
      </c>
      <c r="H644" s="23">
        <v>215359820269</v>
      </c>
      <c r="I644" s="23">
        <v>396879858045</v>
      </c>
      <c r="J644" s="23">
        <v>241190016108</v>
      </c>
      <c r="K644" s="23">
        <f t="shared" si="193"/>
        <v>192836429818.5</v>
      </c>
      <c r="L644" s="23">
        <v>207289804721</v>
      </c>
      <c r="M644" s="23">
        <v>155689841937</v>
      </c>
      <c r="N644" s="23">
        <v>4415410255508</v>
      </c>
      <c r="O644" s="25">
        <f t="shared" si="161"/>
        <v>8070015548</v>
      </c>
      <c r="P644" s="23">
        <v>10627589763</v>
      </c>
      <c r="Q644" s="23">
        <f>129899655646+36000734025</f>
        <v>165900389671</v>
      </c>
      <c r="R644" s="25">
        <f t="shared" si="162"/>
        <v>4249509865837</v>
      </c>
      <c r="S644" s="26">
        <f t="shared" si="163"/>
        <v>0.60771543634409586</v>
      </c>
      <c r="T644" s="27">
        <f t="shared" si="164"/>
        <v>1.0389310779604515</v>
      </c>
      <c r="U644" s="26">
        <f t="shared" si="165"/>
        <v>26.706899447261758</v>
      </c>
      <c r="V644" s="26">
        <f t="shared" si="166"/>
        <v>22.897179021950564</v>
      </c>
      <c r="W644" s="91" t="s">
        <v>1257</v>
      </c>
      <c r="X644" s="29">
        <v>8550</v>
      </c>
      <c r="Y644" s="91">
        <v>100</v>
      </c>
      <c r="Z644" s="30">
        <f t="shared" si="179"/>
        <v>855000</v>
      </c>
      <c r="AA644" s="31">
        <f t="shared" si="167"/>
        <v>42</v>
      </c>
      <c r="AB644" s="32">
        <v>3.2500000000000001E-2</v>
      </c>
      <c r="AC644" s="32">
        <v>5.0500000000000003E-2</v>
      </c>
      <c r="AD644" s="33">
        <f t="shared" si="133"/>
        <v>2.0333648544807195E-2</v>
      </c>
      <c r="AE644" s="34">
        <f t="shared" si="134"/>
        <v>2.6777851149591463E-2</v>
      </c>
      <c r="AF644" s="33">
        <f t="shared" si="135"/>
        <v>10.707295368350922</v>
      </c>
      <c r="AG644" s="33">
        <f t="shared" si="136"/>
        <v>3.5449228529308126E-6</v>
      </c>
      <c r="AH644" s="35">
        <f t="shared" si="137"/>
        <v>18.306770432532616</v>
      </c>
      <c r="AI644" s="36">
        <f t="shared" si="168"/>
        <v>53.70273664490756</v>
      </c>
      <c r="AJ644" s="23"/>
      <c r="AK644" s="23"/>
      <c r="AL644" s="44"/>
      <c r="AM644" s="44"/>
      <c r="AN644" s="44"/>
      <c r="AO644" s="44"/>
      <c r="AP644" s="44"/>
      <c r="AQ644" s="44"/>
      <c r="AR644" s="44"/>
    </row>
    <row r="645" spans="1:44" ht="16.8">
      <c r="A645" s="78" t="s">
        <v>1527</v>
      </c>
      <c r="B645" s="79">
        <v>252</v>
      </c>
      <c r="C645" s="1" t="s">
        <v>1528</v>
      </c>
      <c r="D645" s="19" t="s">
        <v>1529</v>
      </c>
      <c r="E645" s="20" t="s">
        <v>39</v>
      </c>
      <c r="F645" s="21">
        <v>1993</v>
      </c>
      <c r="G645" s="40">
        <v>2021</v>
      </c>
      <c r="H645" s="23">
        <v>19515369364</v>
      </c>
      <c r="I645" s="23">
        <v>59518843133</v>
      </c>
      <c r="J645" s="23">
        <v>30764718910</v>
      </c>
      <c r="K645" s="23">
        <f>(I645+31918513719)/2</f>
        <v>45718678426</v>
      </c>
      <c r="L645" s="23">
        <v>19648197416</v>
      </c>
      <c r="M645" s="23">
        <v>28754124223</v>
      </c>
      <c r="N645" s="23">
        <v>86601601750</v>
      </c>
      <c r="O645" s="25">
        <f t="shared" si="161"/>
        <v>-132828052</v>
      </c>
      <c r="P645" s="23">
        <v>1332786855</v>
      </c>
      <c r="Q645" s="23">
        <f>1502819518+4409635877</f>
        <v>5912455395</v>
      </c>
      <c r="R645" s="25">
        <f t="shared" si="162"/>
        <v>80689146355</v>
      </c>
      <c r="S645" s="26">
        <f t="shared" si="163"/>
        <v>0.51689040462788527</v>
      </c>
      <c r="T645" s="27">
        <f t="shared" si="164"/>
        <v>0.9932396825424894</v>
      </c>
      <c r="U645" s="26">
        <f t="shared" si="165"/>
        <v>24.80955879067281</v>
      </c>
      <c r="V645" s="26">
        <f t="shared" si="166"/>
        <v>1.8942280208333859</v>
      </c>
      <c r="W645" s="91" t="s">
        <v>1530</v>
      </c>
      <c r="X645" s="29">
        <v>6740</v>
      </c>
      <c r="Y645" s="91">
        <v>0</v>
      </c>
      <c r="Z645" s="30">
        <f t="shared" si="179"/>
        <v>0</v>
      </c>
      <c r="AA645" s="31">
        <f t="shared" si="167"/>
        <v>28</v>
      </c>
      <c r="AB645" s="32">
        <v>1.84E-2</v>
      </c>
      <c r="AC645" s="32">
        <v>2.58E-2</v>
      </c>
      <c r="AD645" s="33">
        <f t="shared" si="133"/>
        <v>-2.2316974760948267E-3</v>
      </c>
      <c r="AE645" s="34">
        <f t="shared" si="134"/>
        <v>2.2392687506068834E-2</v>
      </c>
      <c r="AF645" s="33">
        <f t="shared" si="135"/>
        <v>1.3556907713191455</v>
      </c>
      <c r="AG645" s="33">
        <f t="shared" si="136"/>
        <v>0</v>
      </c>
      <c r="AH645" s="35">
        <f t="shared" si="137"/>
        <v>2.8149648304392714</v>
      </c>
      <c r="AI645" s="36">
        <f t="shared" si="168"/>
        <v>7.3174161013296342</v>
      </c>
      <c r="AJ645" s="23"/>
      <c r="AK645" s="23"/>
      <c r="AL645" s="44"/>
      <c r="AM645" s="44"/>
      <c r="AN645" s="44"/>
      <c r="AO645" s="44"/>
      <c r="AP645" s="44"/>
      <c r="AQ645" s="44"/>
      <c r="AR645" s="44"/>
    </row>
    <row r="646" spans="1:44" ht="16.8">
      <c r="A646" s="78" t="s">
        <v>1531</v>
      </c>
      <c r="B646" s="79"/>
      <c r="C646" s="1" t="s">
        <v>1528</v>
      </c>
      <c r="D646" s="19" t="s">
        <v>1529</v>
      </c>
      <c r="E646" s="20" t="s">
        <v>39</v>
      </c>
      <c r="F646" s="21">
        <v>1993</v>
      </c>
      <c r="G646" s="40">
        <v>2022</v>
      </c>
      <c r="H646" s="23">
        <v>81802467981</v>
      </c>
      <c r="I646" s="23">
        <v>105788975357</v>
      </c>
      <c r="J646" s="23">
        <v>28390107469</v>
      </c>
      <c r="K646" s="23">
        <f t="shared" ref="K646:K647" si="194">AVERAGE(J645:J646)</f>
        <v>29577413189.5</v>
      </c>
      <c r="L646" s="23">
        <v>20990153255</v>
      </c>
      <c r="M646" s="23">
        <v>77398867888</v>
      </c>
      <c r="N646" s="23">
        <v>107396199704</v>
      </c>
      <c r="O646" s="25">
        <f t="shared" si="161"/>
        <v>60812314726</v>
      </c>
      <c r="P646" s="23">
        <v>49844743665</v>
      </c>
      <c r="Q646" s="23">
        <f>1282405197+6470247650</f>
        <v>7752652847</v>
      </c>
      <c r="R646" s="25">
        <f t="shared" si="162"/>
        <v>99643546857</v>
      </c>
      <c r="S646" s="26">
        <f t="shared" si="163"/>
        <v>0.26836546410619377</v>
      </c>
      <c r="T646" s="27">
        <f t="shared" si="164"/>
        <v>3.8971829784765428</v>
      </c>
      <c r="U646" s="26">
        <f t="shared" si="165"/>
        <v>25.384712148266274</v>
      </c>
      <c r="V646" s="26">
        <f t="shared" si="166"/>
        <v>3.6310207054255077</v>
      </c>
      <c r="W646" s="91" t="s">
        <v>1532</v>
      </c>
      <c r="X646" s="29">
        <v>14610</v>
      </c>
      <c r="Y646" s="91">
        <v>0</v>
      </c>
      <c r="Z646" s="30">
        <f t="shared" si="179"/>
        <v>0</v>
      </c>
      <c r="AA646" s="31">
        <f t="shared" si="167"/>
        <v>29</v>
      </c>
      <c r="AB646" s="32">
        <v>3.15E-2</v>
      </c>
      <c r="AC646" s="32">
        <v>8.0199999999999994E-2</v>
      </c>
      <c r="AD646" s="33">
        <f t="shared" si="133"/>
        <v>0.57484548385859835</v>
      </c>
      <c r="AE646" s="34">
        <f t="shared" si="134"/>
        <v>0.47117143820319457</v>
      </c>
      <c r="AF646" s="33">
        <f t="shared" si="135"/>
        <v>0.94190861118314673</v>
      </c>
      <c r="AG646" s="33">
        <f t="shared" si="136"/>
        <v>0</v>
      </c>
      <c r="AH646" s="35">
        <f t="shared" si="137"/>
        <v>3.7828740106485719</v>
      </c>
      <c r="AI646" s="36">
        <f t="shared" si="168"/>
        <v>8.2406270216677466</v>
      </c>
      <c r="AJ646" s="23"/>
      <c r="AK646" s="23"/>
      <c r="AL646" s="44"/>
      <c r="AM646" s="44"/>
      <c r="AN646" s="44"/>
      <c r="AO646" s="44"/>
      <c r="AP646" s="44"/>
      <c r="AQ646" s="44"/>
      <c r="AR646" s="44"/>
    </row>
    <row r="647" spans="1:44" ht="16.8">
      <c r="A647" s="78" t="s">
        <v>1533</v>
      </c>
      <c r="B647" s="79"/>
      <c r="C647" s="1" t="s">
        <v>1528</v>
      </c>
      <c r="D647" s="19" t="s">
        <v>1529</v>
      </c>
      <c r="E647" s="20" t="s">
        <v>39</v>
      </c>
      <c r="F647" s="21">
        <v>1993</v>
      </c>
      <c r="G647" s="40">
        <v>2023</v>
      </c>
      <c r="H647" s="23">
        <v>33857913509</v>
      </c>
      <c r="I647" s="23">
        <v>56895433601</v>
      </c>
      <c r="J647" s="23">
        <v>21981407718</v>
      </c>
      <c r="K647" s="23">
        <f t="shared" si="194"/>
        <v>25185757593.5</v>
      </c>
      <c r="L647" s="23">
        <v>15455020784</v>
      </c>
      <c r="M647" s="23">
        <v>34914025883</v>
      </c>
      <c r="N647" s="23">
        <v>100898749027</v>
      </c>
      <c r="O647" s="25">
        <f t="shared" si="161"/>
        <v>18402892725</v>
      </c>
      <c r="P647" s="23">
        <v>115157995</v>
      </c>
      <c r="Q647" s="23">
        <f>1237894510+5904510440</f>
        <v>7142404950</v>
      </c>
      <c r="R647" s="25">
        <f t="shared" si="162"/>
        <v>93756344077</v>
      </c>
      <c r="S647" s="26">
        <f t="shared" si="163"/>
        <v>0.38634748567262261</v>
      </c>
      <c r="T647" s="27">
        <f t="shared" si="164"/>
        <v>2.1907387885270153</v>
      </c>
      <c r="U647" s="26">
        <f t="shared" si="165"/>
        <v>24.764480921800249</v>
      </c>
      <c r="V647" s="26">
        <f t="shared" si="166"/>
        <v>4.006182805993503</v>
      </c>
      <c r="W647" s="91" t="s">
        <v>1534</v>
      </c>
      <c r="X647" s="29">
        <v>21410</v>
      </c>
      <c r="Y647" s="91">
        <v>6504</v>
      </c>
      <c r="Z647" s="30">
        <f t="shared" si="179"/>
        <v>139250640</v>
      </c>
      <c r="AA647" s="31">
        <f t="shared" si="167"/>
        <v>30</v>
      </c>
      <c r="AB647" s="32">
        <v>3.2500000000000001E-2</v>
      </c>
      <c r="AC647" s="32">
        <v>5.0500000000000003E-2</v>
      </c>
      <c r="AD647" s="33">
        <f t="shared" si="133"/>
        <v>0.32345113764413863</v>
      </c>
      <c r="AE647" s="34">
        <f t="shared" si="134"/>
        <v>2.0240287789629564E-3</v>
      </c>
      <c r="AF647" s="33">
        <f t="shared" si="135"/>
        <v>1.6478711584219674</v>
      </c>
      <c r="AG647" s="33">
        <f t="shared" si="136"/>
        <v>6.3349282169026548E-3</v>
      </c>
      <c r="AH647" s="35">
        <f t="shared" si="137"/>
        <v>4.5901859572158639</v>
      </c>
      <c r="AI647" s="36">
        <f t="shared" si="168"/>
        <v>10.422936742402012</v>
      </c>
      <c r="AJ647" s="23"/>
      <c r="AK647" s="23"/>
      <c r="AL647" s="44"/>
      <c r="AM647" s="44"/>
      <c r="AN647" s="44"/>
      <c r="AO647" s="44"/>
      <c r="AP647" s="44"/>
      <c r="AQ647" s="44"/>
      <c r="AR647" s="44"/>
    </row>
    <row r="648" spans="1:44" ht="16.8">
      <c r="A648" s="78" t="s">
        <v>1535</v>
      </c>
      <c r="B648" s="79">
        <v>253</v>
      </c>
      <c r="C648" s="1" t="s">
        <v>1536</v>
      </c>
      <c r="D648" s="19" t="s">
        <v>1537</v>
      </c>
      <c r="E648" s="20" t="s">
        <v>39</v>
      </c>
      <c r="F648" s="21">
        <v>2000</v>
      </c>
      <c r="G648" s="40">
        <v>2021</v>
      </c>
      <c r="H648" s="23">
        <v>36622224960</v>
      </c>
      <c r="I648" s="23">
        <v>259198574598</v>
      </c>
      <c r="J648" s="23">
        <v>138661459147</v>
      </c>
      <c r="K648" s="23">
        <f>(J648+162357499136)/2</f>
        <v>150509479141.5</v>
      </c>
      <c r="L648" s="23">
        <v>56419666145</v>
      </c>
      <c r="M648" s="23">
        <f t="shared" ref="M648:M902" si="195">I648-J648</f>
        <v>120537115451</v>
      </c>
      <c r="N648" s="23">
        <v>436326249554</v>
      </c>
      <c r="O648" s="25">
        <f t="shared" si="161"/>
        <v>-19797441185</v>
      </c>
      <c r="P648" s="23">
        <v>7859774843</v>
      </c>
      <c r="Q648" s="23">
        <f>16664496072+12184023463</f>
        <v>28848519535</v>
      </c>
      <c r="R648" s="25">
        <f t="shared" si="162"/>
        <v>407477730019</v>
      </c>
      <c r="S648" s="26">
        <f t="shared" si="163"/>
        <v>0.53496227501271887</v>
      </c>
      <c r="T648" s="27">
        <f t="shared" si="164"/>
        <v>0.64910389341687946</v>
      </c>
      <c r="U648" s="26">
        <f t="shared" si="165"/>
        <v>26.280860302173298</v>
      </c>
      <c r="V648" s="26">
        <f t="shared" si="166"/>
        <v>2.8989951466365262</v>
      </c>
      <c r="W648" s="91" t="s">
        <v>1538</v>
      </c>
      <c r="X648" s="29">
        <v>12830</v>
      </c>
      <c r="Y648" s="91">
        <v>500</v>
      </c>
      <c r="Z648" s="30">
        <f t="shared" si="179"/>
        <v>6415000</v>
      </c>
      <c r="AA648" s="31">
        <f t="shared" si="167"/>
        <v>21</v>
      </c>
      <c r="AB648" s="32">
        <v>1.84E-2</v>
      </c>
      <c r="AC648" s="32">
        <v>2.58E-2</v>
      </c>
      <c r="AD648" s="33">
        <f t="shared" si="133"/>
        <v>-7.6379436945996068E-2</v>
      </c>
      <c r="AE648" s="34">
        <f t="shared" si="134"/>
        <v>3.0323372168191878E-2</v>
      </c>
      <c r="AF648" s="33">
        <f t="shared" si="135"/>
        <v>1.5720677887637742</v>
      </c>
      <c r="AG648" s="33">
        <f t="shared" si="136"/>
        <v>4.6263756630450772E-5</v>
      </c>
      <c r="AH648" s="35">
        <f t="shared" si="137"/>
        <v>3.1467017023918293</v>
      </c>
      <c r="AI648" s="36">
        <f t="shared" si="168"/>
        <v>8.2853505602665347</v>
      </c>
      <c r="AJ648" s="23"/>
      <c r="AK648" s="23"/>
      <c r="AL648" s="44"/>
      <c r="AM648" s="44"/>
      <c r="AN648" s="44"/>
      <c r="AO648" s="44"/>
      <c r="AP648" s="44"/>
      <c r="AQ648" s="44"/>
      <c r="AR648" s="44"/>
    </row>
    <row r="649" spans="1:44" ht="16.8">
      <c r="A649" s="78" t="s">
        <v>1539</v>
      </c>
      <c r="B649" s="79"/>
      <c r="C649" s="1" t="s">
        <v>1536</v>
      </c>
      <c r="D649" s="19" t="s">
        <v>1537</v>
      </c>
      <c r="E649" s="20" t="s">
        <v>39</v>
      </c>
      <c r="F649" s="21">
        <v>2000</v>
      </c>
      <c r="G649" s="40">
        <v>2022</v>
      </c>
      <c r="H649" s="23">
        <v>48629941493</v>
      </c>
      <c r="I649" s="23">
        <v>245835357874</v>
      </c>
      <c r="J649" s="23">
        <v>127540616774</v>
      </c>
      <c r="K649" s="23">
        <f t="shared" ref="K649:K650" si="196">AVERAGE(J648:J649)</f>
        <v>133101037960.5</v>
      </c>
      <c r="L649" s="23">
        <v>70750818723</v>
      </c>
      <c r="M649" s="23">
        <f t="shared" si="195"/>
        <v>118294741100</v>
      </c>
      <c r="N649" s="23">
        <v>780903907466</v>
      </c>
      <c r="O649" s="25">
        <f t="shared" si="161"/>
        <v>-22120877230</v>
      </c>
      <c r="P649" s="23">
        <v>5617400492</v>
      </c>
      <c r="Q649" s="23">
        <f>27094613696+22602069185</f>
        <v>49696682881</v>
      </c>
      <c r="R649" s="25">
        <f t="shared" si="162"/>
        <v>731207224585</v>
      </c>
      <c r="S649" s="26">
        <f t="shared" si="163"/>
        <v>0.51880501599517448</v>
      </c>
      <c r="T649" s="27">
        <f t="shared" si="164"/>
        <v>0.68734104241808802</v>
      </c>
      <c r="U649" s="26">
        <f t="shared" si="165"/>
        <v>26.227927871878027</v>
      </c>
      <c r="V649" s="26">
        <f t="shared" si="166"/>
        <v>5.8670008846794008</v>
      </c>
      <c r="W649" s="91" t="s">
        <v>311</v>
      </c>
      <c r="X649" s="29">
        <v>12130</v>
      </c>
      <c r="Y649" s="91">
        <v>13300</v>
      </c>
      <c r="Z649" s="30">
        <f t="shared" si="179"/>
        <v>161329000</v>
      </c>
      <c r="AA649" s="31">
        <f t="shared" si="167"/>
        <v>22</v>
      </c>
      <c r="AB649" s="32">
        <v>3.15E-2</v>
      </c>
      <c r="AC649" s="32">
        <v>8.0199999999999994E-2</v>
      </c>
      <c r="AD649" s="33">
        <f t="shared" si="133"/>
        <v>-8.9982488366615654E-2</v>
      </c>
      <c r="AE649" s="34">
        <f t="shared" si="134"/>
        <v>2.2850254497886881E-2</v>
      </c>
      <c r="AF649" s="33">
        <f t="shared" si="135"/>
        <v>2.9743777742491035</v>
      </c>
      <c r="AG649" s="33">
        <f t="shared" si="136"/>
        <v>1.2649225327636018E-3</v>
      </c>
      <c r="AH649" s="35">
        <f t="shared" si="137"/>
        <v>6.1227860364651496</v>
      </c>
      <c r="AI649" s="36">
        <f t="shared" si="168"/>
        <v>15.863003015263953</v>
      </c>
      <c r="AJ649" s="23"/>
      <c r="AK649" s="23"/>
      <c r="AL649" s="44"/>
      <c r="AM649" s="44"/>
      <c r="AN649" s="44"/>
      <c r="AO649" s="44"/>
      <c r="AP649" s="44"/>
      <c r="AQ649" s="44"/>
      <c r="AR649" s="44"/>
    </row>
    <row r="650" spans="1:44" ht="16.8">
      <c r="A650" s="78" t="s">
        <v>1540</v>
      </c>
      <c r="B650" s="79"/>
      <c r="C650" s="1" t="s">
        <v>1536</v>
      </c>
      <c r="D650" s="19" t="s">
        <v>1537</v>
      </c>
      <c r="E650" s="20" t="s">
        <v>39</v>
      </c>
      <c r="F650" s="21">
        <v>2000</v>
      </c>
      <c r="G650" s="40">
        <v>2023</v>
      </c>
      <c r="H650" s="23">
        <v>47341745327</v>
      </c>
      <c r="I650" s="23">
        <v>236092357618</v>
      </c>
      <c r="J650" s="23">
        <v>115583212111</v>
      </c>
      <c r="K650" s="23">
        <f t="shared" si="196"/>
        <v>121561914442.5</v>
      </c>
      <c r="L650" s="23">
        <v>65953426269</v>
      </c>
      <c r="M650" s="23">
        <f t="shared" si="195"/>
        <v>120509145507</v>
      </c>
      <c r="N650" s="23">
        <v>736923325291</v>
      </c>
      <c r="O650" s="25">
        <f t="shared" si="161"/>
        <v>-18611680942</v>
      </c>
      <c r="P650" s="23">
        <v>7831804899</v>
      </c>
      <c r="Q650" s="23">
        <f>25615643453+31870778222</f>
        <v>57486421675</v>
      </c>
      <c r="R650" s="25">
        <f t="shared" si="162"/>
        <v>679436903616</v>
      </c>
      <c r="S650" s="26">
        <f t="shared" si="163"/>
        <v>0.48956778303690329</v>
      </c>
      <c r="T650" s="27">
        <f t="shared" si="164"/>
        <v>0.71780570025142088</v>
      </c>
      <c r="U650" s="26">
        <f t="shared" si="165"/>
        <v>26.187488911255194</v>
      </c>
      <c r="V650" s="26">
        <f t="shared" si="166"/>
        <v>6.062123393421647</v>
      </c>
      <c r="W650" s="91" t="s">
        <v>1541</v>
      </c>
      <c r="X650" s="29">
        <v>11160</v>
      </c>
      <c r="Y650" s="91">
        <v>0</v>
      </c>
      <c r="Z650" s="30">
        <f t="shared" si="179"/>
        <v>0</v>
      </c>
      <c r="AA650" s="31">
        <f t="shared" si="167"/>
        <v>23</v>
      </c>
      <c r="AB650" s="32">
        <v>3.2500000000000001E-2</v>
      </c>
      <c r="AC650" s="32">
        <v>5.0500000000000003E-2</v>
      </c>
      <c r="AD650" s="33">
        <f t="shared" si="133"/>
        <v>-7.8832204183897817E-2</v>
      </c>
      <c r="AE650" s="34">
        <f t="shared" si="134"/>
        <v>3.3172632007309383E-2</v>
      </c>
      <c r="AF650" s="33">
        <f t="shared" si="135"/>
        <v>2.8778436984196509</v>
      </c>
      <c r="AG650" s="33">
        <f t="shared" si="136"/>
        <v>0</v>
      </c>
      <c r="AH650" s="35">
        <f t="shared" si="137"/>
        <v>6.3756951535773014</v>
      </c>
      <c r="AI650" s="36">
        <f t="shared" si="168"/>
        <v>15.824422398151704</v>
      </c>
      <c r="AJ650" s="23"/>
      <c r="AK650" s="23"/>
      <c r="AL650" s="44"/>
      <c r="AM650" s="44"/>
      <c r="AN650" s="44"/>
      <c r="AO650" s="44"/>
      <c r="AP650" s="44"/>
      <c r="AQ650" s="44"/>
      <c r="AR650" s="44"/>
    </row>
    <row r="651" spans="1:44" ht="16.8">
      <c r="A651" s="78" t="s">
        <v>1542</v>
      </c>
      <c r="B651" s="79">
        <v>254</v>
      </c>
      <c r="C651" s="1" t="s">
        <v>1543</v>
      </c>
      <c r="D651" s="19" t="s">
        <v>1544</v>
      </c>
      <c r="E651" s="20" t="s">
        <v>39</v>
      </c>
      <c r="F651" s="21">
        <v>2007</v>
      </c>
      <c r="G651" s="40">
        <v>2021</v>
      </c>
      <c r="H651" s="23">
        <v>2502859204133</v>
      </c>
      <c r="I651" s="23">
        <v>2586613594835</v>
      </c>
      <c r="J651" s="23">
        <v>2156853467165</v>
      </c>
      <c r="K651" s="23">
        <f>(J651+2403297069359)/2</f>
        <v>2280075268262</v>
      </c>
      <c r="L651" s="23">
        <v>2155046448896</v>
      </c>
      <c r="M651" s="23">
        <f t="shared" si="195"/>
        <v>429760127670</v>
      </c>
      <c r="N651" s="23">
        <v>8804424151782</v>
      </c>
      <c r="O651" s="25">
        <f t="shared" si="161"/>
        <v>347812755237</v>
      </c>
      <c r="P651" s="23">
        <v>138763041860</v>
      </c>
      <c r="Q651" s="23">
        <f>157777716555+135653469070</f>
        <v>293431185625</v>
      </c>
      <c r="R651" s="25">
        <f t="shared" si="162"/>
        <v>8510992966157</v>
      </c>
      <c r="S651" s="26">
        <f t="shared" si="163"/>
        <v>0.83385221181542024</v>
      </c>
      <c r="T651" s="27">
        <f t="shared" si="164"/>
        <v>1.1613945515722779</v>
      </c>
      <c r="U651" s="26">
        <f t="shared" si="165"/>
        <v>28.581370643784386</v>
      </c>
      <c r="V651" s="26">
        <f t="shared" si="166"/>
        <v>3.861462064141953</v>
      </c>
      <c r="W651" s="91" t="s">
        <v>1545</v>
      </c>
      <c r="X651" s="29">
        <v>17600</v>
      </c>
      <c r="Y651" s="91">
        <v>45126</v>
      </c>
      <c r="Z651" s="30">
        <f t="shared" si="179"/>
        <v>794217600</v>
      </c>
      <c r="AA651" s="31">
        <f t="shared" si="167"/>
        <v>14</v>
      </c>
      <c r="AB651" s="32">
        <v>1.84E-2</v>
      </c>
      <c r="AC651" s="32">
        <v>2.58E-2</v>
      </c>
      <c r="AD651" s="33">
        <f t="shared" si="133"/>
        <v>0.13446645294508588</v>
      </c>
      <c r="AE651" s="34">
        <f t="shared" si="134"/>
        <v>5.3646606565853024E-2</v>
      </c>
      <c r="AF651" s="33">
        <f t="shared" si="135"/>
        <v>3.2903998429266417</v>
      </c>
      <c r="AG651" s="33">
        <f t="shared" si="136"/>
        <v>3.682297439723299E-4</v>
      </c>
      <c r="AH651" s="35">
        <f t="shared" si="137"/>
        <v>4.0820687570188365</v>
      </c>
      <c r="AI651" s="36">
        <f t="shared" si="168"/>
        <v>15.177074169249435</v>
      </c>
      <c r="AJ651" s="23"/>
      <c r="AK651" s="23"/>
      <c r="AL651" s="44"/>
      <c r="AM651" s="44"/>
      <c r="AN651" s="44"/>
      <c r="AO651" s="44"/>
      <c r="AP651" s="44"/>
      <c r="AQ651" s="44"/>
      <c r="AR651" s="44"/>
    </row>
    <row r="652" spans="1:44" ht="16.8">
      <c r="A652" s="78" t="s">
        <v>1546</v>
      </c>
      <c r="B652" s="79"/>
      <c r="C652" s="1" t="s">
        <v>1543</v>
      </c>
      <c r="D652" s="19" t="s">
        <v>1544</v>
      </c>
      <c r="E652" s="20" t="s">
        <v>39</v>
      </c>
      <c r="F652" s="21">
        <v>2007</v>
      </c>
      <c r="G652" s="40">
        <v>2022</v>
      </c>
      <c r="H652" s="23">
        <v>3343691677075</v>
      </c>
      <c r="I652" s="23">
        <v>3430851365735</v>
      </c>
      <c r="J652" s="23">
        <v>2919803429074</v>
      </c>
      <c r="K652" s="23">
        <f t="shared" ref="K652:K653" si="197">AVERAGE(J651:J652)</f>
        <v>2538328448119.5</v>
      </c>
      <c r="L652" s="23">
        <v>2918696410805</v>
      </c>
      <c r="M652" s="23">
        <f t="shared" si="195"/>
        <v>511047936661</v>
      </c>
      <c r="N652" s="23">
        <v>8956495588729</v>
      </c>
      <c r="O652" s="25">
        <f t="shared" si="161"/>
        <v>424995266270</v>
      </c>
      <c r="P652" s="23">
        <v>112880543359</v>
      </c>
      <c r="Q652" s="23">
        <f>180494114730+48796253026</f>
        <v>229290367756</v>
      </c>
      <c r="R652" s="25">
        <f t="shared" si="162"/>
        <v>8727205220973</v>
      </c>
      <c r="S652" s="26">
        <f t="shared" si="163"/>
        <v>0.85104340521277089</v>
      </c>
      <c r="T652" s="27">
        <f t="shared" si="164"/>
        <v>1.1456113300090649</v>
      </c>
      <c r="U652" s="26">
        <f t="shared" si="165"/>
        <v>28.863829557891545</v>
      </c>
      <c r="V652" s="26">
        <f t="shared" si="166"/>
        <v>3.5285014417122995</v>
      </c>
      <c r="W652" s="91" t="s">
        <v>1547</v>
      </c>
      <c r="X652" s="29">
        <v>12340</v>
      </c>
      <c r="Y652" s="91">
        <v>17200</v>
      </c>
      <c r="Z652" s="30">
        <f t="shared" si="179"/>
        <v>212248000</v>
      </c>
      <c r="AA652" s="31">
        <f t="shared" si="167"/>
        <v>15</v>
      </c>
      <c r="AB652" s="32">
        <v>3.15E-2</v>
      </c>
      <c r="AC652" s="32">
        <v>8.0199999999999994E-2</v>
      </c>
      <c r="AD652" s="33">
        <f t="shared" si="133"/>
        <v>0.12387457833777424</v>
      </c>
      <c r="AE652" s="34">
        <f t="shared" si="134"/>
        <v>3.2901612843498199E-2</v>
      </c>
      <c r="AF652" s="33">
        <f t="shared" si="135"/>
        <v>2.5437433134336174</v>
      </c>
      <c r="AG652" s="33">
        <f t="shared" si="136"/>
        <v>7.2692564809855476E-5</v>
      </c>
      <c r="AH652" s="35">
        <f t="shared" si="137"/>
        <v>3.067499510256245</v>
      </c>
      <c r="AI652" s="36">
        <f t="shared" si="168"/>
        <v>11.656607812112295</v>
      </c>
      <c r="AJ652" s="23"/>
      <c r="AK652" s="23"/>
      <c r="AL652" s="44"/>
      <c r="AM652" s="44"/>
      <c r="AN652" s="44"/>
      <c r="AO652" s="44"/>
      <c r="AP652" s="44"/>
      <c r="AQ652" s="44"/>
      <c r="AR652" s="44"/>
    </row>
    <row r="653" spans="1:44" ht="16.8">
      <c r="A653" s="78" t="s">
        <v>1548</v>
      </c>
      <c r="B653" s="79"/>
      <c r="C653" s="1" t="s">
        <v>1543</v>
      </c>
      <c r="D653" s="19" t="s">
        <v>1544</v>
      </c>
      <c r="E653" s="20" t="s">
        <v>39</v>
      </c>
      <c r="F653" s="21">
        <v>2007</v>
      </c>
      <c r="G653" s="40">
        <v>2023</v>
      </c>
      <c r="H653" s="23">
        <v>3036692486016</v>
      </c>
      <c r="I653" s="23">
        <v>3116898661825</v>
      </c>
      <c r="J653" s="23">
        <v>2569618264855</v>
      </c>
      <c r="K653" s="23">
        <f t="shared" si="197"/>
        <v>2744710846964.5</v>
      </c>
      <c r="L653" s="23">
        <v>2567083530217</v>
      </c>
      <c r="M653" s="23">
        <f t="shared" si="195"/>
        <v>547280396970</v>
      </c>
      <c r="N653" s="23">
        <v>6937893866931</v>
      </c>
      <c r="O653" s="25">
        <f t="shared" si="161"/>
        <v>469608955799</v>
      </c>
      <c r="P653" s="23">
        <v>63322111523</v>
      </c>
      <c r="Q653" s="23">
        <f>171522546037+35042106995</f>
        <v>206564653032</v>
      </c>
      <c r="R653" s="25">
        <f t="shared" si="162"/>
        <v>6731329213899</v>
      </c>
      <c r="S653" s="26">
        <f t="shared" si="163"/>
        <v>0.82441508167302513</v>
      </c>
      <c r="T653" s="27">
        <f t="shared" si="164"/>
        <v>1.1829348169902765</v>
      </c>
      <c r="U653" s="26">
        <f t="shared" si="165"/>
        <v>28.76785960473994</v>
      </c>
      <c r="V653" s="26">
        <f t="shared" si="166"/>
        <v>2.5277321560498551</v>
      </c>
      <c r="W653" s="91" t="s">
        <v>1549</v>
      </c>
      <c r="X653" s="29">
        <v>12710</v>
      </c>
      <c r="Y653" s="91">
        <v>32201</v>
      </c>
      <c r="Z653" s="30">
        <f t="shared" si="179"/>
        <v>409274710</v>
      </c>
      <c r="AA653" s="31">
        <f t="shared" si="167"/>
        <v>16</v>
      </c>
      <c r="AB653" s="32">
        <v>3.2500000000000001E-2</v>
      </c>
      <c r="AC653" s="32">
        <v>5.0500000000000003E-2</v>
      </c>
      <c r="AD653" s="33">
        <f t="shared" si="133"/>
        <v>0.15066545523300251</v>
      </c>
      <c r="AE653" s="34">
        <f t="shared" si="134"/>
        <v>2.0315742792203505E-2</v>
      </c>
      <c r="AF653" s="33">
        <f t="shared" si="135"/>
        <v>2.1596240186896822</v>
      </c>
      <c r="AG653" s="33">
        <f t="shared" si="136"/>
        <v>1.592745177747617E-4</v>
      </c>
      <c r="AH653" s="35">
        <f t="shared" si="137"/>
        <v>2.6999706383712585</v>
      </c>
      <c r="AI653" s="36">
        <f t="shared" si="168"/>
        <v>10.036066050946562</v>
      </c>
      <c r="AJ653" s="23"/>
      <c r="AK653" s="23"/>
      <c r="AL653" s="44"/>
      <c r="AM653" s="44"/>
      <c r="AN653" s="44"/>
      <c r="AO653" s="44"/>
      <c r="AP653" s="44"/>
      <c r="AQ653" s="44"/>
      <c r="AR653" s="44"/>
    </row>
    <row r="654" spans="1:44" ht="16.8">
      <c r="A654" s="78" t="s">
        <v>1550</v>
      </c>
      <c r="B654" s="79">
        <v>255</v>
      </c>
      <c r="C654" s="1" t="s">
        <v>1551</v>
      </c>
      <c r="D654" s="19" t="s">
        <v>1552</v>
      </c>
      <c r="E654" s="20" t="s">
        <v>39</v>
      </c>
      <c r="F654" s="21">
        <v>2008</v>
      </c>
      <c r="G654" s="40">
        <v>2021</v>
      </c>
      <c r="H654" s="23">
        <v>303610040422</v>
      </c>
      <c r="I654" s="23">
        <v>324365600301</v>
      </c>
      <c r="J654" s="23">
        <v>134842144868</v>
      </c>
      <c r="K654" s="23">
        <f>(J654+95785146430)/2</f>
        <v>115313645649</v>
      </c>
      <c r="L654" s="23">
        <v>134842144868</v>
      </c>
      <c r="M654" s="23">
        <f t="shared" si="195"/>
        <v>189523455433</v>
      </c>
      <c r="N654" s="23">
        <v>3127775700442</v>
      </c>
      <c r="O654" s="25">
        <f t="shared" si="161"/>
        <v>168767895554</v>
      </c>
      <c r="P654" s="23">
        <v>55965105552</v>
      </c>
      <c r="Q654" s="23">
        <f>39514307260+20530190228</f>
        <v>60044497488</v>
      </c>
      <c r="R654" s="25">
        <f t="shared" si="162"/>
        <v>3067731202954</v>
      </c>
      <c r="S654" s="26">
        <f t="shared" si="163"/>
        <v>0.41571037355031232</v>
      </c>
      <c r="T654" s="27">
        <f t="shared" si="164"/>
        <v>2.2515960475058496</v>
      </c>
      <c r="U654" s="26">
        <f t="shared" si="165"/>
        <v>26.505137112569241</v>
      </c>
      <c r="V654" s="26">
        <f t="shared" si="166"/>
        <v>27.124072635449835</v>
      </c>
      <c r="W654" s="91" t="s">
        <v>1553</v>
      </c>
      <c r="X654" s="29">
        <v>13370</v>
      </c>
      <c r="Y654" s="91">
        <v>30700</v>
      </c>
      <c r="Z654" s="30">
        <f t="shared" si="179"/>
        <v>410459000</v>
      </c>
      <c r="AA654" s="31">
        <f t="shared" si="167"/>
        <v>13</v>
      </c>
      <c r="AB654" s="32">
        <v>1.84E-2</v>
      </c>
      <c r="AC654" s="32">
        <v>2.58E-2</v>
      </c>
      <c r="AD654" s="33">
        <f t="shared" si="133"/>
        <v>0.52030146044275116</v>
      </c>
      <c r="AE654" s="34">
        <f t="shared" si="134"/>
        <v>0.17253711706810565</v>
      </c>
      <c r="AF654" s="33">
        <f t="shared" si="135"/>
        <v>9.4576342254149388</v>
      </c>
      <c r="AG654" s="33">
        <f t="shared" si="136"/>
        <v>3.0439963736990949E-3</v>
      </c>
      <c r="AH654" s="35">
        <f t="shared" si="137"/>
        <v>23.195831714957144</v>
      </c>
      <c r="AI654" s="36">
        <f t="shared" si="168"/>
        <v>55.273764773077303</v>
      </c>
      <c r="AJ654" s="23"/>
      <c r="AK654" s="23"/>
      <c r="AL654" s="44"/>
      <c r="AM654" s="44"/>
      <c r="AN654" s="44"/>
      <c r="AO654" s="44"/>
      <c r="AP654" s="44"/>
      <c r="AQ654" s="44"/>
      <c r="AR654" s="44"/>
    </row>
    <row r="655" spans="1:44" ht="16.8">
      <c r="A655" s="78" t="s">
        <v>1554</v>
      </c>
      <c r="B655" s="79"/>
      <c r="C655" s="1" t="s">
        <v>1551</v>
      </c>
      <c r="D655" s="19" t="s">
        <v>1552</v>
      </c>
      <c r="E655" s="20" t="s">
        <v>39</v>
      </c>
      <c r="F655" s="21">
        <v>2008</v>
      </c>
      <c r="G655" s="40">
        <v>2022</v>
      </c>
      <c r="H655" s="23">
        <v>293890048</v>
      </c>
      <c r="I655" s="23">
        <v>314264214199</v>
      </c>
      <c r="J655" s="23">
        <v>138939500640</v>
      </c>
      <c r="K655" s="23">
        <f t="shared" ref="K655:K656" si="198">AVERAGE(J654:J655)</f>
        <v>136890822754</v>
      </c>
      <c r="L655" s="23">
        <v>138096527140</v>
      </c>
      <c r="M655" s="23">
        <f t="shared" si="195"/>
        <v>175324713559</v>
      </c>
      <c r="N655" s="23">
        <v>3788592183914</v>
      </c>
      <c r="O655" s="25">
        <f t="shared" si="161"/>
        <v>-137802637092</v>
      </c>
      <c r="P655" s="23">
        <v>21314072658</v>
      </c>
      <c r="Q655" s="23">
        <f>43342354924+21355281768</f>
        <v>64697636692</v>
      </c>
      <c r="R655" s="25">
        <f t="shared" si="162"/>
        <v>3723894547222</v>
      </c>
      <c r="S655" s="26">
        <f t="shared" si="163"/>
        <v>0.44211047380666774</v>
      </c>
      <c r="T655" s="27">
        <f t="shared" si="164"/>
        <v>2.1281494479731492E-3</v>
      </c>
      <c r="U655" s="26">
        <f t="shared" si="165"/>
        <v>26.47349991553066</v>
      </c>
      <c r="V655" s="26">
        <f t="shared" si="166"/>
        <v>27.67601295466168</v>
      </c>
      <c r="W655" s="91" t="s">
        <v>1555</v>
      </c>
      <c r="X655" s="29">
        <v>9350</v>
      </c>
      <c r="Y655" s="91">
        <v>1600</v>
      </c>
      <c r="Z655" s="30">
        <f t="shared" si="179"/>
        <v>14960000</v>
      </c>
      <c r="AA655" s="31">
        <f t="shared" si="167"/>
        <v>14</v>
      </c>
      <c r="AB655" s="32">
        <v>3.15E-2</v>
      </c>
      <c r="AC655" s="32">
        <v>8.0199999999999994E-2</v>
      </c>
      <c r="AD655" s="33">
        <f t="shared" si="133"/>
        <v>-0.4384929332257344</v>
      </c>
      <c r="AE655" s="34">
        <f t="shared" si="134"/>
        <v>6.7822143581716857E-2</v>
      </c>
      <c r="AF655" s="33">
        <f t="shared" si="135"/>
        <v>11.849565998831595</v>
      </c>
      <c r="AG655" s="33">
        <f t="shared" si="136"/>
        <v>1.0767276354880672E-4</v>
      </c>
      <c r="AH655" s="35">
        <f t="shared" si="137"/>
        <v>27.267927165870947</v>
      </c>
      <c r="AI655" s="36">
        <f t="shared" si="168"/>
        <v>65.940319046816867</v>
      </c>
      <c r="AJ655" s="23"/>
      <c r="AK655" s="23"/>
      <c r="AL655" s="44"/>
      <c r="AM655" s="44"/>
      <c r="AN655" s="44"/>
      <c r="AO655" s="44"/>
      <c r="AP655" s="44"/>
      <c r="AQ655" s="44"/>
      <c r="AR655" s="44"/>
    </row>
    <row r="656" spans="1:44" ht="16.8">
      <c r="A656" s="78" t="s">
        <v>1554</v>
      </c>
      <c r="B656" s="79"/>
      <c r="C656" s="1" t="s">
        <v>1551</v>
      </c>
      <c r="D656" s="19" t="s">
        <v>1552</v>
      </c>
      <c r="E656" s="20" t="s">
        <v>39</v>
      </c>
      <c r="F656" s="21">
        <v>2008</v>
      </c>
      <c r="G656" s="40">
        <v>2023</v>
      </c>
      <c r="H656" s="23">
        <v>259011778101</v>
      </c>
      <c r="I656" s="23">
        <v>281150863342</v>
      </c>
      <c r="J656" s="23">
        <v>114918063364</v>
      </c>
      <c r="K656" s="23">
        <f t="shared" si="198"/>
        <v>126928782002</v>
      </c>
      <c r="L656" s="23">
        <v>114365954864</v>
      </c>
      <c r="M656" s="23">
        <f t="shared" si="195"/>
        <v>166232799978</v>
      </c>
      <c r="N656" s="23">
        <v>3176331259414</v>
      </c>
      <c r="O656" s="25">
        <f t="shared" si="161"/>
        <v>144645823237</v>
      </c>
      <c r="P656" s="23">
        <v>12072608024</v>
      </c>
      <c r="Q656" s="23">
        <f>37643289142+22401270196</f>
        <v>60044559338</v>
      </c>
      <c r="R656" s="25">
        <f t="shared" si="162"/>
        <v>3116286700076</v>
      </c>
      <c r="S656" s="26">
        <f t="shared" si="163"/>
        <v>0.40874163428838689</v>
      </c>
      <c r="T656" s="27">
        <f t="shared" si="164"/>
        <v>2.2647629568520435</v>
      </c>
      <c r="U656" s="26">
        <f t="shared" si="165"/>
        <v>26.362157242432176</v>
      </c>
      <c r="V656" s="26">
        <f t="shared" si="166"/>
        <v>25.024515396074239</v>
      </c>
      <c r="W656" s="91" t="s">
        <v>1556</v>
      </c>
      <c r="X656" s="29">
        <v>9550</v>
      </c>
      <c r="Y656" s="91">
        <v>1800</v>
      </c>
      <c r="Z656" s="30">
        <f t="shared" si="179"/>
        <v>17190000</v>
      </c>
      <c r="AA656" s="31">
        <f t="shared" si="167"/>
        <v>15</v>
      </c>
      <c r="AB656" s="32">
        <v>3.2500000000000001E-2</v>
      </c>
      <c r="AC656" s="32">
        <v>5.0500000000000003E-2</v>
      </c>
      <c r="AD656" s="33">
        <f t="shared" si="133"/>
        <v>0.51447760649786323</v>
      </c>
      <c r="AE656" s="34">
        <f t="shared" si="134"/>
        <v>4.2939964261516535E-2</v>
      </c>
      <c r="AF656" s="33">
        <f t="shared" si="135"/>
        <v>11.084037456023243</v>
      </c>
      <c r="AG656" s="33">
        <f t="shared" si="136"/>
        <v>1.4958483894347504E-4</v>
      </c>
      <c r="AH656" s="35">
        <f t="shared" si="137"/>
        <v>27.63996508845657</v>
      </c>
      <c r="AI656" s="36">
        <f t="shared" si="168"/>
        <v>64.894867522000197</v>
      </c>
      <c r="AJ656" s="23"/>
      <c r="AK656" s="23"/>
      <c r="AL656" s="44"/>
      <c r="AM656" s="44"/>
      <c r="AN656" s="44"/>
      <c r="AO656" s="44"/>
      <c r="AP656" s="44"/>
      <c r="AQ656" s="44"/>
      <c r="AR656" s="44"/>
    </row>
    <row r="657" spans="1:44" ht="16.8">
      <c r="A657" s="78" t="s">
        <v>1557</v>
      </c>
      <c r="B657" s="79">
        <v>256</v>
      </c>
      <c r="C657" s="1" t="s">
        <v>1558</v>
      </c>
      <c r="D657" s="19" t="s">
        <v>1559</v>
      </c>
      <c r="E657" s="20" t="s">
        <v>39</v>
      </c>
      <c r="F657" s="21">
        <v>2006</v>
      </c>
      <c r="G657" s="40">
        <v>2021</v>
      </c>
      <c r="H657" s="23">
        <v>2126272218290</v>
      </c>
      <c r="I657" s="23">
        <v>2215989665281</v>
      </c>
      <c r="J657" s="23">
        <v>1564102873914</v>
      </c>
      <c r="K657" s="23">
        <f>(J657+648454773358)/2</f>
        <v>1106278823636</v>
      </c>
      <c r="L657" s="23">
        <v>1564002401172</v>
      </c>
      <c r="M657" s="23">
        <f t="shared" si="195"/>
        <v>651886791367</v>
      </c>
      <c r="N657" s="23">
        <v>453403677272</v>
      </c>
      <c r="O657" s="25">
        <f t="shared" si="161"/>
        <v>562269817118</v>
      </c>
      <c r="P657" s="23">
        <v>35152851231</v>
      </c>
      <c r="Q657" s="23">
        <v>302969364940</v>
      </c>
      <c r="R657" s="25">
        <f t="shared" si="162"/>
        <v>150434312332</v>
      </c>
      <c r="S657" s="26">
        <f t="shared" si="163"/>
        <v>0.70582588827897941</v>
      </c>
      <c r="T657" s="27">
        <f t="shared" si="164"/>
        <v>1.3595070037594941</v>
      </c>
      <c r="U657" s="26">
        <f t="shared" si="165"/>
        <v>28.426720221120853</v>
      </c>
      <c r="V657" s="26">
        <f t="shared" si="166"/>
        <v>0.40984575279295399</v>
      </c>
      <c r="W657" s="93">
        <v>45919</v>
      </c>
      <c r="X657" s="42">
        <v>19900</v>
      </c>
      <c r="Y657" s="91">
        <v>659972</v>
      </c>
      <c r="Z657" s="30">
        <f t="shared" si="179"/>
        <v>13133442800</v>
      </c>
      <c r="AA657" s="31">
        <f t="shared" si="167"/>
        <v>15</v>
      </c>
      <c r="AB657" s="32">
        <v>1.84E-2</v>
      </c>
      <c r="AC657" s="32">
        <v>2.58E-2</v>
      </c>
      <c r="AD657" s="33">
        <f t="shared" si="133"/>
        <v>0.25373305026072901</v>
      </c>
      <c r="AE657" s="34">
        <f t="shared" si="134"/>
        <v>1.5863273995252329E-2</v>
      </c>
      <c r="AF657" s="33">
        <f t="shared" si="135"/>
        <v>6.7885836603359825E-2</v>
      </c>
      <c r="AG657" s="33">
        <f t="shared" si="136"/>
        <v>8.3967896351567761E-3</v>
      </c>
      <c r="AH657" s="35">
        <f t="shared" si="137"/>
        <v>0.28988098214883135</v>
      </c>
      <c r="AI657" s="36">
        <f t="shared" si="168"/>
        <v>0.84563056062724096</v>
      </c>
      <c r="AJ657" s="23"/>
      <c r="AK657" s="23"/>
      <c r="AL657" s="44"/>
      <c r="AM657" s="44"/>
      <c r="AN657" s="44"/>
      <c r="AO657" s="44"/>
      <c r="AP657" s="44"/>
      <c r="AQ657" s="44"/>
      <c r="AR657" s="44"/>
    </row>
    <row r="658" spans="1:44" ht="16.8">
      <c r="A658" s="78" t="s">
        <v>1560</v>
      </c>
      <c r="B658" s="79"/>
      <c r="C658" s="1" t="s">
        <v>1558</v>
      </c>
      <c r="D658" s="19" t="s">
        <v>1559</v>
      </c>
      <c r="E658" s="20" t="s">
        <v>39</v>
      </c>
      <c r="F658" s="21">
        <v>2006</v>
      </c>
      <c r="G658" s="40">
        <v>2022</v>
      </c>
      <c r="H658" s="23">
        <v>1976670873467</v>
      </c>
      <c r="I658" s="23">
        <v>2015326953572</v>
      </c>
      <c r="J658" s="23">
        <v>1356280646770</v>
      </c>
      <c r="K658" s="23">
        <f t="shared" ref="K658:K659" si="199">(J658+J657)/2</f>
        <v>1460191760342</v>
      </c>
      <c r="L658" s="23">
        <v>1356180174028</v>
      </c>
      <c r="M658" s="23">
        <f t="shared" si="195"/>
        <v>659046306802</v>
      </c>
      <c r="N658" s="23">
        <v>482160662133</v>
      </c>
      <c r="O658" s="25">
        <f t="shared" si="161"/>
        <v>620490699439</v>
      </c>
      <c r="P658" s="23">
        <v>26577178259</v>
      </c>
      <c r="Q658" s="23">
        <v>327456517879</v>
      </c>
      <c r="R658" s="25">
        <f t="shared" si="162"/>
        <v>154704144254</v>
      </c>
      <c r="S658" s="26">
        <f t="shared" si="163"/>
        <v>0.67298293429068912</v>
      </c>
      <c r="T658" s="27">
        <f t="shared" si="164"/>
        <v>1.4575282188325143</v>
      </c>
      <c r="U658" s="26">
        <f t="shared" si="165"/>
        <v>28.331802558001712</v>
      </c>
      <c r="V658" s="26">
        <f t="shared" si="166"/>
        <v>0.33020365901809384</v>
      </c>
      <c r="W658" s="93">
        <v>45782</v>
      </c>
      <c r="X658" s="42">
        <v>5500</v>
      </c>
      <c r="Y658" s="91">
        <v>2700</v>
      </c>
      <c r="Z658" s="30">
        <f t="shared" si="179"/>
        <v>14850000</v>
      </c>
      <c r="AA658" s="31">
        <f t="shared" si="167"/>
        <v>16</v>
      </c>
      <c r="AB658" s="32">
        <v>3.15E-2</v>
      </c>
      <c r="AC658" s="32">
        <v>8.0199999999999994E-2</v>
      </c>
      <c r="AD658" s="33">
        <f t="shared" si="133"/>
        <v>0.30788587347538404</v>
      </c>
      <c r="AE658" s="34">
        <f t="shared" si="134"/>
        <v>1.3187526823820897E-2</v>
      </c>
      <c r="AF658" s="33">
        <f t="shared" si="135"/>
        <v>7.6763794569312802E-2</v>
      </c>
      <c r="AG658" s="33">
        <f t="shared" si="136"/>
        <v>1.0949061343141236E-5</v>
      </c>
      <c r="AH658" s="35">
        <f t="shared" si="137"/>
        <v>0.35550213245412876</v>
      </c>
      <c r="AI658" s="36">
        <f t="shared" si="168"/>
        <v>0.99675480969347696</v>
      </c>
      <c r="AJ658" s="23"/>
      <c r="AK658" s="23"/>
      <c r="AL658" s="44"/>
      <c r="AM658" s="44"/>
      <c r="AN658" s="44"/>
      <c r="AO658" s="44"/>
      <c r="AP658" s="44"/>
      <c r="AQ658" s="44"/>
      <c r="AR658" s="44"/>
    </row>
    <row r="659" spans="1:44" ht="16.8">
      <c r="A659" s="78" t="s">
        <v>1561</v>
      </c>
      <c r="B659" s="79"/>
      <c r="C659" s="1" t="s">
        <v>1558</v>
      </c>
      <c r="D659" s="19" t="s">
        <v>1559</v>
      </c>
      <c r="E659" s="20" t="s">
        <v>39</v>
      </c>
      <c r="F659" s="21">
        <v>2006</v>
      </c>
      <c r="G659" s="40">
        <v>2023</v>
      </c>
      <c r="H659" s="23">
        <v>2219902251373</v>
      </c>
      <c r="I659" s="23">
        <v>2254145393054</v>
      </c>
      <c r="J659" s="23">
        <v>1571392750715</v>
      </c>
      <c r="K659" s="23">
        <f t="shared" si="199"/>
        <v>1463836698742.5</v>
      </c>
      <c r="L659" s="23">
        <v>1571292277973</v>
      </c>
      <c r="M659" s="23">
        <f t="shared" si="195"/>
        <v>682752642339</v>
      </c>
      <c r="N659" s="23">
        <v>299618572702</v>
      </c>
      <c r="O659" s="25">
        <f t="shared" si="161"/>
        <v>648609973400</v>
      </c>
      <c r="P659" s="23">
        <v>24456335537</v>
      </c>
      <c r="Q659" s="23">
        <v>181872442841</v>
      </c>
      <c r="R659" s="25">
        <f t="shared" si="162"/>
        <v>117746129861</v>
      </c>
      <c r="S659" s="26">
        <f t="shared" si="163"/>
        <v>0.69711242032441334</v>
      </c>
      <c r="T659" s="27">
        <f t="shared" si="164"/>
        <v>1.4127876032310935</v>
      </c>
      <c r="U659" s="26">
        <f t="shared" si="165"/>
        <v>28.443792033926325</v>
      </c>
      <c r="V659" s="26">
        <f t="shared" si="166"/>
        <v>0.20468032599495936</v>
      </c>
      <c r="W659" s="93">
        <v>45877</v>
      </c>
      <c r="X659" s="42">
        <v>8800</v>
      </c>
      <c r="Y659" s="91">
        <v>90208</v>
      </c>
      <c r="Z659" s="30">
        <f t="shared" si="179"/>
        <v>793830400</v>
      </c>
      <c r="AA659" s="31">
        <f t="shared" si="167"/>
        <v>17</v>
      </c>
      <c r="AB659" s="32">
        <v>3.2500000000000001E-2</v>
      </c>
      <c r="AC659" s="32">
        <v>5.0500000000000003E-2</v>
      </c>
      <c r="AD659" s="33">
        <f t="shared" si="133"/>
        <v>0.28774096622101164</v>
      </c>
      <c r="AE659" s="34">
        <f t="shared" si="134"/>
        <v>1.0849493387764862E-2</v>
      </c>
      <c r="AF659" s="33">
        <f t="shared" si="135"/>
        <v>5.2235374977952581E-2</v>
      </c>
      <c r="AG659" s="33">
        <f t="shared" si="136"/>
        <v>5.0517631549388208E-4</v>
      </c>
      <c r="AH659" s="35">
        <f t="shared" si="137"/>
        <v>0.19067071078549297</v>
      </c>
      <c r="AI659" s="36">
        <f t="shared" si="168"/>
        <v>0.72382900421011764</v>
      </c>
      <c r="AJ659" s="23"/>
      <c r="AK659" s="23"/>
      <c r="AL659" s="44"/>
      <c r="AM659" s="44"/>
      <c r="AN659" s="44"/>
      <c r="AO659" s="44"/>
      <c r="AP659" s="44"/>
      <c r="AQ659" s="44"/>
      <c r="AR659" s="44"/>
    </row>
    <row r="660" spans="1:44" ht="16.8">
      <c r="A660" s="78" t="s">
        <v>1562</v>
      </c>
      <c r="B660" s="79">
        <v>257</v>
      </c>
      <c r="C660" s="1" t="s">
        <v>1563</v>
      </c>
      <c r="D660" s="19" t="s">
        <v>1564</v>
      </c>
      <c r="E660" s="20" t="s">
        <v>39</v>
      </c>
      <c r="F660" s="21">
        <v>2008</v>
      </c>
      <c r="G660" s="40">
        <v>2021</v>
      </c>
      <c r="H660" s="23">
        <v>335300181648</v>
      </c>
      <c r="I660" s="23">
        <v>356909952593</v>
      </c>
      <c r="J660" s="23">
        <v>121357007876</v>
      </c>
      <c r="K660" s="23">
        <f>(J660+43202867971)/2</f>
        <v>82279937923.5</v>
      </c>
      <c r="L660" s="23">
        <v>121357007876</v>
      </c>
      <c r="M660" s="23">
        <f t="shared" si="195"/>
        <v>235552944717</v>
      </c>
      <c r="N660" s="23">
        <v>2681484460675</v>
      </c>
      <c r="O660" s="25">
        <f t="shared" si="161"/>
        <v>213943173772</v>
      </c>
      <c r="P660" s="23">
        <v>57353229188</v>
      </c>
      <c r="Q660" s="23">
        <f>31510405002+19448583189</f>
        <v>50958988191</v>
      </c>
      <c r="R660" s="25">
        <f t="shared" si="162"/>
        <v>2630525472484</v>
      </c>
      <c r="S660" s="26">
        <f t="shared" si="163"/>
        <v>0.34002136111454617</v>
      </c>
      <c r="T660" s="27">
        <f t="shared" si="164"/>
        <v>2.7629239342370946</v>
      </c>
      <c r="U660" s="26">
        <f t="shared" si="165"/>
        <v>26.600749353276743</v>
      </c>
      <c r="V660" s="26">
        <f t="shared" si="166"/>
        <v>32.589772529582092</v>
      </c>
      <c r="W660" s="91" t="s">
        <v>1565</v>
      </c>
      <c r="X660" s="29">
        <v>16430</v>
      </c>
      <c r="Y660" s="91">
        <v>22900</v>
      </c>
      <c r="Z660" s="30">
        <f t="shared" si="179"/>
        <v>376247000</v>
      </c>
      <c r="AA660" s="31">
        <f t="shared" si="167"/>
        <v>13</v>
      </c>
      <c r="AB660" s="32">
        <v>1.84E-2</v>
      </c>
      <c r="AC660" s="32">
        <v>2.58E-2</v>
      </c>
      <c r="AD660" s="33">
        <f t="shared" si="133"/>
        <v>0.59943179566070759</v>
      </c>
      <c r="AE660" s="34">
        <f t="shared" si="134"/>
        <v>0.16069383543754071</v>
      </c>
      <c r="AF660" s="33">
        <f t="shared" si="135"/>
        <v>7.3702777223578941</v>
      </c>
      <c r="AG660" s="33">
        <f t="shared" si="136"/>
        <v>3.1003318768739021E-3</v>
      </c>
      <c r="AH660" s="35">
        <f t="shared" si="137"/>
        <v>22.095835317684198</v>
      </c>
      <c r="AI660" s="36">
        <f t="shared" si="168"/>
        <v>47.363901524996777</v>
      </c>
      <c r="AJ660" s="23"/>
      <c r="AK660" s="23"/>
      <c r="AL660" s="44"/>
      <c r="AM660" s="44"/>
      <c r="AN660" s="44"/>
      <c r="AO660" s="44"/>
      <c r="AP660" s="44"/>
      <c r="AQ660" s="44"/>
      <c r="AR660" s="44"/>
    </row>
    <row r="661" spans="1:44" ht="16.8">
      <c r="A661" s="78" t="s">
        <v>1566</v>
      </c>
      <c r="B661" s="79"/>
      <c r="C661" s="1" t="s">
        <v>1563</v>
      </c>
      <c r="D661" s="19" t="s">
        <v>1564</v>
      </c>
      <c r="E661" s="20" t="s">
        <v>39</v>
      </c>
      <c r="F661" s="21">
        <v>2008</v>
      </c>
      <c r="G661" s="40">
        <v>2022</v>
      </c>
      <c r="H661" s="23">
        <v>264824092044</v>
      </c>
      <c r="I661" s="23">
        <v>285703653733</v>
      </c>
      <c r="J661" s="23">
        <v>70092684521</v>
      </c>
      <c r="K661" s="23">
        <f t="shared" ref="K661:K662" si="200">(J661+J660)/2</f>
        <v>95724846198.5</v>
      </c>
      <c r="L661" s="23">
        <v>70092684521</v>
      </c>
      <c r="M661" s="23">
        <f t="shared" si="195"/>
        <v>215610969212</v>
      </c>
      <c r="N661" s="23">
        <v>3516703921283</v>
      </c>
      <c r="O661" s="25">
        <f t="shared" si="161"/>
        <v>194731407523</v>
      </c>
      <c r="P661" s="23">
        <v>11197530619</v>
      </c>
      <c r="Q661" s="23">
        <f>30291955770+17098898146</f>
        <v>47390853916</v>
      </c>
      <c r="R661" s="25">
        <f t="shared" si="162"/>
        <v>3469313067367</v>
      </c>
      <c r="S661" s="26">
        <f t="shared" si="163"/>
        <v>0.24533352515856885</v>
      </c>
      <c r="T661" s="27">
        <f t="shared" si="164"/>
        <v>3.7781987357704616</v>
      </c>
      <c r="U661" s="26">
        <f t="shared" si="165"/>
        <v>26.378220934806301</v>
      </c>
      <c r="V661" s="26">
        <f t="shared" si="166"/>
        <v>36.737629371486065</v>
      </c>
      <c r="W661" s="91" t="s">
        <v>1567</v>
      </c>
      <c r="X661" s="29">
        <v>6940</v>
      </c>
      <c r="Y661" s="91">
        <v>5606</v>
      </c>
      <c r="Z661" s="30">
        <f t="shared" si="179"/>
        <v>38905640</v>
      </c>
      <c r="AA661" s="31">
        <f t="shared" si="167"/>
        <v>14</v>
      </c>
      <c r="AB661" s="32">
        <v>3.15E-2</v>
      </c>
      <c r="AC661" s="32">
        <v>8.0199999999999994E-2</v>
      </c>
      <c r="AD661" s="33">
        <f t="shared" si="133"/>
        <v>0.68158528943764674</v>
      </c>
      <c r="AE661" s="34">
        <f t="shared" si="134"/>
        <v>3.9192815606987237E-2</v>
      </c>
      <c r="AF661" s="33">
        <f t="shared" si="135"/>
        <v>12.143047602076498</v>
      </c>
      <c r="AG661" s="33">
        <f t="shared" si="136"/>
        <v>5.5505992195724427E-4</v>
      </c>
      <c r="AH661" s="35">
        <f t="shared" si="137"/>
        <v>50.172196218699312</v>
      </c>
      <c r="AI661" s="36">
        <f t="shared" si="168"/>
        <v>91.117358630679888</v>
      </c>
      <c r="AJ661" s="23"/>
      <c r="AK661" s="23"/>
      <c r="AL661" s="44"/>
      <c r="AM661" s="44"/>
      <c r="AN661" s="44"/>
      <c r="AO661" s="44"/>
      <c r="AP661" s="44"/>
      <c r="AQ661" s="44"/>
      <c r="AR661" s="44"/>
    </row>
    <row r="662" spans="1:44" ht="16.8">
      <c r="A662" s="78" t="s">
        <v>1568</v>
      </c>
      <c r="B662" s="79"/>
      <c r="C662" s="1" t="s">
        <v>1563</v>
      </c>
      <c r="D662" s="19" t="s">
        <v>1564</v>
      </c>
      <c r="E662" s="20" t="s">
        <v>39</v>
      </c>
      <c r="F662" s="21">
        <v>2008</v>
      </c>
      <c r="G662" s="40">
        <v>2023</v>
      </c>
      <c r="H662" s="23">
        <v>265782017937</v>
      </c>
      <c r="I662" s="23">
        <v>284755172129</v>
      </c>
      <c r="J662" s="23">
        <v>82794858572</v>
      </c>
      <c r="K662" s="23">
        <f t="shared" si="200"/>
        <v>76443771546.5</v>
      </c>
      <c r="L662" s="23">
        <v>82794858572</v>
      </c>
      <c r="M662" s="23">
        <f t="shared" si="195"/>
        <v>201960313557</v>
      </c>
      <c r="N662" s="23">
        <v>3274874800458</v>
      </c>
      <c r="O662" s="25">
        <f t="shared" si="161"/>
        <v>182987159365</v>
      </c>
      <c r="P662" s="23">
        <v>2061680431</v>
      </c>
      <c r="Q662" s="23">
        <f>26238496802+15303593354</f>
        <v>41542090156</v>
      </c>
      <c r="R662" s="25">
        <f t="shared" si="162"/>
        <v>3233332710302</v>
      </c>
      <c r="S662" s="26">
        <f t="shared" si="163"/>
        <v>0.29075804998720872</v>
      </c>
      <c r="T662" s="27">
        <f t="shared" si="164"/>
        <v>3.2101270842303675</v>
      </c>
      <c r="U662" s="26">
        <f t="shared" si="165"/>
        <v>26.374895602862914</v>
      </c>
      <c r="V662" s="26">
        <f t="shared" si="166"/>
        <v>42.840309082158846</v>
      </c>
      <c r="W662" s="91" t="s">
        <v>1569</v>
      </c>
      <c r="X662" s="29">
        <v>7540</v>
      </c>
      <c r="Y662" s="91">
        <v>24100</v>
      </c>
      <c r="Z662" s="30">
        <f t="shared" si="179"/>
        <v>181714000</v>
      </c>
      <c r="AA662" s="31">
        <f t="shared" si="167"/>
        <v>15</v>
      </c>
      <c r="AB662" s="32">
        <v>3.2500000000000001E-2</v>
      </c>
      <c r="AC662" s="32">
        <v>5.0500000000000003E-2</v>
      </c>
      <c r="AD662" s="33">
        <f t="shared" si="133"/>
        <v>0.64261224123473693</v>
      </c>
      <c r="AE662" s="34">
        <f t="shared" si="134"/>
        <v>7.2401860713736778E-3</v>
      </c>
      <c r="AF662" s="33">
        <f t="shared" si="135"/>
        <v>11.354781323646101</v>
      </c>
      <c r="AG662" s="33">
        <f t="shared" si="136"/>
        <v>2.1947498085521581E-3</v>
      </c>
      <c r="AH662" s="35">
        <f t="shared" si="137"/>
        <v>39.554084117555512</v>
      </c>
      <c r="AI662" s="36">
        <f t="shared" si="168"/>
        <v>77.807450285454379</v>
      </c>
      <c r="AJ662" s="23"/>
      <c r="AK662" s="23"/>
      <c r="AL662" s="44"/>
      <c r="AM662" s="44"/>
      <c r="AN662" s="44"/>
      <c r="AO662" s="44"/>
      <c r="AP662" s="44"/>
      <c r="AQ662" s="44"/>
      <c r="AR662" s="44"/>
    </row>
    <row r="663" spans="1:44" ht="16.8">
      <c r="A663" s="78" t="s">
        <v>1570</v>
      </c>
      <c r="B663" s="79">
        <v>258</v>
      </c>
      <c r="C663" s="1" t="s">
        <v>1571</v>
      </c>
      <c r="D663" s="19" t="s">
        <v>1572</v>
      </c>
      <c r="E663" s="20" t="s">
        <v>39</v>
      </c>
      <c r="F663" s="21">
        <v>2001</v>
      </c>
      <c r="G663" s="40">
        <v>2021</v>
      </c>
      <c r="H663" s="23">
        <v>136199817386</v>
      </c>
      <c r="I663" s="23">
        <v>190581794768</v>
      </c>
      <c r="J663" s="23">
        <v>130818291848</v>
      </c>
      <c r="K663" s="23">
        <f>(J663+135633549387)/2</f>
        <v>133225920617.5</v>
      </c>
      <c r="L663" s="23">
        <v>130229177166</v>
      </c>
      <c r="M663" s="23">
        <f t="shared" si="195"/>
        <v>59763502920</v>
      </c>
      <c r="N663" s="23">
        <v>227813116903</v>
      </c>
      <c r="O663" s="25">
        <f t="shared" si="161"/>
        <v>5970640220</v>
      </c>
      <c r="P663" s="23">
        <v>3129470143</v>
      </c>
      <c r="Q663" s="23">
        <f>156863000+23699721568</f>
        <v>23856584568</v>
      </c>
      <c r="R663" s="25">
        <f t="shared" si="162"/>
        <v>203956532335</v>
      </c>
      <c r="S663" s="26">
        <f t="shared" si="163"/>
        <v>0.68641546800022735</v>
      </c>
      <c r="T663" s="27">
        <f t="shared" si="164"/>
        <v>1.0458471776442952</v>
      </c>
      <c r="U663" s="26">
        <f t="shared" si="165"/>
        <v>25.973347308221626</v>
      </c>
      <c r="V663" s="26">
        <f t="shared" si="166"/>
        <v>1.7099759254587235</v>
      </c>
      <c r="W663" s="93">
        <v>45969</v>
      </c>
      <c r="X663" s="42">
        <v>8110</v>
      </c>
      <c r="Y663" s="91">
        <v>0</v>
      </c>
      <c r="Z663" s="30">
        <f t="shared" si="179"/>
        <v>0</v>
      </c>
      <c r="AA663" s="31">
        <f t="shared" si="167"/>
        <v>20</v>
      </c>
      <c r="AB663" s="32">
        <v>1.84E-2</v>
      </c>
      <c r="AC663" s="32">
        <v>2.58E-2</v>
      </c>
      <c r="AD663" s="33">
        <f t="shared" si="133"/>
        <v>3.1328491933178666E-2</v>
      </c>
      <c r="AE663" s="34">
        <f t="shared" si="134"/>
        <v>1.6420614292197124E-2</v>
      </c>
      <c r="AF663" s="33">
        <f t="shared" si="135"/>
        <v>1.0701784637052107</v>
      </c>
      <c r="AG663" s="33">
        <f t="shared" si="136"/>
        <v>0</v>
      </c>
      <c r="AH663" s="35">
        <f t="shared" si="137"/>
        <v>1.7414469619256299</v>
      </c>
      <c r="AI663" s="36">
        <f t="shared" si="168"/>
        <v>5.3336189424817153</v>
      </c>
      <c r="AJ663" s="23"/>
      <c r="AK663" s="23"/>
      <c r="AL663" s="44"/>
      <c r="AM663" s="44"/>
      <c r="AN663" s="44"/>
      <c r="AO663" s="44"/>
      <c r="AP663" s="44"/>
      <c r="AQ663" s="44"/>
      <c r="AR663" s="44"/>
    </row>
    <row r="664" spans="1:44" ht="16.8">
      <c r="A664" s="78" t="s">
        <v>1573</v>
      </c>
      <c r="B664" s="79"/>
      <c r="C664" s="1" t="s">
        <v>1571</v>
      </c>
      <c r="D664" s="19" t="s">
        <v>1572</v>
      </c>
      <c r="E664" s="20" t="s">
        <v>39</v>
      </c>
      <c r="F664" s="21">
        <v>2001</v>
      </c>
      <c r="G664" s="40">
        <v>2022</v>
      </c>
      <c r="H664" s="23">
        <v>223630748446</v>
      </c>
      <c r="I664" s="23">
        <v>277581010375</v>
      </c>
      <c r="J664" s="23">
        <v>221753206930</v>
      </c>
      <c r="K664" s="23">
        <f t="shared" ref="K664:K665" si="201">(J664+J663)/2</f>
        <v>176285749389</v>
      </c>
      <c r="L664" s="23">
        <v>212624039934</v>
      </c>
      <c r="M664" s="23">
        <f t="shared" si="195"/>
        <v>55827803445</v>
      </c>
      <c r="N664" s="23">
        <v>366150340840</v>
      </c>
      <c r="O664" s="25">
        <f t="shared" si="161"/>
        <v>11006708512</v>
      </c>
      <c r="P664" s="23">
        <v>366565953</v>
      </c>
      <c r="Q664" s="23">
        <f>147792000+24155759693</f>
        <v>24303551693</v>
      </c>
      <c r="R664" s="25">
        <f t="shared" si="162"/>
        <v>341846789147</v>
      </c>
      <c r="S664" s="26">
        <f t="shared" si="163"/>
        <v>0.79887743988834448</v>
      </c>
      <c r="T664" s="27">
        <f t="shared" si="164"/>
        <v>1.0517660586047399</v>
      </c>
      <c r="U664" s="26">
        <f t="shared" si="165"/>
        <v>26.349378656809119</v>
      </c>
      <c r="V664" s="26">
        <f t="shared" si="166"/>
        <v>2.0770274517881551</v>
      </c>
      <c r="W664" s="91" t="s">
        <v>1574</v>
      </c>
      <c r="X664" s="29">
        <v>10990</v>
      </c>
      <c r="Y664" s="91">
        <v>0</v>
      </c>
      <c r="Z664" s="30">
        <f t="shared" si="179"/>
        <v>0</v>
      </c>
      <c r="AA664" s="31">
        <f t="shared" si="167"/>
        <v>21</v>
      </c>
      <c r="AB664" s="32">
        <v>3.15E-2</v>
      </c>
      <c r="AC664" s="32">
        <v>8.0199999999999994E-2</v>
      </c>
      <c r="AD664" s="33">
        <f t="shared" si="133"/>
        <v>3.9652238808160579E-2</v>
      </c>
      <c r="AE664" s="34">
        <f t="shared" si="134"/>
        <v>1.3205728753014666E-3</v>
      </c>
      <c r="AF664" s="33">
        <f t="shared" si="135"/>
        <v>1.2315208042696426</v>
      </c>
      <c r="AG664" s="33">
        <f t="shared" si="136"/>
        <v>0</v>
      </c>
      <c r="AH664" s="35">
        <f t="shared" si="137"/>
        <v>1.6511614235891583</v>
      </c>
      <c r="AI664" s="36">
        <f t="shared" si="168"/>
        <v>5.7646115662741941</v>
      </c>
      <c r="AJ664" s="23"/>
      <c r="AK664" s="23"/>
      <c r="AL664" s="44"/>
      <c r="AM664" s="44"/>
      <c r="AN664" s="44"/>
      <c r="AO664" s="44"/>
      <c r="AP664" s="44"/>
      <c r="AQ664" s="44"/>
      <c r="AR664" s="44"/>
    </row>
    <row r="665" spans="1:44" ht="16.8">
      <c r="A665" s="78" t="s">
        <v>1575</v>
      </c>
      <c r="B665" s="79"/>
      <c r="C665" s="1" t="s">
        <v>1571</v>
      </c>
      <c r="D665" s="19" t="s">
        <v>1572</v>
      </c>
      <c r="E665" s="20" t="s">
        <v>39</v>
      </c>
      <c r="F665" s="21">
        <v>2001</v>
      </c>
      <c r="G665" s="40">
        <v>2023</v>
      </c>
      <c r="H665" s="23">
        <v>190820873547</v>
      </c>
      <c r="I665" s="23">
        <v>240107798828</v>
      </c>
      <c r="J665" s="23">
        <v>185000264275</v>
      </c>
      <c r="K665" s="23">
        <f t="shared" si="201"/>
        <v>203376735602.5</v>
      </c>
      <c r="L665" s="23">
        <v>183310541052</v>
      </c>
      <c r="M665" s="23">
        <f t="shared" si="195"/>
        <v>55107534553</v>
      </c>
      <c r="N665" s="23">
        <v>463003228610</v>
      </c>
      <c r="O665" s="25">
        <f t="shared" si="161"/>
        <v>7510332495</v>
      </c>
      <c r="P665" s="23">
        <v>3058186234</v>
      </c>
      <c r="Q665" s="23">
        <f>4585712755+28488711535</f>
        <v>33074424290</v>
      </c>
      <c r="R665" s="25">
        <f t="shared" si="162"/>
        <v>429928804320</v>
      </c>
      <c r="S665" s="26">
        <f t="shared" si="163"/>
        <v>0.7704883605531031</v>
      </c>
      <c r="T665" s="27">
        <f t="shared" si="164"/>
        <v>1.0409705434935657</v>
      </c>
      <c r="U665" s="26">
        <f t="shared" si="165"/>
        <v>26.204353821228779</v>
      </c>
      <c r="V665" s="26">
        <f t="shared" si="166"/>
        <v>2.2765791143139409</v>
      </c>
      <c r="W665" s="91" t="s">
        <v>1576</v>
      </c>
      <c r="X665" s="29">
        <v>4740</v>
      </c>
      <c r="Y665" s="91">
        <v>0</v>
      </c>
      <c r="Z665" s="30">
        <f t="shared" si="179"/>
        <v>0</v>
      </c>
      <c r="AA665" s="31">
        <f t="shared" si="167"/>
        <v>22</v>
      </c>
      <c r="AB665" s="32">
        <v>3.2500000000000001E-2</v>
      </c>
      <c r="AC665" s="32">
        <v>5.0500000000000003E-2</v>
      </c>
      <c r="AD665" s="33">
        <f t="shared" si="133"/>
        <v>3.127900272985297E-2</v>
      </c>
      <c r="AE665" s="34">
        <f t="shared" si="134"/>
        <v>1.2736721792992305E-2</v>
      </c>
      <c r="AF665" s="33">
        <f t="shared" si="135"/>
        <v>1.7905657642881367</v>
      </c>
      <c r="AG665" s="33">
        <f t="shared" si="136"/>
        <v>0</v>
      </c>
      <c r="AH665" s="35">
        <f t="shared" si="137"/>
        <v>2.5027165794841943</v>
      </c>
      <c r="AI665" s="36">
        <f t="shared" si="168"/>
        <v>8.4669498154210583</v>
      </c>
      <c r="AJ665" s="23"/>
      <c r="AK665" s="23"/>
      <c r="AL665" s="44"/>
      <c r="AM665" s="44"/>
      <c r="AN665" s="44"/>
      <c r="AO665" s="44"/>
      <c r="AP665" s="44"/>
      <c r="AQ665" s="44"/>
      <c r="AR665" s="44"/>
    </row>
    <row r="666" spans="1:44" ht="16.8">
      <c r="A666" s="78" t="s">
        <v>1577</v>
      </c>
      <c r="B666" s="79">
        <v>259</v>
      </c>
      <c r="C666" s="1" t="s">
        <v>1578</v>
      </c>
      <c r="D666" s="19" t="s">
        <v>1579</v>
      </c>
      <c r="E666" s="20" t="s">
        <v>39</v>
      </c>
      <c r="F666" s="21">
        <v>1998</v>
      </c>
      <c r="G666" s="40">
        <v>2021</v>
      </c>
      <c r="H666" s="23">
        <v>7237979031849</v>
      </c>
      <c r="I666" s="23">
        <v>8564759561603</v>
      </c>
      <c r="J666" s="23">
        <v>6384536626829</v>
      </c>
      <c r="K666" s="23">
        <f>(H666+5746102401830)/2</f>
        <v>6492040716839.5</v>
      </c>
      <c r="L666" s="23">
        <v>6378842217489</v>
      </c>
      <c r="M666" s="23">
        <f t="shared" si="195"/>
        <v>2180222934774</v>
      </c>
      <c r="N666" s="23">
        <f>4963702478265+39664063873</f>
        <v>5003366542138</v>
      </c>
      <c r="O666" s="25">
        <f t="shared" si="161"/>
        <v>859136814360</v>
      </c>
      <c r="P666" s="23">
        <v>257482744480</v>
      </c>
      <c r="Q666" s="23">
        <v>245880930383</v>
      </c>
      <c r="R666" s="25">
        <f t="shared" si="162"/>
        <v>4757485611755</v>
      </c>
      <c r="S666" s="26">
        <f t="shared" si="163"/>
        <v>0.7454425989319956</v>
      </c>
      <c r="T666" s="27">
        <f t="shared" si="164"/>
        <v>1.1346853841288764</v>
      </c>
      <c r="U666" s="26">
        <f t="shared" si="165"/>
        <v>29.778677175110133</v>
      </c>
      <c r="V666" s="26">
        <f t="shared" si="166"/>
        <v>0.7706924155851218</v>
      </c>
      <c r="W666" s="91" t="s">
        <v>1580</v>
      </c>
      <c r="X666" s="29">
        <v>39340</v>
      </c>
      <c r="Y666" s="91">
        <v>176202</v>
      </c>
      <c r="Z666" s="30">
        <f t="shared" si="179"/>
        <v>6931786680</v>
      </c>
      <c r="AA666" s="31">
        <f t="shared" si="167"/>
        <v>23</v>
      </c>
      <c r="AB666" s="32">
        <v>1.84E-2</v>
      </c>
      <c r="AC666" s="32">
        <v>2.58E-2</v>
      </c>
      <c r="AD666" s="33">
        <f t="shared" si="133"/>
        <v>0.10031067517780989</v>
      </c>
      <c r="AE666" s="34">
        <f t="shared" si="134"/>
        <v>3.0063044108597128E-2</v>
      </c>
      <c r="AF666" s="33">
        <f t="shared" si="135"/>
        <v>0.55547217379965519</v>
      </c>
      <c r="AG666" s="33">
        <f t="shared" si="136"/>
        <v>1.0857149210909613E-3</v>
      </c>
      <c r="AH666" s="35">
        <f t="shared" si="137"/>
        <v>0.78366948685248849</v>
      </c>
      <c r="AI666" s="36">
        <f t="shared" si="168"/>
        <v>2.779840161309413</v>
      </c>
      <c r="AJ666" s="23"/>
      <c r="AK666" s="23"/>
      <c r="AL666" s="44"/>
      <c r="AM666" s="44"/>
      <c r="AN666" s="44"/>
      <c r="AO666" s="44"/>
      <c r="AP666" s="44"/>
      <c r="AQ666" s="44"/>
      <c r="AR666" s="44"/>
    </row>
    <row r="667" spans="1:44" ht="16.8">
      <c r="A667" s="78" t="s">
        <v>1581</v>
      </c>
      <c r="B667" s="79"/>
      <c r="C667" s="1" t="s">
        <v>1578</v>
      </c>
      <c r="D667" s="19" t="s">
        <v>1579</v>
      </c>
      <c r="E667" s="20" t="s">
        <v>39</v>
      </c>
      <c r="F667" s="21">
        <v>1998</v>
      </c>
      <c r="G667" s="40">
        <v>2022</v>
      </c>
      <c r="H667" s="23">
        <v>7466558158786</v>
      </c>
      <c r="I667" s="23">
        <v>8374884655033</v>
      </c>
      <c r="J667" s="23">
        <v>6563341919821</v>
      </c>
      <c r="K667" s="23">
        <f t="shared" ref="K667:K668" si="202">AVERAGE(J666:J667)</f>
        <v>6473939273325</v>
      </c>
      <c r="L667" s="23">
        <v>6558209760936</v>
      </c>
      <c r="M667" s="23">
        <f t="shared" si="195"/>
        <v>1811542735212</v>
      </c>
      <c r="N667" s="23">
        <f>5152267384633+1364340237</f>
        <v>5153631724870</v>
      </c>
      <c r="O667" s="25">
        <f t="shared" si="161"/>
        <v>908348397850</v>
      </c>
      <c r="P667" s="23">
        <v>-347376215059</v>
      </c>
      <c r="Q667" s="23">
        <v>252912046281</v>
      </c>
      <c r="R667" s="25">
        <f t="shared" si="162"/>
        <v>4900719678589</v>
      </c>
      <c r="S667" s="26">
        <f t="shared" si="163"/>
        <v>0.78369341073571341</v>
      </c>
      <c r="T667" s="27">
        <f t="shared" si="164"/>
        <v>1.138505542055178</v>
      </c>
      <c r="U667" s="26">
        <f t="shared" si="165"/>
        <v>29.756258421011463</v>
      </c>
      <c r="V667" s="26">
        <f t="shared" si="166"/>
        <v>0.79605808879067641</v>
      </c>
      <c r="W667" s="91" t="s">
        <v>1582</v>
      </c>
      <c r="X667" s="29">
        <v>33270</v>
      </c>
      <c r="Y667" s="91">
        <v>27300</v>
      </c>
      <c r="Z667" s="30">
        <f t="shared" si="179"/>
        <v>908271000</v>
      </c>
      <c r="AA667" s="31">
        <f t="shared" si="167"/>
        <v>24</v>
      </c>
      <c r="AB667" s="32">
        <v>3.15E-2</v>
      </c>
      <c r="AC667" s="32">
        <v>8.0199999999999994E-2</v>
      </c>
      <c r="AD667" s="33">
        <f t="shared" si="133"/>
        <v>0.10846100397384169</v>
      </c>
      <c r="AE667" s="34">
        <f t="shared" si="134"/>
        <v>-4.1478328283630697E-2</v>
      </c>
      <c r="AF667" s="33">
        <f t="shared" si="135"/>
        <v>0.5851686178918114</v>
      </c>
      <c r="AG667" s="33">
        <f t="shared" si="136"/>
        <v>1.3838544617903603E-4</v>
      </c>
      <c r="AH667" s="35">
        <f t="shared" si="137"/>
        <v>0.78521457328106925</v>
      </c>
      <c r="AI667" s="36">
        <f t="shared" si="168"/>
        <v>2.7884375887632813</v>
      </c>
      <c r="AJ667" s="23"/>
      <c r="AK667" s="23"/>
      <c r="AL667" s="44"/>
      <c r="AM667" s="44"/>
      <c r="AN667" s="44"/>
      <c r="AO667" s="44"/>
      <c r="AP667" s="44"/>
      <c r="AQ667" s="44"/>
      <c r="AR667" s="44"/>
    </row>
    <row r="668" spans="1:44" ht="16.8">
      <c r="A668" s="78" t="s">
        <v>1583</v>
      </c>
      <c r="B668" s="79"/>
      <c r="C668" s="1" t="s">
        <v>1578</v>
      </c>
      <c r="D668" s="19" t="s">
        <v>1579</v>
      </c>
      <c r="E668" s="20" t="s">
        <v>39</v>
      </c>
      <c r="F668" s="21">
        <v>1998</v>
      </c>
      <c r="G668" s="40">
        <v>2023</v>
      </c>
      <c r="H668" s="23">
        <v>7127718366908</v>
      </c>
      <c r="I668" s="23">
        <v>8218792122186</v>
      </c>
      <c r="J668" s="23">
        <v>6154517813935</v>
      </c>
      <c r="K668" s="23">
        <f t="shared" si="202"/>
        <v>6358929866878</v>
      </c>
      <c r="L668" s="23">
        <v>6151978041952</v>
      </c>
      <c r="M668" s="23">
        <f t="shared" si="195"/>
        <v>2064274308251</v>
      </c>
      <c r="N668" s="23">
        <f>4878341417315+9418837405</f>
        <v>4887760254720</v>
      </c>
      <c r="O668" s="25">
        <f t="shared" si="161"/>
        <v>975740324956</v>
      </c>
      <c r="P668" s="23">
        <v>252869256999</v>
      </c>
      <c r="Q668" s="23">
        <v>208653643293</v>
      </c>
      <c r="R668" s="25">
        <f t="shared" si="162"/>
        <v>4679106611427</v>
      </c>
      <c r="S668" s="26">
        <f t="shared" si="163"/>
        <v>0.74883483149809205</v>
      </c>
      <c r="T668" s="27">
        <f t="shared" si="164"/>
        <v>1.1586059505255324</v>
      </c>
      <c r="U668" s="26">
        <f t="shared" si="165"/>
        <v>29.737444370426349</v>
      </c>
      <c r="V668" s="26">
        <f t="shared" si="166"/>
        <v>0.76864509548675208</v>
      </c>
      <c r="W668" s="91" t="s">
        <v>1584</v>
      </c>
      <c r="X668" s="29">
        <v>24470</v>
      </c>
      <c r="Y668" s="91">
        <v>12329</v>
      </c>
      <c r="Z668" s="30">
        <f t="shared" si="179"/>
        <v>301690630</v>
      </c>
      <c r="AA668" s="31">
        <f t="shared" si="167"/>
        <v>25</v>
      </c>
      <c r="AB668" s="32">
        <v>3.2500000000000001E-2</v>
      </c>
      <c r="AC668" s="32">
        <v>5.0500000000000003E-2</v>
      </c>
      <c r="AD668" s="33">
        <f t="shared" si="133"/>
        <v>0.11872064780931296</v>
      </c>
      <c r="AE668" s="34">
        <f t="shared" si="134"/>
        <v>3.0767204382308053E-2</v>
      </c>
      <c r="AF668" s="33">
        <f t="shared" si="135"/>
        <v>0.56931803869282815</v>
      </c>
      <c r="AG668" s="33">
        <f t="shared" si="136"/>
        <v>4.9019377166626272E-5</v>
      </c>
      <c r="AH668" s="35">
        <f t="shared" si="137"/>
        <v>0.7941743614184007</v>
      </c>
      <c r="AI668" s="36">
        <f t="shared" si="168"/>
        <v>2.8584921642374406</v>
      </c>
      <c r="AJ668" s="23"/>
      <c r="AK668" s="23"/>
      <c r="AL668" s="44"/>
      <c r="AM668" s="44"/>
      <c r="AN668" s="44"/>
      <c r="AO668" s="44"/>
      <c r="AP668" s="44"/>
      <c r="AQ668" s="44"/>
      <c r="AR668" s="44"/>
    </row>
    <row r="669" spans="1:44" ht="16.8">
      <c r="A669" s="78" t="s">
        <v>1585</v>
      </c>
      <c r="B669" s="79">
        <v>260</v>
      </c>
      <c r="C669" s="1" t="s">
        <v>1586</v>
      </c>
      <c r="D669" s="19" t="s">
        <v>1587</v>
      </c>
      <c r="E669" s="20" t="s">
        <v>39</v>
      </c>
      <c r="F669" s="21">
        <v>2000</v>
      </c>
      <c r="G669" s="40">
        <v>2021</v>
      </c>
      <c r="H669" s="23">
        <v>54637536805</v>
      </c>
      <c r="I669" s="23">
        <v>267855206900</v>
      </c>
      <c r="J669" s="23">
        <v>169621335335</v>
      </c>
      <c r="K669" s="23">
        <f>(I669+194909085533)/2</f>
        <v>231382146216.5</v>
      </c>
      <c r="L669" s="23">
        <v>77252501415</v>
      </c>
      <c r="M669" s="23">
        <f t="shared" si="195"/>
        <v>98233871565</v>
      </c>
      <c r="N669" s="23">
        <v>350333639772</v>
      </c>
      <c r="O669" s="25">
        <f t="shared" si="161"/>
        <v>-22614964610</v>
      </c>
      <c r="P669" s="23">
        <v>11427857273</v>
      </c>
      <c r="Q669" s="23">
        <f>4476089691+23473233913</f>
        <v>27949323604</v>
      </c>
      <c r="R669" s="25">
        <f t="shared" si="162"/>
        <v>322384316168</v>
      </c>
      <c r="S669" s="26">
        <f t="shared" si="163"/>
        <v>0.63325756216613616</v>
      </c>
      <c r="T669" s="27">
        <f t="shared" si="164"/>
        <v>0.70725912823828785</v>
      </c>
      <c r="U669" s="26">
        <f t="shared" si="165"/>
        <v>26.313712398696158</v>
      </c>
      <c r="V669" s="26">
        <f t="shared" si="166"/>
        <v>1.5140910632067492</v>
      </c>
      <c r="W669" s="91" t="s">
        <v>1588</v>
      </c>
      <c r="X669" s="29">
        <v>9750</v>
      </c>
      <c r="Y669" s="91">
        <v>9600</v>
      </c>
      <c r="Z669" s="30">
        <f t="shared" si="179"/>
        <v>93600000</v>
      </c>
      <c r="AA669" s="31">
        <f t="shared" si="167"/>
        <v>21</v>
      </c>
      <c r="AB669" s="32">
        <v>1.84E-2</v>
      </c>
      <c r="AC669" s="32">
        <v>2.58E-2</v>
      </c>
      <c r="AD669" s="33">
        <f t="shared" si="133"/>
        <v>-8.4429811433320318E-2</v>
      </c>
      <c r="AE669" s="34">
        <f t="shared" si="134"/>
        <v>4.266430884528756E-2</v>
      </c>
      <c r="AF669" s="33">
        <f t="shared" si="135"/>
        <v>1.2035768126335422</v>
      </c>
      <c r="AG669" s="33">
        <f t="shared" si="136"/>
        <v>5.518173749495674E-4</v>
      </c>
      <c r="AH669" s="35">
        <f t="shared" si="137"/>
        <v>2.0653866394819702</v>
      </c>
      <c r="AI669" s="36">
        <f t="shared" si="168"/>
        <v>5.9959354702610472</v>
      </c>
      <c r="AJ669" s="23"/>
      <c r="AK669" s="23"/>
      <c r="AL669" s="44"/>
      <c r="AM669" s="44"/>
      <c r="AN669" s="44"/>
      <c r="AO669" s="44"/>
      <c r="AP669" s="44"/>
      <c r="AQ669" s="44"/>
      <c r="AR669" s="44"/>
    </row>
    <row r="670" spans="1:44" ht="16.8">
      <c r="A670" s="78" t="s">
        <v>1589</v>
      </c>
      <c r="B670" s="79"/>
      <c r="C670" s="1" t="s">
        <v>1586</v>
      </c>
      <c r="D670" s="19" t="s">
        <v>1587</v>
      </c>
      <c r="E670" s="20" t="s">
        <v>39</v>
      </c>
      <c r="F670" s="21">
        <v>2000</v>
      </c>
      <c r="G670" s="40">
        <v>2022</v>
      </c>
      <c r="H670" s="23">
        <v>59613774656</v>
      </c>
      <c r="I670" s="23">
        <v>264953686325</v>
      </c>
      <c r="J670" s="23">
        <v>164178244963</v>
      </c>
      <c r="K670" s="23">
        <f t="shared" ref="K670:K671" si="203">AVERAGE(J669:J670)</f>
        <v>166899790149</v>
      </c>
      <c r="L670" s="23">
        <v>87512761043</v>
      </c>
      <c r="M670" s="23">
        <f t="shared" si="195"/>
        <v>100775441362</v>
      </c>
      <c r="N670" s="23">
        <v>444764091393</v>
      </c>
      <c r="O670" s="25">
        <f t="shared" si="161"/>
        <v>-27898986387</v>
      </c>
      <c r="P670" s="23">
        <v>9205552244</v>
      </c>
      <c r="Q670" s="23">
        <f>5294321204+25450600322</f>
        <v>30744921526</v>
      </c>
      <c r="R670" s="25">
        <f t="shared" si="162"/>
        <v>414019169867</v>
      </c>
      <c r="S670" s="26">
        <f t="shared" si="163"/>
        <v>0.6196488421814752</v>
      </c>
      <c r="T670" s="27">
        <f t="shared" si="164"/>
        <v>0.68120093510372004</v>
      </c>
      <c r="U670" s="26">
        <f t="shared" si="165"/>
        <v>26.30282087907392</v>
      </c>
      <c r="V670" s="26">
        <f t="shared" si="166"/>
        <v>2.6648571037503181</v>
      </c>
      <c r="W670" s="91" t="s">
        <v>1590</v>
      </c>
      <c r="X670" s="29">
        <v>8850</v>
      </c>
      <c r="Y670" s="91">
        <v>200</v>
      </c>
      <c r="Z670" s="30">
        <f t="shared" si="179"/>
        <v>1770000</v>
      </c>
      <c r="AA670" s="31">
        <f t="shared" si="167"/>
        <v>22</v>
      </c>
      <c r="AB670" s="32">
        <v>3.15E-2</v>
      </c>
      <c r="AC670" s="32">
        <v>8.0199999999999994E-2</v>
      </c>
      <c r="AD670" s="33">
        <f t="shared" si="133"/>
        <v>-0.10529759662516369</v>
      </c>
      <c r="AE670" s="34">
        <f t="shared" si="134"/>
        <v>3.4744005156841631E-2</v>
      </c>
      <c r="AF670" s="33">
        <f t="shared" si="135"/>
        <v>1.5626095851301041</v>
      </c>
      <c r="AG670" s="33">
        <f t="shared" si="136"/>
        <v>1.0780965531693287E-5</v>
      </c>
      <c r="AH670" s="35">
        <f t="shared" si="137"/>
        <v>2.7090318299676928</v>
      </c>
      <c r="AI670" s="36">
        <f t="shared" si="168"/>
        <v>7.7879344207457368</v>
      </c>
      <c r="AJ670" s="23"/>
      <c r="AK670" s="23"/>
      <c r="AL670" s="44"/>
      <c r="AM670" s="44"/>
      <c r="AN670" s="44"/>
      <c r="AO670" s="44"/>
      <c r="AP670" s="44"/>
      <c r="AQ670" s="44"/>
      <c r="AR670" s="44"/>
    </row>
    <row r="671" spans="1:44" ht="16.8">
      <c r="A671" s="78" t="s">
        <v>1591</v>
      </c>
      <c r="B671" s="79"/>
      <c r="C671" s="1" t="s">
        <v>1586</v>
      </c>
      <c r="D671" s="19" t="s">
        <v>1587</v>
      </c>
      <c r="E671" s="20" t="s">
        <v>39</v>
      </c>
      <c r="F671" s="21">
        <v>2000</v>
      </c>
      <c r="G671" s="40">
        <v>2023</v>
      </c>
      <c r="H671" s="23">
        <v>56439024837</v>
      </c>
      <c r="I671" s="23">
        <v>257898012895</v>
      </c>
      <c r="J671" s="23">
        <v>162530656667</v>
      </c>
      <c r="K671" s="23">
        <f t="shared" si="203"/>
        <v>163354450815</v>
      </c>
      <c r="L671" s="23">
        <v>100277172747</v>
      </c>
      <c r="M671" s="23">
        <f t="shared" si="195"/>
        <v>95367356228</v>
      </c>
      <c r="N671" s="23">
        <v>393816966363</v>
      </c>
      <c r="O671" s="25">
        <f t="shared" si="161"/>
        <v>-43838147910</v>
      </c>
      <c r="P671" s="23">
        <v>378664934</v>
      </c>
      <c r="Q671" s="23">
        <f>5318886016+23301446476</f>
        <v>28620332492</v>
      </c>
      <c r="R671" s="25">
        <f t="shared" si="162"/>
        <v>365196633871</v>
      </c>
      <c r="S671" s="26">
        <f t="shared" si="163"/>
        <v>0.63021290797293716</v>
      </c>
      <c r="T671" s="27">
        <f t="shared" si="164"/>
        <v>0.56283023634298157</v>
      </c>
      <c r="U671" s="26">
        <f t="shared" si="165"/>
        <v>26.27583004486025</v>
      </c>
      <c r="V671" s="26">
        <f t="shared" si="166"/>
        <v>2.4108125881981652</v>
      </c>
      <c r="W671" s="91" t="s">
        <v>1592</v>
      </c>
      <c r="X671" s="29">
        <v>8190</v>
      </c>
      <c r="Y671" s="91">
        <v>2200</v>
      </c>
      <c r="Z671" s="30">
        <f t="shared" si="179"/>
        <v>18018000</v>
      </c>
      <c r="AA671" s="31">
        <f t="shared" si="167"/>
        <v>23</v>
      </c>
      <c r="AB671" s="32">
        <v>3.2500000000000001E-2</v>
      </c>
      <c r="AC671" s="32">
        <v>5.0500000000000003E-2</v>
      </c>
      <c r="AD671" s="33">
        <f t="shared" si="133"/>
        <v>-0.16998249586299899</v>
      </c>
      <c r="AE671" s="34">
        <f t="shared" si="134"/>
        <v>1.4682739496491147E-3</v>
      </c>
      <c r="AF671" s="33">
        <f t="shared" si="135"/>
        <v>1.4160505921373086</v>
      </c>
      <c r="AG671" s="33">
        <f t="shared" si="136"/>
        <v>1.1085908572261586E-4</v>
      </c>
      <c r="AH671" s="35">
        <f t="shared" si="137"/>
        <v>2.4230319032665304</v>
      </c>
      <c r="AI671" s="36">
        <f t="shared" si="168"/>
        <v>6.8941419612649923</v>
      </c>
      <c r="AJ671" s="23"/>
      <c r="AK671" s="23"/>
      <c r="AL671" s="44"/>
      <c r="AM671" s="44"/>
      <c r="AN671" s="44"/>
      <c r="AO671" s="44"/>
      <c r="AP671" s="44"/>
      <c r="AQ671" s="44"/>
      <c r="AR671" s="44"/>
    </row>
    <row r="672" spans="1:44" ht="16.8">
      <c r="A672" s="78" t="s">
        <v>1593</v>
      </c>
      <c r="B672" s="79">
        <v>261</v>
      </c>
      <c r="C672" s="1" t="s">
        <v>1594</v>
      </c>
      <c r="D672" s="19" t="s">
        <v>1595</v>
      </c>
      <c r="E672" s="20" t="s">
        <v>39</v>
      </c>
      <c r="F672" s="21">
        <v>2007</v>
      </c>
      <c r="G672" s="40">
        <v>2021</v>
      </c>
      <c r="H672" s="23">
        <v>174847439412</v>
      </c>
      <c r="I672" s="23">
        <v>381165677470</v>
      </c>
      <c r="J672" s="23">
        <v>140430477561</v>
      </c>
      <c r="K672" s="23">
        <f>(J672+83607057108)/2</f>
        <v>112018767334.5</v>
      </c>
      <c r="L672" s="23">
        <v>140430477561</v>
      </c>
      <c r="M672" s="23">
        <f t="shared" si="195"/>
        <v>240735199909</v>
      </c>
      <c r="N672" s="23">
        <v>4500000000</v>
      </c>
      <c r="O672" s="25">
        <f t="shared" si="161"/>
        <v>34416961851</v>
      </c>
      <c r="P672" s="23">
        <v>4245761456</v>
      </c>
      <c r="Q672" s="23">
        <v>5149583094</v>
      </c>
      <c r="R672" s="25">
        <f t="shared" si="162"/>
        <v>-649583094</v>
      </c>
      <c r="S672" s="26">
        <f t="shared" si="163"/>
        <v>0.36842372191827977</v>
      </c>
      <c r="T672" s="27">
        <f t="shared" si="164"/>
        <v>1.2450818543720326</v>
      </c>
      <c r="U672" s="26">
        <f t="shared" si="165"/>
        <v>26.666499966556309</v>
      </c>
      <c r="V672" s="26">
        <f t="shared" si="166"/>
        <v>4.0171840014651468E-2</v>
      </c>
      <c r="W672" s="93">
        <v>45847</v>
      </c>
      <c r="X672" s="42">
        <v>9700</v>
      </c>
      <c r="Y672" s="91">
        <v>1339900</v>
      </c>
      <c r="Z672" s="30">
        <f t="shared" si="179"/>
        <v>12997030000</v>
      </c>
      <c r="AA672" s="31">
        <f t="shared" si="167"/>
        <v>14</v>
      </c>
      <c r="AB672" s="32">
        <v>1.84E-2</v>
      </c>
      <c r="AC672" s="32">
        <v>2.58E-2</v>
      </c>
      <c r="AD672" s="33">
        <f t="shared" si="133"/>
        <v>9.0293968962378096E-2</v>
      </c>
      <c r="AE672" s="34">
        <f t="shared" si="134"/>
        <v>1.113888712168783E-2</v>
      </c>
      <c r="AF672" s="33">
        <f t="shared" si="135"/>
        <v>-1.7042014336433166E-3</v>
      </c>
      <c r="AG672" s="33">
        <f t="shared" si="136"/>
        <v>9.2551348010294757E-2</v>
      </c>
      <c r="AH672" s="35">
        <f t="shared" si="137"/>
        <v>3.20443259764982E-2</v>
      </c>
      <c r="AI672" s="36">
        <f t="shared" si="168"/>
        <v>0.20589847477686879</v>
      </c>
      <c r="AJ672" s="23"/>
      <c r="AK672" s="23"/>
      <c r="AL672" s="44"/>
      <c r="AM672" s="44"/>
      <c r="AN672" s="44"/>
      <c r="AO672" s="44"/>
      <c r="AP672" s="44"/>
      <c r="AQ672" s="44"/>
      <c r="AR672" s="44"/>
    </row>
    <row r="673" spans="1:44" ht="16.8">
      <c r="A673" s="78" t="s">
        <v>1596</v>
      </c>
      <c r="B673" s="79"/>
      <c r="C673" s="1" t="s">
        <v>1594</v>
      </c>
      <c r="D673" s="19" t="s">
        <v>1595</v>
      </c>
      <c r="E673" s="20" t="s">
        <v>39</v>
      </c>
      <c r="F673" s="21">
        <v>2007</v>
      </c>
      <c r="G673" s="40">
        <v>2022</v>
      </c>
      <c r="H673" s="23">
        <v>188447461993</v>
      </c>
      <c r="I673" s="23">
        <v>391620897357</v>
      </c>
      <c r="J673" s="23">
        <v>155396998335</v>
      </c>
      <c r="K673" s="23">
        <f t="shared" ref="K673:K674" si="204">AVERAGE(J672:J673)</f>
        <v>147913737948</v>
      </c>
      <c r="L673" s="23">
        <v>155396998335</v>
      </c>
      <c r="M673" s="23">
        <f t="shared" si="195"/>
        <v>236223899022</v>
      </c>
      <c r="N673" s="23">
        <v>0</v>
      </c>
      <c r="O673" s="25">
        <f t="shared" si="161"/>
        <v>33050463658</v>
      </c>
      <c r="P673" s="23">
        <v>-4511300887</v>
      </c>
      <c r="Q673" s="23">
        <v>5460808547</v>
      </c>
      <c r="R673" s="25">
        <f t="shared" si="162"/>
        <v>-5460808547</v>
      </c>
      <c r="S673" s="26">
        <f t="shared" si="163"/>
        <v>0.39680466334599285</v>
      </c>
      <c r="T673" s="27">
        <f t="shared" si="164"/>
        <v>1.2126840544677113</v>
      </c>
      <c r="U673" s="26">
        <f t="shared" si="165"/>
        <v>26.693560110216239</v>
      </c>
      <c r="V673" s="26">
        <f t="shared" si="166"/>
        <v>0</v>
      </c>
      <c r="W673" s="93">
        <v>45659</v>
      </c>
      <c r="X673" s="42">
        <v>2100</v>
      </c>
      <c r="Y673" s="91">
        <v>49200</v>
      </c>
      <c r="Z673" s="30">
        <f t="shared" si="179"/>
        <v>103320000</v>
      </c>
      <c r="AA673" s="31">
        <f t="shared" si="167"/>
        <v>15</v>
      </c>
      <c r="AB673" s="32">
        <v>3.15E-2</v>
      </c>
      <c r="AC673" s="32">
        <v>8.0199999999999994E-2</v>
      </c>
      <c r="AD673" s="33">
        <f t="shared" si="133"/>
        <v>8.4394024632121034E-2</v>
      </c>
      <c r="AE673" s="34">
        <f t="shared" si="134"/>
        <v>-1.151956118135217E-2</v>
      </c>
      <c r="AF673" s="33">
        <f t="shared" si="135"/>
        <v>-1.3944119386514631E-2</v>
      </c>
      <c r="AG673" s="33">
        <f t="shared" si="136"/>
        <v>6.6487770746553269E-4</v>
      </c>
      <c r="AH673" s="35">
        <f t="shared" si="137"/>
        <v>0</v>
      </c>
      <c r="AI673" s="36">
        <f t="shared" si="168"/>
        <v>3.9528776553633238E-2</v>
      </c>
      <c r="AJ673" s="23"/>
      <c r="AK673" s="23"/>
      <c r="AL673" s="44"/>
      <c r="AM673" s="44"/>
      <c r="AN673" s="44"/>
      <c r="AO673" s="44"/>
      <c r="AP673" s="44"/>
      <c r="AQ673" s="44"/>
      <c r="AR673" s="44"/>
    </row>
    <row r="674" spans="1:44" ht="16.8">
      <c r="A674" s="78" t="s">
        <v>1597</v>
      </c>
      <c r="B674" s="79"/>
      <c r="C674" s="1" t="s">
        <v>1594</v>
      </c>
      <c r="D674" s="19" t="s">
        <v>1595</v>
      </c>
      <c r="E674" s="20" t="s">
        <v>39</v>
      </c>
      <c r="F674" s="21">
        <v>2007</v>
      </c>
      <c r="G674" s="40">
        <v>2023</v>
      </c>
      <c r="H674" s="23">
        <v>81848730688</v>
      </c>
      <c r="I674" s="23">
        <v>400373597384</v>
      </c>
      <c r="J674" s="23">
        <v>155586254754</v>
      </c>
      <c r="K674" s="23">
        <f t="shared" si="204"/>
        <v>155491626544.5</v>
      </c>
      <c r="L674" s="23">
        <v>155586254754</v>
      </c>
      <c r="M674" s="23">
        <f t="shared" si="195"/>
        <v>244787342630</v>
      </c>
      <c r="N674" s="23">
        <v>0</v>
      </c>
      <c r="O674" s="25">
        <f t="shared" si="161"/>
        <v>-73737524066</v>
      </c>
      <c r="P674" s="23">
        <v>8563443608</v>
      </c>
      <c r="Q674" s="23">
        <v>7097198551</v>
      </c>
      <c r="R674" s="25">
        <f t="shared" si="162"/>
        <v>-7097198551</v>
      </c>
      <c r="S674" s="26">
        <f t="shared" si="163"/>
        <v>0.38860268451912072</v>
      </c>
      <c r="T674" s="27">
        <f t="shared" si="164"/>
        <v>0.52606659127705324</v>
      </c>
      <c r="U674" s="26">
        <f t="shared" si="165"/>
        <v>26.715663941613901</v>
      </c>
      <c r="V674" s="26">
        <f t="shared" si="166"/>
        <v>0</v>
      </c>
      <c r="W674" s="93">
        <v>45840</v>
      </c>
      <c r="X674" s="42">
        <v>2700</v>
      </c>
      <c r="Y674" s="91">
        <v>132002</v>
      </c>
      <c r="Z674" s="30">
        <f t="shared" si="179"/>
        <v>356405400</v>
      </c>
      <c r="AA674" s="31">
        <f t="shared" si="167"/>
        <v>16</v>
      </c>
      <c r="AB674" s="32">
        <v>3.2500000000000001E-2</v>
      </c>
      <c r="AC674" s="32">
        <v>5.0500000000000003E-2</v>
      </c>
      <c r="AD674" s="33">
        <f t="shared" si="133"/>
        <v>-0.18417179491303476</v>
      </c>
      <c r="AE674" s="34">
        <f t="shared" si="134"/>
        <v>2.1388632177427938E-2</v>
      </c>
      <c r="AF674" s="33">
        <f t="shared" si="135"/>
        <v>-1.7726439998472343E-2</v>
      </c>
      <c r="AG674" s="33">
        <f t="shared" si="136"/>
        <v>2.290725492194143E-3</v>
      </c>
      <c r="AH674" s="35">
        <f t="shared" si="137"/>
        <v>0</v>
      </c>
      <c r="AI674" s="36">
        <f t="shared" si="168"/>
        <v>-0.24818488554688486</v>
      </c>
      <c r="AJ674" s="23"/>
      <c r="AK674" s="23"/>
      <c r="AL674" s="44"/>
      <c r="AM674" s="44"/>
      <c r="AN674" s="44"/>
      <c r="AO674" s="44"/>
      <c r="AP674" s="44"/>
      <c r="AQ674" s="44"/>
      <c r="AR674" s="44"/>
    </row>
    <row r="675" spans="1:44" ht="16.8">
      <c r="A675" s="78" t="s">
        <v>1598</v>
      </c>
      <c r="B675" s="79">
        <v>262</v>
      </c>
      <c r="C675" s="1" t="s">
        <v>1599</v>
      </c>
      <c r="D675" s="19" t="s">
        <v>1600</v>
      </c>
      <c r="E675" s="20" t="s">
        <v>39</v>
      </c>
      <c r="F675" s="21">
        <v>2007</v>
      </c>
      <c r="G675" s="40">
        <v>2021</v>
      </c>
      <c r="H675" s="23">
        <v>406026092982</v>
      </c>
      <c r="I675" s="23">
        <v>452422854531</v>
      </c>
      <c r="J675" s="23">
        <v>72746443179</v>
      </c>
      <c r="K675" s="23">
        <f>(J674+176567016617)/2</f>
        <v>166076635685.5</v>
      </c>
      <c r="L675" s="23">
        <v>33753904122</v>
      </c>
      <c r="M675" s="23">
        <f t="shared" si="195"/>
        <v>379676411352</v>
      </c>
      <c r="N675" s="23">
        <v>38785140179</v>
      </c>
      <c r="O675" s="25">
        <f t="shared" si="161"/>
        <v>372272188860</v>
      </c>
      <c r="P675" s="23">
        <v>580993441</v>
      </c>
      <c r="Q675" s="23">
        <v>18457695548</v>
      </c>
      <c r="R675" s="25">
        <f t="shared" si="162"/>
        <v>20327444631</v>
      </c>
      <c r="S675" s="26">
        <f t="shared" si="163"/>
        <v>0.16079303344304285</v>
      </c>
      <c r="T675" s="27">
        <f t="shared" si="164"/>
        <v>12.029011266799261</v>
      </c>
      <c r="U675" s="26">
        <f t="shared" si="165"/>
        <v>26.837883098327485</v>
      </c>
      <c r="V675" s="26">
        <f t="shared" si="166"/>
        <v>0.23353760761656792</v>
      </c>
      <c r="W675" s="93">
        <v>45857</v>
      </c>
      <c r="X675" s="42">
        <v>19700</v>
      </c>
      <c r="Y675" s="91">
        <v>204750</v>
      </c>
      <c r="Z675" s="30">
        <f t="shared" si="179"/>
        <v>4033575000</v>
      </c>
      <c r="AA675" s="31">
        <f t="shared" si="167"/>
        <v>14</v>
      </c>
      <c r="AB675" s="32">
        <v>1.84E-2</v>
      </c>
      <c r="AC675" s="32">
        <v>2.58E-2</v>
      </c>
      <c r="AD675" s="33">
        <f t="shared" si="133"/>
        <v>0.82284125377775741</v>
      </c>
      <c r="AE675" s="34">
        <f t="shared" si="134"/>
        <v>1.284182342207892E-3</v>
      </c>
      <c r="AF675" s="33">
        <f t="shared" si="135"/>
        <v>4.4930189594582393E-2</v>
      </c>
      <c r="AG675" s="33">
        <f t="shared" si="136"/>
        <v>5.5447040758748574E-2</v>
      </c>
      <c r="AH675" s="35">
        <f t="shared" si="137"/>
        <v>0.53315514111893048</v>
      </c>
      <c r="AI675" s="36">
        <f t="shared" si="168"/>
        <v>1.7039003510487016</v>
      </c>
      <c r="AJ675" s="23"/>
      <c r="AK675" s="23"/>
      <c r="AL675" s="44"/>
      <c r="AM675" s="44"/>
      <c r="AN675" s="44"/>
      <c r="AO675" s="44"/>
      <c r="AP675" s="44"/>
      <c r="AQ675" s="44"/>
      <c r="AR675" s="44"/>
    </row>
    <row r="676" spans="1:44" ht="16.8">
      <c r="A676" s="78" t="s">
        <v>1601</v>
      </c>
      <c r="B676" s="79"/>
      <c r="C676" s="1" t="s">
        <v>1599</v>
      </c>
      <c r="D676" s="19" t="s">
        <v>1600</v>
      </c>
      <c r="E676" s="20" t="s">
        <v>39</v>
      </c>
      <c r="F676" s="21">
        <v>2007</v>
      </c>
      <c r="G676" s="40">
        <v>2022</v>
      </c>
      <c r="H676" s="23">
        <v>361553640992</v>
      </c>
      <c r="I676" s="23">
        <v>400033556514</v>
      </c>
      <c r="J676" s="23">
        <v>33920736139</v>
      </c>
      <c r="K676" s="23">
        <f t="shared" ref="K676:K677" si="205">AVERAGE(J675:J676)</f>
        <v>53333589659</v>
      </c>
      <c r="L676" s="23">
        <v>71690795478</v>
      </c>
      <c r="M676" s="23">
        <f t="shared" si="195"/>
        <v>366112820375</v>
      </c>
      <c r="N676" s="23">
        <v>34362448029</v>
      </c>
      <c r="O676" s="25">
        <f t="shared" si="161"/>
        <v>289862845514</v>
      </c>
      <c r="P676" s="23">
        <v>-12982596536</v>
      </c>
      <c r="Q676" s="23">
        <v>25199803166</v>
      </c>
      <c r="R676" s="25">
        <f t="shared" si="162"/>
        <v>9162644863</v>
      </c>
      <c r="S676" s="26">
        <f t="shared" si="163"/>
        <v>8.4794726808906776E-2</v>
      </c>
      <c r="T676" s="27">
        <f t="shared" si="164"/>
        <v>5.0432365630947871</v>
      </c>
      <c r="U676" s="26">
        <f t="shared" si="165"/>
        <v>26.714814271820718</v>
      </c>
      <c r="V676" s="26">
        <f t="shared" si="166"/>
        <v>0.64429280400407785</v>
      </c>
      <c r="W676" s="93">
        <v>45727</v>
      </c>
      <c r="X676" s="42">
        <v>11300</v>
      </c>
      <c r="Y676" s="91">
        <v>37000</v>
      </c>
      <c r="Z676" s="30">
        <f t="shared" si="179"/>
        <v>418100000</v>
      </c>
      <c r="AA676" s="31">
        <f t="shared" si="167"/>
        <v>15</v>
      </c>
      <c r="AB676" s="32">
        <v>3.15E-2</v>
      </c>
      <c r="AC676" s="32">
        <v>8.0199999999999994E-2</v>
      </c>
      <c r="AD676" s="33">
        <f t="shared" si="133"/>
        <v>0.72459632646806627</v>
      </c>
      <c r="AE676" s="34">
        <f t="shared" si="134"/>
        <v>-3.245376875163633E-2</v>
      </c>
      <c r="AF676" s="33">
        <f t="shared" si="135"/>
        <v>2.2904690653568545E-2</v>
      </c>
      <c r="AG676" s="33">
        <f t="shared" si="136"/>
        <v>1.2325793823775364E-2</v>
      </c>
      <c r="AH676" s="35">
        <f t="shared" si="137"/>
        <v>1.0130218839647216</v>
      </c>
      <c r="AI676" s="36">
        <f t="shared" si="168"/>
        <v>1.9200831549251516</v>
      </c>
      <c r="AJ676" s="23"/>
      <c r="AK676" s="23"/>
      <c r="AL676" s="44"/>
      <c r="AM676" s="44"/>
      <c r="AN676" s="44"/>
      <c r="AO676" s="44"/>
      <c r="AP676" s="44"/>
      <c r="AQ676" s="44"/>
      <c r="AR676" s="44"/>
    </row>
    <row r="677" spans="1:44" ht="16.8">
      <c r="A677" s="78" t="s">
        <v>1602</v>
      </c>
      <c r="B677" s="79"/>
      <c r="C677" s="1" t="s">
        <v>1599</v>
      </c>
      <c r="D677" s="19" t="s">
        <v>1600</v>
      </c>
      <c r="E677" s="20" t="s">
        <v>39</v>
      </c>
      <c r="F677" s="21">
        <v>2007</v>
      </c>
      <c r="G677" s="40">
        <v>2023</v>
      </c>
      <c r="H677" s="23">
        <v>462932253600</v>
      </c>
      <c r="I677" s="23">
        <v>497996864279</v>
      </c>
      <c r="J677" s="23">
        <v>128589832677</v>
      </c>
      <c r="K677" s="23">
        <f t="shared" si="205"/>
        <v>81255284408</v>
      </c>
      <c r="L677" s="23">
        <v>123621731520</v>
      </c>
      <c r="M677" s="23">
        <f t="shared" si="195"/>
        <v>369407031602</v>
      </c>
      <c r="N677" s="23">
        <v>244471730847</v>
      </c>
      <c r="O677" s="25">
        <f t="shared" si="161"/>
        <v>339310522080</v>
      </c>
      <c r="P677" s="23">
        <v>33654261227</v>
      </c>
      <c r="Q677" s="23">
        <v>24434657545</v>
      </c>
      <c r="R677" s="25">
        <f t="shared" si="162"/>
        <v>220037073302</v>
      </c>
      <c r="S677" s="26">
        <f t="shared" si="163"/>
        <v>0.25821414129418746</v>
      </c>
      <c r="T677" s="27">
        <f t="shared" si="164"/>
        <v>3.7447481758100518</v>
      </c>
      <c r="U677" s="26">
        <f t="shared" si="165"/>
        <v>26.933859617322724</v>
      </c>
      <c r="V677" s="26">
        <f t="shared" si="166"/>
        <v>3.0086871595877462</v>
      </c>
      <c r="W677" s="93">
        <v>45709</v>
      </c>
      <c r="X677" s="42">
        <v>21200</v>
      </c>
      <c r="Y677" s="91">
        <v>123402</v>
      </c>
      <c r="Z677" s="30">
        <f t="shared" si="179"/>
        <v>2616122400</v>
      </c>
      <c r="AA677" s="31">
        <f t="shared" si="167"/>
        <v>16</v>
      </c>
      <c r="AB677" s="32">
        <v>3.2500000000000001E-2</v>
      </c>
      <c r="AC677" s="32">
        <v>5.0500000000000003E-2</v>
      </c>
      <c r="AD677" s="33">
        <f t="shared" si="133"/>
        <v>0.68135072009189024</v>
      </c>
      <c r="AE677" s="34">
        <f t="shared" si="134"/>
        <v>6.7579263326737304E-2</v>
      </c>
      <c r="AF677" s="33">
        <f t="shared" si="135"/>
        <v>0.44184429478400378</v>
      </c>
      <c r="AG677" s="33">
        <f t="shared" si="136"/>
        <v>2.0344706463467761E-2</v>
      </c>
      <c r="AH677" s="35">
        <f t="shared" si="137"/>
        <v>1.9011746555505629</v>
      </c>
      <c r="AI677" s="36">
        <f t="shared" si="168"/>
        <v>4.2836994849835559</v>
      </c>
      <c r="AJ677" s="23"/>
      <c r="AK677" s="23"/>
      <c r="AL677" s="44"/>
      <c r="AM677" s="44"/>
      <c r="AN677" s="44"/>
      <c r="AO677" s="44"/>
      <c r="AP677" s="44"/>
      <c r="AQ677" s="44"/>
      <c r="AR677" s="44"/>
    </row>
    <row r="678" spans="1:44" ht="16.8">
      <c r="A678" s="78" t="s">
        <v>1603</v>
      </c>
      <c r="B678" s="79">
        <v>263</v>
      </c>
      <c r="C678" s="1" t="s">
        <v>1604</v>
      </c>
      <c r="D678" s="19" t="s">
        <v>1605</v>
      </c>
      <c r="E678" s="20" t="s">
        <v>39</v>
      </c>
      <c r="F678" s="21">
        <v>1990</v>
      </c>
      <c r="G678" s="40">
        <v>2021</v>
      </c>
      <c r="H678" s="23">
        <v>1607756181917</v>
      </c>
      <c r="I678" s="23">
        <v>1810746470860</v>
      </c>
      <c r="J678" s="23">
        <v>1009265275280</v>
      </c>
      <c r="K678" s="23">
        <f>(J678+849839531411)/2</f>
        <v>929552403345.5</v>
      </c>
      <c r="L678" s="23">
        <v>976481251603</v>
      </c>
      <c r="M678" s="23">
        <f t="shared" si="195"/>
        <v>801481195580</v>
      </c>
      <c r="N678" s="23">
        <v>2767441385060</v>
      </c>
      <c r="O678" s="25">
        <f t="shared" si="161"/>
        <v>631274930314</v>
      </c>
      <c r="P678" s="23">
        <v>24103589400</v>
      </c>
      <c r="Q678" s="23">
        <f>36296206090+127799644376</f>
        <v>164095850466</v>
      </c>
      <c r="R678" s="25">
        <f t="shared" si="162"/>
        <v>2603345534594</v>
      </c>
      <c r="S678" s="26">
        <f t="shared" si="163"/>
        <v>0.55737525463775017</v>
      </c>
      <c r="T678" s="27">
        <f t="shared" si="164"/>
        <v>1.6464793146593379</v>
      </c>
      <c r="U678" s="26">
        <f t="shared" si="165"/>
        <v>28.224760291026435</v>
      </c>
      <c r="V678" s="26">
        <f t="shared" si="166"/>
        <v>2.9771763002277836</v>
      </c>
      <c r="W678" s="91" t="s">
        <v>1606</v>
      </c>
      <c r="X678" s="29">
        <v>12510</v>
      </c>
      <c r="Y678" s="91">
        <v>697345</v>
      </c>
      <c r="Z678" s="30">
        <f t="shared" si="179"/>
        <v>8723785950</v>
      </c>
      <c r="AA678" s="31">
        <f t="shared" si="167"/>
        <v>31</v>
      </c>
      <c r="AB678" s="32">
        <v>1.84E-2</v>
      </c>
      <c r="AC678" s="32">
        <v>2.58E-2</v>
      </c>
      <c r="AD678" s="33">
        <f t="shared" si="133"/>
        <v>0.34862690082404574</v>
      </c>
      <c r="AE678" s="34">
        <f t="shared" si="134"/>
        <v>1.3311410397808031E-2</v>
      </c>
      <c r="AF678" s="33">
        <f t="shared" si="135"/>
        <v>1.4377195131892546</v>
      </c>
      <c r="AG678" s="33">
        <f t="shared" si="136"/>
        <v>8.6436996929075607E-3</v>
      </c>
      <c r="AH678" s="35">
        <f t="shared" si="137"/>
        <v>2.7420356697521671</v>
      </c>
      <c r="AI678" s="36">
        <f t="shared" si="168"/>
        <v>7.9286845386382376</v>
      </c>
      <c r="AJ678" s="23"/>
      <c r="AK678" s="23"/>
      <c r="AL678" s="44"/>
      <c r="AM678" s="44"/>
      <c r="AN678" s="44"/>
      <c r="AO678" s="44"/>
      <c r="AP678" s="44"/>
      <c r="AQ678" s="44"/>
      <c r="AR678" s="44"/>
    </row>
    <row r="679" spans="1:44" ht="16.8">
      <c r="A679" s="78" t="s">
        <v>1607</v>
      </c>
      <c r="B679" s="79"/>
      <c r="C679" s="1" t="s">
        <v>1604</v>
      </c>
      <c r="D679" s="19" t="s">
        <v>1605</v>
      </c>
      <c r="E679" s="20" t="s">
        <v>39</v>
      </c>
      <c r="F679" s="21">
        <v>1990</v>
      </c>
      <c r="G679" s="40">
        <v>2022</v>
      </c>
      <c r="H679" s="23">
        <v>2064001744255</v>
      </c>
      <c r="I679" s="23">
        <v>2245543207111</v>
      </c>
      <c r="J679" s="23">
        <v>1412088715100</v>
      </c>
      <c r="K679" s="23">
        <f t="shared" ref="K679:K680" si="206">AVERAGE(J678:J679)</f>
        <v>1210676995190</v>
      </c>
      <c r="L679" s="23">
        <v>1377861855972</v>
      </c>
      <c r="M679" s="23">
        <f t="shared" si="195"/>
        <v>833454492011</v>
      </c>
      <c r="N679" s="23">
        <v>2935529898990</v>
      </c>
      <c r="O679" s="25">
        <f t="shared" si="161"/>
        <v>686139888283</v>
      </c>
      <c r="P679" s="23">
        <v>27254385183</v>
      </c>
      <c r="Q679" s="23">
        <f>40446131662+133478773335</f>
        <v>173924904997</v>
      </c>
      <c r="R679" s="25">
        <f t="shared" si="162"/>
        <v>2761604993993</v>
      </c>
      <c r="S679" s="26">
        <f t="shared" si="163"/>
        <v>0.62884058994203029</v>
      </c>
      <c r="T679" s="27">
        <f t="shared" si="164"/>
        <v>1.4979743689899658</v>
      </c>
      <c r="U679" s="26">
        <f t="shared" si="165"/>
        <v>28.439968570932816</v>
      </c>
      <c r="V679" s="26">
        <f t="shared" si="166"/>
        <v>2.4247011470877968</v>
      </c>
      <c r="W679" s="94">
        <v>45909</v>
      </c>
      <c r="X679" s="42">
        <v>9090</v>
      </c>
      <c r="Y679" s="91">
        <v>467350</v>
      </c>
      <c r="Z679" s="30">
        <f t="shared" si="179"/>
        <v>4248211500</v>
      </c>
      <c r="AA679" s="31">
        <f t="shared" si="167"/>
        <v>32</v>
      </c>
      <c r="AB679" s="32">
        <v>3.15E-2</v>
      </c>
      <c r="AC679" s="32">
        <v>8.0199999999999994E-2</v>
      </c>
      <c r="AD679" s="33">
        <f t="shared" si="133"/>
        <v>0.30555630642518439</v>
      </c>
      <c r="AE679" s="34">
        <f t="shared" si="134"/>
        <v>1.2137101213057524E-2</v>
      </c>
      <c r="AF679" s="33">
        <f t="shared" si="135"/>
        <v>1.2298160130020115</v>
      </c>
      <c r="AG679" s="33">
        <f t="shared" si="136"/>
        <v>3.0084593514361131E-3</v>
      </c>
      <c r="AH679" s="35">
        <f t="shared" si="137"/>
        <v>2.0788565672958548</v>
      </c>
      <c r="AI679" s="36">
        <f t="shared" si="168"/>
        <v>6.5227139952218556</v>
      </c>
      <c r="AJ679" s="23"/>
      <c r="AK679" s="23"/>
      <c r="AL679" s="44"/>
      <c r="AM679" s="44"/>
      <c r="AN679" s="44"/>
      <c r="AO679" s="44"/>
      <c r="AP679" s="44"/>
      <c r="AQ679" s="44"/>
      <c r="AR679" s="44"/>
    </row>
    <row r="680" spans="1:44" ht="16.8">
      <c r="A680" s="78" t="s">
        <v>1608</v>
      </c>
      <c r="B680" s="79"/>
      <c r="C680" s="1" t="s">
        <v>1604</v>
      </c>
      <c r="D680" s="19" t="s">
        <v>1605</v>
      </c>
      <c r="E680" s="20" t="s">
        <v>39</v>
      </c>
      <c r="F680" s="21">
        <v>1990</v>
      </c>
      <c r="G680" s="40">
        <v>2023</v>
      </c>
      <c r="H680" s="23">
        <v>2300338476233</v>
      </c>
      <c r="I680" s="23">
        <v>2472040508287</v>
      </c>
      <c r="J680" s="23">
        <v>1422318486560</v>
      </c>
      <c r="K680" s="23">
        <f t="shared" si="206"/>
        <v>1417203600830</v>
      </c>
      <c r="L680" s="23">
        <v>1403431002848</v>
      </c>
      <c r="M680" s="23">
        <f t="shared" si="195"/>
        <v>1049722021727</v>
      </c>
      <c r="N680" s="23">
        <v>3228718536079</v>
      </c>
      <c r="O680" s="25">
        <f t="shared" si="161"/>
        <v>896907473385</v>
      </c>
      <c r="P680" s="23">
        <v>35022425982</v>
      </c>
      <c r="Q680" s="23">
        <f>33894216123+162663150644</f>
        <v>196557366767</v>
      </c>
      <c r="R680" s="25">
        <f t="shared" si="162"/>
        <v>3032161169312</v>
      </c>
      <c r="S680" s="26">
        <f t="shared" si="163"/>
        <v>0.57536212768034101</v>
      </c>
      <c r="T680" s="27">
        <f t="shared" si="164"/>
        <v>1.639081986620571</v>
      </c>
      <c r="U680" s="26">
        <f t="shared" si="165"/>
        <v>28.536065042237222</v>
      </c>
      <c r="V680" s="26">
        <f t="shared" si="166"/>
        <v>2.2782319591822002</v>
      </c>
      <c r="W680" s="91" t="s">
        <v>1609</v>
      </c>
      <c r="X680" s="29">
        <v>14930</v>
      </c>
      <c r="Y680" s="91">
        <v>788434</v>
      </c>
      <c r="Z680" s="30">
        <f t="shared" si="179"/>
        <v>11771319620</v>
      </c>
      <c r="AA680" s="31">
        <f t="shared" si="167"/>
        <v>33</v>
      </c>
      <c r="AB680" s="32">
        <v>3.2500000000000001E-2</v>
      </c>
      <c r="AC680" s="32">
        <v>5.0500000000000003E-2</v>
      </c>
      <c r="AD680" s="33">
        <f t="shared" si="133"/>
        <v>0.36282070232195018</v>
      </c>
      <c r="AE680" s="34">
        <f t="shared" si="134"/>
        <v>1.4167415891687303E-2</v>
      </c>
      <c r="AF680" s="33">
        <f t="shared" si="135"/>
        <v>1.2265823149528952</v>
      </c>
      <c r="AG680" s="33">
        <f t="shared" si="136"/>
        <v>8.2761489295340267E-3</v>
      </c>
      <c r="AH680" s="35">
        <f t="shared" si="137"/>
        <v>2.2700390711281089</v>
      </c>
      <c r="AI680" s="36">
        <f t="shared" si="168"/>
        <v>6.7779456248650849</v>
      </c>
      <c r="AJ680" s="23"/>
      <c r="AK680" s="23"/>
      <c r="AL680" s="44"/>
      <c r="AM680" s="44"/>
      <c r="AN680" s="44"/>
      <c r="AO680" s="44"/>
      <c r="AP680" s="44"/>
      <c r="AQ680" s="44"/>
      <c r="AR680" s="44"/>
    </row>
    <row r="681" spans="1:44" ht="16.8">
      <c r="A681" s="78" t="s">
        <v>1610</v>
      </c>
      <c r="B681" s="79">
        <v>264</v>
      </c>
      <c r="C681" s="71" t="s">
        <v>1611</v>
      </c>
      <c r="D681" s="19" t="s">
        <v>1612</v>
      </c>
      <c r="E681" s="20" t="s">
        <v>178</v>
      </c>
      <c r="F681" s="21">
        <v>1998</v>
      </c>
      <c r="G681" s="40">
        <v>2021</v>
      </c>
      <c r="H681" s="23">
        <v>1168356672797</v>
      </c>
      <c r="I681" s="23">
        <v>1319833724519</v>
      </c>
      <c r="J681" s="23">
        <v>1092432179194</v>
      </c>
      <c r="K681" s="23">
        <f>(J681+210871230408)</f>
        <v>1303303409602</v>
      </c>
      <c r="L681" s="23">
        <v>1092432179194</v>
      </c>
      <c r="M681" s="23">
        <f t="shared" si="195"/>
        <v>227401545325</v>
      </c>
      <c r="N681" s="23">
        <v>246249303048</v>
      </c>
      <c r="O681" s="25">
        <f t="shared" si="161"/>
        <v>75924493603</v>
      </c>
      <c r="P681" s="23">
        <v>887402990</v>
      </c>
      <c r="Q681" s="23">
        <v>27759656434</v>
      </c>
      <c r="R681" s="25">
        <f t="shared" si="162"/>
        <v>218489646614</v>
      </c>
      <c r="S681" s="26">
        <f t="shared" si="163"/>
        <v>0.82770439859166789</v>
      </c>
      <c r="T681" s="27">
        <f t="shared" si="164"/>
        <v>1.069500418469014</v>
      </c>
      <c r="U681" s="26">
        <f t="shared" si="165"/>
        <v>27.908526878318927</v>
      </c>
      <c r="V681" s="26">
        <f t="shared" si="166"/>
        <v>0.18894242218179963</v>
      </c>
      <c r="W681" s="93">
        <v>45813</v>
      </c>
      <c r="X681" s="42">
        <v>5600</v>
      </c>
      <c r="Y681" s="91">
        <v>381102</v>
      </c>
      <c r="Z681" s="30">
        <f t="shared" si="179"/>
        <v>2134171200</v>
      </c>
      <c r="AA681" s="31">
        <f t="shared" si="167"/>
        <v>23</v>
      </c>
      <c r="AB681" s="32">
        <v>1.84E-2</v>
      </c>
      <c r="AC681" s="32">
        <v>2.58E-2</v>
      </c>
      <c r="AD681" s="33">
        <f t="shared" si="133"/>
        <v>5.7525802070764569E-2</v>
      </c>
      <c r="AE681" s="34">
        <f t="shared" si="134"/>
        <v>6.7235968706846384E-4</v>
      </c>
      <c r="AF681" s="33">
        <f t="shared" si="135"/>
        <v>0.16554331243022777</v>
      </c>
      <c r="AG681" s="33">
        <f t="shared" si="136"/>
        <v>1.9535960590016657E-3</v>
      </c>
      <c r="AH681" s="35">
        <f t="shared" si="137"/>
        <v>0.22541381308419853</v>
      </c>
      <c r="AI681" s="36">
        <f t="shared" si="168"/>
        <v>0.84285116778616442</v>
      </c>
      <c r="AJ681" s="23"/>
      <c r="AK681" s="23"/>
      <c r="AL681" s="44"/>
      <c r="AM681" s="44"/>
      <c r="AN681" s="44"/>
      <c r="AO681" s="44"/>
      <c r="AP681" s="44"/>
      <c r="AQ681" s="44"/>
      <c r="AR681" s="44"/>
    </row>
    <row r="682" spans="1:44" ht="16.8">
      <c r="A682" s="78" t="s">
        <v>1613</v>
      </c>
      <c r="B682" s="79"/>
      <c r="C682" s="71" t="s">
        <v>1611</v>
      </c>
      <c r="D682" s="19" t="s">
        <v>1612</v>
      </c>
      <c r="E682" s="20" t="s">
        <v>178</v>
      </c>
      <c r="F682" s="21">
        <v>1998</v>
      </c>
      <c r="G682" s="40">
        <v>2022</v>
      </c>
      <c r="H682" s="23">
        <v>893442972919</v>
      </c>
      <c r="I682" s="23">
        <v>903229278987</v>
      </c>
      <c r="J682" s="23">
        <v>839894262419</v>
      </c>
      <c r="K682" s="23">
        <f t="shared" ref="K682:K683" si="207">AVERAGE(J681:J682)</f>
        <v>966163220806.5</v>
      </c>
      <c r="L682" s="23">
        <v>839894262419</v>
      </c>
      <c r="M682" s="23">
        <f t="shared" si="195"/>
        <v>63335016568</v>
      </c>
      <c r="N682" s="23">
        <v>271797937228</v>
      </c>
      <c r="O682" s="25">
        <f t="shared" si="161"/>
        <v>53548710500</v>
      </c>
      <c r="P682" s="23">
        <v>7516006043</v>
      </c>
      <c r="Q682" s="23">
        <v>106288983681</v>
      </c>
      <c r="R682" s="25">
        <f t="shared" si="162"/>
        <v>165508953547</v>
      </c>
      <c r="S682" s="26">
        <f t="shared" si="163"/>
        <v>0.92987935838502467</v>
      </c>
      <c r="T682" s="27">
        <f t="shared" si="164"/>
        <v>1.063756490425084</v>
      </c>
      <c r="U682" s="26">
        <f t="shared" si="165"/>
        <v>27.529242266203966</v>
      </c>
      <c r="V682" s="26">
        <f t="shared" si="166"/>
        <v>0.2813167913813962</v>
      </c>
      <c r="W682" s="93">
        <v>45780</v>
      </c>
      <c r="X682" s="42">
        <v>3500</v>
      </c>
      <c r="Y682" s="91">
        <v>3868</v>
      </c>
      <c r="Z682" s="30">
        <f t="shared" si="179"/>
        <v>13538000</v>
      </c>
      <c r="AA682" s="31">
        <f t="shared" si="167"/>
        <v>24</v>
      </c>
      <c r="AB682" s="32">
        <v>3.15E-2</v>
      </c>
      <c r="AC682" s="32">
        <v>8.0199999999999994E-2</v>
      </c>
      <c r="AD682" s="33">
        <f t="shared" si="133"/>
        <v>5.9285844409358121E-2</v>
      </c>
      <c r="AE682" s="34">
        <f t="shared" si="134"/>
        <v>8.3212604128925453E-3</v>
      </c>
      <c r="AF682" s="33">
        <f t="shared" si="135"/>
        <v>0.18324135122437959</v>
      </c>
      <c r="AG682" s="33">
        <f t="shared" si="136"/>
        <v>1.6118695657009103E-5</v>
      </c>
      <c r="AH682" s="35">
        <f t="shared" si="137"/>
        <v>0.32360970825683238</v>
      </c>
      <c r="AI682" s="36">
        <f t="shared" si="168"/>
        <v>1.0111086163839587</v>
      </c>
      <c r="AJ682" s="23"/>
      <c r="AK682" s="23"/>
      <c r="AL682" s="44"/>
      <c r="AM682" s="44"/>
      <c r="AN682" s="44"/>
      <c r="AO682" s="44"/>
      <c r="AP682" s="44"/>
      <c r="AQ682" s="44"/>
      <c r="AR682" s="44"/>
    </row>
    <row r="683" spans="1:44" ht="16.8">
      <c r="A683" s="78" t="s">
        <v>1614</v>
      </c>
      <c r="B683" s="79"/>
      <c r="C683" s="71" t="s">
        <v>1611</v>
      </c>
      <c r="D683" s="19" t="s">
        <v>1612</v>
      </c>
      <c r="E683" s="20" t="s">
        <v>178</v>
      </c>
      <c r="F683" s="21">
        <v>1998</v>
      </c>
      <c r="G683" s="40">
        <v>2023</v>
      </c>
      <c r="H683" s="23">
        <v>858866834886</v>
      </c>
      <c r="I683" s="23">
        <v>872230941109</v>
      </c>
      <c r="J683" s="23">
        <v>805687762170</v>
      </c>
      <c r="K683" s="23">
        <f t="shared" si="207"/>
        <v>822791012294.5</v>
      </c>
      <c r="L683" s="23">
        <v>805687762170</v>
      </c>
      <c r="M683" s="23">
        <f t="shared" si="195"/>
        <v>66543178939</v>
      </c>
      <c r="N683" s="23">
        <v>81968439434</v>
      </c>
      <c r="O683" s="25">
        <f t="shared" si="161"/>
        <v>53179072716</v>
      </c>
      <c r="P683" s="23">
        <v>921277627</v>
      </c>
      <c r="Q683" s="23">
        <v>14993771407</v>
      </c>
      <c r="R683" s="25">
        <f t="shared" si="162"/>
        <v>66974668027</v>
      </c>
      <c r="S683" s="26">
        <f t="shared" si="163"/>
        <v>0.9237092198834479</v>
      </c>
      <c r="T683" s="27">
        <f t="shared" si="164"/>
        <v>1.0660045680385788</v>
      </c>
      <c r="U683" s="26">
        <f t="shared" si="165"/>
        <v>27.494320066512607</v>
      </c>
      <c r="V683" s="26">
        <f t="shared" si="166"/>
        <v>9.9622429279357758E-2</v>
      </c>
      <c r="W683" s="93">
        <v>45659</v>
      </c>
      <c r="X683" s="42">
        <v>2100</v>
      </c>
      <c r="Y683" s="91">
        <v>12510</v>
      </c>
      <c r="Z683" s="30">
        <f t="shared" si="179"/>
        <v>26271000</v>
      </c>
      <c r="AA683" s="31">
        <f t="shared" si="167"/>
        <v>25</v>
      </c>
      <c r="AB683" s="32">
        <v>3.2500000000000001E-2</v>
      </c>
      <c r="AC683" s="32">
        <v>5.0500000000000003E-2</v>
      </c>
      <c r="AD683" s="33">
        <f t="shared" si="133"/>
        <v>6.0969028051659518E-2</v>
      </c>
      <c r="AE683" s="34">
        <f t="shared" si="134"/>
        <v>1.0562313070763569E-3</v>
      </c>
      <c r="AF683" s="33">
        <f t="shared" si="135"/>
        <v>7.6785476036707559E-2</v>
      </c>
      <c r="AG683" s="33">
        <f t="shared" si="136"/>
        <v>3.2606924460715369E-5</v>
      </c>
      <c r="AH683" s="35">
        <f t="shared" si="137"/>
        <v>0.10173722784770892</v>
      </c>
      <c r="AI683" s="36">
        <f t="shared" si="168"/>
        <v>0.42979042041541859</v>
      </c>
      <c r="AJ683" s="23" t="s">
        <v>1615</v>
      </c>
      <c r="AK683" s="23"/>
      <c r="AL683" s="44"/>
      <c r="AM683" s="44"/>
      <c r="AN683" s="44"/>
      <c r="AO683" s="44"/>
      <c r="AP683" s="44"/>
      <c r="AQ683" s="44"/>
      <c r="AR683" s="44"/>
    </row>
    <row r="684" spans="1:44" ht="16.8">
      <c r="A684" s="78" t="s">
        <v>1616</v>
      </c>
      <c r="B684" s="79">
        <v>265</v>
      </c>
      <c r="C684" s="1" t="s">
        <v>1617</v>
      </c>
      <c r="D684" s="19" t="s">
        <v>1618</v>
      </c>
      <c r="E684" s="20" t="s">
        <v>39</v>
      </c>
      <c r="F684" s="21">
        <v>2006</v>
      </c>
      <c r="G684" s="40">
        <v>2021</v>
      </c>
      <c r="H684" s="23">
        <v>1261081597452</v>
      </c>
      <c r="I684" s="23">
        <v>1840159269213</v>
      </c>
      <c r="J684" s="23">
        <v>1344192801971</v>
      </c>
      <c r="K684" s="23">
        <f>(J684+1069421903500/2)</f>
        <v>1878903753721</v>
      </c>
      <c r="L684" s="23">
        <v>1214410608710</v>
      </c>
      <c r="M684" s="23">
        <f t="shared" si="195"/>
        <v>495966467242</v>
      </c>
      <c r="N684" s="23">
        <v>4079425418438</v>
      </c>
      <c r="O684" s="25">
        <f t="shared" si="161"/>
        <v>46670988742</v>
      </c>
      <c r="P684" s="23">
        <v>14621280655</v>
      </c>
      <c r="Q684" s="23">
        <f>351202648912+59371431142</f>
        <v>410574080054</v>
      </c>
      <c r="R684" s="25">
        <f t="shared" si="162"/>
        <v>3668851338384</v>
      </c>
      <c r="S684" s="26">
        <f t="shared" si="163"/>
        <v>0.7304763367281164</v>
      </c>
      <c r="T684" s="27">
        <f t="shared" si="164"/>
        <v>1.0384309791163435</v>
      </c>
      <c r="U684" s="26">
        <f t="shared" si="165"/>
        <v>28.240873243158291</v>
      </c>
      <c r="V684" s="26">
        <f t="shared" si="166"/>
        <v>2.1711731696522851</v>
      </c>
      <c r="W684" s="91" t="s">
        <v>1619</v>
      </c>
      <c r="X684" s="29">
        <v>12270</v>
      </c>
      <c r="Y684" s="91">
        <v>291200</v>
      </c>
      <c r="Z684" s="30">
        <f t="shared" si="179"/>
        <v>3573024000</v>
      </c>
      <c r="AA684" s="31">
        <f t="shared" si="167"/>
        <v>15</v>
      </c>
      <c r="AB684" s="32">
        <v>1.84E-2</v>
      </c>
      <c r="AC684" s="32">
        <v>2.58E-2</v>
      </c>
      <c r="AD684" s="33">
        <f t="shared" si="133"/>
        <v>2.5362472435312769E-2</v>
      </c>
      <c r="AE684" s="34">
        <f t="shared" si="134"/>
        <v>7.9456604108258701E-3</v>
      </c>
      <c r="AF684" s="33">
        <f t="shared" si="135"/>
        <v>1.9937683654703953</v>
      </c>
      <c r="AG684" s="33">
        <f t="shared" si="136"/>
        <v>2.6581186826479418E-3</v>
      </c>
      <c r="AH684" s="35">
        <f t="shared" si="137"/>
        <v>3.0348514085600726</v>
      </c>
      <c r="AI684" s="36">
        <f t="shared" si="168"/>
        <v>9.657440777319497</v>
      </c>
      <c r="AJ684" s="23"/>
      <c r="AK684" s="23"/>
      <c r="AL684" s="44"/>
      <c r="AM684" s="44"/>
      <c r="AN684" s="44"/>
      <c r="AO684" s="44"/>
      <c r="AP684" s="44"/>
      <c r="AQ684" s="44"/>
      <c r="AR684" s="44"/>
    </row>
    <row r="685" spans="1:44" ht="16.8">
      <c r="A685" s="78" t="s">
        <v>1620</v>
      </c>
      <c r="B685" s="79"/>
      <c r="C685" s="1" t="s">
        <v>1617</v>
      </c>
      <c r="D685" s="19" t="s">
        <v>1618</v>
      </c>
      <c r="E685" s="20" t="s">
        <v>39</v>
      </c>
      <c r="F685" s="21">
        <v>2006</v>
      </c>
      <c r="G685" s="40">
        <v>2022</v>
      </c>
      <c r="H685" s="23">
        <v>874028320259</v>
      </c>
      <c r="I685" s="23">
        <v>1456656227079</v>
      </c>
      <c r="J685" s="23">
        <v>958138862157</v>
      </c>
      <c r="K685" s="23">
        <f t="shared" ref="K685:K686" si="208">(J685+J684)/2</f>
        <v>1151165832064</v>
      </c>
      <c r="L685" s="23">
        <v>790280213959</v>
      </c>
      <c r="M685" s="23">
        <f t="shared" si="195"/>
        <v>498517364922</v>
      </c>
      <c r="N685" s="23">
        <v>4601402944488</v>
      </c>
      <c r="O685" s="25">
        <f t="shared" si="161"/>
        <v>83748106300</v>
      </c>
      <c r="P685" s="23">
        <v>16300897680</v>
      </c>
      <c r="Q685" s="23">
        <f>372249744222+49571161860</f>
        <v>421820906082</v>
      </c>
      <c r="R685" s="25">
        <f t="shared" si="162"/>
        <v>4179582038406</v>
      </c>
      <c r="S685" s="26">
        <f t="shared" si="163"/>
        <v>0.65776594665601662</v>
      </c>
      <c r="T685" s="27">
        <f t="shared" si="164"/>
        <v>1.1059726725036607</v>
      </c>
      <c r="U685" s="26">
        <f t="shared" si="165"/>
        <v>28.007164669577268</v>
      </c>
      <c r="V685" s="26">
        <f t="shared" si="166"/>
        <v>3.997167754916636</v>
      </c>
      <c r="W685" s="94">
        <v>45694</v>
      </c>
      <c r="X685" s="42">
        <v>6020</v>
      </c>
      <c r="Y685" s="91">
        <v>27000</v>
      </c>
      <c r="Z685" s="30">
        <f t="shared" si="179"/>
        <v>162540000</v>
      </c>
      <c r="AA685" s="31">
        <f t="shared" si="167"/>
        <v>16</v>
      </c>
      <c r="AB685" s="32">
        <v>3.15E-2</v>
      </c>
      <c r="AC685" s="32">
        <v>8.0199999999999994E-2</v>
      </c>
      <c r="AD685" s="33">
        <f t="shared" si="133"/>
        <v>5.7493391194941165E-2</v>
      </c>
      <c r="AE685" s="34">
        <f t="shared" si="134"/>
        <v>1.119062780700689E-2</v>
      </c>
      <c r="AF685" s="33">
        <f t="shared" si="135"/>
        <v>2.869298850825786</v>
      </c>
      <c r="AG685" s="33">
        <f t="shared" si="136"/>
        <v>1.6964138124413777E-4</v>
      </c>
      <c r="AH685" s="35">
        <f t="shared" si="137"/>
        <v>4.8024384838426659</v>
      </c>
      <c r="AI685" s="36">
        <f t="shared" si="168"/>
        <v>14.355885424760245</v>
      </c>
      <c r="AJ685" s="23"/>
      <c r="AK685" s="23"/>
      <c r="AL685" s="44"/>
      <c r="AM685" s="44"/>
      <c r="AN685" s="44"/>
      <c r="AO685" s="44"/>
      <c r="AP685" s="44"/>
      <c r="AQ685" s="44"/>
      <c r="AR685" s="44"/>
    </row>
    <row r="686" spans="1:44" ht="16.8">
      <c r="A686" s="78" t="s">
        <v>1621</v>
      </c>
      <c r="B686" s="79"/>
      <c r="C686" s="1" t="s">
        <v>1617</v>
      </c>
      <c r="D686" s="19" t="s">
        <v>1618</v>
      </c>
      <c r="E686" s="20" t="s">
        <v>39</v>
      </c>
      <c r="F686" s="21">
        <v>2006</v>
      </c>
      <c r="G686" s="40">
        <v>2023</v>
      </c>
      <c r="H686" s="23">
        <v>1237945539655</v>
      </c>
      <c r="I686" s="23">
        <v>1799721555871</v>
      </c>
      <c r="J686" s="23">
        <v>1316367790243</v>
      </c>
      <c r="K686" s="23">
        <f t="shared" si="208"/>
        <v>1137253326200</v>
      </c>
      <c r="L686" s="23">
        <v>1130600701490</v>
      </c>
      <c r="M686" s="23">
        <f t="shared" si="195"/>
        <v>483353765628</v>
      </c>
      <c r="N686" s="23">
        <v>4441965085354</v>
      </c>
      <c r="O686" s="25">
        <f t="shared" si="161"/>
        <v>107344838165</v>
      </c>
      <c r="P686" s="23">
        <v>1086400706</v>
      </c>
      <c r="Q686" s="23">
        <f>381861779509+64713182687</f>
        <v>446574962196</v>
      </c>
      <c r="R686" s="25">
        <f t="shared" si="162"/>
        <v>3995390123158</v>
      </c>
      <c r="S686" s="26">
        <f t="shared" si="163"/>
        <v>0.73142858457675453</v>
      </c>
      <c r="T686" s="27">
        <f t="shared" si="164"/>
        <v>1.0949449598107732</v>
      </c>
      <c r="U686" s="26">
        <f t="shared" si="165"/>
        <v>28.218653077681974</v>
      </c>
      <c r="V686" s="26">
        <f t="shared" si="166"/>
        <v>3.9058712628226031</v>
      </c>
      <c r="W686" s="91" t="s">
        <v>1622</v>
      </c>
      <c r="X686" s="29">
        <v>8210</v>
      </c>
      <c r="Y686" s="91">
        <v>41800</v>
      </c>
      <c r="Z686" s="30">
        <f t="shared" si="179"/>
        <v>343178000</v>
      </c>
      <c r="AA686" s="31">
        <f t="shared" si="167"/>
        <v>17</v>
      </c>
      <c r="AB686" s="32">
        <v>3.2500000000000001E-2</v>
      </c>
      <c r="AC686" s="32">
        <v>5.0500000000000003E-2</v>
      </c>
      <c r="AD686" s="33">
        <f t="shared" ref="AD686:AD776" si="209">O686/I686</f>
        <v>5.9645247796706526E-2</v>
      </c>
      <c r="AE686" s="34">
        <f t="shared" ref="AE686:AE776" si="210">P686/I686</f>
        <v>6.0364932700615538E-4</v>
      </c>
      <c r="AF686" s="33">
        <f t="shared" ref="AF686:AF776" si="211">R686/I686</f>
        <v>2.2200045946687434</v>
      </c>
      <c r="AG686" s="33">
        <f t="shared" ref="AG686:AG776" si="212">Z686/J686</f>
        <v>2.6070069667736987E-4</v>
      </c>
      <c r="AH686" s="35">
        <f t="shared" ref="AH686:AH776" si="213">N686/J686</f>
        <v>3.3744103420625464</v>
      </c>
      <c r="AI686" s="36">
        <f t="shared" si="168"/>
        <v>10.773001331301263</v>
      </c>
      <c r="AJ686" s="23"/>
      <c r="AK686" s="23"/>
      <c r="AL686" s="44"/>
      <c r="AM686" s="44"/>
      <c r="AN686" s="44"/>
      <c r="AO686" s="44"/>
      <c r="AP686" s="44"/>
      <c r="AQ686" s="44"/>
      <c r="AR686" s="44"/>
    </row>
    <row r="687" spans="1:44" ht="16.8">
      <c r="A687" s="78" t="s">
        <v>1623</v>
      </c>
      <c r="B687" s="79">
        <v>266</v>
      </c>
      <c r="C687" s="1" t="s">
        <v>1624</v>
      </c>
      <c r="D687" s="19" t="s">
        <v>1625</v>
      </c>
      <c r="E687" s="20" t="s">
        <v>39</v>
      </c>
      <c r="F687" s="21">
        <v>1996</v>
      </c>
      <c r="G687" s="40">
        <v>2021</v>
      </c>
      <c r="H687" s="23">
        <v>21116155925062</v>
      </c>
      <c r="I687" s="23">
        <v>24282101330350</v>
      </c>
      <c r="J687" s="23">
        <v>16442138006795</v>
      </c>
      <c r="K687" s="23">
        <f>(J687+15069970112953)/2</f>
        <v>15756054059874</v>
      </c>
      <c r="L687" s="23">
        <v>16375453556221</v>
      </c>
      <c r="M687" s="23">
        <f t="shared" si="195"/>
        <v>7839963323555</v>
      </c>
      <c r="N687" s="23">
        <v>10247637410288</v>
      </c>
      <c r="O687" s="25">
        <f t="shared" si="161"/>
        <v>4740702368841</v>
      </c>
      <c r="P687" s="23">
        <v>870629590727</v>
      </c>
      <c r="Q687" s="23">
        <v>678521234648</v>
      </c>
      <c r="R687" s="25">
        <f t="shared" si="162"/>
        <v>9569116175640</v>
      </c>
      <c r="S687" s="26">
        <f t="shared" si="163"/>
        <v>0.67712994782062397</v>
      </c>
      <c r="T687" s="27">
        <f t="shared" si="164"/>
        <v>1.2895005229971184</v>
      </c>
      <c r="U687" s="26">
        <f t="shared" si="165"/>
        <v>30.820760624106036</v>
      </c>
      <c r="V687" s="26">
        <f t="shared" si="166"/>
        <v>0.65039364369697716</v>
      </c>
      <c r="W687" s="91" t="s">
        <v>1626</v>
      </c>
      <c r="X687" s="29">
        <v>40180</v>
      </c>
      <c r="Y687" s="91">
        <v>170110</v>
      </c>
      <c r="Z687" s="30">
        <f t="shared" si="179"/>
        <v>6835019800</v>
      </c>
      <c r="AA687" s="31">
        <f t="shared" si="167"/>
        <v>25</v>
      </c>
      <c r="AB687" s="32">
        <v>1.84E-2</v>
      </c>
      <c r="AC687" s="32">
        <v>2.58E-2</v>
      </c>
      <c r="AD687" s="33">
        <f t="shared" si="209"/>
        <v>0.19523443644128258</v>
      </c>
      <c r="AE687" s="34">
        <f t="shared" si="210"/>
        <v>3.5854787807791874E-2</v>
      </c>
      <c r="AF687" s="33">
        <f t="shared" si="211"/>
        <v>0.39408105770811686</v>
      </c>
      <c r="AG687" s="33">
        <f t="shared" si="212"/>
        <v>4.1570140070441625E-4</v>
      </c>
      <c r="AH687" s="35">
        <f t="shared" si="213"/>
        <v>0.62325455521982509</v>
      </c>
      <c r="AI687" s="36">
        <f t="shared" si="168"/>
        <v>2.208449493157481</v>
      </c>
      <c r="AJ687" s="23" t="s">
        <v>1627</v>
      </c>
      <c r="AK687" s="23"/>
      <c r="AL687" s="44"/>
      <c r="AM687" s="44"/>
      <c r="AN687" s="44"/>
      <c r="AO687" s="44"/>
      <c r="AP687" s="44"/>
      <c r="AQ687" s="44"/>
      <c r="AR687" s="44"/>
    </row>
    <row r="688" spans="1:44" ht="16.8">
      <c r="A688" s="78" t="s">
        <v>1628</v>
      </c>
      <c r="B688" s="79"/>
      <c r="C688" s="1" t="s">
        <v>1624</v>
      </c>
      <c r="D688" s="19" t="s">
        <v>1625</v>
      </c>
      <c r="E688" s="20" t="s">
        <v>39</v>
      </c>
      <c r="F688" s="21">
        <v>1996</v>
      </c>
      <c r="G688" s="40">
        <v>2022</v>
      </c>
      <c r="H688" s="23">
        <v>22625450091452</v>
      </c>
      <c r="I688" s="23">
        <v>26123593294919</v>
      </c>
      <c r="J688" s="23">
        <v>18264565039405</v>
      </c>
      <c r="K688" s="23">
        <f t="shared" ref="K688:K689" si="214">(J688+J687)/2</f>
        <v>17353351523100</v>
      </c>
      <c r="L688" s="23">
        <v>18195198823410</v>
      </c>
      <c r="M688" s="23">
        <f t="shared" si="195"/>
        <v>7859028255514</v>
      </c>
      <c r="N688" s="24">
        <v>13378373078426</v>
      </c>
      <c r="O688" s="25">
        <f t="shared" si="161"/>
        <v>4430251268042</v>
      </c>
      <c r="P688" s="23">
        <v>873177673424</v>
      </c>
      <c r="Q688" s="23">
        <v>660353845946</v>
      </c>
      <c r="R688" s="25">
        <f t="shared" si="162"/>
        <v>12718019232480</v>
      </c>
      <c r="S688" s="26">
        <f t="shared" si="163"/>
        <v>0.69915975314764334</v>
      </c>
      <c r="T688" s="27">
        <f t="shared" si="164"/>
        <v>1.2434846308105205</v>
      </c>
      <c r="U688" s="26">
        <f t="shared" si="165"/>
        <v>30.893859979593255</v>
      </c>
      <c r="V688" s="26">
        <f t="shared" si="166"/>
        <v>0.77093886219139351</v>
      </c>
      <c r="W688" s="91" t="s">
        <v>1629</v>
      </c>
      <c r="X688" s="29">
        <v>42300</v>
      </c>
      <c r="Y688" s="91">
        <v>141500</v>
      </c>
      <c r="Z688" s="30">
        <f t="shared" si="179"/>
        <v>5985450000</v>
      </c>
      <c r="AA688" s="31">
        <f t="shared" si="167"/>
        <v>26</v>
      </c>
      <c r="AB688" s="32">
        <v>3.15E-2</v>
      </c>
      <c r="AC688" s="32">
        <v>8.0199999999999994E-2</v>
      </c>
      <c r="AD688" s="33">
        <f t="shared" si="209"/>
        <v>0.16958812740755985</v>
      </c>
      <c r="AE688" s="34">
        <f t="shared" si="210"/>
        <v>3.3424868606947412E-2</v>
      </c>
      <c r="AF688" s="33">
        <f t="shared" si="211"/>
        <v>0.48684034730220804</v>
      </c>
      <c r="AG688" s="33">
        <f t="shared" si="212"/>
        <v>3.2770832412853268E-4</v>
      </c>
      <c r="AH688" s="35">
        <f t="shared" si="213"/>
        <v>0.7324769601445611</v>
      </c>
      <c r="AI688" s="36">
        <f t="shared" si="168"/>
        <v>2.589547300175123</v>
      </c>
      <c r="AJ688" s="23" t="s">
        <v>1627</v>
      </c>
      <c r="AK688" s="23"/>
      <c r="AL688" s="44"/>
      <c r="AM688" s="44"/>
      <c r="AN688" s="44"/>
      <c r="AO688" s="44"/>
      <c r="AP688" s="44"/>
      <c r="AQ688" s="44"/>
      <c r="AR688" s="44"/>
    </row>
    <row r="689" spans="1:44" ht="16.8">
      <c r="A689" s="78" t="s">
        <v>1630</v>
      </c>
      <c r="B689" s="79"/>
      <c r="C689" s="1" t="s">
        <v>1624</v>
      </c>
      <c r="D689" s="19" t="s">
        <v>1625</v>
      </c>
      <c r="E689" s="20" t="s">
        <v>39</v>
      </c>
      <c r="F689" s="21">
        <v>1996</v>
      </c>
      <c r="G689" s="40">
        <v>2023</v>
      </c>
      <c r="H689" s="23">
        <v>21466480851646</v>
      </c>
      <c r="I689" s="23">
        <v>26942678995220</v>
      </c>
      <c r="J689" s="23">
        <v>18843302734767</v>
      </c>
      <c r="K689" s="23">
        <f t="shared" si="214"/>
        <v>18553933887086</v>
      </c>
      <c r="L689" s="23">
        <v>18697769023111</v>
      </c>
      <c r="M689" s="23">
        <f t="shared" si="195"/>
        <v>8099376260453</v>
      </c>
      <c r="N689" s="24">
        <v>14661051650660</v>
      </c>
      <c r="O689" s="25">
        <f t="shared" si="161"/>
        <v>2768711828535</v>
      </c>
      <c r="P689" s="23">
        <v>1006501256552</v>
      </c>
      <c r="Q689" s="23">
        <v>727852418881</v>
      </c>
      <c r="R689" s="25">
        <f t="shared" si="162"/>
        <v>13933199231779</v>
      </c>
      <c r="S689" s="26">
        <f t="shared" si="163"/>
        <v>0.69938489554472516</v>
      </c>
      <c r="T689" s="27">
        <f t="shared" si="164"/>
        <v>1.1480771222017339</v>
      </c>
      <c r="U689" s="26">
        <f t="shared" si="165"/>
        <v>30.924732724996332</v>
      </c>
      <c r="V689" s="26">
        <f t="shared" si="166"/>
        <v>0.79018561453775882</v>
      </c>
      <c r="W689" s="91" t="s">
        <v>1631</v>
      </c>
      <c r="X689" s="29">
        <v>42060</v>
      </c>
      <c r="Y689" s="91">
        <v>7081</v>
      </c>
      <c r="Z689" s="30">
        <f t="shared" si="179"/>
        <v>297826860</v>
      </c>
      <c r="AA689" s="31">
        <f t="shared" si="167"/>
        <v>27</v>
      </c>
      <c r="AB689" s="32">
        <v>3.2500000000000001E-2</v>
      </c>
      <c r="AC689" s="32">
        <v>5.0500000000000003E-2</v>
      </c>
      <c r="AD689" s="33">
        <f t="shared" si="209"/>
        <v>0.10276304850850977</v>
      </c>
      <c r="AE689" s="34">
        <f t="shared" si="210"/>
        <v>3.7357133517812655E-2</v>
      </c>
      <c r="AF689" s="33">
        <f t="shared" si="211"/>
        <v>0.51714230920581206</v>
      </c>
      <c r="AG689" s="33">
        <f t="shared" si="212"/>
        <v>1.5805448980580882E-5</v>
      </c>
      <c r="AH689" s="35">
        <f t="shared" si="213"/>
        <v>0.77805105914949291</v>
      </c>
      <c r="AI689" s="36">
        <f t="shared" si="168"/>
        <v>2.6602458079332103</v>
      </c>
      <c r="AJ689" s="23" t="s">
        <v>1627</v>
      </c>
      <c r="AK689" s="23"/>
      <c r="AL689" s="44"/>
      <c r="AM689" s="44"/>
      <c r="AN689" s="44"/>
      <c r="AO689" s="44"/>
      <c r="AP689" s="44"/>
      <c r="AQ689" s="44"/>
      <c r="AR689" s="44"/>
    </row>
    <row r="690" spans="1:44" ht="16.8">
      <c r="A690" s="17" t="s">
        <v>1632</v>
      </c>
      <c r="B690" s="18">
        <v>267</v>
      </c>
      <c r="C690" s="18" t="s">
        <v>1633</v>
      </c>
      <c r="D690" s="19" t="s">
        <v>1634</v>
      </c>
      <c r="E690" s="20" t="s">
        <v>178</v>
      </c>
      <c r="F690" s="21">
        <v>2007</v>
      </c>
      <c r="G690" s="40">
        <v>2021</v>
      </c>
      <c r="H690" s="23">
        <v>159891057178</v>
      </c>
      <c r="I690" s="23">
        <v>409402116810</v>
      </c>
      <c r="J690" s="23">
        <v>156229032925</v>
      </c>
      <c r="K690" s="23">
        <f>(J690+163284133705)/2</f>
        <v>159756583315</v>
      </c>
      <c r="L690" s="23">
        <v>155358646043</v>
      </c>
      <c r="M690" s="23">
        <f t="shared" si="195"/>
        <v>253173083885</v>
      </c>
      <c r="N690" s="23">
        <v>23741669823</v>
      </c>
      <c r="O690" s="25">
        <f t="shared" si="161"/>
        <v>4532411135</v>
      </c>
      <c r="P690" s="23">
        <v>17130485308</v>
      </c>
      <c r="Q690" s="23">
        <v>6752054173</v>
      </c>
      <c r="R690" s="25">
        <f t="shared" si="162"/>
        <v>16989615650</v>
      </c>
      <c r="S690" s="26">
        <f t="shared" si="163"/>
        <v>0.38160289483189103</v>
      </c>
      <c r="T690" s="27">
        <f t="shared" si="164"/>
        <v>1.0291738583621894</v>
      </c>
      <c r="U690" s="26">
        <f t="shared" si="165"/>
        <v>26.737963680678064</v>
      </c>
      <c r="V690" s="26">
        <f t="shared" si="166"/>
        <v>0.14861152717686363</v>
      </c>
      <c r="W690" s="143"/>
      <c r="X690" s="143"/>
      <c r="Y690" s="143"/>
      <c r="Z690" s="30">
        <f>W690*Y690</f>
        <v>0</v>
      </c>
      <c r="AA690" s="31">
        <f t="shared" si="167"/>
        <v>14</v>
      </c>
      <c r="AB690" s="32"/>
      <c r="AC690" s="144"/>
      <c r="AD690" s="33">
        <f t="shared" si="209"/>
        <v>1.1070805325375133E-2</v>
      </c>
      <c r="AE690" s="34">
        <f t="shared" si="210"/>
        <v>4.1842688654074818E-2</v>
      </c>
      <c r="AF690" s="33">
        <f t="shared" si="211"/>
        <v>4.1498602357947098E-2</v>
      </c>
      <c r="AG690" s="33">
        <f t="shared" si="212"/>
        <v>0</v>
      </c>
      <c r="AH690" s="35">
        <f t="shared" si="213"/>
        <v>0.15196707922014424</v>
      </c>
      <c r="AI690" s="36">
        <f t="shared" si="168"/>
        <v>0.36077719750752457</v>
      </c>
      <c r="AJ690" s="23" t="s">
        <v>1627</v>
      </c>
      <c r="AK690" s="23"/>
      <c r="AL690" s="44"/>
      <c r="AM690" s="44"/>
      <c r="AN690" s="44"/>
      <c r="AO690" s="44"/>
      <c r="AP690" s="44"/>
      <c r="AQ690" s="44"/>
      <c r="AR690" s="44"/>
    </row>
    <row r="691" spans="1:44" ht="16.8">
      <c r="A691" s="17" t="s">
        <v>1635</v>
      </c>
      <c r="B691" s="18"/>
      <c r="C691" s="18" t="s">
        <v>1633</v>
      </c>
      <c r="D691" s="19" t="s">
        <v>1634</v>
      </c>
      <c r="E691" s="20" t="s">
        <v>178</v>
      </c>
      <c r="F691" s="21">
        <v>2007</v>
      </c>
      <c r="G691" s="40">
        <v>2022</v>
      </c>
      <c r="H691" s="23">
        <v>128091409367</v>
      </c>
      <c r="I691" s="23">
        <v>409159121387</v>
      </c>
      <c r="J691" s="23">
        <v>156056206602</v>
      </c>
      <c r="K691" s="23">
        <f t="shared" ref="K691:K692" si="215">(J691+J690)/2</f>
        <v>156142619763.5</v>
      </c>
      <c r="L691" s="23">
        <v>155168659720</v>
      </c>
      <c r="M691" s="23">
        <f t="shared" si="195"/>
        <v>253102914785</v>
      </c>
      <c r="N691" s="23">
        <v>3051792783</v>
      </c>
      <c r="O691" s="25">
        <f t="shared" si="161"/>
        <v>-27077250353</v>
      </c>
      <c r="P691" s="23">
        <v>346776187</v>
      </c>
      <c r="Q691" s="23">
        <v>5374888583</v>
      </c>
      <c r="R691" s="25">
        <f t="shared" si="162"/>
        <v>-2323095800</v>
      </c>
      <c r="S691" s="26">
        <f t="shared" si="163"/>
        <v>0.38140713097874568</v>
      </c>
      <c r="T691" s="27">
        <f t="shared" si="164"/>
        <v>0.82549794267824073</v>
      </c>
      <c r="U691" s="26">
        <f t="shared" si="165"/>
        <v>26.73736996717491</v>
      </c>
      <c r="V691" s="26">
        <f t="shared" si="166"/>
        <v>1.9544905725434672E-2</v>
      </c>
      <c r="W691" s="143"/>
      <c r="X691" s="143"/>
      <c r="Y691" s="143"/>
      <c r="Z691" s="30"/>
      <c r="AA691" s="31">
        <f t="shared" si="167"/>
        <v>15</v>
      </c>
      <c r="AB691" s="32"/>
      <c r="AC691" s="144"/>
      <c r="AD691" s="33">
        <f t="shared" si="209"/>
        <v>-6.6177799632601106E-2</v>
      </c>
      <c r="AE691" s="34">
        <f t="shared" si="210"/>
        <v>8.475338050010241E-4</v>
      </c>
      <c r="AF691" s="33">
        <f t="shared" si="211"/>
        <v>-5.6777319105706008E-3</v>
      </c>
      <c r="AG691" s="33">
        <f t="shared" si="212"/>
        <v>0</v>
      </c>
      <c r="AH691" s="35">
        <f t="shared" si="213"/>
        <v>1.9555728345897704E-2</v>
      </c>
      <c r="AI691" s="36">
        <f t="shared" si="168"/>
        <v>-7.7407599191105167E-2</v>
      </c>
      <c r="AJ691" s="23"/>
      <c r="AK691" s="23"/>
      <c r="AL691" s="44"/>
      <c r="AM691" s="44"/>
      <c r="AN691" s="44"/>
      <c r="AO691" s="44"/>
      <c r="AP691" s="44"/>
      <c r="AQ691" s="44"/>
      <c r="AR691" s="44"/>
    </row>
    <row r="692" spans="1:44" ht="16.8">
      <c r="A692" s="17" t="s">
        <v>1636</v>
      </c>
      <c r="B692" s="18"/>
      <c r="C692" s="18" t="s">
        <v>1633</v>
      </c>
      <c r="D692" s="19" t="s">
        <v>1634</v>
      </c>
      <c r="E692" s="20" t="s">
        <v>178</v>
      </c>
      <c r="F692" s="21">
        <v>2007</v>
      </c>
      <c r="G692" s="40">
        <v>2023</v>
      </c>
      <c r="H692" s="23">
        <v>101857559368</v>
      </c>
      <c r="I692" s="23">
        <v>218126453204</v>
      </c>
      <c r="J692" s="23">
        <v>53832211728</v>
      </c>
      <c r="K692" s="23">
        <f t="shared" si="215"/>
        <v>104944209165</v>
      </c>
      <c r="L692" s="23">
        <v>53711989501</v>
      </c>
      <c r="M692" s="23">
        <f t="shared" si="195"/>
        <v>164294241476</v>
      </c>
      <c r="N692" s="23">
        <v>1445583263</v>
      </c>
      <c r="O692" s="25">
        <f t="shared" si="161"/>
        <v>48145569867</v>
      </c>
      <c r="P692" s="23">
        <v>-88808673309</v>
      </c>
      <c r="Q692" s="23">
        <v>10942708263</v>
      </c>
      <c r="R692" s="25">
        <f t="shared" si="162"/>
        <v>-9497125000</v>
      </c>
      <c r="S692" s="26">
        <f t="shared" si="163"/>
        <v>0.24679359581230667</v>
      </c>
      <c r="T692" s="27">
        <f t="shared" si="164"/>
        <v>1.8963654170006798</v>
      </c>
      <c r="U692" s="26">
        <f t="shared" si="165"/>
        <v>26.108340792134204</v>
      </c>
      <c r="V692" s="26">
        <f t="shared" si="166"/>
        <v>1.3774778756273837E-2</v>
      </c>
      <c r="W692" s="143"/>
      <c r="X692" s="143"/>
      <c r="Y692" s="143"/>
      <c r="Z692" s="30"/>
      <c r="AA692" s="31">
        <f t="shared" si="167"/>
        <v>16</v>
      </c>
      <c r="AB692" s="32"/>
      <c r="AC692" s="144"/>
      <c r="AD692" s="33">
        <f t="shared" si="209"/>
        <v>0.22072320509412247</v>
      </c>
      <c r="AE692" s="34">
        <f t="shared" si="210"/>
        <v>-0.40714306772293601</v>
      </c>
      <c r="AF692" s="33">
        <f t="shared" si="211"/>
        <v>-4.3539538008798659E-2</v>
      </c>
      <c r="AG692" s="33">
        <f t="shared" si="212"/>
        <v>0</v>
      </c>
      <c r="AH692" s="35">
        <f t="shared" si="213"/>
        <v>2.6853499356559077E-2</v>
      </c>
      <c r="AI692" s="36">
        <f t="shared" si="168"/>
        <v>-0.42195942477163989</v>
      </c>
      <c r="AJ692" s="23"/>
      <c r="AK692" s="23"/>
      <c r="AL692" s="44"/>
      <c r="AM692" s="44"/>
      <c r="AN692" s="44"/>
      <c r="AO692" s="44"/>
      <c r="AP692" s="44"/>
      <c r="AQ692" s="44"/>
      <c r="AR692" s="44"/>
    </row>
    <row r="693" spans="1:44" ht="16.8">
      <c r="A693" s="17" t="s">
        <v>1637</v>
      </c>
      <c r="B693" s="18">
        <v>268</v>
      </c>
      <c r="C693" s="18" t="s">
        <v>1638</v>
      </c>
      <c r="D693" s="19" t="s">
        <v>1639</v>
      </c>
      <c r="E693" s="20" t="s">
        <v>178</v>
      </c>
      <c r="F693" s="21">
        <v>2006</v>
      </c>
      <c r="G693" s="40">
        <v>2021</v>
      </c>
      <c r="H693" s="23">
        <v>728031731800</v>
      </c>
      <c r="I693" s="23">
        <v>997741987249</v>
      </c>
      <c r="J693" s="23">
        <v>526952366671</v>
      </c>
      <c r="K693" s="23">
        <f>(J693+529702394163)/2</f>
        <v>528327380417</v>
      </c>
      <c r="L693" s="23">
        <v>518558926560</v>
      </c>
      <c r="M693" s="23">
        <f t="shared" si="195"/>
        <v>470789620578</v>
      </c>
      <c r="N693" s="23">
        <v>7121391800</v>
      </c>
      <c r="O693" s="25">
        <f t="shared" si="161"/>
        <v>209472805240</v>
      </c>
      <c r="P693" s="23">
        <v>1719742964</v>
      </c>
      <c r="Q693" s="23">
        <v>1523435273</v>
      </c>
      <c r="R693" s="25">
        <f t="shared" si="162"/>
        <v>5597956527</v>
      </c>
      <c r="S693" s="26">
        <f t="shared" si="163"/>
        <v>0.52814492464522489</v>
      </c>
      <c r="T693" s="27">
        <f t="shared" si="164"/>
        <v>1.4039517873688805</v>
      </c>
      <c r="U693" s="26">
        <f t="shared" si="165"/>
        <v>27.628760550022662</v>
      </c>
      <c r="V693" s="26">
        <f t="shared" si="166"/>
        <v>1.3479126889806854E-2</v>
      </c>
      <c r="W693" s="143"/>
      <c r="X693" s="143"/>
      <c r="Y693" s="143"/>
      <c r="Z693" s="30">
        <f>W693*Y693</f>
        <v>0</v>
      </c>
      <c r="AA693" s="31">
        <f t="shared" si="167"/>
        <v>15</v>
      </c>
      <c r="AB693" s="32"/>
      <c r="AC693" s="144"/>
      <c r="AD693" s="33">
        <f t="shared" si="209"/>
        <v>0.20994686794485198</v>
      </c>
      <c r="AE693" s="34">
        <f t="shared" si="210"/>
        <v>1.7236349537035319E-3</v>
      </c>
      <c r="AF693" s="33">
        <f t="shared" si="211"/>
        <v>5.6106253906732248E-3</v>
      </c>
      <c r="AG693" s="33">
        <f t="shared" si="212"/>
        <v>0</v>
      </c>
      <c r="AH693" s="35">
        <f t="shared" si="213"/>
        <v>1.3514298920392182E-2</v>
      </c>
      <c r="AI693" s="36">
        <f t="shared" si="168"/>
        <v>0.28637869317862114</v>
      </c>
      <c r="AJ693" s="23" t="s">
        <v>85</v>
      </c>
      <c r="AK693" s="23"/>
      <c r="AL693" s="44"/>
      <c r="AM693" s="44"/>
      <c r="AN693" s="44"/>
      <c r="AO693" s="44"/>
      <c r="AP693" s="44"/>
      <c r="AQ693" s="44"/>
      <c r="AR693" s="44"/>
    </row>
    <row r="694" spans="1:44" ht="16.8">
      <c r="A694" s="17" t="s">
        <v>1640</v>
      </c>
      <c r="B694" s="18"/>
      <c r="C694" s="18" t="s">
        <v>1638</v>
      </c>
      <c r="D694" s="19" t="s">
        <v>1639</v>
      </c>
      <c r="E694" s="20" t="s">
        <v>178</v>
      </c>
      <c r="F694" s="21">
        <v>2006</v>
      </c>
      <c r="G694" s="40">
        <v>2022</v>
      </c>
      <c r="H694" s="23">
        <v>726218356526</v>
      </c>
      <c r="I694" s="23">
        <v>982525552385</v>
      </c>
      <c r="J694" s="23">
        <v>515562130137</v>
      </c>
      <c r="K694" s="23">
        <f t="shared" ref="K694:K695" si="216">(J694+J693)/2</f>
        <v>521257248404</v>
      </c>
      <c r="L694" s="23">
        <v>515562130137</v>
      </c>
      <c r="M694" s="23">
        <f t="shared" si="195"/>
        <v>466963422248</v>
      </c>
      <c r="N694" s="23">
        <v>0</v>
      </c>
      <c r="O694" s="25">
        <f t="shared" si="161"/>
        <v>210656226389</v>
      </c>
      <c r="P694" s="23">
        <v>-3826198330</v>
      </c>
      <c r="Q694" s="23">
        <v>703384225</v>
      </c>
      <c r="R694" s="25">
        <f t="shared" si="162"/>
        <v>-703384225</v>
      </c>
      <c r="S694" s="26">
        <f t="shared" si="163"/>
        <v>0.52473152365912046</v>
      </c>
      <c r="T694" s="27">
        <f t="shared" si="164"/>
        <v>1.4085952285382606</v>
      </c>
      <c r="U694" s="26">
        <f t="shared" si="165"/>
        <v>27.613392187868179</v>
      </c>
      <c r="V694" s="26">
        <f t="shared" si="166"/>
        <v>0</v>
      </c>
      <c r="W694" s="143"/>
      <c r="X694" s="143"/>
      <c r="Y694" s="143"/>
      <c r="Z694" s="30"/>
      <c r="AA694" s="31">
        <f t="shared" si="167"/>
        <v>16</v>
      </c>
      <c r="AB694" s="32"/>
      <c r="AC694" s="144"/>
      <c r="AD694" s="33">
        <f t="shared" si="209"/>
        <v>0.21440279683072805</v>
      </c>
      <c r="AE694" s="34">
        <f t="shared" si="210"/>
        <v>-3.8942481655690462E-3</v>
      </c>
      <c r="AF694" s="33">
        <f t="shared" si="211"/>
        <v>-7.1589407857392884E-4</v>
      </c>
      <c r="AG694" s="33">
        <f t="shared" si="212"/>
        <v>0</v>
      </c>
      <c r="AH694" s="35">
        <f t="shared" si="213"/>
        <v>0</v>
      </c>
      <c r="AI694" s="36">
        <f t="shared" si="168"/>
        <v>0.24946895830578303</v>
      </c>
      <c r="AJ694" s="23" t="s">
        <v>85</v>
      </c>
      <c r="AK694" s="23"/>
      <c r="AL694" s="44"/>
      <c r="AM694" s="44"/>
      <c r="AN694" s="44"/>
      <c r="AO694" s="44"/>
      <c r="AP694" s="44"/>
      <c r="AQ694" s="44"/>
      <c r="AR694" s="44"/>
    </row>
    <row r="695" spans="1:44" ht="16.8">
      <c r="A695" s="17" t="s">
        <v>1641</v>
      </c>
      <c r="B695" s="18"/>
      <c r="C695" s="18" t="s">
        <v>1638</v>
      </c>
      <c r="D695" s="19" t="s">
        <v>1639</v>
      </c>
      <c r="E695" s="20" t="s">
        <v>178</v>
      </c>
      <c r="F695" s="21">
        <v>2006</v>
      </c>
      <c r="G695" s="40">
        <v>2023</v>
      </c>
      <c r="H695" s="23">
        <v>723352740285</v>
      </c>
      <c r="I695" s="23">
        <v>976099493112</v>
      </c>
      <c r="J695" s="23">
        <v>515709281604</v>
      </c>
      <c r="K695" s="23">
        <f t="shared" si="216"/>
        <v>515635705870.5</v>
      </c>
      <c r="L695" s="23">
        <v>501823972859</v>
      </c>
      <c r="M695" s="23">
        <f t="shared" si="195"/>
        <v>460390211508</v>
      </c>
      <c r="N695" s="23">
        <v>0</v>
      </c>
      <c r="O695" s="25">
        <f t="shared" si="161"/>
        <v>221528767426</v>
      </c>
      <c r="P695" s="23">
        <v>-6573210740</v>
      </c>
      <c r="Q695" s="23">
        <v>192108793</v>
      </c>
      <c r="R695" s="25">
        <f t="shared" si="162"/>
        <v>-192108793</v>
      </c>
      <c r="S695" s="26">
        <f t="shared" si="163"/>
        <v>0.52833679890542296</v>
      </c>
      <c r="T695" s="27">
        <f t="shared" si="164"/>
        <v>1.4414471595764997</v>
      </c>
      <c r="U695" s="26">
        <f t="shared" si="165"/>
        <v>27.606830357827942</v>
      </c>
      <c r="V695" s="26">
        <f t="shared" si="166"/>
        <v>0</v>
      </c>
      <c r="W695" s="143"/>
      <c r="X695" s="143"/>
      <c r="Y695" s="143"/>
      <c r="Z695" s="30"/>
      <c r="AA695" s="31">
        <f t="shared" si="167"/>
        <v>17</v>
      </c>
      <c r="AB695" s="32"/>
      <c r="AC695" s="144"/>
      <c r="AD695" s="33">
        <f t="shared" si="209"/>
        <v>0.22695306061446879</v>
      </c>
      <c r="AE695" s="34">
        <f t="shared" si="210"/>
        <v>-6.7341605916045426E-3</v>
      </c>
      <c r="AF695" s="33">
        <f t="shared" si="211"/>
        <v>-1.9681271669091726E-4</v>
      </c>
      <c r="AG695" s="33">
        <f t="shared" si="212"/>
        <v>0</v>
      </c>
      <c r="AH695" s="35">
        <f t="shared" si="213"/>
        <v>0</v>
      </c>
      <c r="AI695" s="36">
        <f t="shared" si="168"/>
        <v>0.26226636594403618</v>
      </c>
      <c r="AJ695" s="23" t="s">
        <v>85</v>
      </c>
      <c r="AK695" s="23"/>
      <c r="AL695" s="44"/>
      <c r="AM695" s="44"/>
      <c r="AN695" s="44"/>
      <c r="AO695" s="44"/>
      <c r="AP695" s="44"/>
      <c r="AQ695" s="44"/>
      <c r="AR695" s="44"/>
    </row>
    <row r="696" spans="1:44" ht="16.8">
      <c r="A696" s="17" t="s">
        <v>1642</v>
      </c>
      <c r="B696" s="18">
        <v>269</v>
      </c>
      <c r="C696" s="18" t="s">
        <v>1643</v>
      </c>
      <c r="D696" s="19" t="s">
        <v>1644</v>
      </c>
      <c r="E696" s="20" t="s">
        <v>39</v>
      </c>
      <c r="F696" s="21">
        <v>1993</v>
      </c>
      <c r="G696" s="40">
        <v>2021</v>
      </c>
      <c r="H696" s="23">
        <v>15378378675062</v>
      </c>
      <c r="I696" s="23">
        <v>24844977063351</v>
      </c>
      <c r="J696" s="23">
        <v>12310655145782</v>
      </c>
      <c r="K696" s="23">
        <f>(J696+13395159975310)/2</f>
        <v>12852907560546</v>
      </c>
      <c r="L696" s="23">
        <v>8735376980582</v>
      </c>
      <c r="M696" s="23">
        <f t="shared" si="195"/>
        <v>12534321917569</v>
      </c>
      <c r="N696" s="23">
        <v>14215477732078</v>
      </c>
      <c r="O696" s="25">
        <f t="shared" si="161"/>
        <v>6643001694480</v>
      </c>
      <c r="P696" s="23">
        <v>677264217905</v>
      </c>
      <c r="Q696" s="23">
        <f>89440083792+712481910717</f>
        <v>801921994509</v>
      </c>
      <c r="R696" s="25">
        <f t="shared" si="162"/>
        <v>13413555737569</v>
      </c>
      <c r="S696" s="26">
        <f t="shared" si="163"/>
        <v>0.4954987527012667</v>
      </c>
      <c r="T696" s="27">
        <f t="shared" si="164"/>
        <v>1.7604710946358499</v>
      </c>
      <c r="U696" s="26">
        <f t="shared" si="165"/>
        <v>30.843676717792668</v>
      </c>
      <c r="V696" s="26">
        <f t="shared" si="166"/>
        <v>1.1060126018267353</v>
      </c>
      <c r="W696" s="143"/>
      <c r="X696" s="143"/>
      <c r="Y696" s="143"/>
      <c r="Z696" s="30">
        <f>W696*Y696</f>
        <v>0</v>
      </c>
      <c r="AA696" s="31">
        <f t="shared" si="167"/>
        <v>28</v>
      </c>
      <c r="AB696" s="32">
        <v>1.84E-2</v>
      </c>
      <c r="AC696" s="32">
        <v>2.58E-2</v>
      </c>
      <c r="AD696" s="33">
        <f t="shared" si="209"/>
        <v>0.26737805704313322</v>
      </c>
      <c r="AE696" s="34">
        <f t="shared" si="210"/>
        <v>2.7259603266208573E-2</v>
      </c>
      <c r="AF696" s="33">
        <f t="shared" si="211"/>
        <v>0.5398900431007212</v>
      </c>
      <c r="AG696" s="33">
        <f t="shared" si="212"/>
        <v>0</v>
      </c>
      <c r="AH696" s="35">
        <f t="shared" si="213"/>
        <v>1.1547295869910423</v>
      </c>
      <c r="AI696" s="36">
        <f t="shared" si="168"/>
        <v>3.2953838422478743</v>
      </c>
      <c r="AJ696" s="23"/>
      <c r="AK696" s="101">
        <v>1</v>
      </c>
      <c r="AL696" s="44"/>
      <c r="AM696" s="44"/>
      <c r="AN696" s="44"/>
      <c r="AO696" s="44"/>
      <c r="AP696" s="44"/>
      <c r="AQ696" s="44"/>
      <c r="AR696" s="44"/>
    </row>
    <row r="697" spans="1:44" ht="16.8">
      <c r="A697" s="17" t="s">
        <v>1645</v>
      </c>
      <c r="B697" s="18"/>
      <c r="C697" s="18" t="s">
        <v>1643</v>
      </c>
      <c r="D697" s="19" t="s">
        <v>1644</v>
      </c>
      <c r="E697" s="20" t="s">
        <v>39</v>
      </c>
      <c r="F697" s="21">
        <v>1993</v>
      </c>
      <c r="G697" s="40">
        <v>2022</v>
      </c>
      <c r="H697" s="23">
        <v>16388291606616</v>
      </c>
      <c r="I697" s="23">
        <v>25827771639918</v>
      </c>
      <c r="J697" s="23">
        <v>12879176838661</v>
      </c>
      <c r="K697" s="23">
        <f t="shared" ref="K697:K698" si="217">(J697+J696)/2</f>
        <v>12594915992221.5</v>
      </c>
      <c r="L697" s="23">
        <v>9198890888791</v>
      </c>
      <c r="M697" s="23">
        <f t="shared" si="195"/>
        <v>12948594801257</v>
      </c>
      <c r="N697" s="23">
        <v>16378973957230</v>
      </c>
      <c r="O697" s="25">
        <f t="shared" si="161"/>
        <v>7189400717825</v>
      </c>
      <c r="P697" s="23">
        <v>944451937245</v>
      </c>
      <c r="Q697" s="23">
        <f>79326222890+827935784059</f>
        <v>907262006949</v>
      </c>
      <c r="R697" s="25">
        <f t="shared" si="162"/>
        <v>15471711950281</v>
      </c>
      <c r="S697" s="26">
        <f t="shared" si="163"/>
        <v>0.49865613720835461</v>
      </c>
      <c r="T697" s="27">
        <f t="shared" si="164"/>
        <v>1.7815508200652106</v>
      </c>
      <c r="U697" s="26">
        <f t="shared" si="165"/>
        <v>30.882471449083216</v>
      </c>
      <c r="V697" s="26">
        <f t="shared" si="166"/>
        <v>1.3004432873824245</v>
      </c>
      <c r="W697" s="143"/>
      <c r="X697" s="143"/>
      <c r="Y697" s="143"/>
      <c r="Z697" s="30"/>
      <c r="AA697" s="31">
        <f t="shared" si="167"/>
        <v>29</v>
      </c>
      <c r="AB697" s="32">
        <v>3.15E-2</v>
      </c>
      <c r="AC697" s="32">
        <v>8.0199999999999994E-2</v>
      </c>
      <c r="AD697" s="33">
        <f t="shared" si="209"/>
        <v>0.27835931097956018</v>
      </c>
      <c r="AE697" s="34">
        <f t="shared" si="210"/>
        <v>3.6567302453042697E-2</v>
      </c>
      <c r="AF697" s="33">
        <f t="shared" si="211"/>
        <v>0.59903394555218858</v>
      </c>
      <c r="AG697" s="33">
        <f t="shared" si="212"/>
        <v>0</v>
      </c>
      <c r="AH697" s="35">
        <f t="shared" si="213"/>
        <v>1.2717407457333167</v>
      </c>
      <c r="AI697" s="36">
        <f t="shared" si="168"/>
        <v>3.633778162665271</v>
      </c>
      <c r="AJ697" s="23"/>
      <c r="AK697" s="101">
        <v>2</v>
      </c>
      <c r="AL697" s="44"/>
      <c r="AM697" s="44"/>
      <c r="AN697" s="44"/>
      <c r="AO697" s="44"/>
      <c r="AP697" s="44"/>
      <c r="AQ697" s="44"/>
      <c r="AR697" s="44"/>
    </row>
    <row r="698" spans="1:44" ht="16.8">
      <c r="A698" s="17" t="s">
        <v>1646</v>
      </c>
      <c r="B698" s="18"/>
      <c r="C698" s="18" t="s">
        <v>1643</v>
      </c>
      <c r="D698" s="19" t="s">
        <v>1644</v>
      </c>
      <c r="E698" s="20" t="s">
        <v>39</v>
      </c>
      <c r="F698" s="21">
        <v>1993</v>
      </c>
      <c r="G698" s="40">
        <v>2023</v>
      </c>
      <c r="H698" s="23">
        <v>16289894707172</v>
      </c>
      <c r="I698" s="23">
        <v>26416008810387</v>
      </c>
      <c r="J698" s="23">
        <v>12871785895146</v>
      </c>
      <c r="K698" s="23">
        <f t="shared" si="217"/>
        <v>12875481366903.5</v>
      </c>
      <c r="L698" s="23">
        <v>9059981932254</v>
      </c>
      <c r="M698" s="23">
        <f t="shared" si="195"/>
        <v>13544222915241</v>
      </c>
      <c r="N698" s="23">
        <v>19378650591719</v>
      </c>
      <c r="O698" s="25">
        <f t="shared" si="161"/>
        <v>7229912774918</v>
      </c>
      <c r="P698" s="23">
        <v>1060007526141</v>
      </c>
      <c r="Q698" s="23">
        <f>85405257798+966858088315</f>
        <v>1052263346113</v>
      </c>
      <c r="R698" s="25">
        <f t="shared" si="162"/>
        <v>18326387245606</v>
      </c>
      <c r="S698" s="26">
        <f t="shared" si="163"/>
        <v>0.48727216846190269</v>
      </c>
      <c r="T698" s="27">
        <f t="shared" si="164"/>
        <v>1.7980052089485012</v>
      </c>
      <c r="U698" s="26">
        <f t="shared" si="165"/>
        <v>30.904991336630911</v>
      </c>
      <c r="V698" s="26">
        <f t="shared" si="166"/>
        <v>1.5050816384645576</v>
      </c>
      <c r="W698" s="143"/>
      <c r="X698" s="143"/>
      <c r="Y698" s="143"/>
      <c r="Z698" s="30"/>
      <c r="AA698" s="31">
        <f t="shared" si="167"/>
        <v>30</v>
      </c>
      <c r="AB698" s="32">
        <v>3.2500000000000001E-2</v>
      </c>
      <c r="AC698" s="32">
        <v>5.0500000000000003E-2</v>
      </c>
      <c r="AD698" s="33">
        <f t="shared" si="209"/>
        <v>0.27369436567098421</v>
      </c>
      <c r="AE698" s="34">
        <f t="shared" si="210"/>
        <v>4.0127467163934165E-2</v>
      </c>
      <c r="AF698" s="33">
        <f t="shared" si="211"/>
        <v>0.69376064253884973</v>
      </c>
      <c r="AG698" s="33">
        <f t="shared" si="212"/>
        <v>0</v>
      </c>
      <c r="AH698" s="35">
        <f t="shared" si="213"/>
        <v>1.5055137453014009</v>
      </c>
      <c r="AI698" s="36">
        <f t="shared" si="168"/>
        <v>4.1795355585142939</v>
      </c>
      <c r="AJ698" s="23"/>
      <c r="AK698" s="101">
        <v>3</v>
      </c>
      <c r="AL698" s="44"/>
      <c r="AM698" s="44"/>
      <c r="AN698" s="44"/>
      <c r="AO698" s="44"/>
      <c r="AP698" s="44"/>
      <c r="AQ698" s="44"/>
      <c r="AR698" s="44"/>
    </row>
    <row r="699" spans="1:44" ht="16.8">
      <c r="A699" s="17" t="s">
        <v>1647</v>
      </c>
      <c r="B699" s="18">
        <v>270</v>
      </c>
      <c r="C699" s="18" t="s">
        <v>1648</v>
      </c>
      <c r="D699" s="19" t="s">
        <v>1649</v>
      </c>
      <c r="E699" s="20" t="s">
        <v>178</v>
      </c>
      <c r="F699" s="21">
        <v>2007</v>
      </c>
      <c r="G699" s="40">
        <v>2021</v>
      </c>
      <c r="H699" s="23">
        <v>631946953609</v>
      </c>
      <c r="I699" s="23">
        <v>930273837922</v>
      </c>
      <c r="J699" s="23">
        <v>960515578890</v>
      </c>
      <c r="K699" s="23">
        <f>(J699+967347223999)/2</f>
        <v>963931401444.5</v>
      </c>
      <c r="L699" s="23">
        <v>895723907708</v>
      </c>
      <c r="M699" s="23">
        <f t="shared" si="195"/>
        <v>-30241740968</v>
      </c>
      <c r="N699" s="23">
        <v>20359041352</v>
      </c>
      <c r="O699" s="25">
        <f t="shared" si="161"/>
        <v>-263776954099</v>
      </c>
      <c r="P699" s="23">
        <v>-32174132973</v>
      </c>
      <c r="Q699" s="23">
        <v>4811752084</v>
      </c>
      <c r="R699" s="25">
        <f t="shared" si="162"/>
        <v>15547289268</v>
      </c>
      <c r="S699" s="26">
        <f t="shared" si="163"/>
        <v>1.0325084289541588</v>
      </c>
      <c r="T699" s="27">
        <f t="shared" si="164"/>
        <v>0.70551533588741777</v>
      </c>
      <c r="U699" s="26">
        <f t="shared" si="165"/>
        <v>27.558744829130497</v>
      </c>
      <c r="V699" s="26">
        <f t="shared" si="166"/>
        <v>2.1120840467994867E-2</v>
      </c>
      <c r="W699" s="143"/>
      <c r="X699" s="143"/>
      <c r="Y699" s="143"/>
      <c r="Z699" s="30">
        <f>W699*Y699</f>
        <v>0</v>
      </c>
      <c r="AA699" s="31">
        <f t="shared" si="167"/>
        <v>14</v>
      </c>
      <c r="AB699" s="32">
        <v>1.84E-2</v>
      </c>
      <c r="AC699" s="32">
        <v>2.58E-2</v>
      </c>
      <c r="AD699" s="33">
        <f t="shared" si="209"/>
        <v>-0.28354764301252627</v>
      </c>
      <c r="AE699" s="34">
        <f t="shared" si="210"/>
        <v>-3.4585658180895422E-2</v>
      </c>
      <c r="AF699" s="33">
        <f t="shared" si="211"/>
        <v>1.67125943289223E-2</v>
      </c>
      <c r="AG699" s="33">
        <f t="shared" si="212"/>
        <v>0</v>
      </c>
      <c r="AH699" s="35">
        <f t="shared" si="213"/>
        <v>2.1195951215624745E-2</v>
      </c>
      <c r="AI699" s="36">
        <f t="shared" si="168"/>
        <v>-0.31232958056721677</v>
      </c>
      <c r="AJ699" s="23" t="s">
        <v>85</v>
      </c>
      <c r="AK699" s="23"/>
      <c r="AL699" s="44"/>
      <c r="AM699" s="44"/>
      <c r="AN699" s="44"/>
      <c r="AO699" s="44"/>
      <c r="AP699" s="44"/>
      <c r="AQ699" s="44"/>
      <c r="AR699" s="44"/>
    </row>
    <row r="700" spans="1:44" ht="16.8">
      <c r="A700" s="17" t="s">
        <v>1650</v>
      </c>
      <c r="B700" s="18"/>
      <c r="C700" s="18" t="s">
        <v>1648</v>
      </c>
      <c r="D700" s="19" t="s">
        <v>1649</v>
      </c>
      <c r="E700" s="20" t="s">
        <v>178</v>
      </c>
      <c r="F700" s="21">
        <v>2007</v>
      </c>
      <c r="G700" s="40">
        <v>2022</v>
      </c>
      <c r="H700" s="23">
        <v>603834030944</v>
      </c>
      <c r="I700" s="23">
        <v>894328417133</v>
      </c>
      <c r="J700" s="23">
        <v>959189191694</v>
      </c>
      <c r="K700" s="23">
        <f t="shared" ref="K700:K701" si="218">(J700+J699)/2</f>
        <v>959852385292</v>
      </c>
      <c r="L700" s="23">
        <v>903355727235</v>
      </c>
      <c r="M700" s="23">
        <f t="shared" si="195"/>
        <v>-64860774561</v>
      </c>
      <c r="N700" s="23">
        <v>22610179814</v>
      </c>
      <c r="O700" s="25">
        <f t="shared" si="161"/>
        <v>-299521696291</v>
      </c>
      <c r="P700" s="23">
        <v>-34619033592</v>
      </c>
      <c r="Q700" s="23">
        <v>6297316259</v>
      </c>
      <c r="R700" s="25">
        <f t="shared" si="162"/>
        <v>16312863555</v>
      </c>
      <c r="S700" s="26">
        <f t="shared" si="163"/>
        <v>1.0725245595671977</v>
      </c>
      <c r="T700" s="27">
        <f t="shared" si="164"/>
        <v>0.66843438607758765</v>
      </c>
      <c r="U700" s="26">
        <f t="shared" si="165"/>
        <v>27.51933890163291</v>
      </c>
      <c r="V700" s="26">
        <f t="shared" si="166"/>
        <v>2.3555892718984783E-2</v>
      </c>
      <c r="W700" s="143"/>
      <c r="X700" s="143"/>
      <c r="Y700" s="143"/>
      <c r="Z700" s="30"/>
      <c r="AA700" s="31">
        <f t="shared" si="167"/>
        <v>15</v>
      </c>
      <c r="AB700" s="32">
        <v>3.15E-2</v>
      </c>
      <c r="AC700" s="32">
        <v>8.0199999999999994E-2</v>
      </c>
      <c r="AD700" s="33">
        <f t="shared" si="209"/>
        <v>-0.33491242205094401</v>
      </c>
      <c r="AE700" s="34">
        <f t="shared" si="210"/>
        <v>-3.8709531005377447E-2</v>
      </c>
      <c r="AF700" s="33">
        <f t="shared" si="211"/>
        <v>1.8240350236544071E-2</v>
      </c>
      <c r="AG700" s="33">
        <f t="shared" si="212"/>
        <v>0</v>
      </c>
      <c r="AH700" s="35">
        <f t="shared" si="213"/>
        <v>2.357217951347922E-2</v>
      </c>
      <c r="AI700" s="36">
        <f t="shared" si="168"/>
        <v>-0.37232291457458655</v>
      </c>
      <c r="AJ700" s="23" t="s">
        <v>85</v>
      </c>
      <c r="AK700" s="23"/>
      <c r="AL700" s="44"/>
      <c r="AM700" s="44"/>
      <c r="AN700" s="44"/>
      <c r="AO700" s="44"/>
      <c r="AP700" s="44"/>
      <c r="AQ700" s="44"/>
      <c r="AR700" s="44"/>
    </row>
    <row r="701" spans="1:44" ht="16.8">
      <c r="A701" s="17" t="s">
        <v>1651</v>
      </c>
      <c r="B701" s="18"/>
      <c r="C701" s="18" t="s">
        <v>1648</v>
      </c>
      <c r="D701" s="19" t="s">
        <v>1649</v>
      </c>
      <c r="E701" s="20" t="s">
        <v>178</v>
      </c>
      <c r="F701" s="21">
        <v>2007</v>
      </c>
      <c r="G701" s="40">
        <v>2023</v>
      </c>
      <c r="H701" s="23">
        <v>588470378075</v>
      </c>
      <c r="I701" s="23">
        <v>872160343758</v>
      </c>
      <c r="J701" s="23">
        <v>969725409061</v>
      </c>
      <c r="K701" s="23">
        <f t="shared" si="218"/>
        <v>964457300377.5</v>
      </c>
      <c r="L701" s="23">
        <v>918537606979</v>
      </c>
      <c r="M701" s="23">
        <f t="shared" si="195"/>
        <v>-97565065303</v>
      </c>
      <c r="N701" s="23">
        <v>17234630875</v>
      </c>
      <c r="O701" s="25">
        <f t="shared" si="161"/>
        <v>-330067228904</v>
      </c>
      <c r="P701" s="23">
        <v>-32704290743</v>
      </c>
      <c r="Q701" s="23">
        <f>36956067+6451442438</f>
        <v>6488398505</v>
      </c>
      <c r="R701" s="25">
        <f t="shared" si="162"/>
        <v>10746232370</v>
      </c>
      <c r="S701" s="26">
        <f t="shared" si="163"/>
        <v>1.1118659728125309</v>
      </c>
      <c r="T701" s="27">
        <f t="shared" si="164"/>
        <v>0.64066008142054642</v>
      </c>
      <c r="U701" s="26">
        <f t="shared" si="165"/>
        <v>27.494239124407873</v>
      </c>
      <c r="V701" s="26">
        <f t="shared" si="166"/>
        <v>1.7869770769793708E-2</v>
      </c>
      <c r="W701" s="143"/>
      <c r="X701" s="143"/>
      <c r="Y701" s="143"/>
      <c r="Z701" s="30"/>
      <c r="AA701" s="31">
        <f t="shared" si="167"/>
        <v>16</v>
      </c>
      <c r="AB701" s="32">
        <v>3.2500000000000001E-2</v>
      </c>
      <c r="AC701" s="32">
        <v>5.0500000000000003E-2</v>
      </c>
      <c r="AD701" s="33">
        <f t="shared" si="209"/>
        <v>-0.37844787517143108</v>
      </c>
      <c r="AE701" s="34">
        <f t="shared" si="210"/>
        <v>-3.7498025422805191E-2</v>
      </c>
      <c r="AF701" s="33">
        <f t="shared" si="211"/>
        <v>1.2321395310977104E-2</v>
      </c>
      <c r="AG701" s="33">
        <f t="shared" si="212"/>
        <v>0</v>
      </c>
      <c r="AH701" s="35">
        <f t="shared" si="213"/>
        <v>1.7772691850663744E-2</v>
      </c>
      <c r="AI701" s="36">
        <f t="shared" si="168"/>
        <v>-0.44820138942075638</v>
      </c>
      <c r="AJ701" s="23"/>
      <c r="AK701" s="23"/>
      <c r="AL701" s="44"/>
      <c r="AM701" s="44"/>
      <c r="AN701" s="44"/>
      <c r="AO701" s="44"/>
      <c r="AP701" s="44"/>
      <c r="AQ701" s="44"/>
      <c r="AR701" s="44"/>
    </row>
    <row r="702" spans="1:44" ht="16.8">
      <c r="A702" s="17" t="s">
        <v>1652</v>
      </c>
      <c r="B702" s="18">
        <v>271</v>
      </c>
      <c r="C702" s="18" t="s">
        <v>1653</v>
      </c>
      <c r="D702" s="19" t="s">
        <v>1654</v>
      </c>
      <c r="E702" s="20" t="s">
        <v>178</v>
      </c>
      <c r="F702" s="21">
        <v>1983</v>
      </c>
      <c r="G702" s="40">
        <v>2021</v>
      </c>
      <c r="H702" s="23">
        <v>5030266336728</v>
      </c>
      <c r="I702" s="23">
        <v>6589039954417</v>
      </c>
      <c r="J702" s="23">
        <v>5740728069102</v>
      </c>
      <c r="K702" s="23">
        <f>(J702+6745677224170)/2</f>
        <v>6243202646636</v>
      </c>
      <c r="L702" s="23">
        <v>5533219612336</v>
      </c>
      <c r="M702" s="23">
        <f t="shared" si="195"/>
        <v>848311885315</v>
      </c>
      <c r="N702" s="23">
        <v>2062745839220</v>
      </c>
      <c r="O702" s="25">
        <f t="shared" si="161"/>
        <v>-502953275608</v>
      </c>
      <c r="P702" s="23">
        <v>43155213149</v>
      </c>
      <c r="Q702" s="23">
        <f>67946000+17859060518</f>
        <v>17927006518</v>
      </c>
      <c r="R702" s="25">
        <f t="shared" si="162"/>
        <v>2044818832702</v>
      </c>
      <c r="S702" s="26">
        <f t="shared" si="163"/>
        <v>0.87125409905181572</v>
      </c>
      <c r="T702" s="27">
        <f t="shared" si="164"/>
        <v>0.90910296159460324</v>
      </c>
      <c r="U702" s="26">
        <f t="shared" si="165"/>
        <v>29.516428771647735</v>
      </c>
      <c r="V702" s="26">
        <f t="shared" si="166"/>
        <v>0.33039866811490753</v>
      </c>
      <c r="W702" s="143"/>
      <c r="X702" s="143"/>
      <c r="Y702" s="143"/>
      <c r="Z702" s="30">
        <f>W702*Y702</f>
        <v>0</v>
      </c>
      <c r="AA702" s="31">
        <f t="shared" si="167"/>
        <v>38</v>
      </c>
      <c r="AB702" s="32">
        <v>1.84E-2</v>
      </c>
      <c r="AC702" s="32">
        <v>2.58E-2</v>
      </c>
      <c r="AD702" s="33">
        <f t="shared" si="209"/>
        <v>-7.6331799334566561E-2</v>
      </c>
      <c r="AE702" s="34">
        <f t="shared" si="210"/>
        <v>6.5495449181592318E-3</v>
      </c>
      <c r="AF702" s="33">
        <f t="shared" si="211"/>
        <v>0.31033638388112128</v>
      </c>
      <c r="AG702" s="33">
        <f t="shared" si="212"/>
        <v>0</v>
      </c>
      <c r="AH702" s="35">
        <f t="shared" si="213"/>
        <v>0.35931781028301996</v>
      </c>
      <c r="AI702" s="36">
        <f t="shared" si="168"/>
        <v>1.3009990807746632</v>
      </c>
      <c r="AJ702" s="23"/>
      <c r="AK702" s="23"/>
      <c r="AL702" s="44"/>
      <c r="AM702" s="44"/>
      <c r="AN702" s="44"/>
      <c r="AO702" s="44"/>
      <c r="AP702" s="44"/>
      <c r="AQ702" s="44"/>
      <c r="AR702" s="44"/>
    </row>
    <row r="703" spans="1:44" ht="16.8">
      <c r="A703" s="17" t="s">
        <v>1655</v>
      </c>
      <c r="B703" s="18"/>
      <c r="C703" s="18" t="s">
        <v>1653</v>
      </c>
      <c r="D703" s="19" t="s">
        <v>1654</v>
      </c>
      <c r="E703" s="20" t="s">
        <v>178</v>
      </c>
      <c r="F703" s="21">
        <v>1983</v>
      </c>
      <c r="G703" s="40">
        <v>2022</v>
      </c>
      <c r="H703" s="23">
        <v>5170090784717</v>
      </c>
      <c r="I703" s="23">
        <v>6685966660653</v>
      </c>
      <c r="J703" s="23">
        <v>5894478674203</v>
      </c>
      <c r="K703" s="23">
        <f t="shared" ref="K703:K704" si="219">(J703+J702)/2</f>
        <v>5817603371652.5</v>
      </c>
      <c r="L703" s="23">
        <v>5704234711045</v>
      </c>
      <c r="M703" s="23">
        <f t="shared" si="195"/>
        <v>791487986450</v>
      </c>
      <c r="N703" s="23">
        <v>1782910460622</v>
      </c>
      <c r="O703" s="25">
        <f t="shared" si="161"/>
        <v>-534143926328</v>
      </c>
      <c r="P703" s="23">
        <v>2927663878</v>
      </c>
      <c r="Q703" s="23">
        <f>396214181+94198869411</f>
        <v>94595083592</v>
      </c>
      <c r="R703" s="25">
        <f t="shared" si="162"/>
        <v>1688315377030</v>
      </c>
      <c r="S703" s="26">
        <f t="shared" si="163"/>
        <v>0.88161951343432254</v>
      </c>
      <c r="T703" s="27">
        <f t="shared" si="164"/>
        <v>0.90636010729121164</v>
      </c>
      <c r="U703" s="26">
        <f t="shared" si="165"/>
        <v>29.531031917472653</v>
      </c>
      <c r="V703" s="26">
        <f t="shared" si="166"/>
        <v>0.30646820464069574</v>
      </c>
      <c r="W703" s="143"/>
      <c r="X703" s="143"/>
      <c r="Y703" s="143"/>
      <c r="Z703" s="30"/>
      <c r="AA703" s="31">
        <f t="shared" si="167"/>
        <v>39</v>
      </c>
      <c r="AB703" s="32">
        <v>3.15E-2</v>
      </c>
      <c r="AC703" s="32">
        <v>8.0199999999999994E-2</v>
      </c>
      <c r="AD703" s="33">
        <f t="shared" si="209"/>
        <v>-7.9890306583705231E-2</v>
      </c>
      <c r="AE703" s="34">
        <f t="shared" si="210"/>
        <v>4.3788191395409425E-4</v>
      </c>
      <c r="AF703" s="33">
        <f t="shared" si="211"/>
        <v>0.25251627217433759</v>
      </c>
      <c r="AG703" s="33">
        <f t="shared" si="212"/>
        <v>0</v>
      </c>
      <c r="AH703" s="35">
        <f t="shared" si="213"/>
        <v>0.30247127170462951</v>
      </c>
      <c r="AI703" s="36">
        <f t="shared" si="168"/>
        <v>1.040519636659033</v>
      </c>
      <c r="AJ703" s="23"/>
      <c r="AK703" s="23"/>
      <c r="AL703" s="44"/>
      <c r="AM703" s="44"/>
      <c r="AN703" s="44"/>
      <c r="AO703" s="44"/>
      <c r="AP703" s="44"/>
      <c r="AQ703" s="44"/>
      <c r="AR703" s="44"/>
    </row>
    <row r="704" spans="1:44" ht="16.8">
      <c r="A704" s="17" t="s">
        <v>1656</v>
      </c>
      <c r="B704" s="18"/>
      <c r="C704" s="18" t="s">
        <v>1653</v>
      </c>
      <c r="D704" s="19" t="s">
        <v>1654</v>
      </c>
      <c r="E704" s="20" t="s">
        <v>178</v>
      </c>
      <c r="F704" s="21">
        <v>1983</v>
      </c>
      <c r="G704" s="40">
        <v>2023</v>
      </c>
      <c r="H704" s="23">
        <v>4715401378806</v>
      </c>
      <c r="I704" s="23">
        <v>6213629269769</v>
      </c>
      <c r="J704" s="23">
        <v>5686992765922</v>
      </c>
      <c r="K704" s="23">
        <f t="shared" si="219"/>
        <v>5790735720062.5</v>
      </c>
      <c r="L704" s="23">
        <v>5503169045805</v>
      </c>
      <c r="M704" s="23">
        <f t="shared" si="195"/>
        <v>526636503847</v>
      </c>
      <c r="N704" s="23">
        <v>1189720911616</v>
      </c>
      <c r="O704" s="25">
        <f t="shared" si="161"/>
        <v>-787767666999</v>
      </c>
      <c r="P704" s="23">
        <v>-265220688059</v>
      </c>
      <c r="Q704" s="23">
        <f>126121618228+427626451</f>
        <v>126549244679</v>
      </c>
      <c r="R704" s="25">
        <f t="shared" si="162"/>
        <v>1063171666937</v>
      </c>
      <c r="S704" s="26">
        <f t="shared" si="163"/>
        <v>0.91524494285340929</v>
      </c>
      <c r="T704" s="27">
        <f t="shared" si="164"/>
        <v>0.85685199556072045</v>
      </c>
      <c r="U704" s="26">
        <f t="shared" si="165"/>
        <v>29.457766264638312</v>
      </c>
      <c r="V704" s="26">
        <f t="shared" si="166"/>
        <v>0.20545246219648913</v>
      </c>
      <c r="W704" s="143"/>
      <c r="X704" s="143"/>
      <c r="Y704" s="143"/>
      <c r="Z704" s="30"/>
      <c r="AA704" s="31">
        <f t="shared" si="167"/>
        <v>40</v>
      </c>
      <c r="AB704" s="32">
        <v>3.2500000000000001E-2</v>
      </c>
      <c r="AC704" s="32">
        <v>5.0500000000000003E-2</v>
      </c>
      <c r="AD704" s="33">
        <f t="shared" si="209"/>
        <v>-0.12678060321875081</v>
      </c>
      <c r="AE704" s="34">
        <f t="shared" si="210"/>
        <v>-4.268370006388552E-2</v>
      </c>
      <c r="AF704" s="33">
        <f t="shared" si="211"/>
        <v>0.17110317026952668</v>
      </c>
      <c r="AG704" s="33">
        <f t="shared" si="212"/>
        <v>0</v>
      </c>
      <c r="AH704" s="35">
        <f t="shared" si="213"/>
        <v>0.20920035607309539</v>
      </c>
      <c r="AI704" s="36">
        <f t="shared" si="168"/>
        <v>0.56194691401059282</v>
      </c>
      <c r="AJ704" s="23"/>
      <c r="AK704" s="23"/>
      <c r="AL704" s="44"/>
      <c r="AM704" s="44"/>
      <c r="AN704" s="44"/>
      <c r="AO704" s="44"/>
      <c r="AP704" s="44"/>
      <c r="AQ704" s="44"/>
      <c r="AR704" s="44"/>
    </row>
    <row r="705" spans="1:44" ht="16.8">
      <c r="A705" s="17" t="s">
        <v>1657</v>
      </c>
      <c r="B705" s="18">
        <v>272</v>
      </c>
      <c r="C705" s="18" t="s">
        <v>1658</v>
      </c>
      <c r="D705" s="19" t="s">
        <v>1659</v>
      </c>
      <c r="E705" s="20" t="s">
        <v>178</v>
      </c>
      <c r="F705" s="21">
        <v>2008</v>
      </c>
      <c r="G705" s="40">
        <v>2021</v>
      </c>
      <c r="H705" s="23">
        <v>124230238977</v>
      </c>
      <c r="I705" s="23">
        <v>203208667470</v>
      </c>
      <c r="J705" s="23">
        <v>172634795703</v>
      </c>
      <c r="K705" s="23">
        <f>(J705+178379079743)/2</f>
        <v>175506937723</v>
      </c>
      <c r="L705" s="23">
        <v>156102595703</v>
      </c>
      <c r="M705" s="23">
        <f t="shared" si="195"/>
        <v>30573871767</v>
      </c>
      <c r="N705" s="23">
        <v>40908158228</v>
      </c>
      <c r="O705" s="25">
        <f t="shared" si="161"/>
        <v>-31872356726</v>
      </c>
      <c r="P705" s="23">
        <v>18053332</v>
      </c>
      <c r="Q705" s="23">
        <f>2627267289+2776144029</f>
        <v>5403411318</v>
      </c>
      <c r="R705" s="25">
        <f t="shared" si="162"/>
        <v>35504746910</v>
      </c>
      <c r="S705" s="26">
        <f t="shared" si="163"/>
        <v>0.84954445030493753</v>
      </c>
      <c r="T705" s="27">
        <f t="shared" si="164"/>
        <v>0.79582430015039474</v>
      </c>
      <c r="U705" s="26">
        <f t="shared" si="165"/>
        <v>26.037499206613091</v>
      </c>
      <c r="V705" s="26">
        <f t="shared" si="166"/>
        <v>0.23308570452391311</v>
      </c>
      <c r="W705" s="143"/>
      <c r="X705" s="143"/>
      <c r="Y705" s="143"/>
      <c r="Z705" s="30">
        <f>W705*Y705</f>
        <v>0</v>
      </c>
      <c r="AA705" s="31">
        <f t="shared" si="167"/>
        <v>13</v>
      </c>
      <c r="AB705" s="32">
        <v>1.84E-2</v>
      </c>
      <c r="AC705" s="32">
        <v>2.58E-2</v>
      </c>
      <c r="AD705" s="33">
        <f t="shared" si="209"/>
        <v>-0.15684545901914032</v>
      </c>
      <c r="AE705" s="34">
        <f t="shared" si="210"/>
        <v>8.884134827893225E-5</v>
      </c>
      <c r="AF705" s="33">
        <f t="shared" si="211"/>
        <v>0.17472063250078454</v>
      </c>
      <c r="AG705" s="33">
        <f t="shared" si="212"/>
        <v>0</v>
      </c>
      <c r="AH705" s="35">
        <f t="shared" si="213"/>
        <v>0.23696357424014439</v>
      </c>
      <c r="AI705" s="36">
        <f t="shared" si="168"/>
        <v>0.62545148855735544</v>
      </c>
      <c r="AJ705" s="23"/>
      <c r="AK705" s="23"/>
      <c r="AL705" s="44"/>
      <c r="AM705" s="44"/>
      <c r="AN705" s="44"/>
      <c r="AO705" s="44"/>
      <c r="AP705" s="44"/>
      <c r="AQ705" s="44"/>
      <c r="AR705" s="44"/>
    </row>
    <row r="706" spans="1:44" ht="16.8">
      <c r="A706" s="17" t="s">
        <v>1660</v>
      </c>
      <c r="B706" s="18"/>
      <c r="C706" s="18" t="s">
        <v>1658</v>
      </c>
      <c r="D706" s="19" t="s">
        <v>1659</v>
      </c>
      <c r="E706" s="20" t="s">
        <v>178</v>
      </c>
      <c r="F706" s="21">
        <v>2008</v>
      </c>
      <c r="G706" s="40">
        <v>2022</v>
      </c>
      <c r="H706" s="23">
        <v>195851678052</v>
      </c>
      <c r="I706" s="23">
        <v>220849798357</v>
      </c>
      <c r="J706" s="23">
        <v>189930965026</v>
      </c>
      <c r="K706" s="23">
        <f t="shared" ref="K706:K707" si="220">(J706+J705)/2</f>
        <v>181282880364.5</v>
      </c>
      <c r="L706" s="23">
        <v>179268411732</v>
      </c>
      <c r="M706" s="23">
        <f t="shared" si="195"/>
        <v>30918833331</v>
      </c>
      <c r="N706" s="23">
        <v>26722771669</v>
      </c>
      <c r="O706" s="25">
        <f t="shared" si="161"/>
        <v>16583266320</v>
      </c>
      <c r="P706" s="23">
        <v>344961564</v>
      </c>
      <c r="Q706" s="23">
        <f>2947400124+2983429316</f>
        <v>5930829440</v>
      </c>
      <c r="R706" s="25">
        <f t="shared" si="162"/>
        <v>20791942229</v>
      </c>
      <c r="S706" s="26">
        <f t="shared" si="163"/>
        <v>0.86000062684675749</v>
      </c>
      <c r="T706" s="27">
        <f t="shared" si="164"/>
        <v>1.0925052336871897</v>
      </c>
      <c r="U706" s="26">
        <f t="shared" si="165"/>
        <v>26.120748661957059</v>
      </c>
      <c r="V706" s="26">
        <f t="shared" si="166"/>
        <v>0.14740924027282296</v>
      </c>
      <c r="W706" s="143"/>
      <c r="X706" s="143"/>
      <c r="Y706" s="143"/>
      <c r="Z706" s="30"/>
      <c r="AA706" s="31">
        <f t="shared" si="167"/>
        <v>14</v>
      </c>
      <c r="AB706" s="32">
        <v>3.15E-2</v>
      </c>
      <c r="AC706" s="32">
        <v>8.0199999999999994E-2</v>
      </c>
      <c r="AD706" s="33">
        <f t="shared" si="209"/>
        <v>7.5088437677418338E-2</v>
      </c>
      <c r="AE706" s="34">
        <f t="shared" si="210"/>
        <v>1.5619736425675852E-3</v>
      </c>
      <c r="AF706" s="33">
        <f t="shared" si="211"/>
        <v>9.4145171893660382E-2</v>
      </c>
      <c r="AG706" s="33">
        <f t="shared" si="212"/>
        <v>0</v>
      </c>
      <c r="AH706" s="35">
        <f t="shared" si="213"/>
        <v>0.14069728790848754</v>
      </c>
      <c r="AI706" s="36">
        <f t="shared" si="168"/>
        <v>0.5436692434700634</v>
      </c>
      <c r="AJ706" s="23"/>
      <c r="AK706" s="23"/>
      <c r="AL706" s="44"/>
      <c r="AM706" s="44"/>
      <c r="AN706" s="44"/>
      <c r="AO706" s="44"/>
      <c r="AP706" s="44"/>
      <c r="AQ706" s="44"/>
      <c r="AR706" s="44"/>
    </row>
    <row r="707" spans="1:44" ht="16.8">
      <c r="A707" s="17" t="s">
        <v>1661</v>
      </c>
      <c r="B707" s="18"/>
      <c r="C707" s="18" t="s">
        <v>1658</v>
      </c>
      <c r="D707" s="19" t="s">
        <v>1659</v>
      </c>
      <c r="E707" s="20" t="s">
        <v>178</v>
      </c>
      <c r="F707" s="21">
        <v>2008</v>
      </c>
      <c r="G707" s="40">
        <v>2023</v>
      </c>
      <c r="H707" s="23">
        <v>160949087243</v>
      </c>
      <c r="I707" s="23">
        <v>185320724043</v>
      </c>
      <c r="J707" s="23">
        <v>154393698125</v>
      </c>
      <c r="K707" s="23">
        <f t="shared" si="220"/>
        <v>172162331575.5</v>
      </c>
      <c r="L707" s="23">
        <v>150869518885</v>
      </c>
      <c r="M707" s="23">
        <f t="shared" si="195"/>
        <v>30927025918</v>
      </c>
      <c r="N707" s="23">
        <v>61351304177</v>
      </c>
      <c r="O707" s="25">
        <f t="shared" si="161"/>
        <v>10079568358</v>
      </c>
      <c r="P707" s="23">
        <v>8192587</v>
      </c>
      <c r="Q707" s="23">
        <f>6915244526+2541681949</f>
        <v>9456926475</v>
      </c>
      <c r="R707" s="25">
        <f t="shared" si="162"/>
        <v>51894377702</v>
      </c>
      <c r="S707" s="26">
        <f t="shared" si="163"/>
        <v>0.83311620393397556</v>
      </c>
      <c r="T707" s="27">
        <f t="shared" si="164"/>
        <v>1.0668098396050638</v>
      </c>
      <c r="U707" s="26">
        <f t="shared" si="165"/>
        <v>25.94535380447514</v>
      </c>
      <c r="V707" s="26">
        <f t="shared" si="166"/>
        <v>0.3563573031078231</v>
      </c>
      <c r="W707" s="143"/>
      <c r="X707" s="143"/>
      <c r="Y707" s="143"/>
      <c r="Z707" s="30"/>
      <c r="AA707" s="31">
        <f t="shared" si="167"/>
        <v>15</v>
      </c>
      <c r="AB707" s="32">
        <v>3.2500000000000001E-2</v>
      </c>
      <c r="AC707" s="32">
        <v>5.0500000000000003E-2</v>
      </c>
      <c r="AD707" s="33">
        <f t="shared" si="209"/>
        <v>5.4389860659411392E-2</v>
      </c>
      <c r="AE707" s="34">
        <f t="shared" si="210"/>
        <v>4.4207613812792314E-5</v>
      </c>
      <c r="AF707" s="33">
        <f t="shared" si="211"/>
        <v>0.28002468676929482</v>
      </c>
      <c r="AG707" s="33">
        <f t="shared" si="212"/>
        <v>0</v>
      </c>
      <c r="AH707" s="35">
        <f t="shared" si="213"/>
        <v>0.39736922505301253</v>
      </c>
      <c r="AI707" s="36">
        <f t="shared" si="168"/>
        <v>1.3867804148423168</v>
      </c>
      <c r="AJ707" s="23"/>
      <c r="AK707" s="23"/>
      <c r="AL707" s="44"/>
      <c r="AM707" s="44"/>
      <c r="AN707" s="44"/>
      <c r="AO707" s="44"/>
      <c r="AP707" s="44"/>
      <c r="AQ707" s="44"/>
      <c r="AR707" s="44"/>
    </row>
    <row r="708" spans="1:44" ht="16.8">
      <c r="A708" s="17" t="s">
        <v>1662</v>
      </c>
      <c r="B708" s="18">
        <v>273</v>
      </c>
      <c r="C708" s="18" t="s">
        <v>1663</v>
      </c>
      <c r="D708" s="19" t="s">
        <v>1664</v>
      </c>
      <c r="E708" s="20" t="s">
        <v>39</v>
      </c>
      <c r="F708" s="21">
        <v>1967</v>
      </c>
      <c r="G708" s="40">
        <v>2021</v>
      </c>
      <c r="H708" s="23">
        <v>99156419923</v>
      </c>
      <c r="I708" s="23">
        <v>137878604819</v>
      </c>
      <c r="J708" s="23">
        <v>42540324312</v>
      </c>
      <c r="K708" s="23">
        <f>(J708+35803379760)/2</f>
        <v>39171852036</v>
      </c>
      <c r="L708" s="23">
        <v>42540324312</v>
      </c>
      <c r="M708" s="23">
        <f t="shared" si="195"/>
        <v>95338280507</v>
      </c>
      <c r="N708" s="23">
        <v>277392742980</v>
      </c>
      <c r="O708" s="25">
        <f t="shared" si="161"/>
        <v>56616095611</v>
      </c>
      <c r="P708" s="23">
        <v>11775694524</v>
      </c>
      <c r="Q708" s="23">
        <f>9138538732+10298239648</f>
        <v>19436778380</v>
      </c>
      <c r="R708" s="25">
        <f t="shared" si="162"/>
        <v>257955964600</v>
      </c>
      <c r="S708" s="26">
        <f t="shared" si="163"/>
        <v>0.3085346299220591</v>
      </c>
      <c r="T708" s="27">
        <f t="shared" si="164"/>
        <v>2.3308806767848131</v>
      </c>
      <c r="U708" s="26">
        <f t="shared" si="165"/>
        <v>25.649639459737671</v>
      </c>
      <c r="V708" s="26">
        <f t="shared" si="166"/>
        <v>7.0814303782488635</v>
      </c>
      <c r="W708" s="143"/>
      <c r="X708" s="143"/>
      <c r="Y708" s="143"/>
      <c r="Z708" s="30">
        <f>W708*Y708</f>
        <v>0</v>
      </c>
      <c r="AA708" s="31">
        <f t="shared" si="167"/>
        <v>54</v>
      </c>
      <c r="AB708" s="32">
        <v>1.84E-2</v>
      </c>
      <c r="AC708" s="32">
        <v>2.58E-2</v>
      </c>
      <c r="AD708" s="33">
        <f t="shared" si="209"/>
        <v>0.41062277708222189</v>
      </c>
      <c r="AE708" s="34">
        <f t="shared" si="210"/>
        <v>8.5406249500845549E-2</v>
      </c>
      <c r="AF708" s="33">
        <f t="shared" si="211"/>
        <v>1.8708918975400965</v>
      </c>
      <c r="AG708" s="33">
        <f t="shared" si="212"/>
        <v>0</v>
      </c>
      <c r="AH708" s="35">
        <f t="shared" si="213"/>
        <v>6.520701180967527</v>
      </c>
      <c r="AI708" s="36">
        <f t="shared" si="168"/>
        <v>13.306960524649696</v>
      </c>
      <c r="AJ708" s="23"/>
      <c r="AK708" s="101">
        <v>4</v>
      </c>
      <c r="AL708" s="44"/>
      <c r="AM708" s="44"/>
      <c r="AN708" s="44"/>
      <c r="AO708" s="44"/>
      <c r="AP708" s="44"/>
      <c r="AQ708" s="44"/>
      <c r="AR708" s="44"/>
    </row>
    <row r="709" spans="1:44" ht="16.8">
      <c r="A709" s="17" t="s">
        <v>1665</v>
      </c>
      <c r="B709" s="18"/>
      <c r="C709" s="18" t="s">
        <v>1663</v>
      </c>
      <c r="D709" s="19" t="s">
        <v>1664</v>
      </c>
      <c r="E709" s="20" t="s">
        <v>39</v>
      </c>
      <c r="F709" s="21">
        <v>1967</v>
      </c>
      <c r="G709" s="40">
        <v>2022</v>
      </c>
      <c r="H709" s="23">
        <v>120102071682</v>
      </c>
      <c r="I709" s="23">
        <v>160193734937</v>
      </c>
      <c r="J709" s="23">
        <v>57959386043</v>
      </c>
      <c r="K709" s="23">
        <f t="shared" ref="K709:K710" si="221">(J709+J708)/2</f>
        <v>50249855177.5</v>
      </c>
      <c r="L709" s="23">
        <v>57959386043</v>
      </c>
      <c r="M709" s="23">
        <f t="shared" si="195"/>
        <v>102234348894</v>
      </c>
      <c r="N709" s="23">
        <v>304371867036</v>
      </c>
      <c r="O709" s="25">
        <f t="shared" si="161"/>
        <v>62142685639</v>
      </c>
      <c r="P709" s="23">
        <v>18295500387</v>
      </c>
      <c r="Q709" s="23">
        <f>9552999122+14619296429</f>
        <v>24172295551</v>
      </c>
      <c r="R709" s="25">
        <f t="shared" si="162"/>
        <v>280199571485</v>
      </c>
      <c r="S709" s="26">
        <f t="shared" si="163"/>
        <v>0.36180806987110892</v>
      </c>
      <c r="T709" s="27">
        <f t="shared" si="164"/>
        <v>2.0721763959489912</v>
      </c>
      <c r="U709" s="26">
        <f t="shared" si="165"/>
        <v>25.799649763056891</v>
      </c>
      <c r="V709" s="26">
        <f t="shared" si="166"/>
        <v>6.0571690398082243</v>
      </c>
      <c r="W709" s="143"/>
      <c r="X709" s="143"/>
      <c r="Y709" s="143"/>
      <c r="Z709" s="30"/>
      <c r="AA709" s="31">
        <f t="shared" si="167"/>
        <v>55</v>
      </c>
      <c r="AB709" s="32">
        <v>3.15E-2</v>
      </c>
      <c r="AC709" s="32">
        <v>8.0199999999999994E-2</v>
      </c>
      <c r="AD709" s="33">
        <f t="shared" si="209"/>
        <v>0.38792207237966636</v>
      </c>
      <c r="AE709" s="34">
        <f t="shared" si="210"/>
        <v>0.11420858870788636</v>
      </c>
      <c r="AF709" s="33">
        <f t="shared" si="211"/>
        <v>1.7491294000679563</v>
      </c>
      <c r="AG709" s="33">
        <f t="shared" si="212"/>
        <v>0</v>
      </c>
      <c r="AH709" s="35">
        <f t="shared" si="213"/>
        <v>5.2514681023395742</v>
      </c>
      <c r="AI709" s="36">
        <f t="shared" si="168"/>
        <v>11.64899363361047</v>
      </c>
      <c r="AJ709" s="23"/>
      <c r="AK709" s="101">
        <v>5</v>
      </c>
      <c r="AL709" s="44"/>
      <c r="AM709" s="44"/>
      <c r="AN709" s="44"/>
      <c r="AO709" s="44"/>
      <c r="AP709" s="44"/>
      <c r="AQ709" s="44"/>
      <c r="AR709" s="44"/>
    </row>
    <row r="710" spans="1:44" ht="16.8">
      <c r="A710" s="17" t="s">
        <v>1666</v>
      </c>
      <c r="B710" s="18"/>
      <c r="C710" s="18" t="s">
        <v>1663</v>
      </c>
      <c r="D710" s="19" t="s">
        <v>1664</v>
      </c>
      <c r="E710" s="20" t="s">
        <v>39</v>
      </c>
      <c r="F710" s="21">
        <v>1967</v>
      </c>
      <c r="G710" s="40">
        <v>2023</v>
      </c>
      <c r="H710" s="23">
        <v>129351840270</v>
      </c>
      <c r="I710" s="23">
        <v>164226446485</v>
      </c>
      <c r="J710" s="23">
        <v>50073156353</v>
      </c>
      <c r="K710" s="23">
        <f t="shared" si="221"/>
        <v>54016271198</v>
      </c>
      <c r="L710" s="23">
        <v>45548976353</v>
      </c>
      <c r="M710" s="23">
        <f t="shared" si="195"/>
        <v>114153290132</v>
      </c>
      <c r="N710" s="23">
        <v>315538760972</v>
      </c>
      <c r="O710" s="25">
        <f t="shared" si="161"/>
        <v>83802863917</v>
      </c>
      <c r="P710" s="23">
        <v>23694761238</v>
      </c>
      <c r="Q710" s="23">
        <f>12830059995+14550185693</f>
        <v>27380245688</v>
      </c>
      <c r="R710" s="25">
        <f t="shared" si="162"/>
        <v>288158515284</v>
      </c>
      <c r="S710" s="26">
        <f t="shared" si="163"/>
        <v>0.30490312263788494</v>
      </c>
      <c r="T710" s="27">
        <f t="shared" si="164"/>
        <v>2.8398407741929526</v>
      </c>
      <c r="U710" s="26">
        <f t="shared" si="165"/>
        <v>25.824512083632573</v>
      </c>
      <c r="V710" s="26">
        <f t="shared" si="166"/>
        <v>5.8415502213281822</v>
      </c>
      <c r="W710" s="143"/>
      <c r="X710" s="143"/>
      <c r="Y710" s="143"/>
      <c r="Z710" s="30"/>
      <c r="AA710" s="31">
        <f t="shared" si="167"/>
        <v>56</v>
      </c>
      <c r="AB710" s="32">
        <v>3.2500000000000001E-2</v>
      </c>
      <c r="AC710" s="32">
        <v>5.0500000000000003E-2</v>
      </c>
      <c r="AD710" s="33">
        <f t="shared" si="209"/>
        <v>0.51028848100086199</v>
      </c>
      <c r="AE710" s="34">
        <f t="shared" si="210"/>
        <v>0.14428103234983056</v>
      </c>
      <c r="AF710" s="33">
        <f t="shared" si="211"/>
        <v>1.754641359242463</v>
      </c>
      <c r="AG710" s="33">
        <f t="shared" si="212"/>
        <v>0</v>
      </c>
      <c r="AH710" s="35">
        <f t="shared" si="213"/>
        <v>6.3015552434432331</v>
      </c>
      <c r="AI710" s="36">
        <f t="shared" si="168"/>
        <v>12.906211351434159</v>
      </c>
      <c r="AJ710" s="23"/>
      <c r="AK710" s="101">
        <v>6</v>
      </c>
      <c r="AL710" s="44"/>
      <c r="AM710" s="44"/>
      <c r="AN710" s="44"/>
      <c r="AO710" s="44"/>
      <c r="AP710" s="44"/>
      <c r="AQ710" s="44"/>
      <c r="AR710" s="44"/>
    </row>
    <row r="711" spans="1:44" ht="16.8">
      <c r="A711" s="17" t="s">
        <v>1667</v>
      </c>
      <c r="B711" s="18">
        <v>274</v>
      </c>
      <c r="C711" s="18" t="s">
        <v>1668</v>
      </c>
      <c r="D711" s="19" t="s">
        <v>1669</v>
      </c>
      <c r="E711" s="20" t="s">
        <v>178</v>
      </c>
      <c r="F711" s="21">
        <v>1985</v>
      </c>
      <c r="G711" s="40">
        <v>2021</v>
      </c>
      <c r="H711" s="23">
        <v>528169668843</v>
      </c>
      <c r="I711" s="23">
        <v>1446627510768</v>
      </c>
      <c r="J711" s="23">
        <v>1013910278579</v>
      </c>
      <c r="K711" s="23">
        <f>(J711+1272417502343)/2</f>
        <v>1143163890461</v>
      </c>
      <c r="L711" s="23">
        <v>892992695955</v>
      </c>
      <c r="M711" s="23">
        <f t="shared" si="195"/>
        <v>432717232189</v>
      </c>
      <c r="N711" s="23">
        <v>1232982490381</v>
      </c>
      <c r="O711" s="25">
        <f t="shared" si="161"/>
        <v>-364823027112</v>
      </c>
      <c r="P711" s="23">
        <v>99210295632</v>
      </c>
      <c r="Q711" s="23">
        <f>800050000+46645276212</f>
        <v>47445326212</v>
      </c>
      <c r="R711" s="25">
        <f t="shared" si="162"/>
        <v>1185537164169</v>
      </c>
      <c r="S711" s="26">
        <f t="shared" si="163"/>
        <v>0.70087860975402383</v>
      </c>
      <c r="T711" s="27">
        <f t="shared" si="164"/>
        <v>0.59146023392515601</v>
      </c>
      <c r="U711" s="26">
        <f t="shared" si="165"/>
        <v>28.000256108717053</v>
      </c>
      <c r="V711" s="26">
        <f t="shared" si="166"/>
        <v>1.0785701863656481</v>
      </c>
      <c r="W711" s="143"/>
      <c r="X711" s="143"/>
      <c r="Y711" s="143"/>
      <c r="Z711" s="30">
        <f>W711*Y711</f>
        <v>0</v>
      </c>
      <c r="AA711" s="31">
        <f t="shared" si="167"/>
        <v>36</v>
      </c>
      <c r="AB711" s="32">
        <v>1.84E-2</v>
      </c>
      <c r="AC711" s="32">
        <v>2.58E-2</v>
      </c>
      <c r="AD711" s="33">
        <f t="shared" si="209"/>
        <v>-0.25218864178679912</v>
      </c>
      <c r="AE711" s="34">
        <f t="shared" si="210"/>
        <v>6.8580401584738465E-2</v>
      </c>
      <c r="AF711" s="33">
        <f t="shared" si="211"/>
        <v>0.81951791690979958</v>
      </c>
      <c r="AG711" s="33">
        <f t="shared" si="212"/>
        <v>0</v>
      </c>
      <c r="AH711" s="35">
        <f t="shared" si="213"/>
        <v>1.2160666643098152</v>
      </c>
      <c r="AI711" s="36">
        <f t="shared" si="168"/>
        <v>3.7138619821866286</v>
      </c>
      <c r="AJ711" s="23"/>
      <c r="AK711" s="23"/>
      <c r="AL711" s="44"/>
      <c r="AM711" s="44"/>
      <c r="AN711" s="44"/>
      <c r="AO711" s="44"/>
      <c r="AP711" s="44"/>
      <c r="AQ711" s="44"/>
      <c r="AR711" s="44"/>
    </row>
    <row r="712" spans="1:44" ht="16.8">
      <c r="A712" s="17" t="s">
        <v>1670</v>
      </c>
      <c r="B712" s="18"/>
      <c r="C712" s="18" t="s">
        <v>1668</v>
      </c>
      <c r="D712" s="19" t="s">
        <v>1669</v>
      </c>
      <c r="E712" s="20" t="s">
        <v>178</v>
      </c>
      <c r="F712" s="21">
        <v>1985</v>
      </c>
      <c r="G712" s="40">
        <v>2022</v>
      </c>
      <c r="H712" s="23">
        <v>546854788472</v>
      </c>
      <c r="I712" s="23">
        <v>1670699652256</v>
      </c>
      <c r="J712" s="23">
        <v>1060711562796</v>
      </c>
      <c r="K712" s="23">
        <f t="shared" ref="K712:K713" si="222">(J712+J711)/2</f>
        <v>1037310920687.5</v>
      </c>
      <c r="L712" s="23">
        <v>988015266263</v>
      </c>
      <c r="M712" s="23">
        <f t="shared" si="195"/>
        <v>609988089460</v>
      </c>
      <c r="N712" s="23">
        <v>1500688699143</v>
      </c>
      <c r="O712" s="25">
        <f t="shared" si="161"/>
        <v>-441160477791</v>
      </c>
      <c r="P712" s="23">
        <v>89597061341</v>
      </c>
      <c r="Q712" s="23">
        <f>1419742738+45846380501</f>
        <v>47266123239</v>
      </c>
      <c r="R712" s="25">
        <f t="shared" si="162"/>
        <v>1453422575904</v>
      </c>
      <c r="S712" s="26">
        <f t="shared" si="163"/>
        <v>0.63489063480900754</v>
      </c>
      <c r="T712" s="27">
        <f t="shared" si="164"/>
        <v>0.55348819714131081</v>
      </c>
      <c r="U712" s="26">
        <f t="shared" si="165"/>
        <v>28.144263608067426</v>
      </c>
      <c r="V712" s="26">
        <f t="shared" si="166"/>
        <v>1.4467105948796783</v>
      </c>
      <c r="W712" s="143"/>
      <c r="X712" s="143"/>
      <c r="Y712" s="143"/>
      <c r="Z712" s="30"/>
      <c r="AA712" s="31">
        <f t="shared" si="167"/>
        <v>37</v>
      </c>
      <c r="AB712" s="32">
        <v>3.15E-2</v>
      </c>
      <c r="AC712" s="32">
        <v>8.0199999999999994E-2</v>
      </c>
      <c r="AD712" s="33">
        <f t="shared" si="209"/>
        <v>-0.26405732304743507</v>
      </c>
      <c r="AE712" s="34">
        <f t="shared" si="210"/>
        <v>5.3628467103595895E-2</v>
      </c>
      <c r="AF712" s="33">
        <f t="shared" si="211"/>
        <v>0.86994845180065505</v>
      </c>
      <c r="AG712" s="33">
        <f t="shared" si="212"/>
        <v>0</v>
      </c>
      <c r="AH712" s="35">
        <f t="shared" si="213"/>
        <v>1.4147943246580956</v>
      </c>
      <c r="AI712" s="36">
        <f t="shared" si="168"/>
        <v>4.0438352818883692</v>
      </c>
      <c r="AJ712" s="23"/>
      <c r="AK712" s="23"/>
      <c r="AL712" s="44"/>
      <c r="AM712" s="44"/>
      <c r="AN712" s="44"/>
      <c r="AO712" s="44"/>
      <c r="AP712" s="44"/>
      <c r="AQ712" s="44"/>
      <c r="AR712" s="44"/>
    </row>
    <row r="713" spans="1:44" ht="16.8">
      <c r="A713" s="17" t="s">
        <v>1671</v>
      </c>
      <c r="B713" s="18"/>
      <c r="C713" s="18" t="s">
        <v>1668</v>
      </c>
      <c r="D713" s="19" t="s">
        <v>1669</v>
      </c>
      <c r="E713" s="20" t="s">
        <v>178</v>
      </c>
      <c r="F713" s="21">
        <v>1985</v>
      </c>
      <c r="G713" s="40">
        <v>2023</v>
      </c>
      <c r="H713" s="23">
        <v>705951010069</v>
      </c>
      <c r="I713" s="23">
        <v>1690597214344</v>
      </c>
      <c r="J713" s="23">
        <v>1045390637625</v>
      </c>
      <c r="K713" s="23">
        <f t="shared" si="222"/>
        <v>1053051100210.5</v>
      </c>
      <c r="L713" s="23">
        <v>865334743521</v>
      </c>
      <c r="M713" s="23">
        <f t="shared" si="195"/>
        <v>645206576719</v>
      </c>
      <c r="N713" s="23">
        <v>1432588050863</v>
      </c>
      <c r="O713" s="25">
        <f t="shared" si="161"/>
        <v>-159383733452</v>
      </c>
      <c r="P713" s="23">
        <v>78502533024</v>
      </c>
      <c r="Q713" s="23">
        <f>1631829464+56195924837</f>
        <v>57827754301</v>
      </c>
      <c r="R713" s="25">
        <f t="shared" si="162"/>
        <v>1374760296562</v>
      </c>
      <c r="S713" s="26">
        <f t="shared" si="163"/>
        <v>0.61835582642352893</v>
      </c>
      <c r="T713" s="27">
        <f t="shared" si="164"/>
        <v>0.8158126266796174</v>
      </c>
      <c r="U713" s="26">
        <f t="shared" si="165"/>
        <v>28.156102963707713</v>
      </c>
      <c r="V713" s="26">
        <f t="shared" si="166"/>
        <v>1.3604164608694036</v>
      </c>
      <c r="W713" s="143"/>
      <c r="X713" s="143"/>
      <c r="Y713" s="143"/>
      <c r="Z713" s="30"/>
      <c r="AA713" s="31">
        <f t="shared" si="167"/>
        <v>38</v>
      </c>
      <c r="AB713" s="32">
        <v>3.2500000000000001E-2</v>
      </c>
      <c r="AC713" s="32">
        <v>5.0500000000000003E-2</v>
      </c>
      <c r="AD713" s="33">
        <f t="shared" si="209"/>
        <v>-9.4276585871369389E-2</v>
      </c>
      <c r="AE713" s="34">
        <f t="shared" si="210"/>
        <v>4.6434793786443822E-2</v>
      </c>
      <c r="AF713" s="33">
        <f t="shared" si="211"/>
        <v>0.81318026842688618</v>
      </c>
      <c r="AG713" s="33">
        <f t="shared" si="212"/>
        <v>0</v>
      </c>
      <c r="AH713" s="35">
        <f t="shared" si="213"/>
        <v>1.3703853844699292</v>
      </c>
      <c r="AI713" s="36">
        <f t="shared" si="168"/>
        <v>4.0057570785340317</v>
      </c>
      <c r="AJ713" s="23"/>
      <c r="AK713" s="23"/>
      <c r="AL713" s="44"/>
      <c r="AM713" s="44"/>
      <c r="AN713" s="44"/>
      <c r="AO713" s="44"/>
      <c r="AP713" s="44"/>
      <c r="AQ713" s="44"/>
      <c r="AR713" s="44"/>
    </row>
    <row r="714" spans="1:44" ht="16.8">
      <c r="A714" s="17" t="s">
        <v>1672</v>
      </c>
      <c r="B714" s="18">
        <v>275</v>
      </c>
      <c r="C714" s="18" t="s">
        <v>1673</v>
      </c>
      <c r="D714" s="19" t="s">
        <v>1674</v>
      </c>
      <c r="E714" s="20" t="s">
        <v>39</v>
      </c>
      <c r="F714" s="21">
        <v>1983</v>
      </c>
      <c r="G714" s="40">
        <v>2021</v>
      </c>
      <c r="H714" s="23">
        <v>22462617997</v>
      </c>
      <c r="I714" s="23">
        <v>78215350611</v>
      </c>
      <c r="J714" s="23">
        <v>37790283344</v>
      </c>
      <c r="K714" s="23">
        <f>(J714+44625734374)/2</f>
        <v>41208008859</v>
      </c>
      <c r="L714" s="23">
        <v>37690283344</v>
      </c>
      <c r="M714" s="23">
        <f t="shared" si="195"/>
        <v>40425067267</v>
      </c>
      <c r="N714" s="23">
        <v>137037203692</v>
      </c>
      <c r="O714" s="25">
        <f t="shared" si="161"/>
        <v>-15227665347</v>
      </c>
      <c r="P714" s="23">
        <v>5818786972</v>
      </c>
      <c r="Q714" s="23">
        <f>8051782982+5474683251</f>
        <v>13526466233</v>
      </c>
      <c r="R714" s="25">
        <f t="shared" si="162"/>
        <v>123510737459</v>
      </c>
      <c r="S714" s="26">
        <f t="shared" si="163"/>
        <v>0.48315686177701894</v>
      </c>
      <c r="T714" s="27">
        <f t="shared" si="164"/>
        <v>0.59597901644790563</v>
      </c>
      <c r="U714" s="26">
        <f t="shared" si="165"/>
        <v>25.082731764606876</v>
      </c>
      <c r="V714" s="26">
        <f t="shared" si="166"/>
        <v>3.3254992776014829</v>
      </c>
      <c r="W714" s="143"/>
      <c r="X714" s="143"/>
      <c r="Y714" s="143"/>
      <c r="Z714" s="30">
        <f>W714*Y714</f>
        <v>0</v>
      </c>
      <c r="AA714" s="31">
        <f t="shared" si="167"/>
        <v>38</v>
      </c>
      <c r="AB714" s="32">
        <v>1.84E-2</v>
      </c>
      <c r="AC714" s="32">
        <v>2.58E-2</v>
      </c>
      <c r="AD714" s="33">
        <f t="shared" si="209"/>
        <v>-0.19468896102932537</v>
      </c>
      <c r="AE714" s="34">
        <f t="shared" si="210"/>
        <v>7.4394436981295858E-2</v>
      </c>
      <c r="AF714" s="33">
        <f t="shared" si="211"/>
        <v>1.5791112165855301</v>
      </c>
      <c r="AG714" s="33">
        <f t="shared" si="212"/>
        <v>0</v>
      </c>
      <c r="AH714" s="35">
        <f t="shared" si="213"/>
        <v>3.6262549937656798</v>
      </c>
      <c r="AI714" s="36">
        <f t="shared" si="168"/>
        <v>8.7078474670365527</v>
      </c>
      <c r="AJ714" s="23"/>
      <c r="AK714" s="101">
        <v>7</v>
      </c>
      <c r="AL714" s="44"/>
      <c r="AM714" s="44"/>
      <c r="AN714" s="44"/>
      <c r="AO714" s="44"/>
      <c r="AP714" s="44"/>
      <c r="AQ714" s="44"/>
      <c r="AR714" s="44"/>
    </row>
    <row r="715" spans="1:44" ht="16.8">
      <c r="A715" s="17" t="s">
        <v>1675</v>
      </c>
      <c r="B715" s="18"/>
      <c r="C715" s="18" t="s">
        <v>1673</v>
      </c>
      <c r="D715" s="19" t="s">
        <v>1674</v>
      </c>
      <c r="E715" s="20" t="s">
        <v>39</v>
      </c>
      <c r="F715" s="21">
        <v>1983</v>
      </c>
      <c r="G715" s="40">
        <v>2022</v>
      </c>
      <c r="H715" s="23">
        <v>19723392107</v>
      </c>
      <c r="I715" s="23">
        <v>85977981842</v>
      </c>
      <c r="J715" s="23">
        <v>41764813768</v>
      </c>
      <c r="K715" s="23">
        <f t="shared" ref="K715:K716" si="223">(J715+J714)/2</f>
        <v>39777548556</v>
      </c>
      <c r="L715" s="23">
        <v>37550416840</v>
      </c>
      <c r="M715" s="23">
        <f t="shared" si="195"/>
        <v>44213168074</v>
      </c>
      <c r="N715" s="23">
        <v>161195798685</v>
      </c>
      <c r="O715" s="25">
        <f t="shared" si="161"/>
        <v>-17827024733</v>
      </c>
      <c r="P715" s="23">
        <v>8792257603</v>
      </c>
      <c r="Q715" s="23">
        <f>8875477442+6292774887</f>
        <v>15168252329</v>
      </c>
      <c r="R715" s="25">
        <f t="shared" si="162"/>
        <v>146027546356</v>
      </c>
      <c r="S715" s="26">
        <f t="shared" si="163"/>
        <v>0.48576173658914623</v>
      </c>
      <c r="T715" s="27">
        <f t="shared" si="164"/>
        <v>0.52525094970423769</v>
      </c>
      <c r="U715" s="26">
        <f t="shared" si="165"/>
        <v>25.177357075326878</v>
      </c>
      <c r="V715" s="26">
        <f t="shared" si="166"/>
        <v>4.0524316992049885</v>
      </c>
      <c r="W715" s="143"/>
      <c r="X715" s="143"/>
      <c r="Y715" s="143"/>
      <c r="Z715" s="30"/>
      <c r="AA715" s="31">
        <f t="shared" si="167"/>
        <v>39</v>
      </c>
      <c r="AB715" s="32">
        <v>3.15E-2</v>
      </c>
      <c r="AC715" s="32">
        <v>8.0199999999999994E-2</v>
      </c>
      <c r="AD715" s="33">
        <f t="shared" si="209"/>
        <v>-0.20734407055239285</v>
      </c>
      <c r="AE715" s="34">
        <f t="shared" si="210"/>
        <v>0.10226173509349584</v>
      </c>
      <c r="AF715" s="33">
        <f t="shared" si="211"/>
        <v>1.6984295656573083</v>
      </c>
      <c r="AG715" s="33">
        <f t="shared" si="212"/>
        <v>0</v>
      </c>
      <c r="AH715" s="35">
        <f t="shared" si="213"/>
        <v>3.8596077449412083</v>
      </c>
      <c r="AI715" s="36">
        <f t="shared" si="168"/>
        <v>9.3587788560783469</v>
      </c>
      <c r="AJ715" s="23"/>
      <c r="AK715" s="101">
        <v>8</v>
      </c>
      <c r="AL715" s="44"/>
      <c r="AM715" s="44"/>
      <c r="AN715" s="44"/>
      <c r="AO715" s="44"/>
      <c r="AP715" s="44"/>
      <c r="AQ715" s="44"/>
      <c r="AR715" s="44"/>
    </row>
    <row r="716" spans="1:44" ht="16.8">
      <c r="A716" s="17" t="s">
        <v>1676</v>
      </c>
      <c r="B716" s="18"/>
      <c r="C716" s="18" t="s">
        <v>1673</v>
      </c>
      <c r="D716" s="19" t="s">
        <v>1674</v>
      </c>
      <c r="E716" s="20" t="s">
        <v>39</v>
      </c>
      <c r="F716" s="21">
        <v>1983</v>
      </c>
      <c r="G716" s="40">
        <v>2023</v>
      </c>
      <c r="H716" s="23">
        <v>23754739371</v>
      </c>
      <c r="I716" s="23">
        <v>93906456012</v>
      </c>
      <c r="J716" s="23">
        <v>46842379257</v>
      </c>
      <c r="K716" s="23">
        <f t="shared" si="223"/>
        <v>44303596512.5</v>
      </c>
      <c r="L716" s="23">
        <v>44160322129</v>
      </c>
      <c r="M716" s="23">
        <f t="shared" si="195"/>
        <v>47064076755</v>
      </c>
      <c r="N716" s="23">
        <v>185104761576</v>
      </c>
      <c r="O716" s="25">
        <f t="shared" si="161"/>
        <v>-20405582758</v>
      </c>
      <c r="P716" s="23">
        <v>9622521561</v>
      </c>
      <c r="Q716" s="23">
        <f>10972444232+7574251260</f>
        <v>18546695492</v>
      </c>
      <c r="R716" s="25">
        <f t="shared" si="162"/>
        <v>166558066084</v>
      </c>
      <c r="S716" s="26">
        <f t="shared" si="163"/>
        <v>0.49881958329908826</v>
      </c>
      <c r="T716" s="27">
        <f t="shared" si="164"/>
        <v>0.53792042779054616</v>
      </c>
      <c r="U716" s="26">
        <f t="shared" si="165"/>
        <v>25.265564974918579</v>
      </c>
      <c r="V716" s="26">
        <f t="shared" si="166"/>
        <v>4.178097855413923</v>
      </c>
      <c r="W716" s="143"/>
      <c r="X716" s="143"/>
      <c r="Y716" s="143"/>
      <c r="Z716" s="30"/>
      <c r="AA716" s="31">
        <f t="shared" si="167"/>
        <v>40</v>
      </c>
      <c r="AB716" s="32">
        <v>3.2500000000000001E-2</v>
      </c>
      <c r="AC716" s="32">
        <v>5.0500000000000003E-2</v>
      </c>
      <c r="AD716" s="33">
        <f t="shared" si="209"/>
        <v>-0.21729691039977525</v>
      </c>
      <c r="AE716" s="34">
        <f t="shared" si="210"/>
        <v>0.10246922277388862</v>
      </c>
      <c r="AF716" s="33">
        <f t="shared" si="211"/>
        <v>1.7736593750563443</v>
      </c>
      <c r="AG716" s="33">
        <f t="shared" si="212"/>
        <v>0</v>
      </c>
      <c r="AH716" s="35">
        <f t="shared" si="213"/>
        <v>3.951651570908163</v>
      </c>
      <c r="AI716" s="36">
        <f t="shared" si="168"/>
        <v>9.6874281279978121</v>
      </c>
      <c r="AJ716" s="23"/>
      <c r="AK716" s="101">
        <v>9</v>
      </c>
      <c r="AL716" s="44"/>
      <c r="AM716" s="44"/>
      <c r="AN716" s="44"/>
      <c r="AO716" s="44"/>
      <c r="AP716" s="44"/>
      <c r="AQ716" s="44"/>
      <c r="AR716" s="44"/>
    </row>
    <row r="717" spans="1:44" ht="16.8">
      <c r="A717" s="17" t="s">
        <v>1677</v>
      </c>
      <c r="B717" s="18">
        <v>276</v>
      </c>
      <c r="C717" s="18" t="s">
        <v>1678</v>
      </c>
      <c r="D717" s="19" t="s">
        <v>1679</v>
      </c>
      <c r="E717" s="20" t="s">
        <v>39</v>
      </c>
      <c r="F717" s="21">
        <v>1972</v>
      </c>
      <c r="G717" s="40">
        <v>2021</v>
      </c>
      <c r="H717" s="23">
        <v>51677804381</v>
      </c>
      <c r="I717" s="23">
        <v>70593512558</v>
      </c>
      <c r="J717" s="23">
        <v>27965290001</v>
      </c>
      <c r="K717" s="23">
        <f>(J717+49726443163)/2</f>
        <v>38845866582</v>
      </c>
      <c r="L717" s="23">
        <v>26929621455</v>
      </c>
      <c r="M717" s="23">
        <f t="shared" si="195"/>
        <v>42628222557</v>
      </c>
      <c r="N717" s="23">
        <v>139410367055</v>
      </c>
      <c r="O717" s="25">
        <f t="shared" si="161"/>
        <v>24748182926</v>
      </c>
      <c r="P717" s="23">
        <v>4280798680</v>
      </c>
      <c r="Q717" s="23">
        <v>7436135762</v>
      </c>
      <c r="R717" s="25">
        <f t="shared" si="162"/>
        <v>131974231293</v>
      </c>
      <c r="S717" s="26">
        <f t="shared" si="163"/>
        <v>0.39614532536574903</v>
      </c>
      <c r="T717" s="27">
        <f t="shared" si="164"/>
        <v>1.918994831299607</v>
      </c>
      <c r="U717" s="26">
        <f t="shared" si="165"/>
        <v>24.980204087110138</v>
      </c>
      <c r="V717" s="26">
        <f t="shared" si="166"/>
        <v>3.5888082651140687</v>
      </c>
      <c r="W717" s="143"/>
      <c r="X717" s="143"/>
      <c r="Y717" s="143"/>
      <c r="Z717" s="30">
        <f>W717*Y717</f>
        <v>0</v>
      </c>
      <c r="AA717" s="31">
        <f t="shared" si="167"/>
        <v>49</v>
      </c>
      <c r="AB717" s="32">
        <v>1.84E-2</v>
      </c>
      <c r="AC717" s="32">
        <v>2.58E-2</v>
      </c>
      <c r="AD717" s="33">
        <f t="shared" si="209"/>
        <v>0.35057304884307555</v>
      </c>
      <c r="AE717" s="34">
        <f t="shared" si="210"/>
        <v>6.0640114436618708E-2</v>
      </c>
      <c r="AF717" s="33">
        <f t="shared" si="211"/>
        <v>1.8694951775429687</v>
      </c>
      <c r="AG717" s="33">
        <f t="shared" si="212"/>
        <v>0</v>
      </c>
      <c r="AH717" s="35">
        <f t="shared" si="213"/>
        <v>4.9851214505558454</v>
      </c>
      <c r="AI717" s="36">
        <f t="shared" si="168"/>
        <v>11.660039355270598</v>
      </c>
      <c r="AJ717" s="23" t="s">
        <v>85</v>
      </c>
      <c r="AK717" s="101">
        <v>10</v>
      </c>
      <c r="AL717" s="44"/>
      <c r="AM717" s="44"/>
      <c r="AN717" s="44"/>
      <c r="AO717" s="44"/>
      <c r="AP717" s="44"/>
      <c r="AQ717" s="44"/>
      <c r="AR717" s="44"/>
    </row>
    <row r="718" spans="1:44" ht="16.8">
      <c r="A718" s="17" t="s">
        <v>1680</v>
      </c>
      <c r="B718" s="18"/>
      <c r="C718" s="18" t="s">
        <v>1678</v>
      </c>
      <c r="D718" s="19" t="s">
        <v>1679</v>
      </c>
      <c r="E718" s="20" t="s">
        <v>39</v>
      </c>
      <c r="F718" s="21">
        <v>1972</v>
      </c>
      <c r="G718" s="40">
        <v>2022</v>
      </c>
      <c r="H718" s="23">
        <v>43470641981</v>
      </c>
      <c r="I718" s="23">
        <v>59850517588</v>
      </c>
      <c r="J718" s="23">
        <v>19295828494</v>
      </c>
      <c r="K718" s="23">
        <f t="shared" ref="K718:K719" si="224">(J718+J717)/2</f>
        <v>23630559247.5</v>
      </c>
      <c r="L718" s="23">
        <v>18180876663</v>
      </c>
      <c r="M718" s="23">
        <f t="shared" si="195"/>
        <v>40554689094</v>
      </c>
      <c r="N718" s="23">
        <v>90337334237</v>
      </c>
      <c r="O718" s="25">
        <f t="shared" si="161"/>
        <v>25289765318</v>
      </c>
      <c r="P718" s="23">
        <v>2207265217</v>
      </c>
      <c r="Q718" s="23">
        <v>5634969661</v>
      </c>
      <c r="R718" s="25">
        <f t="shared" si="162"/>
        <v>84702364576</v>
      </c>
      <c r="S718" s="26">
        <f t="shared" si="163"/>
        <v>0.32240036129393146</v>
      </c>
      <c r="T718" s="27">
        <f t="shared" si="164"/>
        <v>2.3910091238596509</v>
      </c>
      <c r="U718" s="26">
        <f t="shared" si="165"/>
        <v>24.815115916999883</v>
      </c>
      <c r="V718" s="26">
        <f t="shared" si="166"/>
        <v>3.8229029322087356</v>
      </c>
      <c r="W718" s="143"/>
      <c r="X718" s="143"/>
      <c r="Y718" s="143"/>
      <c r="Z718" s="30"/>
      <c r="AA718" s="31">
        <f t="shared" si="167"/>
        <v>50</v>
      </c>
      <c r="AB718" s="32">
        <v>3.15E-2</v>
      </c>
      <c r="AC718" s="32">
        <v>8.0199999999999994E-2</v>
      </c>
      <c r="AD718" s="33">
        <f t="shared" si="209"/>
        <v>0.42254881556898327</v>
      </c>
      <c r="AE718" s="34">
        <f t="shared" si="210"/>
        <v>3.6879634562133772E-2</v>
      </c>
      <c r="AF718" s="33">
        <f t="shared" si="211"/>
        <v>1.415231947684656</v>
      </c>
      <c r="AG718" s="33">
        <f t="shared" si="212"/>
        <v>0</v>
      </c>
      <c r="AH718" s="35">
        <f t="shared" si="213"/>
        <v>4.6817027973217229</v>
      </c>
      <c r="AI718" s="36">
        <f t="shared" si="168"/>
        <v>9.9106582917508543</v>
      </c>
      <c r="AJ718" s="23" t="s">
        <v>85</v>
      </c>
      <c r="AK718" s="101">
        <v>11</v>
      </c>
      <c r="AL718" s="44"/>
      <c r="AM718" s="44"/>
      <c r="AN718" s="44"/>
      <c r="AO718" s="44"/>
      <c r="AP718" s="44"/>
      <c r="AQ718" s="44"/>
      <c r="AR718" s="44"/>
    </row>
    <row r="719" spans="1:44" ht="16.8">
      <c r="A719" s="17" t="s">
        <v>1681</v>
      </c>
      <c r="B719" s="18"/>
      <c r="C719" s="18" t="s">
        <v>1678</v>
      </c>
      <c r="D719" s="19" t="s">
        <v>1679</v>
      </c>
      <c r="E719" s="20" t="s">
        <v>39</v>
      </c>
      <c r="F719" s="21">
        <v>1972</v>
      </c>
      <c r="G719" s="40">
        <v>2023</v>
      </c>
      <c r="H719" s="23">
        <v>35593313643</v>
      </c>
      <c r="I719" s="23">
        <v>52102991620</v>
      </c>
      <c r="J719" s="23">
        <v>11929895504</v>
      </c>
      <c r="K719" s="23">
        <f t="shared" si="224"/>
        <v>15612861999</v>
      </c>
      <c r="L719" s="23">
        <v>10730160633</v>
      </c>
      <c r="M719" s="23">
        <f t="shared" si="195"/>
        <v>40173096116</v>
      </c>
      <c r="N719" s="23">
        <v>80747978301</v>
      </c>
      <c r="O719" s="25">
        <f t="shared" si="161"/>
        <v>24863153010</v>
      </c>
      <c r="P719" s="23">
        <v>1825672239</v>
      </c>
      <c r="Q719" s="23">
        <v>5577571371</v>
      </c>
      <c r="R719" s="25">
        <f t="shared" si="162"/>
        <v>75170406930</v>
      </c>
      <c r="S719" s="26">
        <f t="shared" si="163"/>
        <v>0.22896757236144283</v>
      </c>
      <c r="T719" s="27">
        <f t="shared" si="164"/>
        <v>3.317127754223435</v>
      </c>
      <c r="U719" s="26">
        <f t="shared" si="165"/>
        <v>24.67648820478659</v>
      </c>
      <c r="V719" s="26">
        <f t="shared" si="166"/>
        <v>5.1718882999268097</v>
      </c>
      <c r="W719" s="143"/>
      <c r="X719" s="143"/>
      <c r="Y719" s="143"/>
      <c r="Z719" s="30"/>
      <c r="AA719" s="31">
        <f t="shared" si="167"/>
        <v>51</v>
      </c>
      <c r="AB719" s="32">
        <v>3.2500000000000001E-2</v>
      </c>
      <c r="AC719" s="32">
        <v>5.0500000000000003E-2</v>
      </c>
      <c r="AD719" s="33">
        <f t="shared" si="209"/>
        <v>0.47719242671002698</v>
      </c>
      <c r="AE719" s="34">
        <f t="shared" si="210"/>
        <v>3.503968164275631E-2</v>
      </c>
      <c r="AF719" s="33">
        <f t="shared" si="211"/>
        <v>1.4427272713673787</v>
      </c>
      <c r="AG719" s="33">
        <f t="shared" si="212"/>
        <v>0</v>
      </c>
      <c r="AH719" s="35">
        <f t="shared" si="213"/>
        <v>6.7685402838546107</v>
      </c>
      <c r="AI719" s="36">
        <f t="shared" si="168"/>
        <v>12.151226745718851</v>
      </c>
      <c r="AJ719" s="23" t="s">
        <v>85</v>
      </c>
      <c r="AK719" s="101">
        <v>12</v>
      </c>
      <c r="AL719" s="44"/>
      <c r="AM719" s="44"/>
      <c r="AN719" s="44"/>
      <c r="AO719" s="44"/>
      <c r="AP719" s="44"/>
      <c r="AQ719" s="44"/>
      <c r="AR719" s="44"/>
    </row>
    <row r="720" spans="1:44" ht="16.8">
      <c r="A720" s="17" t="s">
        <v>1682</v>
      </c>
      <c r="B720" s="18">
        <v>277</v>
      </c>
      <c r="C720" s="18" t="s">
        <v>1683</v>
      </c>
      <c r="D720" s="19" t="s">
        <v>1684</v>
      </c>
      <c r="E720" s="20" t="s">
        <v>39</v>
      </c>
      <c r="F720" s="21">
        <v>1989</v>
      </c>
      <c r="G720" s="40">
        <v>2021</v>
      </c>
      <c r="H720" s="23">
        <v>363830677205</v>
      </c>
      <c r="I720" s="23">
        <v>533256374762</v>
      </c>
      <c r="J720" s="23">
        <v>245559783802</v>
      </c>
      <c r="K720" s="23">
        <f>(J720+383043466294)/2</f>
        <v>314301625048</v>
      </c>
      <c r="L720" s="23">
        <v>245559783802</v>
      </c>
      <c r="M720" s="23">
        <f t="shared" si="195"/>
        <v>287696590960</v>
      </c>
      <c r="N720" s="23">
        <v>122017026786</v>
      </c>
      <c r="O720" s="25">
        <f t="shared" si="161"/>
        <v>118270893403</v>
      </c>
      <c r="P720" s="23">
        <v>16972850926</v>
      </c>
      <c r="Q720" s="23">
        <f>8660667012+7370816832</f>
        <v>16031483844</v>
      </c>
      <c r="R720" s="25">
        <f t="shared" si="162"/>
        <v>105985542942</v>
      </c>
      <c r="S720" s="26">
        <f t="shared" si="163"/>
        <v>0.46049104225260667</v>
      </c>
      <c r="T720" s="27">
        <f t="shared" si="164"/>
        <v>1.4816378788570863</v>
      </c>
      <c r="U720" s="26">
        <f t="shared" si="165"/>
        <v>27.002268148773062</v>
      </c>
      <c r="V720" s="26">
        <f t="shared" si="166"/>
        <v>0.3882163408075463</v>
      </c>
      <c r="W720" s="143"/>
      <c r="X720" s="143"/>
      <c r="Y720" s="143"/>
      <c r="Z720" s="30">
        <f>W720*Y720</f>
        <v>0</v>
      </c>
      <c r="AA720" s="31">
        <f t="shared" si="167"/>
        <v>32</v>
      </c>
      <c r="AB720" s="32">
        <v>1.84E-2</v>
      </c>
      <c r="AC720" s="32">
        <v>2.58E-2</v>
      </c>
      <c r="AD720" s="33">
        <f t="shared" si="209"/>
        <v>0.22178992882323442</v>
      </c>
      <c r="AE720" s="34">
        <f t="shared" si="210"/>
        <v>3.1828688280707805E-2</v>
      </c>
      <c r="AF720" s="33">
        <f t="shared" si="211"/>
        <v>0.19875157233573226</v>
      </c>
      <c r="AG720" s="33">
        <f t="shared" si="212"/>
        <v>0</v>
      </c>
      <c r="AH720" s="35">
        <f t="shared" si="213"/>
        <v>0.4968933629799287</v>
      </c>
      <c r="AI720" s="36">
        <f t="shared" si="168"/>
        <v>1.4634816298687174</v>
      </c>
      <c r="AJ720" s="23"/>
      <c r="AK720" s="101">
        <v>13</v>
      </c>
      <c r="AL720" s="44"/>
      <c r="AM720" s="44"/>
      <c r="AN720" s="44"/>
      <c r="AO720" s="44"/>
      <c r="AP720" s="44"/>
      <c r="AQ720" s="44"/>
      <c r="AR720" s="44"/>
    </row>
    <row r="721" spans="1:44" ht="16.8">
      <c r="A721" s="17" t="s">
        <v>1685</v>
      </c>
      <c r="B721" s="18"/>
      <c r="C721" s="18" t="s">
        <v>1683</v>
      </c>
      <c r="D721" s="19" t="s">
        <v>1684</v>
      </c>
      <c r="E721" s="20" t="s">
        <v>39</v>
      </c>
      <c r="F721" s="21">
        <v>1989</v>
      </c>
      <c r="G721" s="40">
        <v>2022</v>
      </c>
      <c r="H721" s="23">
        <v>310879193267</v>
      </c>
      <c r="I721" s="23">
        <v>476838982800</v>
      </c>
      <c r="J721" s="23">
        <v>184793370123</v>
      </c>
      <c r="K721" s="23">
        <f t="shared" ref="K721:K722" si="225">(J721+J720)/2</f>
        <v>215176576962.5</v>
      </c>
      <c r="L721" s="23">
        <v>184793370123</v>
      </c>
      <c r="M721" s="23">
        <f t="shared" si="195"/>
        <v>292045612677</v>
      </c>
      <c r="N721" s="23">
        <v>81396422249</v>
      </c>
      <c r="O721" s="25">
        <f t="shared" si="161"/>
        <v>126085823144</v>
      </c>
      <c r="P721" s="23">
        <v>7913320412</v>
      </c>
      <c r="Q721" s="23">
        <f>42962963+6663386558</f>
        <v>6706349521</v>
      </c>
      <c r="R721" s="25">
        <f t="shared" si="162"/>
        <v>74690072728</v>
      </c>
      <c r="S721" s="26">
        <f t="shared" si="163"/>
        <v>0.38753830284154361</v>
      </c>
      <c r="T721" s="27">
        <f t="shared" si="164"/>
        <v>1.6823070711902501</v>
      </c>
      <c r="U721" s="26">
        <f t="shared" si="165"/>
        <v>26.890444708583637</v>
      </c>
      <c r="V721" s="26">
        <f t="shared" si="166"/>
        <v>0.37827733574916661</v>
      </c>
      <c r="W721" s="143"/>
      <c r="X721" s="143"/>
      <c r="Y721" s="143"/>
      <c r="Z721" s="30"/>
      <c r="AA721" s="31">
        <f t="shared" si="167"/>
        <v>33</v>
      </c>
      <c r="AB721" s="32">
        <v>3.15E-2</v>
      </c>
      <c r="AC721" s="32">
        <v>8.0199999999999994E-2</v>
      </c>
      <c r="AD721" s="33">
        <f t="shared" si="209"/>
        <v>0.26442012438585377</v>
      </c>
      <c r="AE721" s="34">
        <f t="shared" si="210"/>
        <v>1.6595372227188637E-2</v>
      </c>
      <c r="AF721" s="33">
        <f t="shared" si="211"/>
        <v>0.15663583604138165</v>
      </c>
      <c r="AG721" s="33">
        <f t="shared" si="212"/>
        <v>0</v>
      </c>
      <c r="AH721" s="35">
        <f t="shared" si="213"/>
        <v>0.44047263272931203</v>
      </c>
      <c r="AI721" s="36">
        <f t="shared" si="168"/>
        <v>1.2979085620469601</v>
      </c>
      <c r="AJ721" s="23"/>
      <c r="AK721" s="101">
        <v>14</v>
      </c>
      <c r="AL721" s="44"/>
      <c r="AM721" s="44"/>
      <c r="AN721" s="44"/>
      <c r="AO721" s="44"/>
      <c r="AP721" s="44"/>
      <c r="AQ721" s="44"/>
      <c r="AR721" s="44"/>
    </row>
    <row r="722" spans="1:44" ht="16.8">
      <c r="A722" s="17" t="s">
        <v>1686</v>
      </c>
      <c r="B722" s="18"/>
      <c r="C722" s="18" t="s">
        <v>1683</v>
      </c>
      <c r="D722" s="19" t="s">
        <v>1684</v>
      </c>
      <c r="E722" s="20" t="s">
        <v>39</v>
      </c>
      <c r="F722" s="21">
        <v>1989</v>
      </c>
      <c r="G722" s="40">
        <v>2023</v>
      </c>
      <c r="H722" s="23">
        <v>304777551220</v>
      </c>
      <c r="I722" s="23">
        <v>471017104877</v>
      </c>
      <c r="J722" s="23">
        <v>183630183214</v>
      </c>
      <c r="K722" s="23">
        <f t="shared" si="225"/>
        <v>184211776668.5</v>
      </c>
      <c r="L722" s="23">
        <v>183630183214</v>
      </c>
      <c r="M722" s="23">
        <f t="shared" si="195"/>
        <v>287386921663</v>
      </c>
      <c r="N722" s="23">
        <v>13590356820</v>
      </c>
      <c r="O722" s="25">
        <f t="shared" si="161"/>
        <v>121147368006</v>
      </c>
      <c r="P722" s="23">
        <v>1160720473</v>
      </c>
      <c r="Q722" s="23">
        <f>4705041346+9546198109</f>
        <v>14251239455</v>
      </c>
      <c r="R722" s="25">
        <f t="shared" si="162"/>
        <v>-660882635</v>
      </c>
      <c r="S722" s="26">
        <f t="shared" si="163"/>
        <v>0.38985884230669848</v>
      </c>
      <c r="T722" s="27">
        <f t="shared" si="164"/>
        <v>1.659735594038027</v>
      </c>
      <c r="U722" s="26">
        <f t="shared" si="165"/>
        <v>26.878160246390465</v>
      </c>
      <c r="V722" s="26">
        <f t="shared" si="166"/>
        <v>7.3775721974912889E-2</v>
      </c>
      <c r="W722" s="143"/>
      <c r="X722" s="143"/>
      <c r="Y722" s="143"/>
      <c r="Z722" s="30"/>
      <c r="AA722" s="31">
        <f t="shared" si="167"/>
        <v>34</v>
      </c>
      <c r="AB722" s="32">
        <v>3.2500000000000001E-2</v>
      </c>
      <c r="AC722" s="32">
        <v>5.0500000000000003E-2</v>
      </c>
      <c r="AD722" s="33">
        <f t="shared" si="209"/>
        <v>0.25720375492018716</v>
      </c>
      <c r="AE722" s="34">
        <f t="shared" si="210"/>
        <v>2.4642851840871193E-3</v>
      </c>
      <c r="AF722" s="33">
        <f t="shared" si="211"/>
        <v>-1.4030968900218196E-3</v>
      </c>
      <c r="AG722" s="33">
        <f t="shared" si="212"/>
        <v>0</v>
      </c>
      <c r="AH722" s="35">
        <f t="shared" si="213"/>
        <v>7.4009384416732799E-2</v>
      </c>
      <c r="AI722" s="36">
        <f t="shared" si="168"/>
        <v>0.38147366984160735</v>
      </c>
      <c r="AJ722" s="23"/>
      <c r="AK722" s="101">
        <v>15</v>
      </c>
      <c r="AL722" s="44"/>
      <c r="AM722" s="44"/>
      <c r="AN722" s="44"/>
      <c r="AO722" s="44"/>
      <c r="AP722" s="44"/>
      <c r="AQ722" s="44"/>
      <c r="AR722" s="44"/>
    </row>
    <row r="723" spans="1:44" ht="16.8">
      <c r="A723" s="45"/>
      <c r="B723" s="45">
        <v>278</v>
      </c>
      <c r="C723" s="45" t="s">
        <v>1687</v>
      </c>
      <c r="D723" s="46" t="s">
        <v>1688</v>
      </c>
      <c r="E723" s="47" t="s">
        <v>39</v>
      </c>
      <c r="F723" s="48"/>
      <c r="G723" s="48"/>
      <c r="H723" s="49"/>
      <c r="I723" s="49"/>
      <c r="J723" s="49"/>
      <c r="K723" s="49"/>
      <c r="L723" s="49"/>
      <c r="M723" s="49">
        <f t="shared" si="195"/>
        <v>0</v>
      </c>
      <c r="N723" s="49"/>
      <c r="O723" s="49">
        <f t="shared" si="161"/>
        <v>0</v>
      </c>
      <c r="P723" s="49"/>
      <c r="Q723" s="49"/>
      <c r="R723" s="49">
        <f t="shared" si="162"/>
        <v>0</v>
      </c>
      <c r="S723" s="50" t="e">
        <f t="shared" si="163"/>
        <v>#DIV/0!</v>
      </c>
      <c r="T723" s="51" t="e">
        <f t="shared" si="164"/>
        <v>#DIV/0!</v>
      </c>
      <c r="U723" s="50" t="e">
        <f t="shared" si="165"/>
        <v>#NUM!</v>
      </c>
      <c r="V723" s="50" t="e">
        <f t="shared" si="166"/>
        <v>#DIV/0!</v>
      </c>
      <c r="W723" s="52"/>
      <c r="X723" s="52"/>
      <c r="Y723" s="52"/>
      <c r="Z723" s="55">
        <f t="shared" ref="Z723:Z724" si="226">W723*Y723</f>
        <v>0</v>
      </c>
      <c r="AA723" s="48">
        <f t="shared" si="167"/>
        <v>0</v>
      </c>
      <c r="AB723" s="138">
        <v>1.84E-2</v>
      </c>
      <c r="AC723" s="138">
        <v>2.58E-2</v>
      </c>
      <c r="AD723" s="50" t="e">
        <f t="shared" si="209"/>
        <v>#DIV/0!</v>
      </c>
      <c r="AE723" s="56" t="e">
        <f t="shared" si="210"/>
        <v>#DIV/0!</v>
      </c>
      <c r="AF723" s="50" t="e">
        <f t="shared" si="211"/>
        <v>#DIV/0!</v>
      </c>
      <c r="AG723" s="50" t="e">
        <f t="shared" si="212"/>
        <v>#DIV/0!</v>
      </c>
      <c r="AH723" s="57" t="e">
        <f t="shared" si="213"/>
        <v>#DIV/0!</v>
      </c>
      <c r="AI723" s="58" t="e">
        <f t="shared" si="168"/>
        <v>#DIV/0!</v>
      </c>
      <c r="AJ723" s="49"/>
      <c r="AK723" s="49">
        <v>16</v>
      </c>
      <c r="AL723" s="59"/>
      <c r="AM723" s="59"/>
      <c r="AN723" s="59"/>
      <c r="AO723" s="59"/>
      <c r="AP723" s="59"/>
      <c r="AQ723" s="59"/>
      <c r="AR723" s="59"/>
    </row>
    <row r="724" spans="1:44" ht="16.8">
      <c r="A724" s="17" t="s">
        <v>1689</v>
      </c>
      <c r="B724" s="18">
        <v>279</v>
      </c>
      <c r="C724" s="18" t="s">
        <v>1690</v>
      </c>
      <c r="D724" s="19" t="s">
        <v>1691</v>
      </c>
      <c r="E724" s="20" t="s">
        <v>39</v>
      </c>
      <c r="F724" s="21">
        <v>2004</v>
      </c>
      <c r="G724" s="40">
        <v>2021</v>
      </c>
      <c r="H724" s="23">
        <v>418961069400</v>
      </c>
      <c r="I724" s="23">
        <v>1800139412660</v>
      </c>
      <c r="J724" s="23">
        <v>1093280662209</v>
      </c>
      <c r="K724" s="23">
        <f>(J724+971404295919)/2</f>
        <v>1032342479064</v>
      </c>
      <c r="L724" s="23">
        <v>339479503951</v>
      </c>
      <c r="M724" s="23">
        <f t="shared" si="195"/>
        <v>706858750451</v>
      </c>
      <c r="N724" s="23">
        <v>427670064036</v>
      </c>
      <c r="O724" s="25">
        <f t="shared" si="161"/>
        <v>79481565449</v>
      </c>
      <c r="P724" s="23">
        <v>57670227140</v>
      </c>
      <c r="Q724" s="23">
        <v>30136512127</v>
      </c>
      <c r="R724" s="25">
        <f t="shared" si="162"/>
        <v>397533551909</v>
      </c>
      <c r="S724" s="26">
        <f t="shared" si="163"/>
        <v>0.60733110697993065</v>
      </c>
      <c r="T724" s="27">
        <f t="shared" si="164"/>
        <v>1.2341277294327384</v>
      </c>
      <c r="U724" s="26">
        <f t="shared" si="165"/>
        <v>28.218885229309233</v>
      </c>
      <c r="V724" s="26">
        <f t="shared" si="166"/>
        <v>0.4142714968231842</v>
      </c>
      <c r="W724" s="143"/>
      <c r="X724" s="143"/>
      <c r="Y724" s="143"/>
      <c r="Z724" s="30">
        <f t="shared" si="226"/>
        <v>0</v>
      </c>
      <c r="AA724" s="31">
        <f t="shared" si="167"/>
        <v>17</v>
      </c>
      <c r="AB724" s="32">
        <v>1.84E-2</v>
      </c>
      <c r="AC724" s="32">
        <v>2.58E-2</v>
      </c>
      <c r="AD724" s="33">
        <f t="shared" si="209"/>
        <v>4.415300553391751E-2</v>
      </c>
      <c r="AE724" s="34">
        <f t="shared" si="210"/>
        <v>3.2036533800892018E-2</v>
      </c>
      <c r="AF724" s="33">
        <f t="shared" si="211"/>
        <v>0.22083486929580595</v>
      </c>
      <c r="AG724" s="33">
        <f t="shared" si="212"/>
        <v>0</v>
      </c>
      <c r="AH724" s="35">
        <f t="shared" si="213"/>
        <v>0.391180488980645</v>
      </c>
      <c r="AI724" s="36">
        <f t="shared" si="168"/>
        <v>1.2177703116187544</v>
      </c>
      <c r="AJ724" s="23" t="s">
        <v>85</v>
      </c>
      <c r="AK724" s="101">
        <v>17</v>
      </c>
      <c r="AL724" s="44"/>
      <c r="AM724" s="44"/>
      <c r="AN724" s="44"/>
      <c r="AO724" s="44"/>
      <c r="AP724" s="44"/>
      <c r="AQ724" s="44"/>
      <c r="AR724" s="44"/>
    </row>
    <row r="725" spans="1:44" ht="16.8">
      <c r="A725" s="17" t="s">
        <v>1692</v>
      </c>
      <c r="B725" s="18"/>
      <c r="C725" s="18" t="s">
        <v>1690</v>
      </c>
      <c r="D725" s="19" t="s">
        <v>1691</v>
      </c>
      <c r="E725" s="20" t="s">
        <v>39</v>
      </c>
      <c r="F725" s="21">
        <v>2004</v>
      </c>
      <c r="G725" s="40">
        <v>2022</v>
      </c>
      <c r="H725" s="23">
        <v>538673329486</v>
      </c>
      <c r="I725" s="23">
        <v>1920874700245</v>
      </c>
      <c r="J725" s="23">
        <v>1114096830174</v>
      </c>
      <c r="K725" s="23">
        <f t="shared" ref="K725:K726" si="227">(J725+J724)/2</f>
        <v>1103688746191.5</v>
      </c>
      <c r="L725" s="23">
        <v>392252021135</v>
      </c>
      <c r="M725" s="23">
        <f t="shared" si="195"/>
        <v>806777870071</v>
      </c>
      <c r="N725" s="23">
        <v>949320645343</v>
      </c>
      <c r="O725" s="25">
        <f t="shared" si="161"/>
        <v>146421308351</v>
      </c>
      <c r="P725" s="23">
        <v>124510258154</v>
      </c>
      <c r="Q725" s="23">
        <v>14323121452</v>
      </c>
      <c r="R725" s="25">
        <f t="shared" si="162"/>
        <v>934997523891</v>
      </c>
      <c r="S725" s="26">
        <f t="shared" si="163"/>
        <v>0.5799945358392723</v>
      </c>
      <c r="T725" s="27">
        <f t="shared" si="164"/>
        <v>1.3732837575376233</v>
      </c>
      <c r="U725" s="26">
        <f t="shared" si="165"/>
        <v>28.283801771270618</v>
      </c>
      <c r="V725" s="26">
        <f t="shared" si="166"/>
        <v>0.86013438899220618</v>
      </c>
      <c r="W725" s="143"/>
      <c r="X725" s="143"/>
      <c r="Y725" s="143"/>
      <c r="Z725" s="30"/>
      <c r="AA725" s="31">
        <f t="shared" si="167"/>
        <v>18</v>
      </c>
      <c r="AB725" s="32">
        <v>3.15E-2</v>
      </c>
      <c r="AC725" s="32">
        <v>8.0199999999999994E-2</v>
      </c>
      <c r="AD725" s="33">
        <f t="shared" si="209"/>
        <v>7.6226371419397906E-2</v>
      </c>
      <c r="AE725" s="34">
        <f t="shared" si="210"/>
        <v>6.4819562743014522E-2</v>
      </c>
      <c r="AF725" s="33">
        <f t="shared" si="211"/>
        <v>0.48675612405730823</v>
      </c>
      <c r="AG725" s="33">
        <f t="shared" si="212"/>
        <v>0</v>
      </c>
      <c r="AH725" s="35">
        <f t="shared" si="213"/>
        <v>0.85209886576441907</v>
      </c>
      <c r="AI725" s="36">
        <f t="shared" si="168"/>
        <v>2.6406131086970337</v>
      </c>
      <c r="AJ725" s="23" t="s">
        <v>85</v>
      </c>
      <c r="AK725" s="101">
        <v>18</v>
      </c>
      <c r="AL725" s="44"/>
      <c r="AM725" s="44"/>
      <c r="AN725" s="44"/>
      <c r="AO725" s="44"/>
      <c r="AP725" s="44"/>
      <c r="AQ725" s="44"/>
      <c r="AR725" s="44"/>
    </row>
    <row r="726" spans="1:44" ht="16.8">
      <c r="A726" s="17" t="s">
        <v>1693</v>
      </c>
      <c r="B726" s="18"/>
      <c r="C726" s="18" t="s">
        <v>1690</v>
      </c>
      <c r="D726" s="19" t="s">
        <v>1691</v>
      </c>
      <c r="E726" s="20" t="s">
        <v>39</v>
      </c>
      <c r="F726" s="21">
        <v>2004</v>
      </c>
      <c r="G726" s="40">
        <v>2023</v>
      </c>
      <c r="H726" s="23">
        <v>729110484991</v>
      </c>
      <c r="I726" s="23">
        <v>2232098281322</v>
      </c>
      <c r="J726" s="23">
        <v>1392778632565</v>
      </c>
      <c r="K726" s="23">
        <f t="shared" si="227"/>
        <v>1253437731369.5</v>
      </c>
      <c r="L726" s="23">
        <v>639687972765</v>
      </c>
      <c r="M726" s="23">
        <f t="shared" si="195"/>
        <v>839319648757</v>
      </c>
      <c r="N726" s="23">
        <v>627200794335</v>
      </c>
      <c r="O726" s="25">
        <f t="shared" si="161"/>
        <v>89422512226</v>
      </c>
      <c r="P726" s="23">
        <v>71838991683</v>
      </c>
      <c r="Q726" s="23">
        <v>15928206810</v>
      </c>
      <c r="R726" s="25">
        <f t="shared" si="162"/>
        <v>611272587525</v>
      </c>
      <c r="S726" s="26">
        <f t="shared" si="163"/>
        <v>0.6239772881954383</v>
      </c>
      <c r="T726" s="27">
        <f t="shared" si="164"/>
        <v>1.1397908293311789</v>
      </c>
      <c r="U726" s="26">
        <f t="shared" si="165"/>
        <v>28.433963192328555</v>
      </c>
      <c r="V726" s="26">
        <f t="shared" si="166"/>
        <v>0.50038448551387027</v>
      </c>
      <c r="W726" s="143"/>
      <c r="X726" s="143"/>
      <c r="Y726" s="143"/>
      <c r="Z726" s="30"/>
      <c r="AA726" s="31">
        <f t="shared" si="167"/>
        <v>19</v>
      </c>
      <c r="AB726" s="32">
        <v>3.2500000000000001E-2</v>
      </c>
      <c r="AC726" s="32">
        <v>5.0500000000000003E-2</v>
      </c>
      <c r="AD726" s="33">
        <f t="shared" si="209"/>
        <v>4.0062085515803508E-2</v>
      </c>
      <c r="AE726" s="34">
        <f t="shared" si="210"/>
        <v>3.2184510997630478E-2</v>
      </c>
      <c r="AF726" s="33">
        <f t="shared" si="211"/>
        <v>0.27385558809846083</v>
      </c>
      <c r="AG726" s="33">
        <f t="shared" si="212"/>
        <v>0</v>
      </c>
      <c r="AH726" s="35">
        <f t="shared" si="213"/>
        <v>0.45032338928112398</v>
      </c>
      <c r="AI726" s="36">
        <f t="shared" si="168"/>
        <v>1.4471796480216916</v>
      </c>
      <c r="AJ726" s="23" t="s">
        <v>85</v>
      </c>
      <c r="AK726" s="101">
        <v>19</v>
      </c>
      <c r="AL726" s="44"/>
      <c r="AM726" s="44"/>
      <c r="AN726" s="44"/>
      <c r="AO726" s="44"/>
      <c r="AP726" s="44"/>
      <c r="AQ726" s="44"/>
      <c r="AR726" s="44"/>
    </row>
    <row r="727" spans="1:44" ht="16.8">
      <c r="A727" s="45"/>
      <c r="B727" s="45">
        <v>280</v>
      </c>
      <c r="C727" s="45" t="s">
        <v>1694</v>
      </c>
      <c r="D727" s="46" t="s">
        <v>1695</v>
      </c>
      <c r="E727" s="47" t="s">
        <v>39</v>
      </c>
      <c r="F727" s="48"/>
      <c r="G727" s="48"/>
      <c r="H727" s="49"/>
      <c r="I727" s="49"/>
      <c r="J727" s="49"/>
      <c r="K727" s="49"/>
      <c r="L727" s="49"/>
      <c r="M727" s="49">
        <f t="shared" si="195"/>
        <v>0</v>
      </c>
      <c r="N727" s="49"/>
      <c r="O727" s="49">
        <f t="shared" si="161"/>
        <v>0</v>
      </c>
      <c r="P727" s="49"/>
      <c r="Q727" s="49"/>
      <c r="R727" s="49">
        <f t="shared" si="162"/>
        <v>0</v>
      </c>
      <c r="S727" s="50" t="e">
        <f t="shared" si="163"/>
        <v>#DIV/0!</v>
      </c>
      <c r="T727" s="51" t="e">
        <f t="shared" si="164"/>
        <v>#DIV/0!</v>
      </c>
      <c r="U727" s="50" t="e">
        <f t="shared" si="165"/>
        <v>#NUM!</v>
      </c>
      <c r="V727" s="50" t="e">
        <f t="shared" si="166"/>
        <v>#DIV/0!</v>
      </c>
      <c r="W727" s="52"/>
      <c r="X727" s="52"/>
      <c r="Y727" s="52"/>
      <c r="Z727" s="55">
        <f t="shared" ref="Z727:Z728" si="228">W727*Y727</f>
        <v>0</v>
      </c>
      <c r="AA727" s="48">
        <f t="shared" si="167"/>
        <v>0</v>
      </c>
      <c r="AB727" s="138">
        <v>3.15E-2</v>
      </c>
      <c r="AC727" s="138">
        <v>8.0199999999999994E-2</v>
      </c>
      <c r="AD727" s="50" t="e">
        <f t="shared" si="209"/>
        <v>#DIV/0!</v>
      </c>
      <c r="AE727" s="56" t="e">
        <f t="shared" si="210"/>
        <v>#DIV/0!</v>
      </c>
      <c r="AF727" s="50" t="e">
        <f t="shared" si="211"/>
        <v>#DIV/0!</v>
      </c>
      <c r="AG727" s="50" t="e">
        <f t="shared" si="212"/>
        <v>#DIV/0!</v>
      </c>
      <c r="AH727" s="57" t="e">
        <f t="shared" si="213"/>
        <v>#DIV/0!</v>
      </c>
      <c r="AI727" s="58" t="e">
        <f t="shared" si="168"/>
        <v>#DIV/0!</v>
      </c>
      <c r="AJ727" s="49"/>
      <c r="AK727" s="49">
        <v>20</v>
      </c>
      <c r="AL727" s="59"/>
      <c r="AM727" s="59"/>
      <c r="AN727" s="59"/>
      <c r="AO727" s="59"/>
      <c r="AP727" s="59"/>
      <c r="AQ727" s="59"/>
      <c r="AR727" s="59"/>
    </row>
    <row r="728" spans="1:44" ht="16.8">
      <c r="A728" s="17" t="s">
        <v>1696</v>
      </c>
      <c r="B728" s="18">
        <v>281</v>
      </c>
      <c r="C728" s="18" t="s">
        <v>1697</v>
      </c>
      <c r="D728" s="19" t="s">
        <v>1698</v>
      </c>
      <c r="E728" s="20" t="s">
        <v>178</v>
      </c>
      <c r="F728" s="21">
        <v>2007</v>
      </c>
      <c r="G728" s="40">
        <v>2021</v>
      </c>
      <c r="H728" s="23">
        <v>60655593431</v>
      </c>
      <c r="I728" s="23">
        <v>158536672701</v>
      </c>
      <c r="J728" s="23">
        <v>15822404361</v>
      </c>
      <c r="K728" s="23">
        <f>(J728+16222460682)/2</f>
        <v>16022432521.5</v>
      </c>
      <c r="L728" s="23">
        <v>15822404361</v>
      </c>
      <c r="M728" s="23">
        <f t="shared" si="195"/>
        <v>142714268340</v>
      </c>
      <c r="N728" s="23">
        <v>-178931454</v>
      </c>
      <c r="O728" s="25">
        <f t="shared" si="161"/>
        <v>44833189070</v>
      </c>
      <c r="P728" s="23">
        <v>26158755976</v>
      </c>
      <c r="Q728" s="23">
        <v>5125444182</v>
      </c>
      <c r="R728" s="25">
        <f t="shared" si="162"/>
        <v>-5304375636</v>
      </c>
      <c r="S728" s="26">
        <f t="shared" si="163"/>
        <v>9.9802803297386208E-2</v>
      </c>
      <c r="T728" s="27">
        <f t="shared" si="164"/>
        <v>3.8335256796057813</v>
      </c>
      <c r="U728" s="26">
        <f t="shared" si="165"/>
        <v>25.789251777008911</v>
      </c>
      <c r="V728" s="26">
        <f t="shared" si="166"/>
        <v>-1.1167558593858797E-2</v>
      </c>
      <c r="W728" s="143"/>
      <c r="X728" s="143"/>
      <c r="Y728" s="143"/>
      <c r="Z728" s="30">
        <f t="shared" si="228"/>
        <v>0</v>
      </c>
      <c r="AA728" s="31">
        <f t="shared" si="167"/>
        <v>14</v>
      </c>
      <c r="AB728" s="32">
        <v>1.84E-2</v>
      </c>
      <c r="AC728" s="32">
        <v>2.58E-2</v>
      </c>
      <c r="AD728" s="33">
        <f t="shared" si="209"/>
        <v>0.28279380603978832</v>
      </c>
      <c r="AE728" s="34">
        <f t="shared" si="210"/>
        <v>0.16500129295217003</v>
      </c>
      <c r="AF728" s="33">
        <f t="shared" si="211"/>
        <v>-3.3458350964663215E-2</v>
      </c>
      <c r="AG728" s="33">
        <f t="shared" si="212"/>
        <v>0</v>
      </c>
      <c r="AH728" s="35">
        <f t="shared" si="213"/>
        <v>-1.1308739804491463E-2</v>
      </c>
      <c r="AI728" s="36">
        <f t="shared" si="168"/>
        <v>0.44863307939290392</v>
      </c>
      <c r="AJ728" s="23"/>
      <c r="AK728" s="23"/>
      <c r="AL728" s="44"/>
      <c r="AM728" s="44"/>
      <c r="AN728" s="44"/>
      <c r="AO728" s="44"/>
      <c r="AP728" s="44"/>
      <c r="AQ728" s="44"/>
      <c r="AR728" s="44"/>
    </row>
    <row r="729" spans="1:44" ht="16.8">
      <c r="A729" s="17" t="s">
        <v>1699</v>
      </c>
      <c r="B729" s="18"/>
      <c r="C729" s="18" t="s">
        <v>1697</v>
      </c>
      <c r="D729" s="19" t="s">
        <v>1698</v>
      </c>
      <c r="E729" s="20" t="s">
        <v>178</v>
      </c>
      <c r="F729" s="21">
        <v>2007</v>
      </c>
      <c r="G729" s="40">
        <v>2022</v>
      </c>
      <c r="H729" s="23">
        <v>57768253532</v>
      </c>
      <c r="I729" s="23">
        <v>162823534693</v>
      </c>
      <c r="J729" s="23">
        <v>14499386187</v>
      </c>
      <c r="K729" s="23">
        <f t="shared" ref="K729:K730" si="229">(J729+J728)/2</f>
        <v>15160895274</v>
      </c>
      <c r="L729" s="23">
        <v>14499386187</v>
      </c>
      <c r="M729" s="23">
        <f t="shared" si="195"/>
        <v>148324148506</v>
      </c>
      <c r="N729" s="23">
        <v>10661420000</v>
      </c>
      <c r="O729" s="25">
        <f t="shared" si="161"/>
        <v>43268867345</v>
      </c>
      <c r="P729" s="23">
        <v>5609880166</v>
      </c>
      <c r="Q729" s="23">
        <v>2030258095</v>
      </c>
      <c r="R729" s="25">
        <f t="shared" si="162"/>
        <v>8631161905</v>
      </c>
      <c r="S729" s="26">
        <f t="shared" si="163"/>
        <v>8.9049695514461444E-2</v>
      </c>
      <c r="T729" s="27">
        <f t="shared" si="164"/>
        <v>3.9841861432585621</v>
      </c>
      <c r="U729" s="26">
        <f t="shared" si="165"/>
        <v>25.815932842063088</v>
      </c>
      <c r="V729" s="26">
        <f t="shared" si="166"/>
        <v>0.70321836588922804</v>
      </c>
      <c r="W729" s="143"/>
      <c r="X729" s="143"/>
      <c r="Y729" s="143"/>
      <c r="Z729" s="30"/>
      <c r="AA729" s="31">
        <f t="shared" si="167"/>
        <v>15</v>
      </c>
      <c r="AB729" s="32">
        <v>3.15E-2</v>
      </c>
      <c r="AC729" s="32">
        <v>8.0199999999999994E-2</v>
      </c>
      <c r="AD729" s="33">
        <f t="shared" si="209"/>
        <v>0.26574086741565001</v>
      </c>
      <c r="AE729" s="34">
        <f t="shared" si="210"/>
        <v>3.4453742676556549E-2</v>
      </c>
      <c r="AF729" s="33">
        <f t="shared" si="211"/>
        <v>5.3009301887923362E-2</v>
      </c>
      <c r="AG729" s="33">
        <f t="shared" si="212"/>
        <v>0</v>
      </c>
      <c r="AH729" s="35">
        <f t="shared" si="213"/>
        <v>0.73530147155876979</v>
      </c>
      <c r="AI729" s="36">
        <f t="shared" si="168"/>
        <v>1.2773564484348761</v>
      </c>
      <c r="AJ729" s="23"/>
      <c r="AK729" s="23"/>
      <c r="AL729" s="44"/>
      <c r="AM729" s="44"/>
      <c r="AN729" s="44"/>
      <c r="AO729" s="44"/>
      <c r="AP729" s="44"/>
      <c r="AQ729" s="44"/>
      <c r="AR729" s="44"/>
    </row>
    <row r="730" spans="1:44" ht="16.8">
      <c r="A730" s="17" t="s">
        <v>1700</v>
      </c>
      <c r="B730" s="18"/>
      <c r="C730" s="18" t="s">
        <v>1697</v>
      </c>
      <c r="D730" s="19" t="s">
        <v>1698</v>
      </c>
      <c r="E730" s="20" t="s">
        <v>178</v>
      </c>
      <c r="F730" s="21">
        <v>2007</v>
      </c>
      <c r="G730" s="40">
        <v>2023</v>
      </c>
      <c r="H730" s="23">
        <v>87404758749</v>
      </c>
      <c r="I730" s="23">
        <v>211588390112</v>
      </c>
      <c r="J730" s="23">
        <v>14200755402</v>
      </c>
      <c r="K730" s="23">
        <f t="shared" si="229"/>
        <v>14350070794.5</v>
      </c>
      <c r="L730" s="23">
        <v>14200755402</v>
      </c>
      <c r="M730" s="23">
        <f t="shared" si="195"/>
        <v>197387634710</v>
      </c>
      <c r="N730" s="23">
        <v>0</v>
      </c>
      <c r="O730" s="25">
        <f t="shared" si="161"/>
        <v>73204003347</v>
      </c>
      <c r="P730" s="23">
        <v>49063486204</v>
      </c>
      <c r="Q730" s="23">
        <v>4326871784</v>
      </c>
      <c r="R730" s="25">
        <f t="shared" si="162"/>
        <v>-4326871784</v>
      </c>
      <c r="S730" s="26">
        <f t="shared" si="163"/>
        <v>6.7115002833960408E-2</v>
      </c>
      <c r="T730" s="27">
        <f t="shared" si="164"/>
        <v>6.1549372744417612</v>
      </c>
      <c r="U730" s="26">
        <f t="shared" si="165"/>
        <v>26.07790866827974</v>
      </c>
      <c r="V730" s="26">
        <f t="shared" si="166"/>
        <v>0</v>
      </c>
      <c r="W730" s="143"/>
      <c r="X730" s="143"/>
      <c r="Y730" s="143"/>
      <c r="Z730" s="30"/>
      <c r="AA730" s="31">
        <f t="shared" si="167"/>
        <v>16</v>
      </c>
      <c r="AB730" s="32">
        <v>3.2500000000000001E-2</v>
      </c>
      <c r="AC730" s="32">
        <v>5.0500000000000003E-2</v>
      </c>
      <c r="AD730" s="33">
        <f t="shared" si="209"/>
        <v>0.34597362978304697</v>
      </c>
      <c r="AE730" s="34">
        <f t="shared" si="210"/>
        <v>0.23188175011884746</v>
      </c>
      <c r="AF730" s="33">
        <f t="shared" si="211"/>
        <v>-2.0449476371126311E-2</v>
      </c>
      <c r="AG730" s="33">
        <f t="shared" si="212"/>
        <v>0</v>
      </c>
      <c r="AH730" s="35">
        <f t="shared" si="213"/>
        <v>0</v>
      </c>
      <c r="AI730" s="36">
        <f t="shared" si="168"/>
        <v>0.67231953388132593</v>
      </c>
      <c r="AJ730" s="23"/>
      <c r="AK730" s="23"/>
      <c r="AL730" s="44"/>
      <c r="AM730" s="44"/>
      <c r="AN730" s="44"/>
      <c r="AO730" s="44"/>
      <c r="AP730" s="44"/>
      <c r="AQ730" s="44"/>
      <c r="AR730" s="44"/>
    </row>
    <row r="731" spans="1:44" ht="16.8">
      <c r="A731" s="45"/>
      <c r="B731" s="45">
        <v>282</v>
      </c>
      <c r="C731" s="45" t="s">
        <v>1701</v>
      </c>
      <c r="D731" s="46" t="s">
        <v>1702</v>
      </c>
      <c r="E731" s="47" t="s">
        <v>39</v>
      </c>
      <c r="F731" s="48"/>
      <c r="G731" s="48">
        <v>2021</v>
      </c>
      <c r="H731" s="49"/>
      <c r="I731" s="49"/>
      <c r="J731" s="49"/>
      <c r="K731" s="49"/>
      <c r="L731" s="49"/>
      <c r="M731" s="49">
        <f t="shared" si="195"/>
        <v>0</v>
      </c>
      <c r="N731" s="49"/>
      <c r="O731" s="49">
        <f t="shared" si="161"/>
        <v>0</v>
      </c>
      <c r="P731" s="49"/>
      <c r="Q731" s="49"/>
      <c r="R731" s="49">
        <f t="shared" si="162"/>
        <v>0</v>
      </c>
      <c r="S731" s="50" t="e">
        <f t="shared" si="163"/>
        <v>#DIV/0!</v>
      </c>
      <c r="T731" s="51" t="e">
        <f t="shared" si="164"/>
        <v>#DIV/0!</v>
      </c>
      <c r="U731" s="50" t="e">
        <f t="shared" si="165"/>
        <v>#NUM!</v>
      </c>
      <c r="V731" s="50" t="e">
        <f t="shared" si="166"/>
        <v>#DIV/0!</v>
      </c>
      <c r="W731" s="52"/>
      <c r="X731" s="52"/>
      <c r="Y731" s="52"/>
      <c r="Z731" s="55">
        <f t="shared" ref="Z731:Z732" si="230">W731*Y731</f>
        <v>0</v>
      </c>
      <c r="AA731" s="48">
        <f t="shared" si="167"/>
        <v>2021</v>
      </c>
      <c r="AB731" s="138">
        <v>3.2500000000000001E-2</v>
      </c>
      <c r="AC731" s="138">
        <v>5.0500000000000003E-2</v>
      </c>
      <c r="AD731" s="50" t="e">
        <f t="shared" si="209"/>
        <v>#DIV/0!</v>
      </c>
      <c r="AE731" s="56" t="e">
        <f t="shared" si="210"/>
        <v>#DIV/0!</v>
      </c>
      <c r="AF731" s="50" t="e">
        <f t="shared" si="211"/>
        <v>#DIV/0!</v>
      </c>
      <c r="AG731" s="50" t="e">
        <f t="shared" si="212"/>
        <v>#DIV/0!</v>
      </c>
      <c r="AH731" s="57" t="e">
        <f t="shared" si="213"/>
        <v>#DIV/0!</v>
      </c>
      <c r="AI731" s="58" t="e">
        <f t="shared" si="168"/>
        <v>#DIV/0!</v>
      </c>
      <c r="AJ731" s="49"/>
      <c r="AK731" s="49">
        <v>21</v>
      </c>
      <c r="AL731" s="59"/>
      <c r="AM731" s="59"/>
      <c r="AN731" s="59"/>
      <c r="AO731" s="59"/>
      <c r="AP731" s="59"/>
      <c r="AQ731" s="59"/>
      <c r="AR731" s="59"/>
    </row>
    <row r="732" spans="1:44" ht="16.8">
      <c r="A732" s="17" t="s">
        <v>1703</v>
      </c>
      <c r="B732" s="18">
        <v>283</v>
      </c>
      <c r="C732" s="18" t="s">
        <v>1704</v>
      </c>
      <c r="D732" s="19" t="s">
        <v>1705</v>
      </c>
      <c r="E732" s="20" t="s">
        <v>39</v>
      </c>
      <c r="F732" s="21">
        <v>2003</v>
      </c>
      <c r="G732" s="40">
        <v>2021</v>
      </c>
      <c r="H732" s="23">
        <v>1932146861107</v>
      </c>
      <c r="I732" s="23">
        <v>3440343727763</v>
      </c>
      <c r="J732" s="23">
        <v>2410581510943</v>
      </c>
      <c r="K732" s="23">
        <f>(J732+2949581375893)/2</f>
        <v>2680081443418</v>
      </c>
      <c r="L732" s="23">
        <v>1464764956658</v>
      </c>
      <c r="M732" s="23">
        <f t="shared" si="195"/>
        <v>1029762216820</v>
      </c>
      <c r="N732" s="23">
        <v>6451444755207</v>
      </c>
      <c r="O732" s="25">
        <f t="shared" si="161"/>
        <v>467381904449</v>
      </c>
      <c r="P732" s="23">
        <v>169405071430</v>
      </c>
      <c r="Q732" s="23">
        <v>71474744142</v>
      </c>
      <c r="R732" s="25">
        <f t="shared" si="162"/>
        <v>6379970011065</v>
      </c>
      <c r="S732" s="26">
        <f t="shared" si="163"/>
        <v>0.70068042663586472</v>
      </c>
      <c r="T732" s="27">
        <f t="shared" si="164"/>
        <v>1.3190832101249719</v>
      </c>
      <c r="U732" s="26">
        <f t="shared" si="165"/>
        <v>28.866592503183437</v>
      </c>
      <c r="V732" s="26">
        <f t="shared" si="166"/>
        <v>2.4071823530031424</v>
      </c>
      <c r="W732" s="143"/>
      <c r="X732" s="143"/>
      <c r="Y732" s="143"/>
      <c r="Z732" s="30">
        <f t="shared" si="230"/>
        <v>0</v>
      </c>
      <c r="AA732" s="31">
        <f t="shared" si="167"/>
        <v>18</v>
      </c>
      <c r="AB732" s="32">
        <v>1.84E-2</v>
      </c>
      <c r="AC732" s="32">
        <v>2.58E-2</v>
      </c>
      <c r="AD732" s="33">
        <f t="shared" si="209"/>
        <v>0.13585325811409657</v>
      </c>
      <c r="AE732" s="34">
        <f t="shared" si="210"/>
        <v>4.9240740122252706E-2</v>
      </c>
      <c r="AF732" s="33">
        <f t="shared" si="211"/>
        <v>1.8544571461216814</v>
      </c>
      <c r="AG732" s="33">
        <f t="shared" si="212"/>
        <v>0</v>
      </c>
      <c r="AH732" s="35">
        <f t="shared" si="213"/>
        <v>2.6763022639642031</v>
      </c>
      <c r="AI732" s="36">
        <f t="shared" si="168"/>
        <v>9.0279717920738207</v>
      </c>
      <c r="AJ732" s="23" t="s">
        <v>85</v>
      </c>
      <c r="AK732" s="101">
        <v>22</v>
      </c>
      <c r="AL732" s="44"/>
      <c r="AM732" s="44"/>
      <c r="AN732" s="44"/>
      <c r="AO732" s="44"/>
      <c r="AP732" s="44"/>
      <c r="AQ732" s="44"/>
      <c r="AR732" s="44"/>
    </row>
    <row r="733" spans="1:44" ht="16.8">
      <c r="A733" s="17" t="s">
        <v>1706</v>
      </c>
      <c r="B733" s="18"/>
      <c r="C733" s="18" t="s">
        <v>1704</v>
      </c>
      <c r="D733" s="19" t="s">
        <v>1705</v>
      </c>
      <c r="E733" s="20" t="s">
        <v>39</v>
      </c>
      <c r="F733" s="21">
        <v>2003</v>
      </c>
      <c r="G733" s="40">
        <v>2022</v>
      </c>
      <c r="H733" s="23">
        <v>1559560036726</v>
      </c>
      <c r="I733" s="23">
        <v>3711093128338</v>
      </c>
      <c r="J733" s="23">
        <v>2273627527116</v>
      </c>
      <c r="K733" s="23">
        <f t="shared" ref="K733:K734" si="231">(J733+J732)/2</f>
        <v>2342104519029.5</v>
      </c>
      <c r="L733" s="23">
        <v>1031851279235</v>
      </c>
      <c r="M733" s="23">
        <f t="shared" si="195"/>
        <v>1437465601222</v>
      </c>
      <c r="N733" s="23">
        <v>1787237414707</v>
      </c>
      <c r="O733" s="25">
        <f t="shared" si="161"/>
        <v>527708757491</v>
      </c>
      <c r="P733" s="23">
        <v>64380843843</v>
      </c>
      <c r="Q733" s="23">
        <v>12215925321</v>
      </c>
      <c r="R733" s="25">
        <f t="shared" si="162"/>
        <v>1775021489386</v>
      </c>
      <c r="S733" s="26">
        <f t="shared" si="163"/>
        <v>0.61265709279956448</v>
      </c>
      <c r="T733" s="27">
        <f t="shared" si="164"/>
        <v>1.5114193955181563</v>
      </c>
      <c r="U733" s="26">
        <f t="shared" si="165"/>
        <v>28.942347592905818</v>
      </c>
      <c r="V733" s="26">
        <f t="shared" si="166"/>
        <v>0.76309037456944029</v>
      </c>
      <c r="W733" s="143"/>
      <c r="X733" s="143"/>
      <c r="Y733" s="143"/>
      <c r="Z733" s="30"/>
      <c r="AA733" s="31">
        <f t="shared" si="167"/>
        <v>19</v>
      </c>
      <c r="AB733" s="32">
        <v>3.15E-2</v>
      </c>
      <c r="AC733" s="32">
        <v>8.0199999999999994E-2</v>
      </c>
      <c r="AD733" s="33">
        <f t="shared" si="209"/>
        <v>0.14219765962255237</v>
      </c>
      <c r="AE733" s="34">
        <f t="shared" si="210"/>
        <v>1.7348215637970996E-2</v>
      </c>
      <c r="AF733" s="33">
        <f t="shared" si="211"/>
        <v>0.47830152141208515</v>
      </c>
      <c r="AG733" s="33">
        <f t="shared" si="212"/>
        <v>0</v>
      </c>
      <c r="AH733" s="35">
        <f t="shared" si="213"/>
        <v>0.78607308954164312</v>
      </c>
      <c r="AI733" s="36">
        <f t="shared" si="168"/>
        <v>2.5593928036417464</v>
      </c>
      <c r="AJ733" s="23"/>
      <c r="AK733" s="101">
        <v>23</v>
      </c>
      <c r="AL733" s="44"/>
      <c r="AM733" s="44"/>
      <c r="AN733" s="44"/>
      <c r="AO733" s="44"/>
      <c r="AP733" s="44"/>
      <c r="AQ733" s="44"/>
      <c r="AR733" s="44"/>
    </row>
    <row r="734" spans="1:44" ht="16.8">
      <c r="A734" s="17" t="s">
        <v>1707</v>
      </c>
      <c r="B734" s="18"/>
      <c r="C734" s="18" t="s">
        <v>1704</v>
      </c>
      <c r="D734" s="19" t="s">
        <v>1705</v>
      </c>
      <c r="E734" s="20" t="s">
        <v>39</v>
      </c>
      <c r="F734" s="21">
        <v>2003</v>
      </c>
      <c r="G734" s="40">
        <v>2023</v>
      </c>
      <c r="H734" s="23">
        <v>1825562757312</v>
      </c>
      <c r="I734" s="23">
        <v>4024780903595</v>
      </c>
      <c r="J734" s="23">
        <v>2484064731960</v>
      </c>
      <c r="K734" s="23">
        <f t="shared" si="231"/>
        <v>2378846129538</v>
      </c>
      <c r="L734" s="23">
        <v>1268715359194</v>
      </c>
      <c r="M734" s="23">
        <f t="shared" si="195"/>
        <v>1540716171635</v>
      </c>
      <c r="N734" s="23">
        <v>1622714926272</v>
      </c>
      <c r="O734" s="25">
        <f t="shared" si="161"/>
        <v>556847398118</v>
      </c>
      <c r="P734" s="23">
        <v>107757255326</v>
      </c>
      <c r="Q734" s="23">
        <v>85480767960</v>
      </c>
      <c r="R734" s="25">
        <f t="shared" si="162"/>
        <v>1537234158312</v>
      </c>
      <c r="S734" s="26">
        <f t="shared" si="163"/>
        <v>0.61719253580764921</v>
      </c>
      <c r="T734" s="27">
        <f t="shared" si="164"/>
        <v>1.438906484486606</v>
      </c>
      <c r="U734" s="26">
        <f t="shared" si="165"/>
        <v>29.023491591428055</v>
      </c>
      <c r="V734" s="26">
        <f t="shared" si="166"/>
        <v>0.68214371081964453</v>
      </c>
      <c r="W734" s="143"/>
      <c r="X734" s="143"/>
      <c r="Y734" s="143"/>
      <c r="Z734" s="30"/>
      <c r="AA734" s="31">
        <f t="shared" si="167"/>
        <v>20</v>
      </c>
      <c r="AB734" s="32">
        <v>3.2500000000000001E-2</v>
      </c>
      <c r="AC734" s="32">
        <v>5.0500000000000003E-2</v>
      </c>
      <c r="AD734" s="33">
        <f t="shared" si="209"/>
        <v>0.13835471084167955</v>
      </c>
      <c r="AE734" s="34">
        <f t="shared" si="210"/>
        <v>2.6773446283684527E-2</v>
      </c>
      <c r="AF734" s="33">
        <f t="shared" si="211"/>
        <v>0.38194232062145728</v>
      </c>
      <c r="AG734" s="33">
        <f t="shared" si="212"/>
        <v>0</v>
      </c>
      <c r="AH734" s="35">
        <f t="shared" si="213"/>
        <v>0.65324985512419809</v>
      </c>
      <c r="AI734" s="36">
        <f t="shared" si="168"/>
        <v>2.117167990982181</v>
      </c>
      <c r="AJ734" s="23"/>
      <c r="AK734" s="101">
        <v>24</v>
      </c>
      <c r="AL734" s="44"/>
      <c r="AM734" s="44"/>
      <c r="AN734" s="44"/>
      <c r="AO734" s="44"/>
      <c r="AP734" s="44"/>
      <c r="AQ734" s="44"/>
      <c r="AR734" s="44"/>
    </row>
    <row r="735" spans="1:44" ht="16.8">
      <c r="A735" s="17" t="s">
        <v>1708</v>
      </c>
      <c r="B735" s="18">
        <v>284</v>
      </c>
      <c r="C735" s="18" t="s">
        <v>1709</v>
      </c>
      <c r="D735" s="19" t="s">
        <v>1710</v>
      </c>
      <c r="E735" s="20" t="s">
        <v>39</v>
      </c>
      <c r="F735" s="21">
        <v>1995</v>
      </c>
      <c r="G735" s="40">
        <v>2021</v>
      </c>
      <c r="H735" s="23">
        <v>222696441825</v>
      </c>
      <c r="I735" s="23">
        <v>257131313561</v>
      </c>
      <c r="J735" s="23">
        <v>93535473446</v>
      </c>
      <c r="K735" s="23">
        <f>(J735+70910872109)/2</f>
        <v>82223172777.5</v>
      </c>
      <c r="L735" s="23">
        <v>93535473446</v>
      </c>
      <c r="M735" s="23">
        <f t="shared" si="195"/>
        <v>163595840115</v>
      </c>
      <c r="N735" s="23">
        <v>966643954154</v>
      </c>
      <c r="O735" s="25">
        <f t="shared" si="161"/>
        <v>129160968379</v>
      </c>
      <c r="P735" s="23">
        <v>49412031916</v>
      </c>
      <c r="Q735" s="23">
        <f>71089814555+20607216888</f>
        <v>91697031443</v>
      </c>
      <c r="R735" s="25">
        <f t="shared" si="162"/>
        <v>874946922711</v>
      </c>
      <c r="S735" s="26">
        <f t="shared" si="163"/>
        <v>0.36376539345065145</v>
      </c>
      <c r="T735" s="27">
        <f t="shared" si="164"/>
        <v>2.3808768333606323</v>
      </c>
      <c r="U735" s="26">
        <f t="shared" si="165"/>
        <v>26.272852739060468</v>
      </c>
      <c r="V735" s="26">
        <f t="shared" si="166"/>
        <v>11.756344610658441</v>
      </c>
      <c r="W735" s="143"/>
      <c r="X735" s="143"/>
      <c r="Y735" s="143"/>
      <c r="Z735" s="30">
        <f>W735*Y735</f>
        <v>0</v>
      </c>
      <c r="AA735" s="31">
        <f t="shared" si="167"/>
        <v>26</v>
      </c>
      <c r="AB735" s="32">
        <v>1.84E-2</v>
      </c>
      <c r="AC735" s="32">
        <v>2.58E-2</v>
      </c>
      <c r="AD735" s="33">
        <f t="shared" si="209"/>
        <v>0.50231520459432011</v>
      </c>
      <c r="AE735" s="34">
        <f t="shared" si="210"/>
        <v>0.19216652857909444</v>
      </c>
      <c r="AF735" s="33">
        <f t="shared" si="211"/>
        <v>3.402724120193295</v>
      </c>
      <c r="AG735" s="33">
        <f t="shared" si="212"/>
        <v>0</v>
      </c>
      <c r="AH735" s="35">
        <f t="shared" si="213"/>
        <v>10.334517146717218</v>
      </c>
      <c r="AI735" s="36">
        <f t="shared" si="168"/>
        <v>22.435318128879004</v>
      </c>
      <c r="AJ735" s="23"/>
      <c r="AK735" s="101">
        <v>25</v>
      </c>
      <c r="AL735" s="44"/>
      <c r="AM735" s="44"/>
      <c r="AN735" s="44"/>
      <c r="AO735" s="44"/>
      <c r="AP735" s="44"/>
      <c r="AQ735" s="44"/>
      <c r="AR735" s="44"/>
    </row>
    <row r="736" spans="1:44" ht="16.8">
      <c r="A736" s="17" t="s">
        <v>1711</v>
      </c>
      <c r="B736" s="18"/>
      <c r="C736" s="18" t="s">
        <v>1709</v>
      </c>
      <c r="D736" s="19" t="s">
        <v>1710</v>
      </c>
      <c r="E736" s="20" t="s">
        <v>39</v>
      </c>
      <c r="F736" s="21">
        <v>1995</v>
      </c>
      <c r="G736" s="40">
        <v>2022</v>
      </c>
      <c r="H736" s="23">
        <v>242888502376</v>
      </c>
      <c r="I736" s="23">
        <v>274953960836</v>
      </c>
      <c r="J736" s="23">
        <v>98841303204</v>
      </c>
      <c r="K736" s="23">
        <f t="shared" ref="K736:K737" si="232">(J736+J735)/2</f>
        <v>96188388325</v>
      </c>
      <c r="L736" s="23">
        <v>98841303204</v>
      </c>
      <c r="M736" s="23">
        <f t="shared" si="195"/>
        <v>176112657632</v>
      </c>
      <c r="N736" s="23">
        <v>799958253537</v>
      </c>
      <c r="O736" s="25">
        <f t="shared" si="161"/>
        <v>144047199172</v>
      </c>
      <c r="P736" s="23">
        <v>51702818819</v>
      </c>
      <c r="Q736" s="23">
        <f>66082533316+23037627023</f>
        <v>89120160339</v>
      </c>
      <c r="R736" s="25">
        <f t="shared" si="162"/>
        <v>710838093198</v>
      </c>
      <c r="S736" s="26">
        <f t="shared" si="163"/>
        <v>0.35948310365659808</v>
      </c>
      <c r="T736" s="27">
        <f t="shared" si="164"/>
        <v>2.4573583563006944</v>
      </c>
      <c r="U736" s="26">
        <f t="shared" si="165"/>
        <v>26.339869505455685</v>
      </c>
      <c r="V736" s="26">
        <f t="shared" si="166"/>
        <v>8.3165782010413984</v>
      </c>
      <c r="W736" s="143"/>
      <c r="X736" s="143"/>
      <c r="Y736" s="143"/>
      <c r="Z736" s="30"/>
      <c r="AA736" s="31">
        <f t="shared" si="167"/>
        <v>27</v>
      </c>
      <c r="AB736" s="32">
        <v>3.15E-2</v>
      </c>
      <c r="AC736" s="32">
        <v>8.0199999999999994E-2</v>
      </c>
      <c r="AD736" s="33">
        <f t="shared" si="209"/>
        <v>0.52389570506285199</v>
      </c>
      <c r="AE736" s="34">
        <f t="shared" si="210"/>
        <v>0.18804173128401974</v>
      </c>
      <c r="AF736" s="33">
        <f t="shared" si="211"/>
        <v>2.5852986115809728</v>
      </c>
      <c r="AG736" s="33">
        <f t="shared" si="212"/>
        <v>0</v>
      </c>
      <c r="AH736" s="35">
        <f t="shared" si="213"/>
        <v>8.0933600388286511</v>
      </c>
      <c r="AI736" s="36">
        <f t="shared" si="168"/>
        <v>17.516778726918911</v>
      </c>
      <c r="AJ736" s="23"/>
      <c r="AK736" s="101">
        <v>26</v>
      </c>
      <c r="AL736" s="44"/>
      <c r="AM736" s="44"/>
      <c r="AN736" s="44"/>
      <c r="AO736" s="44"/>
      <c r="AP736" s="44"/>
      <c r="AQ736" s="44"/>
      <c r="AR736" s="44"/>
    </row>
    <row r="737" spans="1:44" ht="16.8">
      <c r="A737" s="17" t="s">
        <v>1712</v>
      </c>
      <c r="B737" s="18"/>
      <c r="C737" s="18" t="s">
        <v>1709</v>
      </c>
      <c r="D737" s="19" t="s">
        <v>1710</v>
      </c>
      <c r="E737" s="20" t="s">
        <v>39</v>
      </c>
      <c r="F737" s="21">
        <v>1995</v>
      </c>
      <c r="G737" s="40">
        <v>2023</v>
      </c>
      <c r="H737" s="23">
        <v>231673230206</v>
      </c>
      <c r="I737" s="23">
        <v>257955938978</v>
      </c>
      <c r="J737" s="23">
        <v>81006108637</v>
      </c>
      <c r="K737" s="23">
        <f t="shared" si="232"/>
        <v>89923705920.5</v>
      </c>
      <c r="L737" s="23">
        <v>81006108637</v>
      </c>
      <c r="M737" s="23">
        <f t="shared" si="195"/>
        <v>176949830341</v>
      </c>
      <c r="N737" s="23">
        <v>798230304665</v>
      </c>
      <c r="O737" s="25">
        <f t="shared" si="161"/>
        <v>150667121569</v>
      </c>
      <c r="P737" s="23">
        <v>51209144674</v>
      </c>
      <c r="Q737" s="23">
        <f>67344530716+21723204685</f>
        <v>89067735401</v>
      </c>
      <c r="R737" s="25">
        <f t="shared" si="162"/>
        <v>709162569264</v>
      </c>
      <c r="S737" s="26">
        <f t="shared" si="163"/>
        <v>0.31403079517354582</v>
      </c>
      <c r="T737" s="27">
        <f t="shared" si="164"/>
        <v>2.8599476521475804</v>
      </c>
      <c r="U737" s="26">
        <f t="shared" si="165"/>
        <v>26.27605462812857</v>
      </c>
      <c r="V737" s="26">
        <f t="shared" si="166"/>
        <v>8.8767505352893448</v>
      </c>
      <c r="W737" s="143"/>
      <c r="X737" s="143"/>
      <c r="Y737" s="143"/>
      <c r="Z737" s="30"/>
      <c r="AA737" s="31">
        <f t="shared" si="167"/>
        <v>28</v>
      </c>
      <c r="AB737" s="32">
        <v>3.2500000000000001E-2</v>
      </c>
      <c r="AC737" s="32">
        <v>5.0500000000000003E-2</v>
      </c>
      <c r="AD737" s="33">
        <f t="shared" si="209"/>
        <v>0.58408084018507433</v>
      </c>
      <c r="AE737" s="34">
        <f t="shared" si="210"/>
        <v>0.19851895977617875</v>
      </c>
      <c r="AF737" s="33">
        <f t="shared" si="211"/>
        <v>2.7491616284302007</v>
      </c>
      <c r="AG737" s="33">
        <f t="shared" si="212"/>
        <v>0</v>
      </c>
      <c r="AH737" s="35">
        <f t="shared" si="213"/>
        <v>9.8539519808559692</v>
      </c>
      <c r="AI737" s="36">
        <f t="shared" si="168"/>
        <v>19.905008906584371</v>
      </c>
      <c r="AJ737" s="23"/>
      <c r="AK737" s="101">
        <v>27</v>
      </c>
      <c r="AL737" s="44"/>
      <c r="AM737" s="44"/>
      <c r="AN737" s="44"/>
      <c r="AO737" s="44"/>
      <c r="AP737" s="44"/>
      <c r="AQ737" s="44"/>
      <c r="AR737" s="44"/>
    </row>
    <row r="738" spans="1:44" ht="16.8">
      <c r="A738" s="17" t="s">
        <v>1713</v>
      </c>
      <c r="B738" s="18">
        <v>285</v>
      </c>
      <c r="C738" s="18" t="s">
        <v>1714</v>
      </c>
      <c r="D738" s="19" t="s">
        <v>1715</v>
      </c>
      <c r="E738" s="20" t="s">
        <v>178</v>
      </c>
      <c r="F738" s="21">
        <v>1977</v>
      </c>
      <c r="G738" s="40">
        <v>2021</v>
      </c>
      <c r="H738" s="23">
        <v>1701872071</v>
      </c>
      <c r="I738" s="23">
        <v>10363253813</v>
      </c>
      <c r="J738" s="23">
        <v>3325508296</v>
      </c>
      <c r="K738" s="23">
        <f>(J738+3397270982)/2</f>
        <v>3361389639</v>
      </c>
      <c r="L738" s="23">
        <v>1988830613</v>
      </c>
      <c r="M738" s="23">
        <f t="shared" si="195"/>
        <v>7037745517</v>
      </c>
      <c r="N738" s="23">
        <v>6825493935</v>
      </c>
      <c r="O738" s="25">
        <f t="shared" si="161"/>
        <v>-286958542</v>
      </c>
      <c r="P738" s="23">
        <v>-594080288</v>
      </c>
      <c r="Q738" s="23">
        <f>203674390+1857593848</f>
        <v>2061268238</v>
      </c>
      <c r="R738" s="25">
        <f t="shared" si="162"/>
        <v>4764225697</v>
      </c>
      <c r="S738" s="26">
        <f t="shared" si="163"/>
        <v>0.32089422453673527</v>
      </c>
      <c r="T738" s="27">
        <f t="shared" si="164"/>
        <v>0.85571494116980384</v>
      </c>
      <c r="U738" s="26">
        <f t="shared" si="165"/>
        <v>23.061532099080541</v>
      </c>
      <c r="V738" s="26">
        <f t="shared" si="166"/>
        <v>2.0305572004531309</v>
      </c>
      <c r="W738" s="143"/>
      <c r="X738" s="143"/>
      <c r="Y738" s="143"/>
      <c r="Z738" s="30">
        <f>W738*Y738</f>
        <v>0</v>
      </c>
      <c r="AA738" s="31">
        <f t="shared" si="167"/>
        <v>44</v>
      </c>
      <c r="AB738" s="32">
        <v>1.84E-2</v>
      </c>
      <c r="AC738" s="32">
        <v>2.58E-2</v>
      </c>
      <c r="AD738" s="33">
        <f t="shared" si="209"/>
        <v>-2.7690004237861079E-2</v>
      </c>
      <c r="AE738" s="34">
        <f t="shared" si="210"/>
        <v>-5.7325652610646913E-2</v>
      </c>
      <c r="AF738" s="33">
        <f t="shared" si="211"/>
        <v>0.45972295795974827</v>
      </c>
      <c r="AG738" s="33">
        <f t="shared" si="212"/>
        <v>0</v>
      </c>
      <c r="AH738" s="35">
        <f t="shared" si="213"/>
        <v>2.0524663682871775</v>
      </c>
      <c r="AI738" s="36">
        <f t="shared" si="168"/>
        <v>3.4560682108140077</v>
      </c>
      <c r="AJ738" s="23"/>
      <c r="AK738" s="23"/>
      <c r="AL738" s="44"/>
      <c r="AM738" s="44"/>
      <c r="AN738" s="44"/>
      <c r="AO738" s="44"/>
      <c r="AP738" s="44"/>
      <c r="AQ738" s="44"/>
      <c r="AR738" s="44"/>
    </row>
    <row r="739" spans="1:44" ht="16.8">
      <c r="A739" s="17" t="s">
        <v>1716</v>
      </c>
      <c r="B739" s="18"/>
      <c r="C739" s="18" t="s">
        <v>1714</v>
      </c>
      <c r="D739" s="19" t="s">
        <v>1715</v>
      </c>
      <c r="E739" s="20" t="s">
        <v>178</v>
      </c>
      <c r="F739" s="21">
        <v>1977</v>
      </c>
      <c r="G739" s="40">
        <v>2022</v>
      </c>
      <c r="H739" s="23">
        <v>2086593495</v>
      </c>
      <c r="I739" s="23">
        <v>10257611033</v>
      </c>
      <c r="J739" s="23">
        <v>3526440512</v>
      </c>
      <c r="K739" s="23">
        <f t="shared" ref="K739:K740" si="233">(J739+J738)/2</f>
        <v>3425974404</v>
      </c>
      <c r="L739" s="23">
        <v>2766999816</v>
      </c>
      <c r="M739" s="23">
        <f t="shared" si="195"/>
        <v>6731170521</v>
      </c>
      <c r="N739" s="23">
        <v>7737713632</v>
      </c>
      <c r="O739" s="25">
        <f t="shared" si="161"/>
        <v>-680406321</v>
      </c>
      <c r="P739" s="23">
        <v>-306574996</v>
      </c>
      <c r="Q739" s="23">
        <f>208820378+1829118080</f>
        <v>2037938458</v>
      </c>
      <c r="R739" s="25">
        <f t="shared" si="162"/>
        <v>5699775174</v>
      </c>
      <c r="S739" s="26">
        <f t="shared" si="163"/>
        <v>0.34378770072826959</v>
      </c>
      <c r="T739" s="27">
        <f t="shared" si="164"/>
        <v>0.75409961465642539</v>
      </c>
      <c r="U739" s="26">
        <f t="shared" si="165"/>
        <v>23.051285806789419</v>
      </c>
      <c r="V739" s="26">
        <f t="shared" si="166"/>
        <v>2.2585439117600599</v>
      </c>
      <c r="W739" s="143"/>
      <c r="X739" s="143"/>
      <c r="Y739" s="143"/>
      <c r="Z739" s="30"/>
      <c r="AA739" s="31">
        <f t="shared" si="167"/>
        <v>45</v>
      </c>
      <c r="AB739" s="32">
        <v>3.15E-2</v>
      </c>
      <c r="AC739" s="32">
        <v>8.0199999999999994E-2</v>
      </c>
      <c r="AD739" s="33">
        <f t="shared" si="209"/>
        <v>-6.6331850448515639E-2</v>
      </c>
      <c r="AE739" s="34">
        <f t="shared" si="210"/>
        <v>-2.9887563002117201E-2</v>
      </c>
      <c r="AF739" s="33">
        <f t="shared" si="211"/>
        <v>0.55566302481768126</v>
      </c>
      <c r="AG739" s="33">
        <f t="shared" si="212"/>
        <v>0</v>
      </c>
      <c r="AH739" s="35">
        <f t="shared" si="213"/>
        <v>2.1941993933173145</v>
      </c>
      <c r="AI739" s="36">
        <f t="shared" si="168"/>
        <v>3.9064465664744796</v>
      </c>
      <c r="AJ739" s="23"/>
      <c r="AK739" s="23"/>
      <c r="AL739" s="44"/>
      <c r="AM739" s="44"/>
      <c r="AN739" s="44"/>
      <c r="AO739" s="44"/>
      <c r="AP739" s="44"/>
      <c r="AQ739" s="44"/>
      <c r="AR739" s="44"/>
    </row>
    <row r="740" spans="1:44" ht="16.8">
      <c r="A740" s="17" t="s">
        <v>1717</v>
      </c>
      <c r="B740" s="18"/>
      <c r="C740" s="18" t="s">
        <v>1714</v>
      </c>
      <c r="D740" s="19" t="s">
        <v>1715</v>
      </c>
      <c r="E740" s="20" t="s">
        <v>178</v>
      </c>
      <c r="F740" s="21">
        <v>1977</v>
      </c>
      <c r="G740" s="40">
        <v>2023</v>
      </c>
      <c r="H740" s="23">
        <v>1886542245</v>
      </c>
      <c r="I740" s="23">
        <v>11307909148</v>
      </c>
      <c r="J740" s="23">
        <v>4393677499</v>
      </c>
      <c r="K740" s="23">
        <f t="shared" si="233"/>
        <v>3960059005.5</v>
      </c>
      <c r="L740" s="23">
        <v>1867762829</v>
      </c>
      <c r="M740" s="23">
        <f t="shared" si="195"/>
        <v>6914231649</v>
      </c>
      <c r="N740" s="23">
        <v>8876416498</v>
      </c>
      <c r="O740" s="25">
        <f t="shared" si="161"/>
        <v>18779416</v>
      </c>
      <c r="P740" s="23">
        <v>183061128</v>
      </c>
      <c r="Q740" s="23">
        <f>174674978+2069148154</f>
        <v>2243823132</v>
      </c>
      <c r="R740" s="25">
        <f t="shared" si="162"/>
        <v>6632593366</v>
      </c>
      <c r="S740" s="26">
        <f t="shared" si="163"/>
        <v>0.38854906256273719</v>
      </c>
      <c r="T740" s="27">
        <f t="shared" si="164"/>
        <v>1.0100544971280183</v>
      </c>
      <c r="U740" s="26">
        <f t="shared" si="165"/>
        <v>23.148768242433487</v>
      </c>
      <c r="V740" s="26">
        <f t="shared" si="166"/>
        <v>2.2414859186875313</v>
      </c>
      <c r="W740" s="143"/>
      <c r="X740" s="143"/>
      <c r="Y740" s="143"/>
      <c r="Z740" s="30"/>
      <c r="AA740" s="31">
        <f t="shared" si="167"/>
        <v>46</v>
      </c>
      <c r="AB740" s="32">
        <v>3.2500000000000001E-2</v>
      </c>
      <c r="AC740" s="32">
        <v>5.0500000000000003E-2</v>
      </c>
      <c r="AD740" s="33">
        <f t="shared" si="209"/>
        <v>1.6607328334718242E-3</v>
      </c>
      <c r="AE740" s="34">
        <f t="shared" si="210"/>
        <v>1.6188768905379607E-2</v>
      </c>
      <c r="AF740" s="33">
        <f t="shared" si="211"/>
        <v>0.58654462811748798</v>
      </c>
      <c r="AG740" s="33">
        <f t="shared" si="212"/>
        <v>0</v>
      </c>
      <c r="AH740" s="35">
        <f t="shared" si="213"/>
        <v>2.0202703771545067</v>
      </c>
      <c r="AI740" s="36">
        <f t="shared" si="168"/>
        <v>3.9805248058099147</v>
      </c>
      <c r="AJ740" s="23"/>
      <c r="AK740" s="23"/>
      <c r="AL740" s="44"/>
      <c r="AM740" s="44"/>
      <c r="AN740" s="44"/>
      <c r="AO740" s="44"/>
      <c r="AP740" s="44"/>
      <c r="AQ740" s="44"/>
      <c r="AR740" s="44"/>
    </row>
    <row r="741" spans="1:44" ht="16.8">
      <c r="A741" s="17" t="s">
        <v>1718</v>
      </c>
      <c r="B741" s="18">
        <v>286</v>
      </c>
      <c r="C741" s="18" t="s">
        <v>1719</v>
      </c>
      <c r="D741" s="19" t="s">
        <v>1720</v>
      </c>
      <c r="E741" s="20" t="s">
        <v>39</v>
      </c>
      <c r="F741" s="21">
        <v>2010</v>
      </c>
      <c r="G741" s="40">
        <v>2021</v>
      </c>
      <c r="H741" s="23">
        <v>1808909668783</v>
      </c>
      <c r="I741" s="23">
        <v>2131072891570</v>
      </c>
      <c r="J741" s="23">
        <v>1678237218603</v>
      </c>
      <c r="K741" s="23">
        <f>(J741+2374850835349)/2</f>
        <v>2026544026976</v>
      </c>
      <c r="L741" s="23">
        <v>1551234563384</v>
      </c>
      <c r="M741" s="23">
        <f t="shared" si="195"/>
        <v>452835672967</v>
      </c>
      <c r="N741" s="23">
        <v>5296070159805</v>
      </c>
      <c r="O741" s="25">
        <f t="shared" si="161"/>
        <v>257675105399</v>
      </c>
      <c r="P741" s="23">
        <v>135221733218</v>
      </c>
      <c r="Q741" s="23">
        <v>99324524686</v>
      </c>
      <c r="R741" s="25">
        <f t="shared" si="162"/>
        <v>5196745635119</v>
      </c>
      <c r="S741" s="26">
        <f t="shared" si="163"/>
        <v>0.78750812571531148</v>
      </c>
      <c r="T741" s="27">
        <f t="shared" si="164"/>
        <v>1.1661096983533457</v>
      </c>
      <c r="U741" s="26">
        <f t="shared" si="165"/>
        <v>28.387646673795562</v>
      </c>
      <c r="V741" s="26">
        <f t="shared" si="166"/>
        <v>2.6133506547636038</v>
      </c>
      <c r="W741" s="143"/>
      <c r="X741" s="143"/>
      <c r="Y741" s="143"/>
      <c r="Z741" s="30">
        <f>W741*Y741</f>
        <v>0</v>
      </c>
      <c r="AA741" s="31">
        <f t="shared" si="167"/>
        <v>11</v>
      </c>
      <c r="AB741" s="32">
        <v>1.84E-2</v>
      </c>
      <c r="AC741" s="32">
        <v>2.58E-2</v>
      </c>
      <c r="AD741" s="33">
        <f t="shared" si="209"/>
        <v>0.12091332324591023</v>
      </c>
      <c r="AE741" s="34">
        <f t="shared" si="210"/>
        <v>6.3452420493406825E-2</v>
      </c>
      <c r="AF741" s="33">
        <f t="shared" si="211"/>
        <v>2.4385583692026898</v>
      </c>
      <c r="AG741" s="33">
        <f t="shared" si="212"/>
        <v>0</v>
      </c>
      <c r="AH741" s="35">
        <f t="shared" si="213"/>
        <v>3.1557339457729108</v>
      </c>
      <c r="AI741" s="36">
        <f t="shared" si="168"/>
        <v>11.436905940727646</v>
      </c>
      <c r="AJ741" s="23" t="s">
        <v>85</v>
      </c>
      <c r="AK741" s="101">
        <v>28</v>
      </c>
      <c r="AL741" s="44"/>
      <c r="AM741" s="44"/>
      <c r="AN741" s="44"/>
      <c r="AO741" s="44"/>
      <c r="AP741" s="44"/>
      <c r="AQ741" s="44"/>
      <c r="AR741" s="44"/>
    </row>
    <row r="742" spans="1:44" ht="16.8">
      <c r="A742" s="17" t="s">
        <v>1721</v>
      </c>
      <c r="B742" s="18"/>
      <c r="C742" s="18" t="s">
        <v>1719</v>
      </c>
      <c r="D742" s="19" t="s">
        <v>1720</v>
      </c>
      <c r="E742" s="20" t="s">
        <v>39</v>
      </c>
      <c r="F742" s="21">
        <v>2010</v>
      </c>
      <c r="G742" s="40">
        <v>2022</v>
      </c>
      <c r="H742" s="23">
        <v>1358577851582</v>
      </c>
      <c r="I742" s="23">
        <v>1527274574213</v>
      </c>
      <c r="J742" s="23">
        <v>1049918771393</v>
      </c>
      <c r="K742" s="23">
        <f t="shared" ref="K742:K743" si="234">(J742+J741)/2</f>
        <v>1364077994998</v>
      </c>
      <c r="L742" s="23">
        <v>833143342987</v>
      </c>
      <c r="M742" s="23">
        <f t="shared" si="195"/>
        <v>477355802820</v>
      </c>
      <c r="N742" s="23">
        <v>2258042479645</v>
      </c>
      <c r="O742" s="25">
        <f t="shared" si="161"/>
        <v>525434508595</v>
      </c>
      <c r="P742" s="23">
        <v>30074651702</v>
      </c>
      <c r="Q742" s="23">
        <v>28687047759</v>
      </c>
      <c r="R742" s="25">
        <f t="shared" si="162"/>
        <v>2229355431886</v>
      </c>
      <c r="S742" s="26">
        <f t="shared" si="163"/>
        <v>0.68744598326991724</v>
      </c>
      <c r="T742" s="27">
        <f t="shared" si="164"/>
        <v>1.6306651946725075</v>
      </c>
      <c r="U742" s="26">
        <f t="shared" si="165"/>
        <v>28.054505938844791</v>
      </c>
      <c r="V742" s="26">
        <f t="shared" si="166"/>
        <v>1.6553617079999232</v>
      </c>
      <c r="W742" s="143"/>
      <c r="X742" s="143"/>
      <c r="Y742" s="143"/>
      <c r="Z742" s="30"/>
      <c r="AA742" s="31">
        <f t="shared" si="167"/>
        <v>12</v>
      </c>
      <c r="AB742" s="32">
        <v>3.15E-2</v>
      </c>
      <c r="AC742" s="32">
        <v>8.0199999999999994E-2</v>
      </c>
      <c r="AD742" s="33">
        <f t="shared" si="209"/>
        <v>0.34403408363277105</v>
      </c>
      <c r="AE742" s="34">
        <f t="shared" si="210"/>
        <v>1.9691712420143823E-2</v>
      </c>
      <c r="AF742" s="33">
        <f t="shared" si="211"/>
        <v>1.4596952437545685</v>
      </c>
      <c r="AG742" s="33">
        <f t="shared" si="212"/>
        <v>0</v>
      </c>
      <c r="AH742" s="35">
        <f t="shared" si="213"/>
        <v>2.1506830253630942</v>
      </c>
      <c r="AI742" s="36">
        <f t="shared" si="168"/>
        <v>7.4080866275006976</v>
      </c>
      <c r="AJ742" s="23"/>
      <c r="AK742" s="101">
        <v>29</v>
      </c>
      <c r="AL742" s="44"/>
      <c r="AM742" s="44"/>
      <c r="AN742" s="44"/>
      <c r="AO742" s="44"/>
      <c r="AP742" s="44"/>
      <c r="AQ742" s="44"/>
      <c r="AR742" s="44"/>
    </row>
    <row r="743" spans="1:44" ht="16.8">
      <c r="A743" s="17" t="s">
        <v>1722</v>
      </c>
      <c r="B743" s="18"/>
      <c r="C743" s="18" t="s">
        <v>1719</v>
      </c>
      <c r="D743" s="19" t="s">
        <v>1720</v>
      </c>
      <c r="E743" s="20" t="s">
        <v>39</v>
      </c>
      <c r="F743" s="21">
        <v>2010</v>
      </c>
      <c r="G743" s="40">
        <v>2023</v>
      </c>
      <c r="H743" s="23">
        <v>1579388241</v>
      </c>
      <c r="I743" s="23">
        <v>1697278086231</v>
      </c>
      <c r="J743" s="23">
        <v>1199765347231</v>
      </c>
      <c r="K743" s="23">
        <f t="shared" si="234"/>
        <v>1124842059312</v>
      </c>
      <c r="L743" s="23">
        <v>1078327457689</v>
      </c>
      <c r="M743" s="23">
        <f t="shared" si="195"/>
        <v>497512739000</v>
      </c>
      <c r="N743" s="23">
        <v>1480235833532</v>
      </c>
      <c r="O743" s="25">
        <f t="shared" si="161"/>
        <v>-1076748069448</v>
      </c>
      <c r="P743" s="23">
        <v>21124914806</v>
      </c>
      <c r="Q743" s="23">
        <v>13185771685</v>
      </c>
      <c r="R743" s="25">
        <f t="shared" si="162"/>
        <v>1467050061847</v>
      </c>
      <c r="S743" s="26">
        <f t="shared" si="163"/>
        <v>0.70687611945501283</v>
      </c>
      <c r="T743" s="27">
        <f t="shared" si="164"/>
        <v>1.4646647729668688E-3</v>
      </c>
      <c r="U743" s="26">
        <f t="shared" si="165"/>
        <v>28.160046958072556</v>
      </c>
      <c r="V743" s="26">
        <f t="shared" si="166"/>
        <v>1.3159499338399328</v>
      </c>
      <c r="W743" s="143"/>
      <c r="X743" s="143"/>
      <c r="Y743" s="143"/>
      <c r="Z743" s="30"/>
      <c r="AA743" s="31">
        <f t="shared" si="167"/>
        <v>13</v>
      </c>
      <c r="AB743" s="32">
        <v>3.2500000000000001E-2</v>
      </c>
      <c r="AC743" s="32">
        <v>5.0500000000000003E-2</v>
      </c>
      <c r="AD743" s="33">
        <f t="shared" si="209"/>
        <v>-0.63439696663912171</v>
      </c>
      <c r="AE743" s="34">
        <f t="shared" si="210"/>
        <v>1.2446348643380113E-2</v>
      </c>
      <c r="AF743" s="33">
        <f t="shared" si="211"/>
        <v>0.86435456496392549</v>
      </c>
      <c r="AG743" s="33">
        <f t="shared" si="212"/>
        <v>0</v>
      </c>
      <c r="AH743" s="35">
        <f t="shared" si="213"/>
        <v>1.2337711177842503</v>
      </c>
      <c r="AI743" s="36">
        <f t="shared" si="168"/>
        <v>3.3422897102989904</v>
      </c>
      <c r="AJ743" s="23"/>
      <c r="AK743" s="101">
        <v>30</v>
      </c>
      <c r="AL743" s="44"/>
      <c r="AM743" s="44"/>
      <c r="AN743" s="44"/>
      <c r="AO743" s="44"/>
      <c r="AP743" s="44"/>
      <c r="AQ743" s="44"/>
      <c r="AR743" s="44"/>
    </row>
    <row r="744" spans="1:44" ht="16.8">
      <c r="A744" s="17" t="s">
        <v>1723</v>
      </c>
      <c r="B744" s="18">
        <v>287</v>
      </c>
      <c r="C744" s="18" t="s">
        <v>1724</v>
      </c>
      <c r="D744" s="19" t="s">
        <v>1725</v>
      </c>
      <c r="E744" s="20" t="s">
        <v>178</v>
      </c>
      <c r="F744" s="21">
        <v>1958</v>
      </c>
      <c r="G744" s="40">
        <v>2021</v>
      </c>
      <c r="H744" s="23">
        <v>297729585682</v>
      </c>
      <c r="I744" s="23">
        <v>2035160594377</v>
      </c>
      <c r="J744" s="23">
        <v>1566395129126</v>
      </c>
      <c r="K744" s="23">
        <f>(J744+1137862966121)/2</f>
        <v>1352129047623.5</v>
      </c>
      <c r="L744" s="23">
        <v>643995185708</v>
      </c>
      <c r="M744" s="23">
        <f t="shared" si="195"/>
        <v>468765465251</v>
      </c>
      <c r="N744" s="23">
        <v>1053506257807</v>
      </c>
      <c r="O744" s="25">
        <f t="shared" si="161"/>
        <v>-346265600026</v>
      </c>
      <c r="P744" s="23">
        <v>5078600157</v>
      </c>
      <c r="Q744" s="23">
        <f>15520875760+27270955195</f>
        <v>42791830955</v>
      </c>
      <c r="R744" s="25">
        <f t="shared" si="162"/>
        <v>1010714426852</v>
      </c>
      <c r="S744" s="26">
        <f t="shared" si="163"/>
        <v>0.76966659705078566</v>
      </c>
      <c r="T744" s="27">
        <f t="shared" si="164"/>
        <v>0.46231647734241976</v>
      </c>
      <c r="U744" s="26">
        <f t="shared" si="165"/>
        <v>28.341595847865165</v>
      </c>
      <c r="V744" s="26">
        <f t="shared" si="166"/>
        <v>0.77914623582611509</v>
      </c>
      <c r="W744" s="143"/>
      <c r="X744" s="143"/>
      <c r="Y744" s="143"/>
      <c r="Z744" s="30">
        <f>W744*Y744</f>
        <v>0</v>
      </c>
      <c r="AA744" s="31">
        <f t="shared" si="167"/>
        <v>63</v>
      </c>
      <c r="AB744" s="32">
        <v>1.84E-2</v>
      </c>
      <c r="AC744" s="32">
        <v>2.58E-2</v>
      </c>
      <c r="AD744" s="33">
        <f t="shared" si="209"/>
        <v>-0.17014165908219064</v>
      </c>
      <c r="AE744" s="34">
        <f t="shared" si="210"/>
        <v>2.4954296830588217E-3</v>
      </c>
      <c r="AF744" s="33">
        <f t="shared" si="211"/>
        <v>0.49662637417633287</v>
      </c>
      <c r="AG744" s="33">
        <f t="shared" si="212"/>
        <v>0</v>
      </c>
      <c r="AH744" s="35">
        <f t="shared" si="213"/>
        <v>0.67256737346650453</v>
      </c>
      <c r="AI744" s="36">
        <f t="shared" si="168"/>
        <v>2.1107580189060564</v>
      </c>
      <c r="AJ744" s="23"/>
      <c r="AK744" s="23"/>
      <c r="AL744" s="44"/>
      <c r="AM744" s="44"/>
      <c r="AN744" s="44"/>
      <c r="AO744" s="44"/>
      <c r="AP744" s="44"/>
      <c r="AQ744" s="44"/>
      <c r="AR744" s="44"/>
    </row>
    <row r="745" spans="1:44" ht="16.8">
      <c r="A745" s="17" t="s">
        <v>1726</v>
      </c>
      <c r="B745" s="18"/>
      <c r="C745" s="18" t="s">
        <v>1724</v>
      </c>
      <c r="D745" s="19" t="s">
        <v>1725</v>
      </c>
      <c r="E745" s="20" t="s">
        <v>178</v>
      </c>
      <c r="F745" s="21">
        <v>1958</v>
      </c>
      <c r="G745" s="40">
        <v>2022</v>
      </c>
      <c r="H745" s="23">
        <v>333048071505</v>
      </c>
      <c r="I745" s="23">
        <v>1979574902268</v>
      </c>
      <c r="J745" s="23">
        <v>1506163097988</v>
      </c>
      <c r="K745" s="23">
        <f t="shared" ref="K745:K746" si="235">(J745+J744)/2</f>
        <v>1536279113557</v>
      </c>
      <c r="L745" s="23">
        <v>812968559849</v>
      </c>
      <c r="M745" s="23">
        <f t="shared" si="195"/>
        <v>473411804280</v>
      </c>
      <c r="N745" s="23">
        <v>1200141215532</v>
      </c>
      <c r="O745" s="25">
        <f t="shared" si="161"/>
        <v>-479920488344</v>
      </c>
      <c r="P745" s="23">
        <v>4646339029</v>
      </c>
      <c r="Q745" s="23">
        <f>12531097351+38337395980</f>
        <v>50868493331</v>
      </c>
      <c r="R745" s="25">
        <f t="shared" si="162"/>
        <v>1149272722201</v>
      </c>
      <c r="S745" s="26">
        <f t="shared" si="163"/>
        <v>0.76085178502838569</v>
      </c>
      <c r="T745" s="27">
        <f t="shared" si="164"/>
        <v>0.40966906711233708</v>
      </c>
      <c r="U745" s="26">
        <f t="shared" si="165"/>
        <v>28.3139032417603</v>
      </c>
      <c r="V745" s="26">
        <f t="shared" si="166"/>
        <v>0.78119998178799144</v>
      </c>
      <c r="W745" s="143"/>
      <c r="X745" s="143"/>
      <c r="Y745" s="143"/>
      <c r="Z745" s="30"/>
      <c r="AA745" s="31">
        <f t="shared" si="167"/>
        <v>64</v>
      </c>
      <c r="AB745" s="32">
        <v>3.15E-2</v>
      </c>
      <c r="AC745" s="32">
        <v>8.0199999999999994E-2</v>
      </c>
      <c r="AD745" s="33">
        <f t="shared" si="209"/>
        <v>-0.24243613504806252</v>
      </c>
      <c r="AE745" s="34">
        <f t="shared" si="210"/>
        <v>2.3471397943450822E-3</v>
      </c>
      <c r="AF745" s="33">
        <f t="shared" si="211"/>
        <v>0.5805654137584173</v>
      </c>
      <c r="AG745" s="33">
        <f t="shared" si="212"/>
        <v>0</v>
      </c>
      <c r="AH745" s="35">
        <f t="shared" si="213"/>
        <v>0.79682022294610877</v>
      </c>
      <c r="AI745" s="36">
        <f t="shared" si="168"/>
        <v>2.4250487220032939</v>
      </c>
      <c r="AJ745" s="23"/>
      <c r="AK745" s="23"/>
      <c r="AL745" s="44"/>
      <c r="AM745" s="44"/>
      <c r="AN745" s="44"/>
      <c r="AO745" s="44"/>
      <c r="AP745" s="44"/>
      <c r="AQ745" s="44"/>
      <c r="AR745" s="44"/>
    </row>
    <row r="746" spans="1:44" ht="16.8">
      <c r="A746" s="17" t="s">
        <v>1727</v>
      </c>
      <c r="B746" s="18"/>
      <c r="C746" s="18" t="s">
        <v>1724</v>
      </c>
      <c r="D746" s="19" t="s">
        <v>1725</v>
      </c>
      <c r="E746" s="20" t="s">
        <v>178</v>
      </c>
      <c r="F746" s="21">
        <v>1958</v>
      </c>
      <c r="G746" s="40">
        <v>2023</v>
      </c>
      <c r="H746" s="23">
        <v>247604584561</v>
      </c>
      <c r="I746" s="23">
        <v>1792153432583</v>
      </c>
      <c r="J746" s="23">
        <v>1111113613415</v>
      </c>
      <c r="K746" s="23">
        <f t="shared" si="235"/>
        <v>1308638355701.5</v>
      </c>
      <c r="L746" s="23">
        <v>750755516610</v>
      </c>
      <c r="M746" s="23">
        <f t="shared" si="195"/>
        <v>681039819168</v>
      </c>
      <c r="N746" s="23">
        <v>1177335692633</v>
      </c>
      <c r="O746" s="25">
        <f t="shared" si="161"/>
        <v>-503150932049</v>
      </c>
      <c r="P746" s="23">
        <v>7873014888</v>
      </c>
      <c r="Q746" s="23">
        <f>(8591801903+35358919829)</f>
        <v>43950721732</v>
      </c>
      <c r="R746" s="25">
        <f t="shared" si="162"/>
        <v>1133384970901</v>
      </c>
      <c r="S746" s="26">
        <f t="shared" si="163"/>
        <v>0.61998799500864776</v>
      </c>
      <c r="T746" s="27">
        <f t="shared" si="164"/>
        <v>0.32980721297799642</v>
      </c>
      <c r="U746" s="26">
        <f t="shared" si="165"/>
        <v>28.214439047677079</v>
      </c>
      <c r="V746" s="26">
        <f t="shared" si="166"/>
        <v>0.89966466862564576</v>
      </c>
      <c r="W746" s="143"/>
      <c r="X746" s="143"/>
      <c r="Y746" s="143"/>
      <c r="Z746" s="30"/>
      <c r="AA746" s="31">
        <f t="shared" si="167"/>
        <v>65</v>
      </c>
      <c r="AB746" s="32">
        <v>3.2500000000000001E-2</v>
      </c>
      <c r="AC746" s="32">
        <v>5.0500000000000003E-2</v>
      </c>
      <c r="AD746" s="33">
        <f t="shared" si="209"/>
        <v>-0.28075215151853222</v>
      </c>
      <c r="AE746" s="34">
        <f t="shared" si="210"/>
        <v>4.393047350110397E-3</v>
      </c>
      <c r="AF746" s="33">
        <f t="shared" si="211"/>
        <v>0.63241514386827458</v>
      </c>
      <c r="AG746" s="33">
        <f t="shared" si="212"/>
        <v>0</v>
      </c>
      <c r="AH746" s="35">
        <f t="shared" si="213"/>
        <v>1.0595997370732115</v>
      </c>
      <c r="AI746" s="36">
        <f t="shared" si="168"/>
        <v>2.8158173963064339</v>
      </c>
      <c r="AJ746" s="23"/>
      <c r="AK746" s="23"/>
      <c r="AL746" s="44"/>
      <c r="AM746" s="44"/>
      <c r="AN746" s="44"/>
      <c r="AO746" s="44"/>
      <c r="AP746" s="44"/>
      <c r="AQ746" s="44"/>
      <c r="AR746" s="44"/>
    </row>
    <row r="747" spans="1:44" ht="16.8">
      <c r="A747" s="17" t="s">
        <v>1728</v>
      </c>
      <c r="B747" s="18">
        <v>288</v>
      </c>
      <c r="C747" s="18" t="s">
        <v>1729</v>
      </c>
      <c r="D747" s="19" t="s">
        <v>1730</v>
      </c>
      <c r="E747" s="20" t="s">
        <v>178</v>
      </c>
      <c r="F747" s="21">
        <v>2007</v>
      </c>
      <c r="G747" s="40">
        <v>2021</v>
      </c>
      <c r="H747" s="23">
        <v>127519098980</v>
      </c>
      <c r="I747" s="23">
        <v>284811022815</v>
      </c>
      <c r="J747" s="23">
        <v>107318934785</v>
      </c>
      <c r="K747" s="23">
        <f>(J747+119839254337)/2</f>
        <v>113579094561</v>
      </c>
      <c r="L747" s="23">
        <v>107318934785</v>
      </c>
      <c r="M747" s="23">
        <f t="shared" si="195"/>
        <v>177492088030</v>
      </c>
      <c r="N747" s="23">
        <v>310888052380</v>
      </c>
      <c r="O747" s="25">
        <f t="shared" si="161"/>
        <v>20200164195</v>
      </c>
      <c r="P747" s="23">
        <v>20387009155</v>
      </c>
      <c r="Q747" s="23">
        <f>138409192441+10300887434</f>
        <v>148710079875</v>
      </c>
      <c r="R747" s="25">
        <f t="shared" si="162"/>
        <v>162177972505</v>
      </c>
      <c r="S747" s="26">
        <f t="shared" si="163"/>
        <v>0.376807518628622</v>
      </c>
      <c r="T747" s="27">
        <f t="shared" si="164"/>
        <v>1.1882255376040443</v>
      </c>
      <c r="U747" s="26">
        <f t="shared" si="165"/>
        <v>26.375091719439617</v>
      </c>
      <c r="V747" s="26">
        <f t="shared" si="166"/>
        <v>2.7371943189160675</v>
      </c>
      <c r="W747" s="143"/>
      <c r="X747" s="143"/>
      <c r="Y747" s="143"/>
      <c r="Z747" s="30">
        <f>W747*Y747</f>
        <v>0</v>
      </c>
      <c r="AA747" s="31">
        <f t="shared" si="167"/>
        <v>14</v>
      </c>
      <c r="AB747" s="32">
        <v>1.84E-2</v>
      </c>
      <c r="AC747" s="32">
        <v>2.58E-2</v>
      </c>
      <c r="AD747" s="33">
        <f t="shared" si="209"/>
        <v>7.0924797767118325E-2</v>
      </c>
      <c r="AE747" s="34">
        <f t="shared" si="210"/>
        <v>7.1580829117847924E-2</v>
      </c>
      <c r="AF747" s="33">
        <f t="shared" si="211"/>
        <v>0.56942308939476427</v>
      </c>
      <c r="AG747" s="33">
        <f t="shared" si="212"/>
        <v>0</v>
      </c>
      <c r="AH747" s="35">
        <f t="shared" si="213"/>
        <v>2.8968611457318798</v>
      </c>
      <c r="AI747" s="36">
        <f t="shared" si="168"/>
        <v>4.961280258820131</v>
      </c>
      <c r="AJ747" s="23"/>
      <c r="AK747" s="23"/>
      <c r="AL747" s="44"/>
      <c r="AM747" s="44"/>
      <c r="AN747" s="44"/>
      <c r="AO747" s="44"/>
      <c r="AP747" s="44"/>
      <c r="AQ747" s="44"/>
      <c r="AR747" s="44"/>
    </row>
    <row r="748" spans="1:44" ht="16.8">
      <c r="A748" s="17" t="s">
        <v>1731</v>
      </c>
      <c r="B748" s="18"/>
      <c r="C748" s="18" t="s">
        <v>1729</v>
      </c>
      <c r="D748" s="19" t="s">
        <v>1730</v>
      </c>
      <c r="E748" s="20" t="s">
        <v>178</v>
      </c>
      <c r="F748" s="21">
        <v>2007</v>
      </c>
      <c r="G748" s="40">
        <v>2022</v>
      </c>
      <c r="H748" s="23">
        <v>164700053139</v>
      </c>
      <c r="I748" s="23">
        <v>341268445319</v>
      </c>
      <c r="J748" s="23">
        <v>132379403348</v>
      </c>
      <c r="K748" s="23">
        <f t="shared" ref="K748:K749" si="236">(J748+J747)/2</f>
        <v>119849169066.5</v>
      </c>
      <c r="L748" s="23">
        <v>132379403348</v>
      </c>
      <c r="M748" s="23">
        <f t="shared" si="195"/>
        <v>208889041971</v>
      </c>
      <c r="N748" s="23">
        <v>338735115937</v>
      </c>
      <c r="O748" s="25">
        <f t="shared" si="161"/>
        <v>32320649791</v>
      </c>
      <c r="P748" s="23">
        <v>15967732226</v>
      </c>
      <c r="Q748" s="23">
        <f>131918430437+12416564372</f>
        <v>144334994809</v>
      </c>
      <c r="R748" s="25">
        <f t="shared" si="162"/>
        <v>194400121128</v>
      </c>
      <c r="S748" s="26">
        <f t="shared" si="163"/>
        <v>0.38790402442352562</v>
      </c>
      <c r="T748" s="27">
        <f t="shared" si="164"/>
        <v>1.2441516502838075</v>
      </c>
      <c r="U748" s="26">
        <f t="shared" si="165"/>
        <v>26.555935234201662</v>
      </c>
      <c r="V748" s="26">
        <f t="shared" si="166"/>
        <v>2.826345135101004</v>
      </c>
      <c r="W748" s="143"/>
      <c r="X748" s="143"/>
      <c r="Y748" s="143"/>
      <c r="Z748" s="30"/>
      <c r="AA748" s="31">
        <f t="shared" si="167"/>
        <v>15</v>
      </c>
      <c r="AB748" s="32">
        <v>3.15E-2</v>
      </c>
      <c r="AC748" s="32">
        <v>8.0199999999999994E-2</v>
      </c>
      <c r="AD748" s="33">
        <f t="shared" si="209"/>
        <v>9.4707407714734182E-2</v>
      </c>
      <c r="AE748" s="34">
        <f t="shared" si="210"/>
        <v>4.6789360238313843E-2</v>
      </c>
      <c r="AF748" s="33">
        <f t="shared" si="211"/>
        <v>0.56963989432508144</v>
      </c>
      <c r="AG748" s="33">
        <f t="shared" si="212"/>
        <v>0</v>
      </c>
      <c r="AH748" s="35">
        <f t="shared" si="213"/>
        <v>2.5588203857251912</v>
      </c>
      <c r="AI748" s="36">
        <f t="shared" si="168"/>
        <v>4.6177860305892802</v>
      </c>
      <c r="AJ748" s="23"/>
      <c r="AK748" s="23"/>
      <c r="AL748" s="44"/>
      <c r="AM748" s="44"/>
      <c r="AN748" s="44"/>
      <c r="AO748" s="44"/>
      <c r="AP748" s="44"/>
      <c r="AQ748" s="44"/>
      <c r="AR748" s="44"/>
    </row>
    <row r="749" spans="1:44" ht="16.8">
      <c r="A749" s="17" t="s">
        <v>1732</v>
      </c>
      <c r="B749" s="18"/>
      <c r="C749" s="18" t="s">
        <v>1729</v>
      </c>
      <c r="D749" s="19" t="s">
        <v>1730</v>
      </c>
      <c r="E749" s="20" t="s">
        <v>178</v>
      </c>
      <c r="F749" s="21">
        <v>2007</v>
      </c>
      <c r="G749" s="40">
        <v>2023</v>
      </c>
      <c r="H749" s="23">
        <v>181268874307</v>
      </c>
      <c r="I749" s="23">
        <v>474333071357</v>
      </c>
      <c r="J749" s="23">
        <v>219632762138</v>
      </c>
      <c r="K749" s="23">
        <f t="shared" si="236"/>
        <v>176006082743</v>
      </c>
      <c r="L749" s="23">
        <v>177344175826</v>
      </c>
      <c r="M749" s="23">
        <f t="shared" si="195"/>
        <v>254700309219</v>
      </c>
      <c r="N749" s="23">
        <v>473477182250</v>
      </c>
      <c r="O749" s="25">
        <f t="shared" si="161"/>
        <v>3924698481</v>
      </c>
      <c r="P749" s="23">
        <v>55145796775</v>
      </c>
      <c r="Q749" s="23">
        <f>85015592584+23055891939</f>
        <v>108071484523</v>
      </c>
      <c r="R749" s="25">
        <f t="shared" si="162"/>
        <v>365405697727</v>
      </c>
      <c r="S749" s="26">
        <f t="shared" si="163"/>
        <v>0.46303489130467257</v>
      </c>
      <c r="T749" s="27">
        <f t="shared" si="164"/>
        <v>1.022130405257011</v>
      </c>
      <c r="U749" s="26">
        <f t="shared" si="165"/>
        <v>26.885175594063714</v>
      </c>
      <c r="V749" s="26">
        <f t="shared" si="166"/>
        <v>2.6901182894988942</v>
      </c>
      <c r="W749" s="143"/>
      <c r="X749" s="143"/>
      <c r="Y749" s="143"/>
      <c r="Z749" s="30"/>
      <c r="AA749" s="31">
        <f t="shared" si="167"/>
        <v>16</v>
      </c>
      <c r="AB749" s="32">
        <v>3.2500000000000001E-2</v>
      </c>
      <c r="AC749" s="32">
        <v>5.0500000000000003E-2</v>
      </c>
      <c r="AD749" s="33">
        <f t="shared" si="209"/>
        <v>8.2741405101103144E-3</v>
      </c>
      <c r="AE749" s="34">
        <f t="shared" si="210"/>
        <v>0.11625964982208736</v>
      </c>
      <c r="AF749" s="33">
        <f t="shared" si="211"/>
        <v>0.77035678048259604</v>
      </c>
      <c r="AG749" s="33">
        <f t="shared" si="212"/>
        <v>0</v>
      </c>
      <c r="AH749" s="35">
        <f t="shared" si="213"/>
        <v>2.1557675532601284</v>
      </c>
      <c r="AI749" s="36">
        <f t="shared" si="168"/>
        <v>4.8706374072157494</v>
      </c>
      <c r="AJ749" s="23"/>
      <c r="AK749" s="23"/>
      <c r="AL749" s="44"/>
      <c r="AM749" s="44"/>
      <c r="AN749" s="44"/>
      <c r="AO749" s="44"/>
      <c r="AP749" s="44"/>
      <c r="AQ749" s="44"/>
      <c r="AR749" s="44"/>
    </row>
    <row r="750" spans="1:44" ht="16.8">
      <c r="A750" s="17" t="s">
        <v>1733</v>
      </c>
      <c r="B750" s="18">
        <v>289</v>
      </c>
      <c r="C750" s="18" t="s">
        <v>1734</v>
      </c>
      <c r="D750" s="19" t="s">
        <v>1735</v>
      </c>
      <c r="E750" s="20" t="s">
        <v>39</v>
      </c>
      <c r="F750" s="21">
        <v>1980</v>
      </c>
      <c r="G750" s="40">
        <v>2021</v>
      </c>
      <c r="H750" s="23">
        <v>441343733450</v>
      </c>
      <c r="I750" s="23">
        <v>472864200487</v>
      </c>
      <c r="J750" s="23">
        <v>296622465750</v>
      </c>
      <c r="K750" s="23">
        <f>(J750+339877210013)/2</f>
        <v>318249837881.5</v>
      </c>
      <c r="L750" s="23">
        <v>293999861785</v>
      </c>
      <c r="M750" s="23">
        <f t="shared" si="195"/>
        <v>176241734737</v>
      </c>
      <c r="N750" s="23">
        <v>215211722481</v>
      </c>
      <c r="O750" s="25">
        <f t="shared" si="161"/>
        <v>147343871665</v>
      </c>
      <c r="P750" s="23">
        <v>12090235190</v>
      </c>
      <c r="Q750" s="23">
        <f>3184186346+22018984632</f>
        <v>25203170978</v>
      </c>
      <c r="R750" s="25">
        <f t="shared" si="162"/>
        <v>190008551503</v>
      </c>
      <c r="S750" s="26">
        <f t="shared" si="163"/>
        <v>0.6272889033352711</v>
      </c>
      <c r="T750" s="27">
        <f t="shared" si="164"/>
        <v>1.501169867123106</v>
      </c>
      <c r="U750" s="26">
        <f t="shared" si="165"/>
        <v>26.882074081652032</v>
      </c>
      <c r="V750" s="26">
        <f t="shared" si="166"/>
        <v>0.67623513624894249</v>
      </c>
      <c r="W750" s="143"/>
      <c r="X750" s="143"/>
      <c r="Y750" s="143"/>
      <c r="Z750" s="30">
        <f>W750*Y750</f>
        <v>0</v>
      </c>
      <c r="AA750" s="31">
        <f t="shared" si="167"/>
        <v>41</v>
      </c>
      <c r="AB750" s="32">
        <v>1.84E-2</v>
      </c>
      <c r="AC750" s="32">
        <v>2.58E-2</v>
      </c>
      <c r="AD750" s="33">
        <f t="shared" si="209"/>
        <v>0.31159870320749894</v>
      </c>
      <c r="AE750" s="34">
        <f t="shared" si="210"/>
        <v>2.5568091594898364E-2</v>
      </c>
      <c r="AF750" s="33">
        <f t="shared" si="211"/>
        <v>0.4018247761351173</v>
      </c>
      <c r="AG750" s="33">
        <f t="shared" si="212"/>
        <v>0</v>
      </c>
      <c r="AH750" s="35">
        <f t="shared" si="213"/>
        <v>0.7255408720875014</v>
      </c>
      <c r="AI750" s="36">
        <f t="shared" si="168"/>
        <v>2.4612764054152452</v>
      </c>
      <c r="AJ750" s="23"/>
      <c r="AK750" s="101">
        <v>31</v>
      </c>
      <c r="AL750" s="44"/>
      <c r="AM750" s="44"/>
      <c r="AN750" s="44"/>
      <c r="AO750" s="44"/>
      <c r="AP750" s="44"/>
      <c r="AQ750" s="44"/>
      <c r="AR750" s="44"/>
    </row>
    <row r="751" spans="1:44" ht="16.8">
      <c r="A751" s="17" t="s">
        <v>1736</v>
      </c>
      <c r="B751" s="18"/>
      <c r="C751" s="18" t="s">
        <v>1734</v>
      </c>
      <c r="D751" s="19" t="s">
        <v>1735</v>
      </c>
      <c r="E751" s="20" t="s">
        <v>178</v>
      </c>
      <c r="F751" s="21">
        <v>1980</v>
      </c>
      <c r="G751" s="40">
        <v>2022</v>
      </c>
      <c r="H751" s="23">
        <v>447321685280</v>
      </c>
      <c r="I751" s="23">
        <v>472464581196</v>
      </c>
      <c r="J751" s="23">
        <v>293945516125</v>
      </c>
      <c r="K751" s="23">
        <f t="shared" ref="K751:K752" si="237">(J751+J750)/2</f>
        <v>295283990937.5</v>
      </c>
      <c r="L751" s="23">
        <v>293039131125</v>
      </c>
      <c r="M751" s="23">
        <f t="shared" si="195"/>
        <v>178519065071</v>
      </c>
      <c r="N751" s="23">
        <v>149797648207</v>
      </c>
      <c r="O751" s="25">
        <f t="shared" si="161"/>
        <v>154282554155</v>
      </c>
      <c r="P751" s="23">
        <v>2277330334</v>
      </c>
      <c r="Q751" s="23">
        <f>3732090269+12187647057</f>
        <v>15919737326</v>
      </c>
      <c r="R751" s="25">
        <f t="shared" si="162"/>
        <v>133877910881</v>
      </c>
      <c r="S751" s="26">
        <f t="shared" si="163"/>
        <v>0.62215354933253275</v>
      </c>
      <c r="T751" s="27">
        <f t="shared" si="164"/>
        <v>1.5264913036108771</v>
      </c>
      <c r="U751" s="26">
        <f t="shared" si="165"/>
        <v>26.88122862063879</v>
      </c>
      <c r="V751" s="26">
        <f t="shared" si="166"/>
        <v>0.50730026958591967</v>
      </c>
      <c r="W751" s="143"/>
      <c r="X751" s="143"/>
      <c r="Y751" s="143"/>
      <c r="Z751" s="30"/>
      <c r="AA751" s="31">
        <f t="shared" si="167"/>
        <v>42</v>
      </c>
      <c r="AB751" s="32">
        <v>3.15E-2</v>
      </c>
      <c r="AC751" s="32">
        <v>8.0199999999999994E-2</v>
      </c>
      <c r="AD751" s="33">
        <f t="shared" si="209"/>
        <v>0.32654840234679205</v>
      </c>
      <c r="AE751" s="34">
        <f t="shared" si="210"/>
        <v>4.8201080560052794E-3</v>
      </c>
      <c r="AF751" s="33">
        <f t="shared" si="211"/>
        <v>0.28336073477106066</v>
      </c>
      <c r="AG751" s="33">
        <f t="shared" si="212"/>
        <v>0</v>
      </c>
      <c r="AH751" s="35">
        <f t="shared" si="213"/>
        <v>0.50961025084423717</v>
      </c>
      <c r="AI751" s="36">
        <f t="shared" si="168"/>
        <v>1.843306909683295</v>
      </c>
      <c r="AJ751" s="23"/>
      <c r="AK751" s="23"/>
      <c r="AL751" s="44"/>
      <c r="AM751" s="44"/>
      <c r="AN751" s="44"/>
      <c r="AO751" s="44"/>
      <c r="AP751" s="44"/>
      <c r="AQ751" s="44"/>
      <c r="AR751" s="44"/>
    </row>
    <row r="752" spans="1:44" ht="16.8">
      <c r="A752" s="17" t="s">
        <v>1737</v>
      </c>
      <c r="B752" s="18"/>
      <c r="C752" s="18" t="s">
        <v>1734</v>
      </c>
      <c r="D752" s="19" t="s">
        <v>1735</v>
      </c>
      <c r="E752" s="20" t="s">
        <v>178</v>
      </c>
      <c r="F752" s="21">
        <v>1980</v>
      </c>
      <c r="G752" s="40">
        <v>2023</v>
      </c>
      <c r="H752" s="23">
        <v>435792395116</v>
      </c>
      <c r="I752" s="23">
        <v>452089897456</v>
      </c>
      <c r="J752" s="23">
        <v>271450803259</v>
      </c>
      <c r="K752" s="23">
        <f t="shared" si="237"/>
        <v>282698159692</v>
      </c>
      <c r="L752" s="23">
        <v>270017994294</v>
      </c>
      <c r="M752" s="23">
        <f t="shared" si="195"/>
        <v>180639094197</v>
      </c>
      <c r="N752" s="23">
        <v>149526131340</v>
      </c>
      <c r="O752" s="25">
        <f t="shared" si="161"/>
        <v>165774400822</v>
      </c>
      <c r="P752" s="23">
        <v>2120029126</v>
      </c>
      <c r="Q752" s="23">
        <f>2615546434+13706489331</f>
        <v>16322035765</v>
      </c>
      <c r="R752" s="25">
        <f t="shared" si="162"/>
        <v>133204095575</v>
      </c>
      <c r="S752" s="26">
        <f t="shared" si="163"/>
        <v>0.60043545495377759</v>
      </c>
      <c r="T752" s="27">
        <f t="shared" si="164"/>
        <v>1.613938346055197</v>
      </c>
      <c r="U752" s="26">
        <f t="shared" si="165"/>
        <v>26.837146885180001</v>
      </c>
      <c r="V752" s="26">
        <f t="shared" si="166"/>
        <v>0.52892502555697185</v>
      </c>
      <c r="W752" s="143"/>
      <c r="X752" s="143"/>
      <c r="Y752" s="143"/>
      <c r="Z752" s="30"/>
      <c r="AA752" s="31">
        <f t="shared" si="167"/>
        <v>43</v>
      </c>
      <c r="AB752" s="32">
        <v>3.2500000000000001E-2</v>
      </c>
      <c r="AC752" s="32">
        <v>5.0500000000000003E-2</v>
      </c>
      <c r="AD752" s="33">
        <f t="shared" si="209"/>
        <v>0.3666845947119049</v>
      </c>
      <c r="AE752" s="34">
        <f t="shared" si="210"/>
        <v>4.6893972591067097E-3</v>
      </c>
      <c r="AF752" s="33">
        <f t="shared" si="211"/>
        <v>0.29464072593651397</v>
      </c>
      <c r="AG752" s="33">
        <f t="shared" si="212"/>
        <v>0</v>
      </c>
      <c r="AH752" s="35">
        <f t="shared" si="213"/>
        <v>0.55084062947985557</v>
      </c>
      <c r="AI752" s="36">
        <f t="shared" si="168"/>
        <v>1.9697416948873869</v>
      </c>
      <c r="AJ752" s="23"/>
      <c r="AK752" s="23"/>
      <c r="AL752" s="44"/>
      <c r="AM752" s="44"/>
      <c r="AN752" s="44"/>
      <c r="AO752" s="44"/>
      <c r="AP752" s="44"/>
      <c r="AQ752" s="44"/>
      <c r="AR752" s="44"/>
    </row>
    <row r="753" spans="1:44" ht="16.8">
      <c r="A753" s="17" t="s">
        <v>1738</v>
      </c>
      <c r="B753" s="18">
        <v>290</v>
      </c>
      <c r="C753" s="18" t="s">
        <v>1739</v>
      </c>
      <c r="D753" s="19" t="s">
        <v>1740</v>
      </c>
      <c r="E753" s="20" t="s">
        <v>178</v>
      </c>
      <c r="F753" s="21">
        <v>1989</v>
      </c>
      <c r="G753" s="40">
        <v>2021</v>
      </c>
      <c r="H753" s="23">
        <v>1230274599417</v>
      </c>
      <c r="I753" s="23">
        <v>1349330946926</v>
      </c>
      <c r="J753" s="23">
        <v>1168589686083</v>
      </c>
      <c r="K753" s="23">
        <f>(J753+1031697888433)/2</f>
        <v>1100143787258</v>
      </c>
      <c r="L753" s="23">
        <v>1111041180412</v>
      </c>
      <c r="M753" s="23">
        <f t="shared" si="195"/>
        <v>180741260843</v>
      </c>
      <c r="N753" s="23">
        <v>531160654898</v>
      </c>
      <c r="O753" s="25">
        <f t="shared" si="161"/>
        <v>119233419005</v>
      </c>
      <c r="P753" s="23">
        <v>2006611461</v>
      </c>
      <c r="Q753" s="23">
        <v>43076927596</v>
      </c>
      <c r="R753" s="25">
        <f t="shared" si="162"/>
        <v>488083727302</v>
      </c>
      <c r="S753" s="26">
        <f t="shared" si="163"/>
        <v>0.86605120022277815</v>
      </c>
      <c r="T753" s="27">
        <f t="shared" si="164"/>
        <v>1.1073168313714399</v>
      </c>
      <c r="U753" s="26">
        <f t="shared" si="165"/>
        <v>27.930629990661529</v>
      </c>
      <c r="V753" s="26">
        <f t="shared" si="166"/>
        <v>0.48281021176501449</v>
      </c>
      <c r="W753" s="143"/>
      <c r="X753" s="143"/>
      <c r="Y753" s="143"/>
      <c r="Z753" s="30">
        <f>W753*Y753</f>
        <v>0</v>
      </c>
      <c r="AA753" s="31">
        <f t="shared" si="167"/>
        <v>32</v>
      </c>
      <c r="AB753" s="32">
        <v>1.84E-2</v>
      </c>
      <c r="AC753" s="32">
        <v>2.58E-2</v>
      </c>
      <c r="AD753" s="33">
        <f t="shared" si="209"/>
        <v>8.836484427829476E-2</v>
      </c>
      <c r="AE753" s="34">
        <f t="shared" si="210"/>
        <v>1.4871158669942271E-3</v>
      </c>
      <c r="AF753" s="33">
        <f t="shared" si="211"/>
        <v>0.36172276965405398</v>
      </c>
      <c r="AG753" s="33">
        <f t="shared" si="212"/>
        <v>0</v>
      </c>
      <c r="AH753" s="35">
        <f t="shared" si="213"/>
        <v>0.45453135623539459</v>
      </c>
      <c r="AI753" s="36">
        <f t="shared" si="168"/>
        <v>1.7563362714415183</v>
      </c>
      <c r="AJ753" s="23" t="s">
        <v>85</v>
      </c>
      <c r="AK753" s="23"/>
      <c r="AL753" s="44"/>
      <c r="AM753" s="44"/>
      <c r="AN753" s="44"/>
      <c r="AO753" s="44"/>
      <c r="AP753" s="44"/>
      <c r="AQ753" s="44"/>
      <c r="AR753" s="44"/>
    </row>
    <row r="754" spans="1:44" ht="16.8">
      <c r="A754" s="17" t="s">
        <v>1741</v>
      </c>
      <c r="B754" s="18"/>
      <c r="C754" s="18" t="s">
        <v>1739</v>
      </c>
      <c r="D754" s="19" t="s">
        <v>1740</v>
      </c>
      <c r="E754" s="20" t="s">
        <v>178</v>
      </c>
      <c r="F754" s="21">
        <v>1989</v>
      </c>
      <c r="G754" s="40">
        <v>2022</v>
      </c>
      <c r="H754" s="23">
        <v>977396952082</v>
      </c>
      <c r="I754" s="23">
        <v>1080571208543</v>
      </c>
      <c r="J754" s="23">
        <v>910031812583</v>
      </c>
      <c r="K754" s="23">
        <f t="shared" ref="K754:K755" si="238">(J754+J753)/2</f>
        <v>1039310749333</v>
      </c>
      <c r="L754" s="23">
        <v>855442512915</v>
      </c>
      <c r="M754" s="23">
        <f t="shared" si="195"/>
        <v>170539395960</v>
      </c>
      <c r="N754" s="23">
        <v>409588144733</v>
      </c>
      <c r="O754" s="25">
        <f t="shared" si="161"/>
        <v>121954439167</v>
      </c>
      <c r="P754" s="23">
        <v>-10201864883</v>
      </c>
      <c r="Q754" s="23">
        <v>32583257100</v>
      </c>
      <c r="R754" s="25">
        <f t="shared" si="162"/>
        <v>377004887633</v>
      </c>
      <c r="S754" s="26">
        <f t="shared" si="163"/>
        <v>0.84217662416718597</v>
      </c>
      <c r="T754" s="27">
        <f t="shared" si="164"/>
        <v>1.142562986203981</v>
      </c>
      <c r="U754" s="26">
        <f t="shared" si="165"/>
        <v>27.708510914047135</v>
      </c>
      <c r="V754" s="26">
        <f t="shared" si="166"/>
        <v>0.39409593809730342</v>
      </c>
      <c r="W754" s="143"/>
      <c r="X754" s="143"/>
      <c r="Y754" s="143"/>
      <c r="Z754" s="30"/>
      <c r="AA754" s="31">
        <f t="shared" si="167"/>
        <v>33</v>
      </c>
      <c r="AB754" s="32">
        <v>3.15E-2</v>
      </c>
      <c r="AC754" s="32">
        <v>8.0199999999999994E-2</v>
      </c>
      <c r="AD754" s="33">
        <f t="shared" si="209"/>
        <v>0.11286108513981101</v>
      </c>
      <c r="AE754" s="34">
        <f t="shared" si="210"/>
        <v>-9.4411777792560245E-3</v>
      </c>
      <c r="AF754" s="33">
        <f t="shared" si="211"/>
        <v>0.34889407070297446</v>
      </c>
      <c r="AG754" s="33">
        <f t="shared" si="212"/>
        <v>0</v>
      </c>
      <c r="AH754" s="35">
        <f t="shared" si="213"/>
        <v>0.45008112801072353</v>
      </c>
      <c r="AI754" s="36">
        <f t="shared" si="168"/>
        <v>1.723647214607354</v>
      </c>
      <c r="AJ754" s="23" t="s">
        <v>85</v>
      </c>
      <c r="AK754" s="23"/>
      <c r="AL754" s="44"/>
      <c r="AM754" s="44"/>
      <c r="AN754" s="44"/>
      <c r="AO754" s="44"/>
      <c r="AP754" s="44"/>
      <c r="AQ754" s="44"/>
      <c r="AR754" s="44"/>
    </row>
    <row r="755" spans="1:44" ht="16.8">
      <c r="A755" s="17" t="s">
        <v>1742</v>
      </c>
      <c r="B755" s="18"/>
      <c r="C755" s="18" t="s">
        <v>1739</v>
      </c>
      <c r="D755" s="19" t="s">
        <v>1740</v>
      </c>
      <c r="E755" s="20" t="s">
        <v>178</v>
      </c>
      <c r="F755" s="21">
        <v>1989</v>
      </c>
      <c r="G755" s="40">
        <v>2023</v>
      </c>
      <c r="H755" s="23">
        <v>716371063940</v>
      </c>
      <c r="I755" s="23">
        <v>807017999258</v>
      </c>
      <c r="J755" s="23">
        <v>772022115027</v>
      </c>
      <c r="K755" s="23">
        <f t="shared" si="238"/>
        <v>841026963805</v>
      </c>
      <c r="L755" s="23">
        <v>718797474276</v>
      </c>
      <c r="M755" s="23">
        <f t="shared" si="195"/>
        <v>34995884231</v>
      </c>
      <c r="N755" s="23">
        <v>306180159949</v>
      </c>
      <c r="O755" s="25">
        <f t="shared" si="161"/>
        <v>-2426410336</v>
      </c>
      <c r="P755" s="23">
        <v>-135543511729</v>
      </c>
      <c r="Q755" s="23">
        <v>24741143016</v>
      </c>
      <c r="R755" s="25">
        <f t="shared" si="162"/>
        <v>281439016933</v>
      </c>
      <c r="S755" s="26">
        <f t="shared" si="163"/>
        <v>0.95663555922770449</v>
      </c>
      <c r="T755" s="27">
        <f t="shared" si="164"/>
        <v>0.99662434771568453</v>
      </c>
      <c r="U755" s="26">
        <f t="shared" si="165"/>
        <v>27.416611808880891</v>
      </c>
      <c r="V755" s="26">
        <f t="shared" si="166"/>
        <v>0.36405510539611041</v>
      </c>
      <c r="W755" s="143"/>
      <c r="X755" s="143"/>
      <c r="Y755" s="143"/>
      <c r="Z755" s="30"/>
      <c r="AA755" s="31">
        <f t="shared" si="167"/>
        <v>34</v>
      </c>
      <c r="AB755" s="32">
        <v>3.2500000000000001E-2</v>
      </c>
      <c r="AC755" s="32">
        <v>5.0500000000000003E-2</v>
      </c>
      <c r="AD755" s="33">
        <f t="shared" si="209"/>
        <v>-3.0066371979694689E-3</v>
      </c>
      <c r="AE755" s="34">
        <f t="shared" si="210"/>
        <v>-0.16795599584349216</v>
      </c>
      <c r="AF755" s="33">
        <f t="shared" si="211"/>
        <v>0.34873945462401668</v>
      </c>
      <c r="AG755" s="33">
        <f t="shared" si="212"/>
        <v>0</v>
      </c>
      <c r="AH755" s="35">
        <f t="shared" si="213"/>
        <v>0.39659506378038395</v>
      </c>
      <c r="AI755" s="36">
        <f t="shared" si="168"/>
        <v>1.3086889052211865</v>
      </c>
      <c r="AJ755" s="23" t="s">
        <v>85</v>
      </c>
      <c r="AK755" s="23"/>
      <c r="AL755" s="44"/>
      <c r="AM755" s="44"/>
      <c r="AN755" s="44"/>
      <c r="AO755" s="44"/>
      <c r="AP755" s="44"/>
      <c r="AQ755" s="44"/>
      <c r="AR755" s="44"/>
    </row>
    <row r="756" spans="1:44" ht="16.8">
      <c r="A756" s="17" t="s">
        <v>1743</v>
      </c>
      <c r="B756" s="18">
        <v>291</v>
      </c>
      <c r="C756" s="18" t="s">
        <v>1744</v>
      </c>
      <c r="D756" s="19" t="s">
        <v>1745</v>
      </c>
      <c r="E756" s="20" t="s">
        <v>39</v>
      </c>
      <c r="F756" s="21">
        <v>1990</v>
      </c>
      <c r="G756" s="40">
        <v>2021</v>
      </c>
      <c r="H756" s="23">
        <v>1217211093119</v>
      </c>
      <c r="I756" s="23">
        <v>1475513936982</v>
      </c>
      <c r="J756" s="23">
        <v>997162263768</v>
      </c>
      <c r="K756" s="23">
        <f>(J756+1006134894163)/2</f>
        <v>1001648578965.5</v>
      </c>
      <c r="L756" s="23">
        <v>916701221180</v>
      </c>
      <c r="M756" s="23">
        <f t="shared" si="195"/>
        <v>478351673214</v>
      </c>
      <c r="N756" s="23">
        <v>2147950325421</v>
      </c>
      <c r="O756" s="25">
        <f t="shared" si="161"/>
        <v>300509871939</v>
      </c>
      <c r="P756" s="23">
        <v>21565159188</v>
      </c>
      <c r="Q756" s="23">
        <v>33244565758</v>
      </c>
      <c r="R756" s="25">
        <f t="shared" si="162"/>
        <v>2114705759663</v>
      </c>
      <c r="S756" s="26">
        <f t="shared" si="163"/>
        <v>0.67580674012987285</v>
      </c>
      <c r="T756" s="27">
        <f t="shared" si="164"/>
        <v>1.3278165938866935</v>
      </c>
      <c r="U756" s="26">
        <f t="shared" si="165"/>
        <v>28.020027476884255</v>
      </c>
      <c r="V756" s="26">
        <f t="shared" si="166"/>
        <v>2.144415087813929</v>
      </c>
      <c r="W756" s="143"/>
      <c r="X756" s="143"/>
      <c r="Y756" s="143"/>
      <c r="Z756" s="30">
        <f>W756*Y756</f>
        <v>0</v>
      </c>
      <c r="AA756" s="31">
        <f t="shared" si="167"/>
        <v>31</v>
      </c>
      <c r="AB756" s="32">
        <v>1.84E-2</v>
      </c>
      <c r="AC756" s="32">
        <v>2.58E-2</v>
      </c>
      <c r="AD756" s="33">
        <f t="shared" si="209"/>
        <v>0.20366454318531182</v>
      </c>
      <c r="AE756" s="34">
        <f t="shared" si="210"/>
        <v>1.4615354452096291E-2</v>
      </c>
      <c r="AF756" s="33">
        <f t="shared" si="211"/>
        <v>1.4331994477723442</v>
      </c>
      <c r="AG756" s="33">
        <f t="shared" si="212"/>
        <v>0</v>
      </c>
      <c r="AH756" s="35">
        <f t="shared" si="213"/>
        <v>2.1540629880080808</v>
      </c>
      <c r="AI756" s="36">
        <f t="shared" si="168"/>
        <v>7.1484801137121252</v>
      </c>
      <c r="AJ756" s="23" t="s">
        <v>85</v>
      </c>
      <c r="AK756" s="101">
        <v>32</v>
      </c>
      <c r="AL756" s="44"/>
      <c r="AM756" s="44"/>
      <c r="AN756" s="44"/>
      <c r="AO756" s="44"/>
      <c r="AP756" s="44"/>
      <c r="AQ756" s="44"/>
      <c r="AR756" s="44"/>
    </row>
    <row r="757" spans="1:44" ht="16.8">
      <c r="A757" s="17" t="s">
        <v>1746</v>
      </c>
      <c r="B757" s="18"/>
      <c r="C757" s="18" t="s">
        <v>1744</v>
      </c>
      <c r="D757" s="19" t="s">
        <v>1745</v>
      </c>
      <c r="E757" s="20" t="s">
        <v>39</v>
      </c>
      <c r="F757" s="21">
        <v>1990</v>
      </c>
      <c r="G757" s="40">
        <v>2022</v>
      </c>
      <c r="H757" s="23">
        <v>1448223754623</v>
      </c>
      <c r="I757" s="23">
        <v>1762535727420</v>
      </c>
      <c r="J757" s="23">
        <v>1288310492408</v>
      </c>
      <c r="K757" s="23">
        <f t="shared" ref="K757:K758" si="239">(J757+J756)/2</f>
        <v>1142736378088</v>
      </c>
      <c r="L757" s="23">
        <v>1159994886781</v>
      </c>
      <c r="M757" s="23">
        <f t="shared" si="195"/>
        <v>474225235012</v>
      </c>
      <c r="N757" s="23">
        <v>1800778654600</v>
      </c>
      <c r="O757" s="25">
        <f t="shared" si="161"/>
        <v>288228867842</v>
      </c>
      <c r="P757" s="23">
        <v>17438720986</v>
      </c>
      <c r="Q757" s="23">
        <v>23318786546</v>
      </c>
      <c r="R757" s="25">
        <f t="shared" si="162"/>
        <v>1777459868054</v>
      </c>
      <c r="S757" s="26">
        <f t="shared" si="163"/>
        <v>0.73094149092445859</v>
      </c>
      <c r="T757" s="27">
        <f t="shared" si="164"/>
        <v>1.248474257194218</v>
      </c>
      <c r="U757" s="26">
        <f t="shared" si="165"/>
        <v>28.19777464230398</v>
      </c>
      <c r="V757" s="26">
        <f t="shared" si="166"/>
        <v>1.5758478413131654</v>
      </c>
      <c r="W757" s="143"/>
      <c r="X757" s="143"/>
      <c r="Y757" s="143"/>
      <c r="Z757" s="30"/>
      <c r="AA757" s="31">
        <f t="shared" si="167"/>
        <v>32</v>
      </c>
      <c r="AB757" s="32">
        <v>3.15E-2</v>
      </c>
      <c r="AC757" s="32">
        <v>8.0199999999999994E-2</v>
      </c>
      <c r="AD757" s="33">
        <f t="shared" si="209"/>
        <v>0.16353079450134578</v>
      </c>
      <c r="AE757" s="34">
        <f t="shared" si="210"/>
        <v>9.8941092170238172E-3</v>
      </c>
      <c r="AF757" s="33">
        <f t="shared" si="211"/>
        <v>1.0084674258806918</v>
      </c>
      <c r="AG757" s="33">
        <f t="shared" si="212"/>
        <v>0</v>
      </c>
      <c r="AH757" s="35">
        <f t="shared" si="213"/>
        <v>1.3977831161136771</v>
      </c>
      <c r="AI757" s="36">
        <f t="shared" si="168"/>
        <v>4.9358143278254083</v>
      </c>
      <c r="AJ757" s="23" t="s">
        <v>85</v>
      </c>
      <c r="AK757" s="101">
        <v>33</v>
      </c>
      <c r="AL757" s="44"/>
      <c r="AM757" s="44"/>
      <c r="AN757" s="44"/>
      <c r="AO757" s="44"/>
      <c r="AP757" s="44"/>
      <c r="AQ757" s="44"/>
      <c r="AR757" s="44"/>
    </row>
    <row r="758" spans="1:44" ht="16.8">
      <c r="A758" s="17" t="s">
        <v>1747</v>
      </c>
      <c r="B758" s="18"/>
      <c r="C758" s="18" t="s">
        <v>1744</v>
      </c>
      <c r="D758" s="19" t="s">
        <v>1745</v>
      </c>
      <c r="E758" s="20" t="s">
        <v>39</v>
      </c>
      <c r="F758" s="21">
        <v>1990</v>
      </c>
      <c r="G758" s="40">
        <v>2023</v>
      </c>
      <c r="H758" s="23">
        <v>1163927517894</v>
      </c>
      <c r="I758" s="23">
        <v>1495148391524</v>
      </c>
      <c r="J758" s="23">
        <v>1017310210500</v>
      </c>
      <c r="K758" s="23">
        <f t="shared" si="239"/>
        <v>1152810351454</v>
      </c>
      <c r="L758" s="23">
        <v>888311871569</v>
      </c>
      <c r="M758" s="23">
        <f t="shared" si="195"/>
        <v>477838181024</v>
      </c>
      <c r="N758" s="23">
        <v>2262146228240</v>
      </c>
      <c r="O758" s="25">
        <f t="shared" si="161"/>
        <v>275615646325</v>
      </c>
      <c r="P758" s="23">
        <v>21051666998</v>
      </c>
      <c r="Q758" s="23">
        <v>36028695573</v>
      </c>
      <c r="R758" s="25">
        <f t="shared" si="162"/>
        <v>2226117532667</v>
      </c>
      <c r="S758" s="26">
        <f t="shared" si="163"/>
        <v>0.68040752093045354</v>
      </c>
      <c r="T758" s="27">
        <f t="shared" si="164"/>
        <v>1.3102690115332896</v>
      </c>
      <c r="U758" s="26">
        <f t="shared" si="165"/>
        <v>28.033246576389875</v>
      </c>
      <c r="V758" s="26">
        <f t="shared" si="166"/>
        <v>1.962288268306086</v>
      </c>
      <c r="W758" s="143"/>
      <c r="X758" s="143"/>
      <c r="Y758" s="143"/>
      <c r="Z758" s="30"/>
      <c r="AA758" s="31">
        <f t="shared" si="167"/>
        <v>33</v>
      </c>
      <c r="AB758" s="32">
        <v>3.2500000000000001E-2</v>
      </c>
      <c r="AC758" s="32">
        <v>5.0500000000000003E-2</v>
      </c>
      <c r="AD758" s="33">
        <f t="shared" si="209"/>
        <v>0.18433999453663985</v>
      </c>
      <c r="AE758" s="34">
        <f t="shared" si="210"/>
        <v>1.407998504853562E-2</v>
      </c>
      <c r="AF758" s="33">
        <f t="shared" si="211"/>
        <v>1.4888940424153656</v>
      </c>
      <c r="AG758" s="33">
        <f t="shared" si="212"/>
        <v>0</v>
      </c>
      <c r="AH758" s="35">
        <f t="shared" si="213"/>
        <v>2.2236543041558314</v>
      </c>
      <c r="AI758" s="36">
        <f t="shared" si="168"/>
        <v>7.377924616638456</v>
      </c>
      <c r="AJ758" s="23" t="s">
        <v>85</v>
      </c>
      <c r="AK758" s="101">
        <v>34</v>
      </c>
      <c r="AL758" s="44"/>
      <c r="AM758" s="44"/>
      <c r="AN758" s="44"/>
      <c r="AO758" s="44"/>
      <c r="AP758" s="44"/>
      <c r="AQ758" s="44"/>
      <c r="AR758" s="44"/>
    </row>
    <row r="759" spans="1:44" ht="16.8">
      <c r="A759" s="17" t="s">
        <v>1748</v>
      </c>
      <c r="B759" s="18">
        <v>292</v>
      </c>
      <c r="C759" s="18" t="s">
        <v>1749</v>
      </c>
      <c r="D759" s="19" t="s">
        <v>1750</v>
      </c>
      <c r="E759" s="20" t="s">
        <v>178</v>
      </c>
      <c r="F759" s="21">
        <v>1983</v>
      </c>
      <c r="G759" s="40">
        <v>2021</v>
      </c>
      <c r="H759" s="23">
        <v>988713520844</v>
      </c>
      <c r="I759" s="23">
        <v>1260147050591</v>
      </c>
      <c r="J759" s="23">
        <v>802754239473</v>
      </c>
      <c r="K759" s="23">
        <f>(J759+896085899224)/2</f>
        <v>849420069348.5</v>
      </c>
      <c r="L759" s="23">
        <v>798599438343</v>
      </c>
      <c r="M759" s="23">
        <f t="shared" si="195"/>
        <v>457392811118</v>
      </c>
      <c r="N759" s="23">
        <v>385176607715</v>
      </c>
      <c r="O759" s="25">
        <f t="shared" si="161"/>
        <v>190114082501</v>
      </c>
      <c r="P759" s="23">
        <v>740276596</v>
      </c>
      <c r="Q759" s="23">
        <v>37527210311</v>
      </c>
      <c r="R759" s="25">
        <f t="shared" si="162"/>
        <v>347649397404</v>
      </c>
      <c r="S759" s="26">
        <f t="shared" si="163"/>
        <v>0.63703219326388449</v>
      </c>
      <c r="T759" s="27">
        <f t="shared" si="164"/>
        <v>1.2380593741656822</v>
      </c>
      <c r="U759" s="26">
        <f t="shared" si="165"/>
        <v>27.862249536900478</v>
      </c>
      <c r="V759" s="26">
        <f t="shared" si="166"/>
        <v>0.4534583318833379</v>
      </c>
      <c r="W759" s="143"/>
      <c r="X759" s="143"/>
      <c r="Y759" s="143"/>
      <c r="Z759" s="30">
        <f>W759*Y759</f>
        <v>0</v>
      </c>
      <c r="AA759" s="31">
        <f t="shared" si="167"/>
        <v>38</v>
      </c>
      <c r="AB759" s="32">
        <v>1.84E-2</v>
      </c>
      <c r="AC759" s="32">
        <v>2.58E-2</v>
      </c>
      <c r="AD759" s="33">
        <f t="shared" si="209"/>
        <v>0.15086658530195968</v>
      </c>
      <c r="AE759" s="34">
        <f t="shared" si="210"/>
        <v>5.874525482187301E-4</v>
      </c>
      <c r="AF759" s="33">
        <f t="shared" si="211"/>
        <v>0.27588002308219101</v>
      </c>
      <c r="AG759" s="33">
        <f t="shared" si="212"/>
        <v>0</v>
      </c>
      <c r="AH759" s="35">
        <f t="shared" si="213"/>
        <v>0.47981883965865385</v>
      </c>
      <c r="AI759" s="36">
        <f t="shared" si="168"/>
        <v>1.5720852517597419</v>
      </c>
      <c r="AJ759" s="23" t="s">
        <v>85</v>
      </c>
      <c r="AK759" s="23"/>
      <c r="AL759" s="44"/>
      <c r="AM759" s="44"/>
      <c r="AN759" s="44"/>
      <c r="AO759" s="44"/>
      <c r="AP759" s="44"/>
      <c r="AQ759" s="44"/>
      <c r="AR759" s="44"/>
    </row>
    <row r="760" spans="1:44" ht="16.8">
      <c r="A760" s="17" t="s">
        <v>1751</v>
      </c>
      <c r="B760" s="18"/>
      <c r="C760" s="18" t="s">
        <v>1749</v>
      </c>
      <c r="D760" s="19" t="s">
        <v>1750</v>
      </c>
      <c r="E760" s="20" t="s">
        <v>178</v>
      </c>
      <c r="F760" s="21">
        <v>1983</v>
      </c>
      <c r="G760" s="40">
        <v>2022</v>
      </c>
      <c r="H760" s="23">
        <v>996088504823</v>
      </c>
      <c r="I760" s="23">
        <v>1285495489358</v>
      </c>
      <c r="J760" s="23">
        <v>852619187804</v>
      </c>
      <c r="K760" s="23">
        <f t="shared" ref="K760:K761" si="240">(J760+J759)/2</f>
        <v>827686713638.5</v>
      </c>
      <c r="L760" s="23">
        <v>852569187804</v>
      </c>
      <c r="M760" s="23">
        <f t="shared" si="195"/>
        <v>432876301554</v>
      </c>
      <c r="N760" s="23">
        <v>194059733982</v>
      </c>
      <c r="O760" s="25">
        <f t="shared" si="161"/>
        <v>143519317019</v>
      </c>
      <c r="P760" s="23">
        <v>77698027</v>
      </c>
      <c r="Q760" s="23">
        <v>30593280526</v>
      </c>
      <c r="R760" s="25">
        <f t="shared" si="162"/>
        <v>163466453456</v>
      </c>
      <c r="S760" s="26">
        <f t="shared" si="163"/>
        <v>0.66326112760598921</v>
      </c>
      <c r="T760" s="27">
        <f t="shared" si="164"/>
        <v>1.168337442957174</v>
      </c>
      <c r="U760" s="26">
        <f t="shared" si="165"/>
        <v>27.882165354784277</v>
      </c>
      <c r="V760" s="26">
        <f t="shared" si="166"/>
        <v>0.2344603710369059</v>
      </c>
      <c r="W760" s="143"/>
      <c r="X760" s="143"/>
      <c r="Y760" s="143"/>
      <c r="Z760" s="30"/>
      <c r="AA760" s="31">
        <f t="shared" si="167"/>
        <v>39</v>
      </c>
      <c r="AB760" s="32">
        <v>3.15E-2</v>
      </c>
      <c r="AC760" s="32">
        <v>8.0199999999999994E-2</v>
      </c>
      <c r="AD760" s="33">
        <f t="shared" si="209"/>
        <v>0.11164513466373668</v>
      </c>
      <c r="AE760" s="34">
        <f t="shared" si="210"/>
        <v>6.0442084506110417E-5</v>
      </c>
      <c r="AF760" s="33">
        <f t="shared" si="211"/>
        <v>0.12716221473296507</v>
      </c>
      <c r="AG760" s="33">
        <f t="shared" si="212"/>
        <v>0</v>
      </c>
      <c r="AH760" s="35">
        <f t="shared" si="213"/>
        <v>0.22760423030335369</v>
      </c>
      <c r="AI760" s="36">
        <f t="shared" si="168"/>
        <v>0.78129831943693095</v>
      </c>
      <c r="AJ760" s="23" t="s">
        <v>85</v>
      </c>
      <c r="AK760" s="23"/>
      <c r="AL760" s="44"/>
      <c r="AM760" s="44"/>
      <c r="AN760" s="44"/>
      <c r="AO760" s="44"/>
      <c r="AP760" s="44"/>
      <c r="AQ760" s="44"/>
      <c r="AR760" s="44"/>
    </row>
    <row r="761" spans="1:44" ht="16.8">
      <c r="A761" s="17" t="s">
        <v>1752</v>
      </c>
      <c r="B761" s="18"/>
      <c r="C761" s="18" t="s">
        <v>1749</v>
      </c>
      <c r="D761" s="19" t="s">
        <v>1750</v>
      </c>
      <c r="E761" s="20" t="s">
        <v>178</v>
      </c>
      <c r="F761" s="21">
        <v>1983</v>
      </c>
      <c r="G761" s="40">
        <v>2023</v>
      </c>
      <c r="H761" s="23">
        <v>839108371629</v>
      </c>
      <c r="I761" s="23">
        <v>920555299621</v>
      </c>
      <c r="J761" s="23">
        <v>742456533688</v>
      </c>
      <c r="K761" s="23">
        <f t="shared" si="240"/>
        <v>797537860746</v>
      </c>
      <c r="L761" s="23">
        <v>742356533688</v>
      </c>
      <c r="M761" s="23">
        <f t="shared" si="195"/>
        <v>178098765933</v>
      </c>
      <c r="N761" s="23">
        <v>150804142269</v>
      </c>
      <c r="O761" s="25">
        <f t="shared" si="161"/>
        <v>96751837941</v>
      </c>
      <c r="P761" s="23">
        <v>-159942840525</v>
      </c>
      <c r="Q761" s="23">
        <v>21984807315</v>
      </c>
      <c r="R761" s="25">
        <f t="shared" si="162"/>
        <v>128819334954</v>
      </c>
      <c r="S761" s="26">
        <f t="shared" si="163"/>
        <v>0.80653116004402481</v>
      </c>
      <c r="T761" s="27">
        <f t="shared" si="164"/>
        <v>1.1303306882211173</v>
      </c>
      <c r="U761" s="26">
        <f t="shared" si="165"/>
        <v>27.54824291144897</v>
      </c>
      <c r="V761" s="26">
        <f t="shared" si="166"/>
        <v>0.18908712638161279</v>
      </c>
      <c r="W761" s="143"/>
      <c r="X761" s="143"/>
      <c r="Y761" s="143"/>
      <c r="Z761" s="30"/>
      <c r="AA761" s="31">
        <f t="shared" si="167"/>
        <v>40</v>
      </c>
      <c r="AB761" s="32">
        <v>3.2500000000000001E-2</v>
      </c>
      <c r="AC761" s="32">
        <v>5.0500000000000003E-2</v>
      </c>
      <c r="AD761" s="33">
        <f t="shared" si="209"/>
        <v>0.10510160332663721</v>
      </c>
      <c r="AE761" s="34">
        <f t="shared" si="210"/>
        <v>-0.17374604284050046</v>
      </c>
      <c r="AF761" s="33">
        <f t="shared" si="211"/>
        <v>0.13993655243420569</v>
      </c>
      <c r="AG761" s="33">
        <f t="shared" si="212"/>
        <v>0</v>
      </c>
      <c r="AH761" s="35">
        <f t="shared" si="213"/>
        <v>0.20311511236881635</v>
      </c>
      <c r="AI761" s="36">
        <f t="shared" si="168"/>
        <v>0.54778319941695908</v>
      </c>
      <c r="AJ761" s="23" t="s">
        <v>85</v>
      </c>
      <c r="AK761" s="23"/>
      <c r="AL761" s="44"/>
      <c r="AM761" s="44"/>
      <c r="AN761" s="44"/>
      <c r="AO761" s="44"/>
      <c r="AP761" s="44"/>
      <c r="AQ761" s="44"/>
      <c r="AR761" s="44"/>
    </row>
    <row r="762" spans="1:44" ht="16.8">
      <c r="A762" s="17" t="s">
        <v>1753</v>
      </c>
      <c r="B762" s="18">
        <v>293</v>
      </c>
      <c r="C762" s="18" t="s">
        <v>1754</v>
      </c>
      <c r="D762" s="19" t="s">
        <v>1755</v>
      </c>
      <c r="E762" s="20" t="s">
        <v>178</v>
      </c>
      <c r="F762" s="21">
        <v>1976</v>
      </c>
      <c r="G762" s="40">
        <v>2021</v>
      </c>
      <c r="H762" s="23">
        <v>151592637404</v>
      </c>
      <c r="I762" s="23">
        <v>198090405234</v>
      </c>
      <c r="J762" s="23">
        <v>77321413337</v>
      </c>
      <c r="K762" s="23">
        <f>(J762+82600832411)/2</f>
        <v>79961122874</v>
      </c>
      <c r="L762" s="23">
        <v>74199432337</v>
      </c>
      <c r="M762" s="23">
        <f t="shared" si="195"/>
        <v>120768991897</v>
      </c>
      <c r="N762" s="23">
        <v>4643847109</v>
      </c>
      <c r="O762" s="25">
        <f t="shared" si="161"/>
        <v>77393205067</v>
      </c>
      <c r="P762" s="23">
        <v>-1118102299</v>
      </c>
      <c r="Q762" s="23">
        <v>4861892815</v>
      </c>
      <c r="R762" s="25">
        <f t="shared" si="162"/>
        <v>-218045706</v>
      </c>
      <c r="S762" s="26">
        <f t="shared" si="163"/>
        <v>0.39033396516939756</v>
      </c>
      <c r="T762" s="27">
        <f t="shared" si="164"/>
        <v>2.0430430884631905</v>
      </c>
      <c r="U762" s="26">
        <f t="shared" si="165"/>
        <v>26.011989355525404</v>
      </c>
      <c r="V762" s="26">
        <f t="shared" si="166"/>
        <v>5.8076311863674242E-2</v>
      </c>
      <c r="W762" s="143"/>
      <c r="X762" s="143"/>
      <c r="Y762" s="143"/>
      <c r="Z762" s="30">
        <f>W762*Y762</f>
        <v>0</v>
      </c>
      <c r="AA762" s="31">
        <f t="shared" si="167"/>
        <v>45</v>
      </c>
      <c r="AB762" s="32">
        <v>1.84E-2</v>
      </c>
      <c r="AC762" s="32">
        <v>2.58E-2</v>
      </c>
      <c r="AD762" s="33">
        <f t="shared" si="209"/>
        <v>0.39069638418669017</v>
      </c>
      <c r="AE762" s="34">
        <f t="shared" si="210"/>
        <v>-5.6444041178027246E-3</v>
      </c>
      <c r="AF762" s="33">
        <f t="shared" si="211"/>
        <v>-1.1007383509687267E-3</v>
      </c>
      <c r="AG762" s="33">
        <f t="shared" si="212"/>
        <v>0</v>
      </c>
      <c r="AH762" s="35">
        <f t="shared" si="213"/>
        <v>6.0059004466978837E-2</v>
      </c>
      <c r="AI762" s="36">
        <f t="shared" si="168"/>
        <v>0.51736006316788641</v>
      </c>
      <c r="AJ762" s="23" t="s">
        <v>85</v>
      </c>
      <c r="AK762" s="23"/>
      <c r="AL762" s="44"/>
      <c r="AM762" s="44"/>
      <c r="AN762" s="44"/>
      <c r="AO762" s="44"/>
      <c r="AP762" s="44"/>
      <c r="AQ762" s="44"/>
      <c r="AR762" s="44"/>
    </row>
    <row r="763" spans="1:44" ht="16.8">
      <c r="A763" s="17" t="s">
        <v>1756</v>
      </c>
      <c r="B763" s="18"/>
      <c r="C763" s="18" t="s">
        <v>1754</v>
      </c>
      <c r="D763" s="19" t="s">
        <v>1755</v>
      </c>
      <c r="E763" s="20" t="s">
        <v>178</v>
      </c>
      <c r="F763" s="21">
        <v>1976</v>
      </c>
      <c r="G763" s="40">
        <v>2022</v>
      </c>
      <c r="H763" s="23">
        <v>148570455360</v>
      </c>
      <c r="I763" s="23">
        <v>211313244541</v>
      </c>
      <c r="J763" s="23">
        <v>71779430085</v>
      </c>
      <c r="K763" s="23">
        <f t="shared" ref="K763:K764" si="241">(J763+J762)/2</f>
        <v>74550421711</v>
      </c>
      <c r="L763" s="23">
        <v>66815711835</v>
      </c>
      <c r="M763" s="23">
        <f t="shared" si="195"/>
        <v>139533814456</v>
      </c>
      <c r="N763" s="23">
        <v>2952868274</v>
      </c>
      <c r="O763" s="25">
        <f t="shared" si="161"/>
        <v>81754743525</v>
      </c>
      <c r="P763" s="23">
        <v>15181808749</v>
      </c>
      <c r="Q763" s="23">
        <v>6276726615</v>
      </c>
      <c r="R763" s="25">
        <f t="shared" si="162"/>
        <v>-3323858341</v>
      </c>
      <c r="S763" s="26">
        <f t="shared" si="163"/>
        <v>0.33968258942270424</v>
      </c>
      <c r="T763" s="27">
        <f t="shared" si="164"/>
        <v>2.2235856100267499</v>
      </c>
      <c r="U763" s="26">
        <f t="shared" si="165"/>
        <v>26.076607440820318</v>
      </c>
      <c r="V763" s="26">
        <f t="shared" si="166"/>
        <v>3.96090083225418E-2</v>
      </c>
      <c r="W763" s="143"/>
      <c r="X763" s="143"/>
      <c r="Y763" s="143"/>
      <c r="Z763" s="30"/>
      <c r="AA763" s="31">
        <f t="shared" si="167"/>
        <v>46</v>
      </c>
      <c r="AB763" s="32">
        <v>3.15E-2</v>
      </c>
      <c r="AC763" s="32">
        <v>8.0199999999999994E-2</v>
      </c>
      <c r="AD763" s="33">
        <f t="shared" si="209"/>
        <v>0.3868888753404075</v>
      </c>
      <c r="AE763" s="34">
        <f t="shared" si="210"/>
        <v>7.1845041147216654E-2</v>
      </c>
      <c r="AF763" s="33">
        <f t="shared" si="211"/>
        <v>-1.572953152188759E-2</v>
      </c>
      <c r="AG763" s="33">
        <f t="shared" si="212"/>
        <v>0</v>
      </c>
      <c r="AH763" s="35">
        <f t="shared" si="213"/>
        <v>4.1138084692275527E-2</v>
      </c>
      <c r="AI763" s="36">
        <f t="shared" si="168"/>
        <v>0.55408033868463868</v>
      </c>
      <c r="AJ763" s="23" t="s">
        <v>85</v>
      </c>
      <c r="AK763" s="23"/>
      <c r="AL763" s="44"/>
      <c r="AM763" s="44"/>
      <c r="AN763" s="44"/>
      <c r="AO763" s="44"/>
      <c r="AP763" s="44"/>
      <c r="AQ763" s="44"/>
      <c r="AR763" s="44"/>
    </row>
    <row r="764" spans="1:44" ht="16.8">
      <c r="A764" s="17" t="s">
        <v>1757</v>
      </c>
      <c r="B764" s="18"/>
      <c r="C764" s="18" t="s">
        <v>1754</v>
      </c>
      <c r="D764" s="19" t="s">
        <v>1755</v>
      </c>
      <c r="E764" s="20" t="s">
        <v>178</v>
      </c>
      <c r="F764" s="21">
        <v>1976</v>
      </c>
      <c r="G764" s="40">
        <v>2023</v>
      </c>
      <c r="H764" s="23">
        <v>111058506716</v>
      </c>
      <c r="I764" s="23">
        <v>193793106958</v>
      </c>
      <c r="J764" s="23">
        <v>57122391751</v>
      </c>
      <c r="K764" s="23">
        <f t="shared" si="241"/>
        <v>64450910918</v>
      </c>
      <c r="L764" s="23">
        <v>52158673501</v>
      </c>
      <c r="M764" s="23">
        <f t="shared" si="195"/>
        <v>136670715207</v>
      </c>
      <c r="N764" s="23">
        <v>9522511273</v>
      </c>
      <c r="O764" s="25">
        <f t="shared" si="161"/>
        <v>58899833215</v>
      </c>
      <c r="P764" s="23">
        <v>-2863099249</v>
      </c>
      <c r="Q764" s="23">
        <v>6804316637</v>
      </c>
      <c r="R764" s="25">
        <f t="shared" si="162"/>
        <v>2718194636</v>
      </c>
      <c r="S764" s="26">
        <f t="shared" si="163"/>
        <v>0.29475966739817999</v>
      </c>
      <c r="T764" s="27">
        <f t="shared" si="164"/>
        <v>2.1292433120230858</v>
      </c>
      <c r="U764" s="26">
        <f t="shared" si="165"/>
        <v>25.990056967958349</v>
      </c>
      <c r="V764" s="26">
        <f t="shared" si="166"/>
        <v>0.14774828062733447</v>
      </c>
      <c r="W764" s="143"/>
      <c r="X764" s="143"/>
      <c r="Y764" s="143"/>
      <c r="Z764" s="30"/>
      <c r="AA764" s="31">
        <f t="shared" si="167"/>
        <v>47</v>
      </c>
      <c r="AB764" s="32">
        <v>3.2500000000000001E-2</v>
      </c>
      <c r="AC764" s="32">
        <v>5.0500000000000003E-2</v>
      </c>
      <c r="AD764" s="33">
        <f t="shared" si="209"/>
        <v>0.30393151820289005</v>
      </c>
      <c r="AE764" s="34">
        <f t="shared" si="210"/>
        <v>-1.4773999415884838E-2</v>
      </c>
      <c r="AF764" s="33">
        <f t="shared" si="211"/>
        <v>1.4026270999355531E-2</v>
      </c>
      <c r="AG764" s="33">
        <f t="shared" si="212"/>
        <v>0</v>
      </c>
      <c r="AH764" s="35">
        <f t="shared" si="213"/>
        <v>0.16670365124956968</v>
      </c>
      <c r="AI764" s="36">
        <f t="shared" si="168"/>
        <v>0.55702456820867219</v>
      </c>
      <c r="AJ764" s="23" t="s">
        <v>85</v>
      </c>
      <c r="AK764" s="23"/>
      <c r="AL764" s="44"/>
      <c r="AM764" s="44"/>
      <c r="AN764" s="44"/>
      <c r="AO764" s="44"/>
      <c r="AP764" s="44"/>
      <c r="AQ764" s="44"/>
      <c r="AR764" s="44"/>
    </row>
    <row r="765" spans="1:44" ht="16.8">
      <c r="A765" s="17" t="s">
        <v>1758</v>
      </c>
      <c r="B765" s="18">
        <v>294</v>
      </c>
      <c r="C765" s="18" t="s">
        <v>1759</v>
      </c>
      <c r="D765" s="19" t="s">
        <v>1760</v>
      </c>
      <c r="E765" s="20" t="s">
        <v>39</v>
      </c>
      <c r="F765" s="21">
        <v>1960</v>
      </c>
      <c r="G765" s="40">
        <v>2021</v>
      </c>
      <c r="H765" s="23">
        <v>1157738811821</v>
      </c>
      <c r="I765" s="23">
        <v>2326542408239</v>
      </c>
      <c r="J765" s="23">
        <v>1501809207069</v>
      </c>
      <c r="K765" s="23">
        <f>(J765+1642739222503)/2</f>
        <v>1572274214786</v>
      </c>
      <c r="L765" s="23">
        <v>1072108629733</v>
      </c>
      <c r="M765" s="23">
        <f t="shared" si="195"/>
        <v>824733201170</v>
      </c>
      <c r="N765" s="23">
        <v>571621807656</v>
      </c>
      <c r="O765" s="25">
        <f t="shared" si="161"/>
        <v>85630182088</v>
      </c>
      <c r="P765" s="23">
        <v>33122075969</v>
      </c>
      <c r="Q765" s="23">
        <v>35374399262</v>
      </c>
      <c r="R765" s="25">
        <f t="shared" si="162"/>
        <v>536247408394</v>
      </c>
      <c r="S765" s="26">
        <f t="shared" si="163"/>
        <v>0.64551121086408447</v>
      </c>
      <c r="T765" s="27">
        <f t="shared" si="164"/>
        <v>1.0798708075965451</v>
      </c>
      <c r="U765" s="26">
        <f t="shared" si="165"/>
        <v>28.475404336407554</v>
      </c>
      <c r="V765" s="26">
        <f t="shared" si="166"/>
        <v>0.36356368518948373</v>
      </c>
      <c r="W765" s="143"/>
      <c r="X765" s="143"/>
      <c r="Y765" s="143"/>
      <c r="Z765" s="30">
        <f>W765*Y765</f>
        <v>0</v>
      </c>
      <c r="AA765" s="31">
        <f t="shared" si="167"/>
        <v>61</v>
      </c>
      <c r="AB765" s="32">
        <v>1.84E-2</v>
      </c>
      <c r="AC765" s="32">
        <v>2.58E-2</v>
      </c>
      <c r="AD765" s="33">
        <f t="shared" si="209"/>
        <v>3.680576884597387E-2</v>
      </c>
      <c r="AE765" s="34">
        <f t="shared" si="210"/>
        <v>1.4236609593577393E-2</v>
      </c>
      <c r="AF765" s="33">
        <f t="shared" si="211"/>
        <v>0.23049113847870709</v>
      </c>
      <c r="AG765" s="33">
        <f t="shared" si="212"/>
        <v>0</v>
      </c>
      <c r="AH765" s="35">
        <f t="shared" si="213"/>
        <v>0.38062212228116743</v>
      </c>
      <c r="AI765" s="36">
        <f t="shared" si="168"/>
        <v>1.2053410553070778</v>
      </c>
      <c r="AJ765" s="23" t="s">
        <v>85</v>
      </c>
      <c r="AK765" s="101">
        <v>35</v>
      </c>
      <c r="AL765" s="44"/>
      <c r="AM765" s="44"/>
      <c r="AN765" s="44"/>
      <c r="AO765" s="44"/>
      <c r="AP765" s="44"/>
      <c r="AQ765" s="44"/>
      <c r="AR765" s="44"/>
    </row>
    <row r="766" spans="1:44" ht="16.8">
      <c r="A766" s="17" t="s">
        <v>1761</v>
      </c>
      <c r="B766" s="18"/>
      <c r="C766" s="18" t="s">
        <v>1759</v>
      </c>
      <c r="D766" s="19" t="s">
        <v>1760</v>
      </c>
      <c r="E766" s="20" t="s">
        <v>39</v>
      </c>
      <c r="F766" s="21">
        <v>1960</v>
      </c>
      <c r="G766" s="40">
        <v>2022</v>
      </c>
      <c r="H766" s="23">
        <v>1027362633657</v>
      </c>
      <c r="I766" s="23">
        <v>2108758299578</v>
      </c>
      <c r="J766" s="23">
        <v>1272671792330</v>
      </c>
      <c r="K766" s="23">
        <f t="shared" ref="K766:K767" si="242">(J766+J765)/2</f>
        <v>1387240499699.5</v>
      </c>
      <c r="L766" s="23">
        <v>747713076895</v>
      </c>
      <c r="M766" s="23">
        <f t="shared" si="195"/>
        <v>836086507248</v>
      </c>
      <c r="N766" s="23">
        <v>574157400541</v>
      </c>
      <c r="O766" s="25">
        <f t="shared" si="161"/>
        <v>279649556762</v>
      </c>
      <c r="P766" s="23">
        <v>43937042595</v>
      </c>
      <c r="Q766" s="23">
        <v>41866112814</v>
      </c>
      <c r="R766" s="25">
        <f t="shared" si="162"/>
        <v>532291287727</v>
      </c>
      <c r="S766" s="26">
        <f t="shared" si="163"/>
        <v>0.60351714683692492</v>
      </c>
      <c r="T766" s="27">
        <f t="shared" si="164"/>
        <v>1.3740065078482915</v>
      </c>
      <c r="U766" s="26">
        <f t="shared" si="165"/>
        <v>28.377120406579756</v>
      </c>
      <c r="V766" s="26">
        <f t="shared" si="166"/>
        <v>0.4138845432103318</v>
      </c>
      <c r="W766" s="143"/>
      <c r="X766" s="143"/>
      <c r="Y766" s="143"/>
      <c r="Z766" s="30"/>
      <c r="AA766" s="31">
        <f t="shared" si="167"/>
        <v>62</v>
      </c>
      <c r="AB766" s="32">
        <v>3.15E-2</v>
      </c>
      <c r="AC766" s="32">
        <v>8.0199999999999994E-2</v>
      </c>
      <c r="AD766" s="33">
        <f t="shared" si="209"/>
        <v>0.1326133757567014</v>
      </c>
      <c r="AE766" s="34">
        <f t="shared" si="210"/>
        <v>2.0835504288847416E-2</v>
      </c>
      <c r="AF766" s="33">
        <f t="shared" si="211"/>
        <v>0.25241929709702671</v>
      </c>
      <c r="AG766" s="33">
        <f t="shared" si="212"/>
        <v>0</v>
      </c>
      <c r="AH766" s="35">
        <f t="shared" si="213"/>
        <v>0.45114333797705691</v>
      </c>
      <c r="AI766" s="36">
        <f t="shared" si="168"/>
        <v>1.4724327753096731</v>
      </c>
      <c r="AJ766" s="23" t="s">
        <v>85</v>
      </c>
      <c r="AK766" s="101">
        <v>36</v>
      </c>
      <c r="AL766" s="44"/>
      <c r="AM766" s="44"/>
      <c r="AN766" s="44"/>
      <c r="AO766" s="44"/>
      <c r="AP766" s="44"/>
      <c r="AQ766" s="44"/>
      <c r="AR766" s="44"/>
    </row>
    <row r="767" spans="1:44" ht="16.8">
      <c r="A767" s="17" t="s">
        <v>1762</v>
      </c>
      <c r="B767" s="18"/>
      <c r="C767" s="18" t="s">
        <v>1759</v>
      </c>
      <c r="D767" s="19" t="s">
        <v>1760</v>
      </c>
      <c r="E767" s="20" t="s">
        <v>39</v>
      </c>
      <c r="F767" s="21">
        <v>1960</v>
      </c>
      <c r="G767" s="40">
        <v>2023</v>
      </c>
      <c r="H767" s="23">
        <v>860875110958</v>
      </c>
      <c r="I767" s="23">
        <v>1875055492903</v>
      </c>
      <c r="J767" s="23">
        <v>1039325137298</v>
      </c>
      <c r="K767" s="23">
        <f t="shared" si="242"/>
        <v>1155998464814</v>
      </c>
      <c r="L767" s="23">
        <v>493124170673</v>
      </c>
      <c r="M767" s="23">
        <f t="shared" si="195"/>
        <v>835730355605</v>
      </c>
      <c r="N767" s="23">
        <v>505064276476</v>
      </c>
      <c r="O767" s="25">
        <f t="shared" ref="O767:O1021" si="243">H767-L767</f>
        <v>367750940285</v>
      </c>
      <c r="P767" s="23">
        <v>38473900578</v>
      </c>
      <c r="Q767" s="23">
        <v>30903696036</v>
      </c>
      <c r="R767" s="25">
        <f t="shared" ref="R767:R1021" si="244">N767-Q767</f>
        <v>474160580440</v>
      </c>
      <c r="S767" s="26">
        <f t="shared" ref="S767:S1021" si="245">J767/I767</f>
        <v>0.5542903349963767</v>
      </c>
      <c r="T767" s="27">
        <f t="shared" ref="T767:T1021" si="246">H767/L767</f>
        <v>1.7457572801250147</v>
      </c>
      <c r="U767" s="26">
        <f t="shared" ref="U767:U1021" si="247">LN(I767)</f>
        <v>28.259659371127896</v>
      </c>
      <c r="V767" s="26">
        <f t="shared" ref="V767:V1021" si="248">N767/K767</f>
        <v>0.43690739378037563</v>
      </c>
      <c r="W767" s="143"/>
      <c r="X767" s="143"/>
      <c r="Y767" s="143"/>
      <c r="Z767" s="30"/>
      <c r="AA767" s="31">
        <f t="shared" ref="AA767:AA1021" si="249">G767-F767</f>
        <v>63</v>
      </c>
      <c r="AB767" s="32">
        <v>3.2500000000000001E-2</v>
      </c>
      <c r="AC767" s="32">
        <v>5.0500000000000003E-2</v>
      </c>
      <c r="AD767" s="33">
        <f t="shared" si="209"/>
        <v>0.19612803017133126</v>
      </c>
      <c r="AE767" s="34">
        <f t="shared" si="210"/>
        <v>2.0518806362596717E-2</v>
      </c>
      <c r="AF767" s="33">
        <f t="shared" si="211"/>
        <v>0.25287815866499752</v>
      </c>
      <c r="AG767" s="33">
        <f t="shared" si="212"/>
        <v>0</v>
      </c>
      <c r="AH767" s="35">
        <f t="shared" si="213"/>
        <v>0.48595406610586545</v>
      </c>
      <c r="AI767" s="36">
        <f t="shared" ref="AI767:AI776" si="250">1.2*AD767+1.4*AE767+3.3*AF767+0.6*AG767+1*AH767</f>
        <v>1.5845319548135901</v>
      </c>
      <c r="AJ767" s="23" t="s">
        <v>85</v>
      </c>
      <c r="AK767" s="101">
        <v>37</v>
      </c>
      <c r="AL767" s="44"/>
      <c r="AM767" s="44"/>
      <c r="AN767" s="44"/>
      <c r="AO767" s="44"/>
      <c r="AP767" s="44"/>
      <c r="AQ767" s="44"/>
      <c r="AR767" s="44"/>
    </row>
    <row r="768" spans="1:44" ht="16.8">
      <c r="A768" s="17" t="s">
        <v>1763</v>
      </c>
      <c r="B768" s="18">
        <v>295</v>
      </c>
      <c r="C768" s="18" t="s">
        <v>1764</v>
      </c>
      <c r="D768" s="19" t="s">
        <v>1765</v>
      </c>
      <c r="E768" s="20" t="s">
        <v>39</v>
      </c>
      <c r="F768" s="21">
        <v>1997</v>
      </c>
      <c r="G768" s="40">
        <v>2021</v>
      </c>
      <c r="H768" s="23">
        <v>53531685239</v>
      </c>
      <c r="I768" s="23">
        <v>343047567969</v>
      </c>
      <c r="J768" s="23">
        <v>79031922306</v>
      </c>
      <c r="K768" s="23">
        <f>(J768+113268271814)/2</f>
        <v>96150097060</v>
      </c>
      <c r="L768" s="23">
        <v>49945796937</v>
      </c>
      <c r="M768" s="23">
        <f t="shared" si="195"/>
        <v>264015645663</v>
      </c>
      <c r="N768" s="23">
        <v>46705893427</v>
      </c>
      <c r="O768" s="25">
        <f t="shared" si="243"/>
        <v>3585888302</v>
      </c>
      <c r="P768" s="23">
        <v>23344586162</v>
      </c>
      <c r="Q768" s="23">
        <v>5013550902</v>
      </c>
      <c r="R768" s="25">
        <f t="shared" si="244"/>
        <v>41692342525</v>
      </c>
      <c r="S768" s="26">
        <f t="shared" si="245"/>
        <v>0.23038181781583666</v>
      </c>
      <c r="T768" s="27">
        <f t="shared" si="246"/>
        <v>1.0717955968652002</v>
      </c>
      <c r="U768" s="26">
        <f t="shared" si="247"/>
        <v>26.56113495662224</v>
      </c>
      <c r="V768" s="26">
        <f t="shared" si="248"/>
        <v>0.48576023171203236</v>
      </c>
      <c r="W768" s="143"/>
      <c r="X768" s="143"/>
      <c r="Y768" s="143"/>
      <c r="Z768" s="30">
        <f>W768*Y768</f>
        <v>0</v>
      </c>
      <c r="AA768" s="31">
        <f t="shared" si="249"/>
        <v>24</v>
      </c>
      <c r="AB768" s="32">
        <v>1.84E-2</v>
      </c>
      <c r="AC768" s="32">
        <v>2.58E-2</v>
      </c>
      <c r="AD768" s="33">
        <f t="shared" si="209"/>
        <v>1.0453035196343512E-2</v>
      </c>
      <c r="AE768" s="34">
        <f t="shared" si="210"/>
        <v>6.805058056586942E-2</v>
      </c>
      <c r="AF768" s="33">
        <f t="shared" si="211"/>
        <v>0.12153516426843636</v>
      </c>
      <c r="AG768" s="33">
        <f t="shared" si="212"/>
        <v>0</v>
      </c>
      <c r="AH768" s="35">
        <f t="shared" si="213"/>
        <v>0.59097503975876531</v>
      </c>
      <c r="AI768" s="36">
        <f t="shared" si="250"/>
        <v>1.0998555368724348</v>
      </c>
      <c r="AJ768" s="23" t="s">
        <v>85</v>
      </c>
      <c r="AK768" s="101">
        <v>38</v>
      </c>
      <c r="AL768" s="44"/>
      <c r="AM768" s="44"/>
      <c r="AN768" s="44"/>
      <c r="AO768" s="44"/>
      <c r="AP768" s="44"/>
      <c r="AQ768" s="44"/>
      <c r="AR768" s="44"/>
    </row>
    <row r="769" spans="1:44" ht="16.8">
      <c r="A769" s="17" t="s">
        <v>1766</v>
      </c>
      <c r="B769" s="18"/>
      <c r="C769" s="18" t="s">
        <v>1764</v>
      </c>
      <c r="D769" s="19" t="s">
        <v>1765</v>
      </c>
      <c r="E769" s="20" t="s">
        <v>39</v>
      </c>
      <c r="F769" s="21">
        <v>1997</v>
      </c>
      <c r="G769" s="40">
        <v>2022</v>
      </c>
      <c r="H769" s="23">
        <v>70796379598</v>
      </c>
      <c r="I769" s="23">
        <v>306205229385</v>
      </c>
      <c r="J769" s="23">
        <v>90424697653</v>
      </c>
      <c r="K769" s="23">
        <f t="shared" ref="K769:K770" si="251">(J769+J768)/2</f>
        <v>84728309979.5</v>
      </c>
      <c r="L769" s="23">
        <v>62307808999</v>
      </c>
      <c r="M769" s="23">
        <f t="shared" si="195"/>
        <v>215780531732</v>
      </c>
      <c r="N769" s="23">
        <v>62038315023</v>
      </c>
      <c r="O769" s="25">
        <f t="shared" si="243"/>
        <v>8488570599</v>
      </c>
      <c r="P769" s="23">
        <v>810011739</v>
      </c>
      <c r="Q769" s="23">
        <v>3679132963</v>
      </c>
      <c r="R769" s="25">
        <f t="shared" si="244"/>
        <v>58359182060</v>
      </c>
      <c r="S769" s="26">
        <f t="shared" si="245"/>
        <v>0.29530748979896293</v>
      </c>
      <c r="T769" s="27">
        <f t="shared" si="246"/>
        <v>1.136236063109461</v>
      </c>
      <c r="U769" s="26">
        <f t="shared" si="247"/>
        <v>26.447521398355317</v>
      </c>
      <c r="V769" s="26">
        <f t="shared" si="248"/>
        <v>0.73220290877995986</v>
      </c>
      <c r="W769" s="143"/>
      <c r="X769" s="143"/>
      <c r="Y769" s="143"/>
      <c r="Z769" s="30"/>
      <c r="AA769" s="31">
        <f t="shared" si="249"/>
        <v>25</v>
      </c>
      <c r="AB769" s="32">
        <v>3.15E-2</v>
      </c>
      <c r="AC769" s="32">
        <v>8.0199999999999994E-2</v>
      </c>
      <c r="AD769" s="33">
        <f t="shared" si="209"/>
        <v>2.7721834196133516E-2</v>
      </c>
      <c r="AE769" s="34">
        <f t="shared" si="210"/>
        <v>2.6453230097568015E-3</v>
      </c>
      <c r="AF769" s="33">
        <f t="shared" si="211"/>
        <v>0.19058845656297871</v>
      </c>
      <c r="AG769" s="33">
        <f t="shared" si="212"/>
        <v>0</v>
      </c>
      <c r="AH769" s="35">
        <f t="shared" si="213"/>
        <v>0.68607710761797358</v>
      </c>
      <c r="AI769" s="36">
        <f t="shared" si="250"/>
        <v>1.3519886675248229</v>
      </c>
      <c r="AJ769" s="23" t="s">
        <v>85</v>
      </c>
      <c r="AK769" s="101">
        <v>39</v>
      </c>
      <c r="AL769" s="44"/>
      <c r="AM769" s="44"/>
      <c r="AN769" s="44"/>
      <c r="AO769" s="44"/>
      <c r="AP769" s="44"/>
      <c r="AQ769" s="44"/>
      <c r="AR769" s="44"/>
    </row>
    <row r="770" spans="1:44" ht="16.8">
      <c r="A770" s="17" t="s">
        <v>1767</v>
      </c>
      <c r="B770" s="18"/>
      <c r="C770" s="18" t="s">
        <v>1764</v>
      </c>
      <c r="D770" s="19" t="s">
        <v>1765</v>
      </c>
      <c r="E770" s="20" t="s">
        <v>39</v>
      </c>
      <c r="F770" s="21">
        <v>1997</v>
      </c>
      <c r="G770" s="40">
        <v>2023</v>
      </c>
      <c r="H770" s="23">
        <v>89633982934</v>
      </c>
      <c r="I770" s="23">
        <v>258026347038</v>
      </c>
      <c r="J770" s="23">
        <v>71503818433</v>
      </c>
      <c r="K770" s="23">
        <f t="shared" si="251"/>
        <v>80964258043</v>
      </c>
      <c r="L770" s="23">
        <v>50977885209</v>
      </c>
      <c r="M770" s="23">
        <f t="shared" si="195"/>
        <v>186522528605</v>
      </c>
      <c r="N770" s="23">
        <v>44676610785</v>
      </c>
      <c r="O770" s="25">
        <f t="shared" si="243"/>
        <v>38656097725</v>
      </c>
      <c r="P770" s="23">
        <v>-29258003127</v>
      </c>
      <c r="Q770" s="23">
        <v>5641183183</v>
      </c>
      <c r="R770" s="25">
        <f t="shared" si="244"/>
        <v>39035427602</v>
      </c>
      <c r="S770" s="26">
        <f t="shared" si="245"/>
        <v>0.27711828367073499</v>
      </c>
      <c r="T770" s="27">
        <f t="shared" si="246"/>
        <v>1.7582915133987429</v>
      </c>
      <c r="U770" s="26">
        <f t="shared" si="247"/>
        <v>26.27632753695643</v>
      </c>
      <c r="V770" s="26">
        <f t="shared" si="248"/>
        <v>0.55180658558338569</v>
      </c>
      <c r="W770" s="143"/>
      <c r="X770" s="143"/>
      <c r="Y770" s="143"/>
      <c r="Z770" s="30"/>
      <c r="AA770" s="31">
        <f t="shared" si="249"/>
        <v>26</v>
      </c>
      <c r="AB770" s="32">
        <v>3.2500000000000001E-2</v>
      </c>
      <c r="AC770" s="32">
        <v>5.0500000000000003E-2</v>
      </c>
      <c r="AD770" s="33">
        <f t="shared" si="209"/>
        <v>0.14981453703759581</v>
      </c>
      <c r="AE770" s="34">
        <f t="shared" si="210"/>
        <v>-0.11339153331768527</v>
      </c>
      <c r="AF770" s="33">
        <f t="shared" si="211"/>
        <v>0.15128465774950953</v>
      </c>
      <c r="AG770" s="33">
        <f t="shared" si="212"/>
        <v>0</v>
      </c>
      <c r="AH770" s="35">
        <f t="shared" si="213"/>
        <v>0.62481433529123431</v>
      </c>
      <c r="AI770" s="36">
        <f t="shared" si="250"/>
        <v>1.1450830036649713</v>
      </c>
      <c r="AJ770" s="23" t="s">
        <v>85</v>
      </c>
      <c r="AK770" s="101">
        <v>40</v>
      </c>
      <c r="AL770" s="44"/>
      <c r="AM770" s="44"/>
      <c r="AN770" s="44"/>
      <c r="AO770" s="44"/>
      <c r="AP770" s="44"/>
      <c r="AQ770" s="44"/>
      <c r="AR770" s="44"/>
    </row>
    <row r="771" spans="1:44" ht="16.8">
      <c r="A771" s="17" t="s">
        <v>1768</v>
      </c>
      <c r="B771" s="18">
        <v>296</v>
      </c>
      <c r="C771" s="18" t="s">
        <v>1769</v>
      </c>
      <c r="D771" s="19" t="s">
        <v>1770</v>
      </c>
      <c r="E771" s="20" t="s">
        <v>39</v>
      </c>
      <c r="F771" s="21">
        <v>1975</v>
      </c>
      <c r="G771" s="40">
        <v>2021</v>
      </c>
      <c r="H771" s="23">
        <v>67480640852</v>
      </c>
      <c r="I771" s="23">
        <v>87937030802</v>
      </c>
      <c r="J771" s="23">
        <v>34513077361</v>
      </c>
      <c r="K771" s="23">
        <f>(J771+42958720383)/2</f>
        <v>38735898872</v>
      </c>
      <c r="L771" s="23">
        <v>29913805656</v>
      </c>
      <c r="M771" s="23">
        <f t="shared" si="195"/>
        <v>53423953441</v>
      </c>
      <c r="N771" s="23">
        <v>48353509619</v>
      </c>
      <c r="O771" s="25">
        <f t="shared" si="243"/>
        <v>37566835196</v>
      </c>
      <c r="P771" s="23">
        <v>2379938974</v>
      </c>
      <c r="Q771" s="23">
        <f>75569654+10050471547</f>
        <v>10126041201</v>
      </c>
      <c r="R771" s="25">
        <f t="shared" si="244"/>
        <v>38227468418</v>
      </c>
      <c r="S771" s="26">
        <f t="shared" si="245"/>
        <v>0.3924748998941075</v>
      </c>
      <c r="T771" s="27">
        <f t="shared" si="246"/>
        <v>2.2558360386507688</v>
      </c>
      <c r="U771" s="26">
        <f t="shared" si="247"/>
        <v>25.199886836221854</v>
      </c>
      <c r="V771" s="26">
        <f t="shared" si="248"/>
        <v>1.2482867579446317</v>
      </c>
      <c r="W771" s="143"/>
      <c r="X771" s="143"/>
      <c r="Y771" s="143"/>
      <c r="Z771" s="30">
        <f>W771*Y771</f>
        <v>0</v>
      </c>
      <c r="AA771" s="31">
        <f t="shared" si="249"/>
        <v>46</v>
      </c>
      <c r="AB771" s="32">
        <v>1.84E-2</v>
      </c>
      <c r="AC771" s="32">
        <v>2.58E-2</v>
      </c>
      <c r="AD771" s="33">
        <f t="shared" si="209"/>
        <v>0.42720154243763253</v>
      </c>
      <c r="AE771" s="34">
        <f t="shared" si="210"/>
        <v>2.7064127049714667E-2</v>
      </c>
      <c r="AF771" s="33">
        <f t="shared" si="211"/>
        <v>0.43471411383076369</v>
      </c>
      <c r="AG771" s="33">
        <f t="shared" si="212"/>
        <v>0</v>
      </c>
      <c r="AH771" s="35">
        <f t="shared" si="213"/>
        <v>1.4010199413176576</v>
      </c>
      <c r="AI771" s="36">
        <f t="shared" si="250"/>
        <v>3.386108145753937</v>
      </c>
      <c r="AJ771" s="23"/>
      <c r="AK771" s="101">
        <v>41</v>
      </c>
      <c r="AL771" s="44"/>
      <c r="AM771" s="44"/>
      <c r="AN771" s="44"/>
      <c r="AO771" s="44"/>
      <c r="AP771" s="44"/>
      <c r="AQ771" s="44"/>
      <c r="AR771" s="44"/>
    </row>
    <row r="772" spans="1:44" ht="16.8">
      <c r="A772" s="17" t="s">
        <v>1771</v>
      </c>
      <c r="B772" s="18"/>
      <c r="C772" s="18" t="s">
        <v>1769</v>
      </c>
      <c r="D772" s="19" t="s">
        <v>1770</v>
      </c>
      <c r="E772" s="20" t="s">
        <v>39</v>
      </c>
      <c r="F772" s="21">
        <v>1975</v>
      </c>
      <c r="G772" s="40">
        <v>2022</v>
      </c>
      <c r="H772" s="23">
        <v>69773173870</v>
      </c>
      <c r="I772" s="23">
        <v>89310273353</v>
      </c>
      <c r="J772" s="23">
        <v>36344419553</v>
      </c>
      <c r="K772" s="23">
        <f t="shared" ref="K772:K773" si="252">(J772+J771)/2</f>
        <v>35428748457</v>
      </c>
      <c r="L772" s="23">
        <v>32127147848</v>
      </c>
      <c r="M772" s="23">
        <f t="shared" si="195"/>
        <v>52965853800</v>
      </c>
      <c r="N772" s="23">
        <v>47072191162</v>
      </c>
      <c r="O772" s="25">
        <f t="shared" si="243"/>
        <v>37646026022</v>
      </c>
      <c r="P772" s="23">
        <v>1707689159</v>
      </c>
      <c r="Q772" s="23">
        <f>90503170+9904993638</f>
        <v>9995496808</v>
      </c>
      <c r="R772" s="25">
        <f t="shared" si="244"/>
        <v>37076694354</v>
      </c>
      <c r="S772" s="26">
        <f t="shared" si="245"/>
        <v>0.40694556391455905</v>
      </c>
      <c r="T772" s="27">
        <f t="shared" si="246"/>
        <v>2.1717823879079128</v>
      </c>
      <c r="U772" s="26">
        <f t="shared" si="247"/>
        <v>25.215382361358607</v>
      </c>
      <c r="V772" s="26">
        <f t="shared" si="248"/>
        <v>1.3286439180636507</v>
      </c>
      <c r="W772" s="143"/>
      <c r="X772" s="143"/>
      <c r="Y772" s="143"/>
      <c r="Z772" s="30"/>
      <c r="AA772" s="31">
        <f t="shared" si="249"/>
        <v>47</v>
      </c>
      <c r="AB772" s="32">
        <v>3.15E-2</v>
      </c>
      <c r="AC772" s="32">
        <v>8.0199999999999994E-2</v>
      </c>
      <c r="AD772" s="33">
        <f t="shared" si="209"/>
        <v>0.42151954762475757</v>
      </c>
      <c r="AE772" s="34">
        <f t="shared" si="210"/>
        <v>1.91208591675712E-2</v>
      </c>
      <c r="AF772" s="33">
        <f t="shared" si="211"/>
        <v>0.41514478639488528</v>
      </c>
      <c r="AG772" s="33">
        <f t="shared" si="212"/>
        <v>0</v>
      </c>
      <c r="AH772" s="35">
        <f t="shared" si="213"/>
        <v>1.2951697053066429</v>
      </c>
      <c r="AI772" s="36">
        <f t="shared" si="250"/>
        <v>3.1977401603940732</v>
      </c>
      <c r="AJ772" s="23"/>
      <c r="AK772" s="101">
        <v>42</v>
      </c>
      <c r="AL772" s="44"/>
      <c r="AM772" s="44"/>
      <c r="AN772" s="44"/>
      <c r="AO772" s="44"/>
      <c r="AP772" s="44"/>
      <c r="AQ772" s="44"/>
      <c r="AR772" s="44"/>
    </row>
    <row r="773" spans="1:44" ht="16.8">
      <c r="A773" s="17" t="s">
        <v>1772</v>
      </c>
      <c r="B773" s="18"/>
      <c r="C773" s="18" t="s">
        <v>1769</v>
      </c>
      <c r="D773" s="19" t="s">
        <v>1770</v>
      </c>
      <c r="E773" s="20" t="s">
        <v>39</v>
      </c>
      <c r="F773" s="21">
        <v>1975</v>
      </c>
      <c r="G773" s="40">
        <v>2023</v>
      </c>
      <c r="H773" s="23">
        <v>73365788540</v>
      </c>
      <c r="I773" s="23">
        <v>90239435367</v>
      </c>
      <c r="J773" s="23">
        <v>37378521045</v>
      </c>
      <c r="K773" s="23">
        <f t="shared" si="252"/>
        <v>36861470299</v>
      </c>
      <c r="L773" s="23">
        <v>33182559558</v>
      </c>
      <c r="M773" s="23">
        <f t="shared" si="195"/>
        <v>52860914322</v>
      </c>
      <c r="N773" s="23">
        <v>52547347781</v>
      </c>
      <c r="O773" s="25">
        <f t="shared" si="243"/>
        <v>40183228982</v>
      </c>
      <c r="P773" s="23">
        <v>1799884522</v>
      </c>
      <c r="Q773" s="23">
        <f>103377726+9625183092</f>
        <v>9728560818</v>
      </c>
      <c r="R773" s="25">
        <f t="shared" si="244"/>
        <v>42818786963</v>
      </c>
      <c r="S773" s="26">
        <f t="shared" si="245"/>
        <v>0.41421492602411708</v>
      </c>
      <c r="T773" s="27">
        <f t="shared" si="246"/>
        <v>2.2109743647642217</v>
      </c>
      <c r="U773" s="26">
        <f t="shared" si="247"/>
        <v>25.225732367661958</v>
      </c>
      <c r="V773" s="26">
        <f t="shared" si="248"/>
        <v>1.4255358604734096</v>
      </c>
      <c r="W773" s="143"/>
      <c r="X773" s="143"/>
      <c r="Y773" s="143"/>
      <c r="Z773" s="30"/>
      <c r="AA773" s="31">
        <f t="shared" si="249"/>
        <v>48</v>
      </c>
      <c r="AB773" s="32">
        <v>3.2500000000000001E-2</v>
      </c>
      <c r="AC773" s="32">
        <v>5.0500000000000003E-2</v>
      </c>
      <c r="AD773" s="33">
        <f t="shared" si="209"/>
        <v>0.44529566057873138</v>
      </c>
      <c r="AE773" s="34">
        <f t="shared" si="210"/>
        <v>1.9945653634466407E-2</v>
      </c>
      <c r="AF773" s="33">
        <f t="shared" si="211"/>
        <v>0.4745019379704426</v>
      </c>
      <c r="AG773" s="33">
        <f t="shared" si="212"/>
        <v>0</v>
      </c>
      <c r="AH773" s="35">
        <f t="shared" si="213"/>
        <v>1.4058166645421377</v>
      </c>
      <c r="AI773" s="36">
        <f t="shared" si="250"/>
        <v>3.5339517676273289</v>
      </c>
      <c r="AJ773" s="23"/>
      <c r="AK773" s="101">
        <v>43</v>
      </c>
      <c r="AL773" s="44"/>
      <c r="AM773" s="44"/>
      <c r="AN773" s="44"/>
      <c r="AO773" s="44"/>
      <c r="AP773" s="44"/>
      <c r="AQ773" s="44"/>
      <c r="AR773" s="44"/>
    </row>
    <row r="774" spans="1:44" ht="16.8">
      <c r="A774" s="17" t="s">
        <v>1773</v>
      </c>
      <c r="B774" s="18">
        <v>297</v>
      </c>
      <c r="C774" s="18" t="s">
        <v>1774</v>
      </c>
      <c r="D774" s="19" t="s">
        <v>1775</v>
      </c>
      <c r="E774" s="20" t="s">
        <v>178</v>
      </c>
      <c r="F774" s="21">
        <v>1996</v>
      </c>
      <c r="G774" s="40">
        <v>2021</v>
      </c>
      <c r="H774" s="23">
        <v>9822732802</v>
      </c>
      <c r="I774" s="23">
        <v>252923289686</v>
      </c>
      <c r="J774" s="23">
        <v>116471839435</v>
      </c>
      <c r="K774" s="23">
        <f>(J774+136015225859)/2</f>
        <v>126243532647</v>
      </c>
      <c r="L774" s="23">
        <v>48435089435</v>
      </c>
      <c r="M774" s="23">
        <f t="shared" si="195"/>
        <v>136451450251</v>
      </c>
      <c r="N774" s="23">
        <v>49646210650</v>
      </c>
      <c r="O774" s="25">
        <f t="shared" si="243"/>
        <v>-38612356633</v>
      </c>
      <c r="P774" s="23">
        <v>-11138173200</v>
      </c>
      <c r="Q774" s="23">
        <v>1161959913</v>
      </c>
      <c r="R774" s="25">
        <f t="shared" si="244"/>
        <v>48484250737</v>
      </c>
      <c r="S774" s="26">
        <f t="shared" si="245"/>
        <v>0.46050262741560027</v>
      </c>
      <c r="T774" s="27">
        <f t="shared" si="246"/>
        <v>0.20280199575520821</v>
      </c>
      <c r="U774" s="26">
        <f t="shared" si="247"/>
        <v>26.256352076876528</v>
      </c>
      <c r="V774" s="26">
        <f t="shared" si="248"/>
        <v>0.39325745730531703</v>
      </c>
      <c r="W774" s="143"/>
      <c r="X774" s="143"/>
      <c r="Y774" s="143"/>
      <c r="Z774" s="30">
        <f>W774*Y774</f>
        <v>0</v>
      </c>
      <c r="AA774" s="31">
        <f t="shared" si="249"/>
        <v>25</v>
      </c>
      <c r="AB774" s="32">
        <v>1.84E-2</v>
      </c>
      <c r="AC774" s="32">
        <v>2.58E-2</v>
      </c>
      <c r="AD774" s="33">
        <f t="shared" si="209"/>
        <v>-0.15266429865330547</v>
      </c>
      <c r="AE774" s="34">
        <f t="shared" si="210"/>
        <v>-4.403775237079928E-2</v>
      </c>
      <c r="AF774" s="33">
        <f t="shared" si="211"/>
        <v>0.19169547730140779</v>
      </c>
      <c r="AG774" s="33">
        <f t="shared" si="212"/>
        <v>0</v>
      </c>
      <c r="AH774" s="35">
        <f t="shared" si="213"/>
        <v>0.42625076491306124</v>
      </c>
      <c r="AI774" s="36">
        <f t="shared" si="250"/>
        <v>0.81399582830462136</v>
      </c>
      <c r="AJ774" s="23" t="s">
        <v>85</v>
      </c>
      <c r="AK774" s="23"/>
      <c r="AL774" s="44"/>
      <c r="AM774" s="44"/>
      <c r="AN774" s="44"/>
      <c r="AO774" s="44"/>
      <c r="AP774" s="44"/>
      <c r="AQ774" s="44"/>
      <c r="AR774" s="44"/>
    </row>
    <row r="775" spans="1:44" ht="16.8">
      <c r="A775" s="17" t="s">
        <v>1776</v>
      </c>
      <c r="B775" s="18"/>
      <c r="C775" s="18" t="s">
        <v>1774</v>
      </c>
      <c r="D775" s="19" t="s">
        <v>1775</v>
      </c>
      <c r="E775" s="20" t="s">
        <v>178</v>
      </c>
      <c r="F775" s="21">
        <v>1996</v>
      </c>
      <c r="G775" s="40">
        <v>2022</v>
      </c>
      <c r="H775" s="23">
        <v>77583594395</v>
      </c>
      <c r="I775" s="23">
        <v>311384192574</v>
      </c>
      <c r="J775" s="23">
        <v>184065195527</v>
      </c>
      <c r="K775" s="23">
        <f t="shared" ref="K775:K776" si="253">(J775+J774)/2</f>
        <v>150268517481</v>
      </c>
      <c r="L775" s="23">
        <v>125028445527</v>
      </c>
      <c r="M775" s="23">
        <f t="shared" si="195"/>
        <v>127318997047</v>
      </c>
      <c r="N775" s="23">
        <v>49343918300</v>
      </c>
      <c r="O775" s="25">
        <f t="shared" si="243"/>
        <v>-47444851132</v>
      </c>
      <c r="P775" s="23">
        <v>-9132453204</v>
      </c>
      <c r="Q775" s="23">
        <v>1638173901</v>
      </c>
      <c r="R775" s="25">
        <f t="shared" si="244"/>
        <v>47705744399</v>
      </c>
      <c r="S775" s="26">
        <f t="shared" si="245"/>
        <v>0.59111926654162827</v>
      </c>
      <c r="T775" s="27">
        <f t="shared" si="246"/>
        <v>0.62052754529564835</v>
      </c>
      <c r="U775" s="26">
        <f t="shared" si="247"/>
        <v>26.46429333261084</v>
      </c>
      <c r="V775" s="26">
        <f t="shared" si="248"/>
        <v>0.32837163184390278</v>
      </c>
      <c r="W775" s="143"/>
      <c r="X775" s="143"/>
      <c r="Y775" s="143"/>
      <c r="Z775" s="30"/>
      <c r="AA775" s="31">
        <f t="shared" si="249"/>
        <v>26</v>
      </c>
      <c r="AB775" s="32">
        <v>3.15E-2</v>
      </c>
      <c r="AC775" s="32">
        <v>8.0199999999999994E-2</v>
      </c>
      <c r="AD775" s="33">
        <f t="shared" si="209"/>
        <v>-0.15236756477522473</v>
      </c>
      <c r="AE775" s="34">
        <f t="shared" si="210"/>
        <v>-2.9328570369960852E-2</v>
      </c>
      <c r="AF775" s="33">
        <f t="shared" si="211"/>
        <v>0.15320541484347444</v>
      </c>
      <c r="AG775" s="33">
        <f t="shared" si="212"/>
        <v>0</v>
      </c>
      <c r="AH775" s="35">
        <f t="shared" si="213"/>
        <v>0.26807848251117022</v>
      </c>
      <c r="AI775" s="36">
        <f t="shared" si="250"/>
        <v>0.54975527524642098</v>
      </c>
      <c r="AJ775" s="23" t="s">
        <v>85</v>
      </c>
      <c r="AK775" s="23"/>
      <c r="AL775" s="44"/>
      <c r="AM775" s="44"/>
      <c r="AN775" s="44"/>
      <c r="AO775" s="44"/>
      <c r="AP775" s="44"/>
      <c r="AQ775" s="44"/>
      <c r="AR775" s="44"/>
    </row>
    <row r="776" spans="1:44" ht="16.8">
      <c r="A776" s="17" t="s">
        <v>1777</v>
      </c>
      <c r="B776" s="18"/>
      <c r="C776" s="18" t="s">
        <v>1774</v>
      </c>
      <c r="D776" s="19" t="s">
        <v>1775</v>
      </c>
      <c r="E776" s="20" t="s">
        <v>178</v>
      </c>
      <c r="F776" s="21">
        <v>1996</v>
      </c>
      <c r="G776" s="40">
        <v>2023</v>
      </c>
      <c r="H776" s="23">
        <v>15939067145</v>
      </c>
      <c r="I776" s="23">
        <v>239419610580</v>
      </c>
      <c r="J776" s="23">
        <v>131941653695</v>
      </c>
      <c r="K776" s="23">
        <f t="shared" si="253"/>
        <v>158003424611</v>
      </c>
      <c r="L776" s="23">
        <v>83904903695</v>
      </c>
      <c r="M776" s="23">
        <f t="shared" si="195"/>
        <v>107477956885</v>
      </c>
      <c r="N776" s="23">
        <v>57692153789</v>
      </c>
      <c r="O776" s="25">
        <f t="shared" si="243"/>
        <v>-67965836550</v>
      </c>
      <c r="P776" s="23">
        <v>-19841040162</v>
      </c>
      <c r="Q776" s="23">
        <v>1783745070</v>
      </c>
      <c r="R776" s="25">
        <f t="shared" si="244"/>
        <v>55908408719</v>
      </c>
      <c r="S776" s="26">
        <f t="shared" si="245"/>
        <v>0.55108958441360778</v>
      </c>
      <c r="T776" s="27">
        <f t="shared" si="246"/>
        <v>0.18996585947991296</v>
      </c>
      <c r="U776" s="26">
        <f t="shared" si="247"/>
        <v>26.201483542254238</v>
      </c>
      <c r="V776" s="26">
        <f t="shared" si="248"/>
        <v>0.36513229970196193</v>
      </c>
      <c r="W776" s="143"/>
      <c r="X776" s="143"/>
      <c r="Y776" s="143"/>
      <c r="Z776" s="30"/>
      <c r="AA776" s="31">
        <f t="shared" si="249"/>
        <v>27</v>
      </c>
      <c r="AB776" s="32">
        <v>3.2500000000000001E-2</v>
      </c>
      <c r="AC776" s="32">
        <v>5.0500000000000003E-2</v>
      </c>
      <c r="AD776" s="33">
        <f t="shared" si="209"/>
        <v>-0.28387748349164488</v>
      </c>
      <c r="AE776" s="34">
        <f t="shared" si="210"/>
        <v>-8.2871407709395994E-2</v>
      </c>
      <c r="AF776" s="33">
        <f t="shared" si="211"/>
        <v>0.2335164132276403</v>
      </c>
      <c r="AG776" s="33">
        <f t="shared" si="212"/>
        <v>0</v>
      </c>
      <c r="AH776" s="35">
        <f t="shared" si="213"/>
        <v>0.43725504549429695</v>
      </c>
      <c r="AI776" s="36">
        <f t="shared" si="250"/>
        <v>0.7511862581623816</v>
      </c>
      <c r="AJ776" s="23" t="s">
        <v>85</v>
      </c>
      <c r="AK776" s="23"/>
      <c r="AL776" s="44"/>
      <c r="AM776" s="44"/>
      <c r="AN776" s="44"/>
      <c r="AO776" s="44"/>
      <c r="AP776" s="44"/>
      <c r="AQ776" s="44"/>
      <c r="AR776" s="44"/>
    </row>
    <row r="777" spans="1:44" ht="16.8">
      <c r="A777" s="45"/>
      <c r="B777" s="45">
        <v>298</v>
      </c>
      <c r="C777" s="45" t="s">
        <v>1778</v>
      </c>
      <c r="D777" s="46" t="s">
        <v>1779</v>
      </c>
      <c r="E777" s="47" t="s">
        <v>178</v>
      </c>
      <c r="F777" s="48"/>
      <c r="G777" s="48"/>
      <c r="H777" s="49"/>
      <c r="I777" s="49"/>
      <c r="J777" s="49"/>
      <c r="K777" s="49"/>
      <c r="L777" s="49"/>
      <c r="M777" s="49">
        <f t="shared" si="195"/>
        <v>0</v>
      </c>
      <c r="N777" s="49"/>
      <c r="O777" s="49">
        <f t="shared" si="243"/>
        <v>0</v>
      </c>
      <c r="P777" s="49"/>
      <c r="Q777" s="49"/>
      <c r="R777" s="49">
        <f t="shared" si="244"/>
        <v>0</v>
      </c>
      <c r="S777" s="50" t="e">
        <f t="shared" si="245"/>
        <v>#DIV/0!</v>
      </c>
      <c r="T777" s="51" t="e">
        <f t="shared" si="246"/>
        <v>#DIV/0!</v>
      </c>
      <c r="U777" s="50" t="e">
        <f t="shared" si="247"/>
        <v>#NUM!</v>
      </c>
      <c r="V777" s="50" t="e">
        <f t="shared" si="248"/>
        <v>#DIV/0!</v>
      </c>
      <c r="W777" s="52"/>
      <c r="X777" s="52"/>
      <c r="Y777" s="52"/>
      <c r="Z777" s="55">
        <f t="shared" ref="Z777:Z778" si="254">W777*Y777</f>
        <v>0</v>
      </c>
      <c r="AA777" s="48">
        <f t="shared" si="249"/>
        <v>0</v>
      </c>
      <c r="AB777" s="49"/>
      <c r="AC777" s="49"/>
      <c r="AD777" s="50"/>
      <c r="AE777" s="56"/>
      <c r="AF777" s="50"/>
      <c r="AG777" s="50"/>
      <c r="AH777" s="57"/>
      <c r="AI777" s="58"/>
      <c r="AJ777" s="49"/>
      <c r="AK777" s="49"/>
      <c r="AL777" s="59"/>
      <c r="AM777" s="59"/>
      <c r="AN777" s="59"/>
      <c r="AO777" s="59"/>
      <c r="AP777" s="59"/>
      <c r="AQ777" s="59"/>
      <c r="AR777" s="59"/>
    </row>
    <row r="778" spans="1:44" ht="16.8">
      <c r="A778" s="17" t="s">
        <v>1780</v>
      </c>
      <c r="B778" s="18">
        <v>299</v>
      </c>
      <c r="C778" s="18" t="s">
        <v>1781</v>
      </c>
      <c r="D778" s="19" t="s">
        <v>1782</v>
      </c>
      <c r="E778" s="20" t="s">
        <v>39</v>
      </c>
      <c r="F778" s="21">
        <v>2007</v>
      </c>
      <c r="G778" s="40">
        <v>2021</v>
      </c>
      <c r="H778" s="23">
        <v>495142792035</v>
      </c>
      <c r="I778" s="23">
        <v>908112963838</v>
      </c>
      <c r="J778" s="23">
        <v>436232783530</v>
      </c>
      <c r="K778" s="23">
        <f>(J778+392209911847)/2</f>
        <v>414221347688.5</v>
      </c>
      <c r="L778" s="23">
        <v>408950226780</v>
      </c>
      <c r="M778" s="23">
        <f t="shared" si="195"/>
        <v>471880180308</v>
      </c>
      <c r="N778" s="23">
        <v>1476498423072</v>
      </c>
      <c r="O778" s="25">
        <f t="shared" si="243"/>
        <v>86192565255</v>
      </c>
      <c r="P778" s="23">
        <v>27765357068</v>
      </c>
      <c r="Q778" s="23">
        <f>43157262956+49971840910</f>
        <v>93129103866</v>
      </c>
      <c r="R778" s="25">
        <f t="shared" si="244"/>
        <v>1383369319206</v>
      </c>
      <c r="S778" s="26">
        <f t="shared" si="245"/>
        <v>0.48037281803172277</v>
      </c>
      <c r="T778" s="27">
        <f t="shared" si="246"/>
        <v>1.2107654174290712</v>
      </c>
      <c r="U778" s="26">
        <f t="shared" si="247"/>
        <v>27.534634617322698</v>
      </c>
      <c r="V778" s="26">
        <f t="shared" si="248"/>
        <v>3.5645155212578437</v>
      </c>
      <c r="W778" s="143"/>
      <c r="X778" s="143"/>
      <c r="Y778" s="143"/>
      <c r="Z778" s="30">
        <f t="shared" si="254"/>
        <v>0</v>
      </c>
      <c r="AA778" s="31">
        <f t="shared" si="249"/>
        <v>14</v>
      </c>
      <c r="AB778" s="32">
        <v>1.84E-2</v>
      </c>
      <c r="AC778" s="32">
        <v>2.58E-2</v>
      </c>
      <c r="AD778" s="33">
        <f t="shared" ref="AD778:AD780" si="255">O778/I778</f>
        <v>9.4913924464551588E-2</v>
      </c>
      <c r="AE778" s="34">
        <f t="shared" ref="AE778:AE780" si="256">P778/I778</f>
        <v>3.0574783285389939E-2</v>
      </c>
      <c r="AF778" s="33">
        <f t="shared" ref="AF778:AF780" si="257">R778/I778</f>
        <v>1.523344973910957</v>
      </c>
      <c r="AG778" s="33">
        <f t="shared" ref="AG778:AG780" si="258">Z778/J778</f>
        <v>0</v>
      </c>
      <c r="AH778" s="35">
        <f t="shared" ref="AH778:AH780" si="259">N778/J778</f>
        <v>3.3846571803342247</v>
      </c>
      <c r="AI778" s="36">
        <f t="shared" ref="AI778:AI1032" si="260">1.2*AD778+1.4*AE778+3.3*AF778+0.6*AG778+1*AH778</f>
        <v>8.5683970001973897</v>
      </c>
      <c r="AJ778" s="23"/>
      <c r="AK778" s="101">
        <v>44</v>
      </c>
      <c r="AL778" s="44"/>
      <c r="AM778" s="44"/>
      <c r="AN778" s="44"/>
      <c r="AO778" s="44"/>
      <c r="AP778" s="44"/>
      <c r="AQ778" s="44"/>
      <c r="AR778" s="44"/>
    </row>
    <row r="779" spans="1:44" ht="16.8">
      <c r="A779" s="17" t="s">
        <v>1783</v>
      </c>
      <c r="B779" s="18"/>
      <c r="C779" s="18" t="s">
        <v>1781</v>
      </c>
      <c r="D779" s="19" t="s">
        <v>1782</v>
      </c>
      <c r="E779" s="20" t="s">
        <v>39</v>
      </c>
      <c r="F779" s="21">
        <v>2007</v>
      </c>
      <c r="G779" s="40">
        <v>2022</v>
      </c>
      <c r="H779" s="23">
        <v>574151340068</v>
      </c>
      <c r="I779" s="23">
        <v>982155150005</v>
      </c>
      <c r="J779" s="23">
        <v>491988416797</v>
      </c>
      <c r="K779" s="23">
        <f t="shared" ref="K779:K780" si="261">(J779+J778)/2</f>
        <v>464110600163.5</v>
      </c>
      <c r="L779" s="23">
        <v>460792535197</v>
      </c>
      <c r="M779" s="23">
        <f t="shared" si="195"/>
        <v>490166733208</v>
      </c>
      <c r="N779" s="23">
        <v>1621041776455</v>
      </c>
      <c r="O779" s="25">
        <f t="shared" si="243"/>
        <v>113358804871</v>
      </c>
      <c r="P779" s="23">
        <v>49059744509</v>
      </c>
      <c r="Q779" s="23">
        <f>46227902611+47082383394</f>
        <v>93310286005</v>
      </c>
      <c r="R779" s="25">
        <f t="shared" si="244"/>
        <v>1527731490450</v>
      </c>
      <c r="S779" s="26">
        <f t="shared" si="245"/>
        <v>0.50092739094683292</v>
      </c>
      <c r="T779" s="27">
        <f t="shared" si="246"/>
        <v>1.2460083360997511</v>
      </c>
      <c r="U779" s="26">
        <f t="shared" si="247"/>
        <v>27.613015126716267</v>
      </c>
      <c r="V779" s="26">
        <f t="shared" si="248"/>
        <v>3.4927919678712973</v>
      </c>
      <c r="W779" s="143"/>
      <c r="X779" s="143"/>
      <c r="Y779" s="143"/>
      <c r="Z779" s="30"/>
      <c r="AA779" s="31">
        <f t="shared" si="249"/>
        <v>15</v>
      </c>
      <c r="AB779" s="32">
        <v>3.15E-2</v>
      </c>
      <c r="AC779" s="32">
        <v>8.0199999999999994E-2</v>
      </c>
      <c r="AD779" s="33">
        <f t="shared" si="255"/>
        <v>0.11541842943085205</v>
      </c>
      <c r="AE779" s="34">
        <f t="shared" si="256"/>
        <v>4.9951114657139702E-2</v>
      </c>
      <c r="AF779" s="33">
        <f t="shared" si="257"/>
        <v>1.5554889575666559</v>
      </c>
      <c r="AG779" s="33">
        <f t="shared" si="258"/>
        <v>0</v>
      </c>
      <c r="AH779" s="35">
        <f t="shared" si="259"/>
        <v>3.2948779302742413</v>
      </c>
      <c r="AI779" s="36">
        <f t="shared" si="260"/>
        <v>8.6364251660812243</v>
      </c>
      <c r="AJ779" s="23"/>
      <c r="AK779" s="101">
        <v>45</v>
      </c>
      <c r="AL779" s="44"/>
      <c r="AM779" s="44"/>
      <c r="AN779" s="44"/>
      <c r="AO779" s="44"/>
      <c r="AP779" s="44"/>
      <c r="AQ779" s="44"/>
      <c r="AR779" s="44"/>
    </row>
    <row r="780" spans="1:44" ht="16.8">
      <c r="A780" s="17" t="s">
        <v>1784</v>
      </c>
      <c r="B780" s="18"/>
      <c r="C780" s="18" t="s">
        <v>1781</v>
      </c>
      <c r="D780" s="19" t="s">
        <v>1782</v>
      </c>
      <c r="E780" s="20" t="s">
        <v>39</v>
      </c>
      <c r="F780" s="21">
        <v>2007</v>
      </c>
      <c r="G780" s="40">
        <v>2023</v>
      </c>
      <c r="H780" s="23">
        <v>621435856534</v>
      </c>
      <c r="I780" s="23">
        <v>960189235121</v>
      </c>
      <c r="J780" s="23">
        <v>558272272026</v>
      </c>
      <c r="K780" s="23">
        <f t="shared" si="261"/>
        <v>525130344411.5</v>
      </c>
      <c r="L780" s="23">
        <v>473010072208</v>
      </c>
      <c r="M780" s="23">
        <f t="shared" si="195"/>
        <v>401916963095</v>
      </c>
      <c r="N780" s="23">
        <v>1355299155193</v>
      </c>
      <c r="O780" s="25">
        <f t="shared" si="243"/>
        <v>148425784326</v>
      </c>
      <c r="P780" s="23">
        <v>19786424630</v>
      </c>
      <c r="Q780" s="23">
        <f>33218490376+68102923028</f>
        <v>101321413404</v>
      </c>
      <c r="R780" s="25">
        <f t="shared" si="244"/>
        <v>1253977741789</v>
      </c>
      <c r="S780" s="26">
        <f t="shared" si="245"/>
        <v>0.58141900742685193</v>
      </c>
      <c r="T780" s="27">
        <f t="shared" si="246"/>
        <v>1.3137899022596959</v>
      </c>
      <c r="U780" s="26">
        <f t="shared" si="247"/>
        <v>27.590396221900424</v>
      </c>
      <c r="V780" s="26">
        <f t="shared" si="248"/>
        <v>2.5808814318506936</v>
      </c>
      <c r="W780" s="143"/>
      <c r="X780" s="143"/>
      <c r="Y780" s="143"/>
      <c r="Z780" s="30"/>
      <c r="AA780" s="31">
        <f t="shared" si="249"/>
        <v>16</v>
      </c>
      <c r="AB780" s="32">
        <v>3.2500000000000001E-2</v>
      </c>
      <c r="AC780" s="32">
        <v>5.0500000000000003E-2</v>
      </c>
      <c r="AD780" s="33">
        <f t="shared" si="255"/>
        <v>0.15457972126431499</v>
      </c>
      <c r="AE780" s="34">
        <f t="shared" si="256"/>
        <v>2.0606796979458511E-2</v>
      </c>
      <c r="AF780" s="33">
        <f t="shared" si="257"/>
        <v>1.3059693817864744</v>
      </c>
      <c r="AG780" s="33">
        <f t="shared" si="258"/>
        <v>0</v>
      </c>
      <c r="AH780" s="35">
        <f t="shared" si="259"/>
        <v>2.4276669702303981</v>
      </c>
      <c r="AI780" s="36">
        <f t="shared" si="260"/>
        <v>6.9517111114141823</v>
      </c>
      <c r="AJ780" s="23"/>
      <c r="AK780" s="101">
        <v>46</v>
      </c>
      <c r="AL780" s="44"/>
      <c r="AM780" s="44"/>
      <c r="AN780" s="44"/>
      <c r="AO780" s="44"/>
      <c r="AP780" s="44"/>
      <c r="AQ780" s="44"/>
      <c r="AR780" s="44"/>
    </row>
    <row r="781" spans="1:44" ht="16.8">
      <c r="A781" s="45"/>
      <c r="B781" s="45">
        <v>300</v>
      </c>
      <c r="C781" s="45" t="s">
        <v>1785</v>
      </c>
      <c r="D781" s="46" t="s">
        <v>1786</v>
      </c>
      <c r="E781" s="47" t="s">
        <v>1371</v>
      </c>
      <c r="F781" s="48"/>
      <c r="G781" s="48"/>
      <c r="H781" s="49"/>
      <c r="I781" s="49"/>
      <c r="J781" s="49"/>
      <c r="K781" s="49"/>
      <c r="L781" s="49"/>
      <c r="M781" s="49">
        <f t="shared" si="195"/>
        <v>0</v>
      </c>
      <c r="N781" s="49"/>
      <c r="O781" s="49">
        <f t="shared" si="243"/>
        <v>0</v>
      </c>
      <c r="P781" s="49"/>
      <c r="Q781" s="49"/>
      <c r="R781" s="49">
        <f t="shared" si="244"/>
        <v>0</v>
      </c>
      <c r="S781" s="50" t="e">
        <f t="shared" si="245"/>
        <v>#DIV/0!</v>
      </c>
      <c r="T781" s="51" t="e">
        <f t="shared" si="246"/>
        <v>#DIV/0!</v>
      </c>
      <c r="U781" s="50" t="e">
        <f t="shared" si="247"/>
        <v>#NUM!</v>
      </c>
      <c r="V781" s="50" t="e">
        <f t="shared" si="248"/>
        <v>#DIV/0!</v>
      </c>
      <c r="W781" s="52"/>
      <c r="X781" s="52"/>
      <c r="Y781" s="52"/>
      <c r="Z781" s="55">
        <f t="shared" ref="Z781:Z782" si="262">W781*Y781</f>
        <v>0</v>
      </c>
      <c r="AA781" s="48">
        <f t="shared" si="249"/>
        <v>0</v>
      </c>
      <c r="AB781" s="49"/>
      <c r="AC781" s="49"/>
      <c r="AD781" s="50">
        <f>O779/I779</f>
        <v>0.11541842943085205</v>
      </c>
      <c r="AE781" s="56">
        <f>P779/I779</f>
        <v>4.9951114657139702E-2</v>
      </c>
      <c r="AF781" s="50">
        <f>R779/I779</f>
        <v>1.5554889575666559</v>
      </c>
      <c r="AG781" s="50">
        <f>Z779/J779</f>
        <v>0</v>
      </c>
      <c r="AH781" s="57">
        <f>N779/J779</f>
        <v>3.2948779302742413</v>
      </c>
      <c r="AI781" s="58">
        <f t="shared" si="260"/>
        <v>8.6364251660812243</v>
      </c>
      <c r="AJ781" s="49"/>
      <c r="AK781" s="49"/>
      <c r="AL781" s="59"/>
      <c r="AM781" s="59"/>
      <c r="AN781" s="59"/>
      <c r="AO781" s="59"/>
      <c r="AP781" s="59"/>
      <c r="AQ781" s="59"/>
      <c r="AR781" s="59"/>
    </row>
    <row r="782" spans="1:44" ht="16.8">
      <c r="A782" s="17" t="s">
        <v>1787</v>
      </c>
      <c r="B782" s="18">
        <v>301</v>
      </c>
      <c r="C782" s="18" t="s">
        <v>1788</v>
      </c>
      <c r="D782" s="19" t="s">
        <v>1789</v>
      </c>
      <c r="E782" s="20" t="s">
        <v>39</v>
      </c>
      <c r="F782" s="21">
        <v>1987</v>
      </c>
      <c r="G782" s="40">
        <v>2021</v>
      </c>
      <c r="H782" s="23">
        <v>62482707578</v>
      </c>
      <c r="I782" s="23">
        <v>72367726206</v>
      </c>
      <c r="J782" s="23">
        <v>23962357511</v>
      </c>
      <c r="K782" s="23">
        <f>(J782+29550158447)/2</f>
        <v>26756257979</v>
      </c>
      <c r="L782" s="23">
        <v>23244666961</v>
      </c>
      <c r="M782" s="23">
        <f t="shared" si="195"/>
        <v>48405368695</v>
      </c>
      <c r="N782" s="23">
        <v>130476611840</v>
      </c>
      <c r="O782" s="25">
        <f t="shared" si="243"/>
        <v>39238040617</v>
      </c>
      <c r="P782" s="23">
        <v>13028100430</v>
      </c>
      <c r="Q782" s="23">
        <f>6848163366+12537032167</f>
        <v>19385195533</v>
      </c>
      <c r="R782" s="25">
        <f t="shared" si="244"/>
        <v>111091416307</v>
      </c>
      <c r="S782" s="26">
        <f t="shared" si="245"/>
        <v>0.33111939212777536</v>
      </c>
      <c r="T782" s="27">
        <f t="shared" si="246"/>
        <v>2.6880448613367425</v>
      </c>
      <c r="U782" s="26">
        <f t="shared" si="247"/>
        <v>25.005026266317458</v>
      </c>
      <c r="V782" s="26">
        <f t="shared" si="248"/>
        <v>4.8764895278856359</v>
      </c>
      <c r="W782" s="143"/>
      <c r="X782" s="143"/>
      <c r="Y782" s="143"/>
      <c r="Z782" s="30">
        <f t="shared" si="262"/>
        <v>0</v>
      </c>
      <c r="AA782" s="31">
        <f t="shared" si="249"/>
        <v>34</v>
      </c>
      <c r="AB782" s="32">
        <v>1.84E-2</v>
      </c>
      <c r="AC782" s="32">
        <v>2.58E-2</v>
      </c>
      <c r="AD782" s="33">
        <f t="shared" ref="AD782:AD833" si="263">O782/I782</f>
        <v>0.54220358541190117</v>
      </c>
      <c r="AE782" s="34">
        <f t="shared" ref="AE782:AE833" si="264">P782/I782</f>
        <v>0.18002638901372367</v>
      </c>
      <c r="AF782" s="33">
        <f t="shared" ref="AF782:AF833" si="265">R782/I782</f>
        <v>1.5350961282211659</v>
      </c>
      <c r="AG782" s="33">
        <f t="shared" ref="AG782:AG833" si="266">Z782/J782</f>
        <v>0</v>
      </c>
      <c r="AH782" s="35">
        <f t="shared" ref="AH782:AH833" si="267">N782/J782</f>
        <v>5.4450657361281865</v>
      </c>
      <c r="AI782" s="36">
        <f t="shared" si="260"/>
        <v>11.413564206371529</v>
      </c>
      <c r="AJ782" s="23"/>
      <c r="AK782" s="101">
        <v>47</v>
      </c>
      <c r="AL782" s="44"/>
      <c r="AM782" s="44"/>
      <c r="AN782" s="44"/>
      <c r="AO782" s="44"/>
      <c r="AP782" s="44"/>
      <c r="AQ782" s="44"/>
      <c r="AR782" s="44"/>
    </row>
    <row r="783" spans="1:44" ht="16.8">
      <c r="A783" s="17" t="s">
        <v>1790</v>
      </c>
      <c r="B783" s="18"/>
      <c r="C783" s="18" t="s">
        <v>1788</v>
      </c>
      <c r="D783" s="19" t="s">
        <v>1789</v>
      </c>
      <c r="E783" s="20" t="s">
        <v>39</v>
      </c>
      <c r="F783" s="21">
        <v>1987</v>
      </c>
      <c r="G783" s="40">
        <v>2022</v>
      </c>
      <c r="H783" s="23">
        <v>56733574102</v>
      </c>
      <c r="I783" s="23">
        <v>105855405600</v>
      </c>
      <c r="J783" s="23">
        <v>49419669276</v>
      </c>
      <c r="K783" s="23">
        <f t="shared" ref="K783:K784" si="268">(J783+J782)/2</f>
        <v>36691013393.5</v>
      </c>
      <c r="L783" s="23">
        <v>48681978726</v>
      </c>
      <c r="M783" s="23">
        <f t="shared" si="195"/>
        <v>56435736324</v>
      </c>
      <c r="N783" s="23">
        <v>142837773727</v>
      </c>
      <c r="O783" s="25">
        <f t="shared" si="243"/>
        <v>8051595376</v>
      </c>
      <c r="P783" s="23">
        <v>15725636132</v>
      </c>
      <c r="Q783" s="23">
        <f>11392845705+12991146499</f>
        <v>24383992204</v>
      </c>
      <c r="R783" s="25">
        <f t="shared" si="244"/>
        <v>118453781523</v>
      </c>
      <c r="S783" s="26">
        <f t="shared" si="245"/>
        <v>0.46686013809010429</v>
      </c>
      <c r="T783" s="27">
        <f t="shared" si="246"/>
        <v>1.1653917031868677</v>
      </c>
      <c r="U783" s="26">
        <f t="shared" si="247"/>
        <v>25.385339901716485</v>
      </c>
      <c r="V783" s="26">
        <f t="shared" si="248"/>
        <v>3.8929906948905488</v>
      </c>
      <c r="W783" s="143"/>
      <c r="X783" s="143"/>
      <c r="Y783" s="143"/>
      <c r="Z783" s="30"/>
      <c r="AA783" s="31">
        <f t="shared" si="249"/>
        <v>35</v>
      </c>
      <c r="AB783" s="32">
        <v>3.15E-2</v>
      </c>
      <c r="AC783" s="32">
        <v>8.0199999999999994E-2</v>
      </c>
      <c r="AD783" s="33">
        <f t="shared" si="263"/>
        <v>7.6062203251337779E-2</v>
      </c>
      <c r="AE783" s="34">
        <f t="shared" si="264"/>
        <v>0.14855770513433278</v>
      </c>
      <c r="AF783" s="33">
        <f t="shared" si="265"/>
        <v>1.1190149511174325</v>
      </c>
      <c r="AG783" s="33">
        <f t="shared" si="266"/>
        <v>0</v>
      </c>
      <c r="AH783" s="35">
        <f t="shared" si="267"/>
        <v>2.8903020967072162</v>
      </c>
      <c r="AI783" s="36">
        <f t="shared" si="260"/>
        <v>6.8823068664844147</v>
      </c>
      <c r="AJ783" s="23"/>
      <c r="AK783" s="101">
        <v>48</v>
      </c>
      <c r="AL783" s="44"/>
      <c r="AM783" s="44"/>
      <c r="AN783" s="44"/>
      <c r="AO783" s="44"/>
      <c r="AP783" s="44"/>
      <c r="AQ783" s="44"/>
      <c r="AR783" s="44"/>
    </row>
    <row r="784" spans="1:44" ht="16.8">
      <c r="A784" s="17" t="s">
        <v>1791</v>
      </c>
      <c r="B784" s="18"/>
      <c r="C784" s="18" t="s">
        <v>1788</v>
      </c>
      <c r="D784" s="19" t="s">
        <v>1789</v>
      </c>
      <c r="E784" s="20" t="s">
        <v>39</v>
      </c>
      <c r="F784" s="21">
        <v>1987</v>
      </c>
      <c r="G784" s="40">
        <v>2023</v>
      </c>
      <c r="H784" s="23">
        <v>48206682488</v>
      </c>
      <c r="I784" s="23">
        <v>105158227175</v>
      </c>
      <c r="J784" s="23">
        <v>40851963039</v>
      </c>
      <c r="K784" s="23">
        <f t="shared" si="268"/>
        <v>45135816157.5</v>
      </c>
      <c r="L784" s="23">
        <v>40164272489</v>
      </c>
      <c r="M784" s="23">
        <f t="shared" si="195"/>
        <v>64306264136</v>
      </c>
      <c r="N784" s="23">
        <v>116390575198</v>
      </c>
      <c r="O784" s="25">
        <f t="shared" si="243"/>
        <v>8042409999</v>
      </c>
      <c r="P784" s="23">
        <v>16468647332</v>
      </c>
      <c r="Q784" s="23">
        <f>6732178033+11889399059</f>
        <v>18621577092</v>
      </c>
      <c r="R784" s="25">
        <f t="shared" si="244"/>
        <v>97768998106</v>
      </c>
      <c r="S784" s="26">
        <f t="shared" si="245"/>
        <v>0.38848090288756809</v>
      </c>
      <c r="T784" s="27">
        <f t="shared" si="246"/>
        <v>1.2002379104763472</v>
      </c>
      <c r="U784" s="26">
        <f t="shared" si="247"/>
        <v>25.378731978307297</v>
      </c>
      <c r="V784" s="26">
        <f t="shared" si="248"/>
        <v>2.5786744343307935</v>
      </c>
      <c r="W784" s="143"/>
      <c r="X784" s="143"/>
      <c r="Y784" s="143"/>
      <c r="Z784" s="30"/>
      <c r="AA784" s="31">
        <f t="shared" si="249"/>
        <v>36</v>
      </c>
      <c r="AB784" s="32">
        <v>3.2500000000000001E-2</v>
      </c>
      <c r="AC784" s="32">
        <v>5.0500000000000003E-2</v>
      </c>
      <c r="AD784" s="33">
        <f t="shared" si="263"/>
        <v>7.6479132589560989E-2</v>
      </c>
      <c r="AE784" s="34">
        <f t="shared" si="264"/>
        <v>0.15660826332297856</v>
      </c>
      <c r="AF784" s="33">
        <f t="shared" si="265"/>
        <v>0.92973227803942393</v>
      </c>
      <c r="AG784" s="33">
        <f t="shared" si="266"/>
        <v>0</v>
      </c>
      <c r="AH784" s="35">
        <f t="shared" si="267"/>
        <v>2.849081575024579</v>
      </c>
      <c r="AI784" s="36">
        <f t="shared" si="260"/>
        <v>6.2282246203143208</v>
      </c>
      <c r="AJ784" s="23"/>
      <c r="AK784" s="101">
        <v>49</v>
      </c>
      <c r="AL784" s="44"/>
      <c r="AM784" s="44"/>
      <c r="AN784" s="44"/>
      <c r="AO784" s="44"/>
      <c r="AP784" s="44"/>
      <c r="AQ784" s="44"/>
      <c r="AR784" s="44"/>
    </row>
    <row r="785" spans="1:44" ht="16.8">
      <c r="A785" s="17" t="s">
        <v>1792</v>
      </c>
      <c r="B785" s="18">
        <v>302</v>
      </c>
      <c r="C785" s="18" t="s">
        <v>1793</v>
      </c>
      <c r="D785" s="19" t="s">
        <v>1794</v>
      </c>
      <c r="E785" s="20" t="s">
        <v>178</v>
      </c>
      <c r="F785" s="21">
        <v>2003</v>
      </c>
      <c r="G785" s="40">
        <v>2021</v>
      </c>
      <c r="H785" s="23">
        <v>256746035774</v>
      </c>
      <c r="I785" s="23">
        <v>279432619906</v>
      </c>
      <c r="J785" s="23">
        <v>322042802204</v>
      </c>
      <c r="K785" s="23">
        <f>(J785+326790415026)/2</f>
        <v>324416608615</v>
      </c>
      <c r="L785" s="23">
        <v>322041302204</v>
      </c>
      <c r="M785" s="23">
        <f t="shared" si="195"/>
        <v>-42610182298</v>
      </c>
      <c r="N785" s="23">
        <v>10028502818</v>
      </c>
      <c r="O785" s="25">
        <f t="shared" si="243"/>
        <v>-65295266430</v>
      </c>
      <c r="P785" s="23">
        <v>-66964329558</v>
      </c>
      <c r="Q785" s="23">
        <v>36637037223</v>
      </c>
      <c r="R785" s="25">
        <f t="shared" si="244"/>
        <v>-26608534405</v>
      </c>
      <c r="S785" s="26">
        <f t="shared" si="245"/>
        <v>1.1524882181340672</v>
      </c>
      <c r="T785" s="27">
        <f t="shared" si="246"/>
        <v>0.79724567630571153</v>
      </c>
      <c r="U785" s="26">
        <f t="shared" si="247"/>
        <v>26.356027026797062</v>
      </c>
      <c r="V785" s="26">
        <f t="shared" si="248"/>
        <v>3.0912421102032055E-2</v>
      </c>
      <c r="W785" s="143"/>
      <c r="X785" s="143"/>
      <c r="Y785" s="143"/>
      <c r="Z785" s="30">
        <f>W785*Y785</f>
        <v>0</v>
      </c>
      <c r="AA785" s="31">
        <f t="shared" si="249"/>
        <v>18</v>
      </c>
      <c r="AB785" s="32">
        <v>1.84E-2</v>
      </c>
      <c r="AC785" s="32">
        <v>2.58E-2</v>
      </c>
      <c r="AD785" s="33">
        <f t="shared" si="263"/>
        <v>-0.23367088084406559</v>
      </c>
      <c r="AE785" s="34">
        <f t="shared" si="264"/>
        <v>-0.23964392410781007</v>
      </c>
      <c r="AF785" s="33">
        <f t="shared" si="265"/>
        <v>-9.5223436741032605E-2</v>
      </c>
      <c r="AG785" s="33">
        <f t="shared" si="266"/>
        <v>0</v>
      </c>
      <c r="AH785" s="35">
        <f t="shared" si="267"/>
        <v>3.1140279333575611E-2</v>
      </c>
      <c r="AI785" s="36">
        <f t="shared" si="260"/>
        <v>-0.89900361267564477</v>
      </c>
      <c r="AJ785" s="23" t="s">
        <v>85</v>
      </c>
      <c r="AK785" s="23"/>
      <c r="AL785" s="44"/>
      <c r="AM785" s="44"/>
      <c r="AN785" s="44"/>
      <c r="AO785" s="44"/>
      <c r="AP785" s="44"/>
      <c r="AQ785" s="44"/>
      <c r="AR785" s="44"/>
    </row>
    <row r="786" spans="1:44" ht="16.8">
      <c r="A786" s="17" t="s">
        <v>1795</v>
      </c>
      <c r="B786" s="18"/>
      <c r="C786" s="18" t="s">
        <v>1793</v>
      </c>
      <c r="D786" s="19" t="s">
        <v>1794</v>
      </c>
      <c r="E786" s="20" t="s">
        <v>178</v>
      </c>
      <c r="F786" s="21">
        <v>2003</v>
      </c>
      <c r="G786" s="40">
        <v>2022</v>
      </c>
      <c r="H786" s="23">
        <v>233563146730</v>
      </c>
      <c r="I786" s="23">
        <v>253874563373</v>
      </c>
      <c r="J786" s="23">
        <v>303850446908</v>
      </c>
      <c r="K786" s="23">
        <f t="shared" ref="K786:K787" si="269">(J786+J785)/2</f>
        <v>312946624556</v>
      </c>
      <c r="L786" s="23">
        <v>303848946908</v>
      </c>
      <c r="M786" s="23">
        <f t="shared" si="195"/>
        <v>-49975883535</v>
      </c>
      <c r="N786" s="23">
        <v>48980132355</v>
      </c>
      <c r="O786" s="25">
        <f t="shared" si="243"/>
        <v>-70285800178</v>
      </c>
      <c r="P786" s="23">
        <v>-7365701237</v>
      </c>
      <c r="Q786" s="23">
        <v>5776575338</v>
      </c>
      <c r="R786" s="25">
        <f t="shared" si="244"/>
        <v>43203557017</v>
      </c>
      <c r="S786" s="26">
        <f t="shared" si="245"/>
        <v>1.1968526616885755</v>
      </c>
      <c r="T786" s="27">
        <f t="shared" si="246"/>
        <v>0.76868177134317572</v>
      </c>
      <c r="U786" s="26">
        <f t="shared" si="247"/>
        <v>26.260106136995162</v>
      </c>
      <c r="V786" s="26">
        <f t="shared" si="248"/>
        <v>0.15651273575643021</v>
      </c>
      <c r="W786" s="143"/>
      <c r="X786" s="143"/>
      <c r="Y786" s="143"/>
      <c r="Z786" s="30"/>
      <c r="AA786" s="31">
        <f t="shared" si="249"/>
        <v>19</v>
      </c>
      <c r="AB786" s="32">
        <v>3.15E-2</v>
      </c>
      <c r="AC786" s="32">
        <v>8.0199999999999994E-2</v>
      </c>
      <c r="AD786" s="33">
        <f t="shared" si="263"/>
        <v>-0.27685247093752369</v>
      </c>
      <c r="AE786" s="34">
        <f t="shared" si="264"/>
        <v>-2.9013151767308388E-2</v>
      </c>
      <c r="AF786" s="33">
        <f t="shared" si="265"/>
        <v>0.1701767851138519</v>
      </c>
      <c r="AG786" s="33">
        <f t="shared" si="266"/>
        <v>0</v>
      </c>
      <c r="AH786" s="35">
        <f t="shared" si="267"/>
        <v>0.16119815801959386</v>
      </c>
      <c r="AI786" s="36">
        <f t="shared" si="260"/>
        <v>0.34994017129604488</v>
      </c>
      <c r="AJ786" s="23" t="s">
        <v>85</v>
      </c>
      <c r="AK786" s="23"/>
      <c r="AL786" s="44"/>
      <c r="AM786" s="44"/>
      <c r="AN786" s="44"/>
      <c r="AO786" s="44"/>
      <c r="AP786" s="44"/>
      <c r="AQ786" s="44"/>
      <c r="AR786" s="44"/>
    </row>
    <row r="787" spans="1:44" ht="16.8">
      <c r="A787" s="17" t="s">
        <v>1796</v>
      </c>
      <c r="B787" s="18"/>
      <c r="C787" s="18" t="s">
        <v>1793</v>
      </c>
      <c r="D787" s="19" t="s">
        <v>1794</v>
      </c>
      <c r="E787" s="20" t="s">
        <v>178</v>
      </c>
      <c r="F787" s="21">
        <v>2003</v>
      </c>
      <c r="G787" s="40">
        <v>2023</v>
      </c>
      <c r="H787" s="23">
        <v>212425284426</v>
      </c>
      <c r="I787" s="23">
        <v>231735222868</v>
      </c>
      <c r="J787" s="23">
        <v>288461811849</v>
      </c>
      <c r="K787" s="23">
        <f t="shared" si="269"/>
        <v>296156129378.5</v>
      </c>
      <c r="L787" s="23">
        <v>288460311849</v>
      </c>
      <c r="M787" s="23">
        <f t="shared" si="195"/>
        <v>-56726588981</v>
      </c>
      <c r="N787" s="23">
        <v>53929634962</v>
      </c>
      <c r="O787" s="25">
        <f t="shared" si="243"/>
        <v>-76035027423</v>
      </c>
      <c r="P787" s="23">
        <v>-6750705446</v>
      </c>
      <c r="Q787" s="23">
        <v>4244439860</v>
      </c>
      <c r="R787" s="25">
        <f t="shared" si="244"/>
        <v>49685195102</v>
      </c>
      <c r="S787" s="26">
        <f t="shared" si="245"/>
        <v>1.2447905341231287</v>
      </c>
      <c r="T787" s="27">
        <f t="shared" si="246"/>
        <v>0.73641078408456417</v>
      </c>
      <c r="U787" s="26">
        <f t="shared" si="247"/>
        <v>26.168861276114537</v>
      </c>
      <c r="V787" s="26">
        <f t="shared" si="248"/>
        <v>0.18209866219947674</v>
      </c>
      <c r="W787" s="143"/>
      <c r="X787" s="143"/>
      <c r="Y787" s="143"/>
      <c r="Z787" s="30"/>
      <c r="AA787" s="31">
        <f t="shared" si="249"/>
        <v>20</v>
      </c>
      <c r="AB787" s="32">
        <v>3.2500000000000001E-2</v>
      </c>
      <c r="AC787" s="32">
        <v>5.0500000000000003E-2</v>
      </c>
      <c r="AD787" s="33">
        <f t="shared" si="263"/>
        <v>-0.32811165468061254</v>
      </c>
      <c r="AE787" s="34">
        <f t="shared" si="264"/>
        <v>-2.9131115082342521E-2</v>
      </c>
      <c r="AF787" s="33">
        <f t="shared" si="265"/>
        <v>0.21440502003573908</v>
      </c>
      <c r="AG787" s="33">
        <f t="shared" si="266"/>
        <v>0</v>
      </c>
      <c r="AH787" s="35">
        <f t="shared" si="267"/>
        <v>0.18695589068209256</v>
      </c>
      <c r="AI787" s="36">
        <f t="shared" si="260"/>
        <v>0.45997491006801688</v>
      </c>
      <c r="AJ787" s="23" t="s">
        <v>85</v>
      </c>
      <c r="AK787" s="23"/>
      <c r="AL787" s="44"/>
      <c r="AM787" s="44"/>
      <c r="AN787" s="44"/>
      <c r="AO787" s="44"/>
      <c r="AP787" s="44"/>
      <c r="AQ787" s="44"/>
      <c r="AR787" s="44"/>
    </row>
    <row r="788" spans="1:44" ht="16.8">
      <c r="A788" s="45"/>
      <c r="B788" s="45">
        <v>303</v>
      </c>
      <c r="C788" s="45" t="s">
        <v>1797</v>
      </c>
      <c r="D788" s="46" t="s">
        <v>1798</v>
      </c>
      <c r="E788" s="47" t="s">
        <v>39</v>
      </c>
      <c r="F788" s="48"/>
      <c r="G788" s="48"/>
      <c r="H788" s="49"/>
      <c r="I788" s="49"/>
      <c r="J788" s="49"/>
      <c r="K788" s="49"/>
      <c r="L788" s="49"/>
      <c r="M788" s="49">
        <f t="shared" si="195"/>
        <v>0</v>
      </c>
      <c r="N788" s="49"/>
      <c r="O788" s="49">
        <f t="shared" si="243"/>
        <v>0</v>
      </c>
      <c r="P788" s="49"/>
      <c r="Q788" s="49"/>
      <c r="R788" s="49">
        <f t="shared" si="244"/>
        <v>0</v>
      </c>
      <c r="S788" s="50" t="e">
        <f t="shared" si="245"/>
        <v>#DIV/0!</v>
      </c>
      <c r="T788" s="51" t="e">
        <f t="shared" si="246"/>
        <v>#DIV/0!</v>
      </c>
      <c r="U788" s="50" t="e">
        <f t="shared" si="247"/>
        <v>#NUM!</v>
      </c>
      <c r="V788" s="50" t="e">
        <f t="shared" si="248"/>
        <v>#DIV/0!</v>
      </c>
      <c r="W788" s="52"/>
      <c r="X788" s="52"/>
      <c r="Y788" s="52"/>
      <c r="Z788" s="55">
        <f t="shared" ref="Z788:Z789" si="270">W788*Y788</f>
        <v>0</v>
      </c>
      <c r="AA788" s="48">
        <f t="shared" si="249"/>
        <v>0</v>
      </c>
      <c r="AB788" s="49"/>
      <c r="AC788" s="49"/>
      <c r="AD788" s="50" t="e">
        <f t="shared" si="263"/>
        <v>#DIV/0!</v>
      </c>
      <c r="AE788" s="56" t="e">
        <f t="shared" si="264"/>
        <v>#DIV/0!</v>
      </c>
      <c r="AF788" s="50" t="e">
        <f t="shared" si="265"/>
        <v>#DIV/0!</v>
      </c>
      <c r="AG788" s="50" t="e">
        <f t="shared" si="266"/>
        <v>#DIV/0!</v>
      </c>
      <c r="AH788" s="57" t="e">
        <f t="shared" si="267"/>
        <v>#DIV/0!</v>
      </c>
      <c r="AI788" s="58" t="e">
        <f t="shared" si="260"/>
        <v>#DIV/0!</v>
      </c>
      <c r="AJ788" s="49"/>
      <c r="AK788" s="49">
        <v>50</v>
      </c>
      <c r="AL788" s="59"/>
      <c r="AM788" s="59"/>
      <c r="AN788" s="59"/>
      <c r="AO788" s="59"/>
      <c r="AP788" s="59"/>
      <c r="AQ788" s="59"/>
      <c r="AR788" s="59"/>
    </row>
    <row r="789" spans="1:44" ht="16.8">
      <c r="A789" s="17" t="s">
        <v>1799</v>
      </c>
      <c r="B789" s="18">
        <v>304</v>
      </c>
      <c r="C789" s="18" t="s">
        <v>1800</v>
      </c>
      <c r="D789" s="19" t="s">
        <v>1801</v>
      </c>
      <c r="E789" s="20" t="s">
        <v>178</v>
      </c>
      <c r="F789" s="21">
        <v>1981</v>
      </c>
      <c r="G789" s="40">
        <v>2021</v>
      </c>
      <c r="H789" s="23">
        <v>1984323015422</v>
      </c>
      <c r="I789" s="23">
        <v>2755471329182</v>
      </c>
      <c r="J789" s="23">
        <v>1914511916258</v>
      </c>
      <c r="K789" s="23">
        <f>(J789+2103249197130)/2</f>
        <v>2008880556694</v>
      </c>
      <c r="L789" s="23">
        <v>1439509162261</v>
      </c>
      <c r="M789" s="23">
        <f t="shared" si="195"/>
        <v>840959412924</v>
      </c>
      <c r="N789" s="23">
        <v>1080841360042</v>
      </c>
      <c r="O789" s="25">
        <f t="shared" si="243"/>
        <v>544813853161</v>
      </c>
      <c r="P789" s="23">
        <v>-14265455974</v>
      </c>
      <c r="Q789" s="23">
        <v>53621271014</v>
      </c>
      <c r="R789" s="25">
        <f t="shared" si="244"/>
        <v>1027220089028</v>
      </c>
      <c r="S789" s="26">
        <f t="shared" si="245"/>
        <v>0.69480378764323758</v>
      </c>
      <c r="T789" s="27">
        <f t="shared" si="246"/>
        <v>1.3784719593623669</v>
      </c>
      <c r="U789" s="26">
        <f t="shared" si="247"/>
        <v>28.644609625273453</v>
      </c>
      <c r="V789" s="26">
        <f t="shared" si="248"/>
        <v>0.53803166964826055</v>
      </c>
      <c r="W789" s="143"/>
      <c r="X789" s="143"/>
      <c r="Y789" s="143"/>
      <c r="Z789" s="30">
        <f t="shared" si="270"/>
        <v>0</v>
      </c>
      <c r="AA789" s="31">
        <f t="shared" si="249"/>
        <v>40</v>
      </c>
      <c r="AB789" s="32">
        <v>1.84E-2</v>
      </c>
      <c r="AC789" s="32">
        <v>2.58E-2</v>
      </c>
      <c r="AD789" s="33">
        <f t="shared" si="263"/>
        <v>0.1977207483130429</v>
      </c>
      <c r="AE789" s="34">
        <f t="shared" si="264"/>
        <v>-5.1771382350891309E-3</v>
      </c>
      <c r="AF789" s="33">
        <f t="shared" si="265"/>
        <v>0.37279287871703043</v>
      </c>
      <c r="AG789" s="33">
        <f t="shared" si="266"/>
        <v>0</v>
      </c>
      <c r="AH789" s="35">
        <f t="shared" si="267"/>
        <v>0.5645519105227369</v>
      </c>
      <c r="AI789" s="36">
        <f t="shared" si="260"/>
        <v>2.024785314735464</v>
      </c>
      <c r="AJ789" s="23" t="s">
        <v>85</v>
      </c>
      <c r="AK789" s="23"/>
      <c r="AL789" s="44"/>
      <c r="AM789" s="44"/>
      <c r="AN789" s="44"/>
      <c r="AO789" s="44"/>
      <c r="AP789" s="44"/>
      <c r="AQ789" s="44"/>
      <c r="AR789" s="44"/>
    </row>
    <row r="790" spans="1:44" ht="16.8">
      <c r="A790" s="17" t="s">
        <v>1802</v>
      </c>
      <c r="B790" s="18"/>
      <c r="C790" s="18" t="s">
        <v>1800</v>
      </c>
      <c r="D790" s="19" t="s">
        <v>1801</v>
      </c>
      <c r="E790" s="20" t="s">
        <v>178</v>
      </c>
      <c r="F790" s="21">
        <v>1981</v>
      </c>
      <c r="G790" s="40">
        <v>2022</v>
      </c>
      <c r="H790" s="23">
        <v>1519200534190</v>
      </c>
      <c r="I790" s="23">
        <v>2212632927280</v>
      </c>
      <c r="J790" s="23">
        <v>1404593575523</v>
      </c>
      <c r="K790" s="23">
        <f t="shared" ref="K790:K791" si="271">(J790+J789)/2</f>
        <v>1659552745890.5</v>
      </c>
      <c r="L790" s="23">
        <v>1016461704390</v>
      </c>
      <c r="M790" s="23">
        <f t="shared" si="195"/>
        <v>808039351757</v>
      </c>
      <c r="N790" s="23">
        <v>705299312356</v>
      </c>
      <c r="O790" s="25">
        <f t="shared" si="243"/>
        <v>502738829800</v>
      </c>
      <c r="P790" s="23">
        <v>-15649208664</v>
      </c>
      <c r="Q790" s="23">
        <v>45823494846</v>
      </c>
      <c r="R790" s="25">
        <f t="shared" si="244"/>
        <v>659475817510</v>
      </c>
      <c r="S790" s="26">
        <f t="shared" si="245"/>
        <v>0.63480641465897081</v>
      </c>
      <c r="T790" s="27">
        <f t="shared" si="246"/>
        <v>1.4945969214862886</v>
      </c>
      <c r="U790" s="26">
        <f t="shared" si="247"/>
        <v>28.425204292150312</v>
      </c>
      <c r="V790" s="26">
        <f t="shared" si="248"/>
        <v>0.42499360993647911</v>
      </c>
      <c r="W790" s="143"/>
      <c r="X790" s="143"/>
      <c r="Y790" s="143"/>
      <c r="Z790" s="30"/>
      <c r="AA790" s="31">
        <f t="shared" si="249"/>
        <v>41</v>
      </c>
      <c r="AB790" s="32">
        <v>3.15E-2</v>
      </c>
      <c r="AC790" s="32">
        <v>8.0199999999999994E-2</v>
      </c>
      <c r="AD790" s="33">
        <f t="shared" si="263"/>
        <v>0.22721293875799778</v>
      </c>
      <c r="AE790" s="34">
        <f t="shared" si="264"/>
        <v>-7.0726637351626355E-3</v>
      </c>
      <c r="AF790" s="33">
        <f t="shared" si="265"/>
        <v>0.29805025920892209</v>
      </c>
      <c r="AG790" s="33">
        <f t="shared" si="266"/>
        <v>0</v>
      </c>
      <c r="AH790" s="35">
        <f t="shared" si="267"/>
        <v>0.50213764653834614</v>
      </c>
      <c r="AI790" s="36">
        <f t="shared" si="260"/>
        <v>1.7484572992081588</v>
      </c>
      <c r="AJ790" s="23" t="s">
        <v>85</v>
      </c>
      <c r="AK790" s="23"/>
      <c r="AL790" s="44"/>
      <c r="AM790" s="44"/>
      <c r="AN790" s="44"/>
      <c r="AO790" s="44"/>
      <c r="AP790" s="44"/>
      <c r="AQ790" s="44"/>
      <c r="AR790" s="44"/>
    </row>
    <row r="791" spans="1:44" ht="16.8">
      <c r="A791" s="17" t="s">
        <v>1803</v>
      </c>
      <c r="B791" s="18"/>
      <c r="C791" s="18" t="s">
        <v>1800</v>
      </c>
      <c r="D791" s="19" t="s">
        <v>1801</v>
      </c>
      <c r="E791" s="20" t="s">
        <v>178</v>
      </c>
      <c r="F791" s="21">
        <v>1981</v>
      </c>
      <c r="G791" s="40">
        <v>2023</v>
      </c>
      <c r="H791" s="23">
        <v>1642260055152</v>
      </c>
      <c r="I791" s="23">
        <v>2288540529890</v>
      </c>
      <c r="J791" s="23">
        <v>1485618537858</v>
      </c>
      <c r="K791" s="23">
        <f t="shared" si="271"/>
        <v>1445106056690.5</v>
      </c>
      <c r="L791" s="23">
        <v>1187259805989</v>
      </c>
      <c r="M791" s="23">
        <f t="shared" si="195"/>
        <v>802921992032</v>
      </c>
      <c r="N791" s="23">
        <v>444950338347</v>
      </c>
      <c r="O791" s="25">
        <f t="shared" si="243"/>
        <v>455000249163</v>
      </c>
      <c r="P791" s="23">
        <v>-4976959725</v>
      </c>
      <c r="Q791" s="23">
        <v>53717926824</v>
      </c>
      <c r="R791" s="25">
        <f t="shared" si="244"/>
        <v>391232411523</v>
      </c>
      <c r="S791" s="26">
        <f t="shared" si="245"/>
        <v>0.64915544140675852</v>
      </c>
      <c r="T791" s="27">
        <f t="shared" si="246"/>
        <v>1.3832356211065193</v>
      </c>
      <c r="U791" s="26">
        <f t="shared" si="247"/>
        <v>28.4589354071258</v>
      </c>
      <c r="V791" s="26">
        <f t="shared" si="248"/>
        <v>0.30790151095622703</v>
      </c>
      <c r="W791" s="143"/>
      <c r="X791" s="143"/>
      <c r="Y791" s="143"/>
      <c r="Z791" s="30"/>
      <c r="AA791" s="31">
        <f t="shared" si="249"/>
        <v>42</v>
      </c>
      <c r="AB791" s="32">
        <v>3.2500000000000001E-2</v>
      </c>
      <c r="AC791" s="32">
        <v>5.0500000000000003E-2</v>
      </c>
      <c r="AD791" s="33">
        <f t="shared" si="263"/>
        <v>0.19881677567880776</v>
      </c>
      <c r="AE791" s="34">
        <f t="shared" si="264"/>
        <v>-2.1747308644952073E-3</v>
      </c>
      <c r="AF791" s="33">
        <f t="shared" si="265"/>
        <v>0.1709528000108457</v>
      </c>
      <c r="AG791" s="33">
        <f t="shared" si="266"/>
        <v>0</v>
      </c>
      <c r="AH791" s="35">
        <f t="shared" si="267"/>
        <v>0.2995051064646379</v>
      </c>
      <c r="AI791" s="36">
        <f t="shared" si="260"/>
        <v>1.0991848541047047</v>
      </c>
      <c r="AJ791" s="23" t="s">
        <v>85</v>
      </c>
      <c r="AK791" s="23"/>
      <c r="AL791" s="44"/>
      <c r="AM791" s="44"/>
      <c r="AN791" s="44"/>
      <c r="AO791" s="44"/>
      <c r="AP791" s="44"/>
      <c r="AQ791" s="44"/>
      <c r="AR791" s="44"/>
    </row>
    <row r="792" spans="1:44" ht="16.8">
      <c r="A792" s="17" t="s">
        <v>1804</v>
      </c>
      <c r="B792" s="18">
        <v>305</v>
      </c>
      <c r="C792" s="18" t="s">
        <v>1805</v>
      </c>
      <c r="D792" s="19" t="s">
        <v>1806</v>
      </c>
      <c r="E792" s="20" t="s">
        <v>39</v>
      </c>
      <c r="F792" s="21">
        <v>2007</v>
      </c>
      <c r="G792" s="40">
        <v>2021</v>
      </c>
      <c r="H792" s="23">
        <v>938459374576</v>
      </c>
      <c r="I792" s="23">
        <v>1185282337276</v>
      </c>
      <c r="J792" s="23">
        <v>834892748108</v>
      </c>
      <c r="K792" s="23">
        <f>(J792+837011146198)/2</f>
        <v>835951947153</v>
      </c>
      <c r="L792" s="23">
        <v>811483902168</v>
      </c>
      <c r="M792" s="23">
        <f t="shared" si="195"/>
        <v>350389589168</v>
      </c>
      <c r="N792" s="23">
        <v>53866473736</v>
      </c>
      <c r="O792" s="25">
        <f t="shared" si="243"/>
        <v>126975472408</v>
      </c>
      <c r="P792" s="23">
        <v>894770181</v>
      </c>
      <c r="Q792" s="23">
        <f>706993307+8208647684</f>
        <v>8915640991</v>
      </c>
      <c r="R792" s="25">
        <f t="shared" si="244"/>
        <v>44950832745</v>
      </c>
      <c r="S792" s="26">
        <f t="shared" si="245"/>
        <v>0.70438301647752499</v>
      </c>
      <c r="T792" s="27">
        <f t="shared" si="246"/>
        <v>1.156473187045074</v>
      </c>
      <c r="U792" s="26">
        <f t="shared" si="247"/>
        <v>27.801002121441044</v>
      </c>
      <c r="V792" s="26">
        <f t="shared" si="248"/>
        <v>6.4437284845681564E-2</v>
      </c>
      <c r="W792" s="143"/>
      <c r="X792" s="143"/>
      <c r="Y792" s="143"/>
      <c r="Z792" s="30">
        <f>W792*Y792</f>
        <v>0</v>
      </c>
      <c r="AA792" s="31">
        <f t="shared" si="249"/>
        <v>14</v>
      </c>
      <c r="AB792" s="32">
        <v>1.84E-2</v>
      </c>
      <c r="AC792" s="32">
        <v>2.58E-2</v>
      </c>
      <c r="AD792" s="33">
        <f t="shared" si="263"/>
        <v>0.10712677344016898</v>
      </c>
      <c r="AE792" s="34">
        <f t="shared" si="264"/>
        <v>7.5490045946044286E-4</v>
      </c>
      <c r="AF792" s="33">
        <f t="shared" si="265"/>
        <v>3.7924156406738838E-2</v>
      </c>
      <c r="AG792" s="33">
        <f t="shared" si="266"/>
        <v>0</v>
      </c>
      <c r="AH792" s="35">
        <f t="shared" si="267"/>
        <v>6.4519034161058433E-2</v>
      </c>
      <c r="AI792" s="36">
        <f t="shared" si="260"/>
        <v>0.31927773907474399</v>
      </c>
      <c r="AJ792" s="23"/>
      <c r="AK792" s="101">
        <v>51</v>
      </c>
      <c r="AL792" s="44"/>
      <c r="AM792" s="44"/>
      <c r="AN792" s="44"/>
      <c r="AO792" s="44"/>
      <c r="AP792" s="44"/>
      <c r="AQ792" s="44"/>
      <c r="AR792" s="44"/>
    </row>
    <row r="793" spans="1:44" ht="16.8">
      <c r="A793" s="17" t="s">
        <v>1807</v>
      </c>
      <c r="B793" s="18"/>
      <c r="C793" s="18" t="s">
        <v>1805</v>
      </c>
      <c r="D793" s="19" t="s">
        <v>1806</v>
      </c>
      <c r="E793" s="20" t="s">
        <v>39</v>
      </c>
      <c r="F793" s="21">
        <v>2007</v>
      </c>
      <c r="G793" s="40">
        <v>2022</v>
      </c>
      <c r="H793" s="23">
        <v>965735645054</v>
      </c>
      <c r="I793" s="23">
        <v>1192773853495</v>
      </c>
      <c r="J793" s="23">
        <v>841206001951</v>
      </c>
      <c r="K793" s="23">
        <f t="shared" ref="K793:K794" si="272">(J793+J792)/2</f>
        <v>838049375029.5</v>
      </c>
      <c r="L793" s="23">
        <v>788895482272</v>
      </c>
      <c r="M793" s="23">
        <f t="shared" si="195"/>
        <v>351567851544</v>
      </c>
      <c r="N793" s="23">
        <v>84753584590</v>
      </c>
      <c r="O793" s="25">
        <f t="shared" si="243"/>
        <v>176840162782</v>
      </c>
      <c r="P793" s="23">
        <v>1178262376</v>
      </c>
      <c r="Q793" s="23">
        <f>2548918221+13856100478</f>
        <v>16405018699</v>
      </c>
      <c r="R793" s="25">
        <f t="shared" si="244"/>
        <v>68348565891</v>
      </c>
      <c r="S793" s="26">
        <f t="shared" si="245"/>
        <v>0.70525187946243517</v>
      </c>
      <c r="T793" s="27">
        <f t="shared" si="246"/>
        <v>1.2241617131241576</v>
      </c>
      <c r="U793" s="26">
        <f t="shared" si="247"/>
        <v>27.807302679880866</v>
      </c>
      <c r="V793" s="26">
        <f t="shared" si="248"/>
        <v>0.10113197040092847</v>
      </c>
      <c r="W793" s="143"/>
      <c r="X793" s="143"/>
      <c r="Y793" s="143"/>
      <c r="Z793" s="30"/>
      <c r="AA793" s="31">
        <f t="shared" si="249"/>
        <v>15</v>
      </c>
      <c r="AB793" s="32">
        <v>3.15E-2</v>
      </c>
      <c r="AC793" s="32">
        <v>8.0199999999999994E-2</v>
      </c>
      <c r="AD793" s="33">
        <f t="shared" si="263"/>
        <v>0.14825959025160781</v>
      </c>
      <c r="AE793" s="34">
        <f t="shared" si="264"/>
        <v>9.8783384004228533E-4</v>
      </c>
      <c r="AF793" s="33">
        <f t="shared" si="265"/>
        <v>5.7302199985964489E-2</v>
      </c>
      <c r="AG793" s="33">
        <f t="shared" si="266"/>
        <v>0</v>
      </c>
      <c r="AH793" s="35">
        <f t="shared" si="267"/>
        <v>0.10075247251378606</v>
      </c>
      <c r="AI793" s="36">
        <f t="shared" si="260"/>
        <v>0.46914420814545743</v>
      </c>
      <c r="AJ793" s="23"/>
      <c r="AK793" s="101">
        <v>52</v>
      </c>
      <c r="AL793" s="44"/>
      <c r="AM793" s="44"/>
      <c r="AN793" s="44"/>
      <c r="AO793" s="44"/>
      <c r="AP793" s="44"/>
      <c r="AQ793" s="44"/>
      <c r="AR793" s="44"/>
    </row>
    <row r="794" spans="1:44" ht="16.8">
      <c r="A794" s="17" t="s">
        <v>1808</v>
      </c>
      <c r="B794" s="18"/>
      <c r="C794" s="18" t="s">
        <v>1805</v>
      </c>
      <c r="D794" s="19" t="s">
        <v>1806</v>
      </c>
      <c r="E794" s="20" t="s">
        <v>39</v>
      </c>
      <c r="F794" s="21">
        <v>2007</v>
      </c>
      <c r="G794" s="40">
        <v>2023</v>
      </c>
      <c r="H794" s="23">
        <v>987202500600</v>
      </c>
      <c r="I794" s="23">
        <v>1204101235803</v>
      </c>
      <c r="J794" s="23">
        <v>851501337931</v>
      </c>
      <c r="K794" s="23">
        <f t="shared" si="272"/>
        <v>846353669941</v>
      </c>
      <c r="L794" s="23">
        <v>821655962742</v>
      </c>
      <c r="M794" s="23">
        <f t="shared" si="195"/>
        <v>352599897872</v>
      </c>
      <c r="N794" s="23">
        <v>86169137765</v>
      </c>
      <c r="O794" s="25">
        <f t="shared" si="243"/>
        <v>165546537858</v>
      </c>
      <c r="P794" s="23">
        <v>1032046328</v>
      </c>
      <c r="Q794" s="23">
        <f>1202029383+13429790436</f>
        <v>14631819819</v>
      </c>
      <c r="R794" s="25">
        <f t="shared" si="244"/>
        <v>71537317946</v>
      </c>
      <c r="S794" s="26">
        <f t="shared" si="245"/>
        <v>0.70716756416510484</v>
      </c>
      <c r="T794" s="27">
        <f t="shared" si="246"/>
        <v>1.2014791413495549</v>
      </c>
      <c r="U794" s="26">
        <f t="shared" si="247"/>
        <v>27.816754542173268</v>
      </c>
      <c r="V794" s="26">
        <f t="shared" si="248"/>
        <v>0.10181221022058889</v>
      </c>
      <c r="W794" s="143"/>
      <c r="X794" s="143"/>
      <c r="Y794" s="143"/>
      <c r="Z794" s="30"/>
      <c r="AA794" s="31">
        <f t="shared" si="249"/>
        <v>16</v>
      </c>
      <c r="AB794" s="32">
        <v>3.2500000000000001E-2</v>
      </c>
      <c r="AC794" s="32">
        <v>5.0500000000000003E-2</v>
      </c>
      <c r="AD794" s="33">
        <f t="shared" si="263"/>
        <v>0.13748556428280642</v>
      </c>
      <c r="AE794" s="34">
        <f t="shared" si="264"/>
        <v>8.5710926732148168E-4</v>
      </c>
      <c r="AF794" s="33">
        <f t="shared" si="265"/>
        <v>5.9411381550732036E-2</v>
      </c>
      <c r="AG794" s="33">
        <f t="shared" si="266"/>
        <v>0</v>
      </c>
      <c r="AH794" s="35">
        <f t="shared" si="267"/>
        <v>0.10119671446949925</v>
      </c>
      <c r="AI794" s="36">
        <f t="shared" si="260"/>
        <v>0.46343690370053275</v>
      </c>
      <c r="AJ794" s="23"/>
      <c r="AK794" s="101">
        <v>53</v>
      </c>
      <c r="AL794" s="44"/>
      <c r="AM794" s="44"/>
      <c r="AN794" s="44"/>
      <c r="AO794" s="44"/>
      <c r="AP794" s="44"/>
      <c r="AQ794" s="44"/>
      <c r="AR794" s="44"/>
    </row>
    <row r="795" spans="1:44" ht="16.8">
      <c r="A795" s="17" t="s">
        <v>1809</v>
      </c>
      <c r="B795" s="18">
        <v>306</v>
      </c>
      <c r="C795" s="18" t="s">
        <v>1810</v>
      </c>
      <c r="D795" s="19" t="s">
        <v>1811</v>
      </c>
      <c r="E795" s="20" t="s">
        <v>178</v>
      </c>
      <c r="F795" s="21">
        <v>1993</v>
      </c>
      <c r="G795" s="40">
        <v>2021</v>
      </c>
      <c r="H795" s="23">
        <v>49645215210</v>
      </c>
      <c r="I795" s="23">
        <v>59100928587</v>
      </c>
      <c r="J795" s="23">
        <v>66638208949</v>
      </c>
      <c r="K795" s="23">
        <f>(J795+66314484885)/2</f>
        <v>66476346917</v>
      </c>
      <c r="L795" s="23">
        <v>66570806676</v>
      </c>
      <c r="M795" s="23">
        <f t="shared" si="195"/>
        <v>-7537280362</v>
      </c>
      <c r="N795" s="23">
        <v>59349736674</v>
      </c>
      <c r="O795" s="25">
        <f t="shared" si="243"/>
        <v>-16925591466</v>
      </c>
      <c r="P795" s="23">
        <v>-109987129</v>
      </c>
      <c r="Q795" s="23">
        <f>1408235360+4555705792</f>
        <v>5963941152</v>
      </c>
      <c r="R795" s="25">
        <f t="shared" si="244"/>
        <v>53385795522</v>
      </c>
      <c r="S795" s="26">
        <f t="shared" si="245"/>
        <v>1.1275323508818424</v>
      </c>
      <c r="T795" s="27">
        <f t="shared" si="246"/>
        <v>0.7457505427510166</v>
      </c>
      <c r="U795" s="26">
        <f t="shared" si="247"/>
        <v>24.80251247336701</v>
      </c>
      <c r="V795" s="26">
        <f t="shared" si="248"/>
        <v>0.8927947973450161</v>
      </c>
      <c r="W795" s="143"/>
      <c r="X795" s="143"/>
      <c r="Y795" s="143"/>
      <c r="Z795" s="30">
        <f>W795*Y795</f>
        <v>0</v>
      </c>
      <c r="AA795" s="31">
        <f t="shared" si="249"/>
        <v>28</v>
      </c>
      <c r="AB795" s="32">
        <v>1.84E-2</v>
      </c>
      <c r="AC795" s="32">
        <v>2.58E-2</v>
      </c>
      <c r="AD795" s="33">
        <f t="shared" si="263"/>
        <v>-0.28638452678598014</v>
      </c>
      <c r="AE795" s="34">
        <f t="shared" si="264"/>
        <v>-1.8610050912836768E-3</v>
      </c>
      <c r="AF795" s="33">
        <f t="shared" si="265"/>
        <v>0.90329876024558575</v>
      </c>
      <c r="AG795" s="33">
        <f t="shared" si="266"/>
        <v>0</v>
      </c>
      <c r="AH795" s="35">
        <f t="shared" si="267"/>
        <v>0.89062622795612556</v>
      </c>
      <c r="AI795" s="36">
        <f t="shared" si="260"/>
        <v>3.525245297495585</v>
      </c>
      <c r="AJ795" s="23"/>
      <c r="AK795" s="23"/>
      <c r="AL795" s="44"/>
      <c r="AM795" s="44"/>
      <c r="AN795" s="44"/>
      <c r="AO795" s="44"/>
      <c r="AP795" s="44"/>
      <c r="AQ795" s="44"/>
      <c r="AR795" s="44"/>
    </row>
    <row r="796" spans="1:44" ht="16.8">
      <c r="A796" s="17" t="s">
        <v>1812</v>
      </c>
      <c r="B796" s="18"/>
      <c r="C796" s="18" t="s">
        <v>1810</v>
      </c>
      <c r="D796" s="19" t="s">
        <v>1811</v>
      </c>
      <c r="E796" s="20" t="s">
        <v>178</v>
      </c>
      <c r="F796" s="21">
        <v>1993</v>
      </c>
      <c r="G796" s="40">
        <v>2022</v>
      </c>
      <c r="H796" s="23">
        <v>47942486710</v>
      </c>
      <c r="I796" s="23">
        <v>56383924091</v>
      </c>
      <c r="J796" s="23">
        <v>66438933396</v>
      </c>
      <c r="K796" s="23">
        <f t="shared" ref="K796:K797" si="273">(J796+J795)/2</f>
        <v>66538571172.5</v>
      </c>
      <c r="L796" s="23">
        <v>66371531123</v>
      </c>
      <c r="M796" s="23">
        <f t="shared" si="195"/>
        <v>-10055009305</v>
      </c>
      <c r="N796" s="23">
        <v>53016934719</v>
      </c>
      <c r="O796" s="25">
        <f t="shared" si="243"/>
        <v>-18429044413</v>
      </c>
      <c r="P796" s="23">
        <v>-2517728943</v>
      </c>
      <c r="Q796" s="23">
        <f>1531814894+4892097698</f>
        <v>6423912592</v>
      </c>
      <c r="R796" s="25">
        <f t="shared" si="244"/>
        <v>46593022127</v>
      </c>
      <c r="S796" s="26">
        <f t="shared" si="245"/>
        <v>1.1783311372364198</v>
      </c>
      <c r="T796" s="27">
        <f t="shared" si="246"/>
        <v>0.72233510209599927</v>
      </c>
      <c r="U796" s="26">
        <f t="shared" si="247"/>
        <v>24.755449920973039</v>
      </c>
      <c r="V796" s="26">
        <f t="shared" si="248"/>
        <v>0.79678498928921371</v>
      </c>
      <c r="W796" s="143"/>
      <c r="X796" s="143"/>
      <c r="Y796" s="143"/>
      <c r="Z796" s="30"/>
      <c r="AA796" s="31">
        <f t="shared" si="249"/>
        <v>29</v>
      </c>
      <c r="AB796" s="32">
        <v>3.15E-2</v>
      </c>
      <c r="AC796" s="32">
        <v>8.0199999999999994E-2</v>
      </c>
      <c r="AD796" s="33">
        <f t="shared" si="263"/>
        <v>-0.32684926971838135</v>
      </c>
      <c r="AE796" s="34">
        <f t="shared" si="264"/>
        <v>-4.465331180101173E-2</v>
      </c>
      <c r="AF796" s="33">
        <f t="shared" si="265"/>
        <v>0.82635295216065274</v>
      </c>
      <c r="AG796" s="33">
        <f t="shared" si="266"/>
        <v>0</v>
      </c>
      <c r="AH796" s="35">
        <f t="shared" si="267"/>
        <v>0.79797991943970492</v>
      </c>
      <c r="AI796" s="36">
        <f t="shared" si="260"/>
        <v>3.070210901386385</v>
      </c>
      <c r="AJ796" s="23"/>
      <c r="AK796" s="23"/>
      <c r="AL796" s="44"/>
      <c r="AM796" s="44"/>
      <c r="AN796" s="44"/>
      <c r="AO796" s="44"/>
      <c r="AP796" s="44"/>
      <c r="AQ796" s="44"/>
      <c r="AR796" s="44"/>
    </row>
    <row r="797" spans="1:44" ht="16.8">
      <c r="A797" s="17" t="s">
        <v>1813</v>
      </c>
      <c r="B797" s="18"/>
      <c r="C797" s="18" t="s">
        <v>1810</v>
      </c>
      <c r="D797" s="19" t="s">
        <v>1811</v>
      </c>
      <c r="E797" s="20" t="s">
        <v>178</v>
      </c>
      <c r="F797" s="21">
        <v>1993</v>
      </c>
      <c r="G797" s="40">
        <v>2023</v>
      </c>
      <c r="H797" s="23">
        <v>46391848567</v>
      </c>
      <c r="I797" s="23">
        <v>53692010257</v>
      </c>
      <c r="J797" s="23">
        <v>66884078125</v>
      </c>
      <c r="K797" s="23">
        <f t="shared" si="273"/>
        <v>66661505760.5</v>
      </c>
      <c r="L797" s="23">
        <v>66846675852</v>
      </c>
      <c r="M797" s="23">
        <f t="shared" si="195"/>
        <v>-13192067868</v>
      </c>
      <c r="N797" s="23">
        <v>39127263193</v>
      </c>
      <c r="O797" s="25">
        <f t="shared" si="243"/>
        <v>-20454827285</v>
      </c>
      <c r="P797" s="23">
        <v>-3137058563</v>
      </c>
      <c r="Q797" s="23">
        <f>1257536567+4239959823</f>
        <v>5497496390</v>
      </c>
      <c r="R797" s="25">
        <f t="shared" si="244"/>
        <v>33629766803</v>
      </c>
      <c r="S797" s="26">
        <f t="shared" si="245"/>
        <v>1.245698900168859</v>
      </c>
      <c r="T797" s="27">
        <f t="shared" si="246"/>
        <v>0.69400382256422988</v>
      </c>
      <c r="U797" s="26">
        <f t="shared" si="247"/>
        <v>24.706530042605827</v>
      </c>
      <c r="V797" s="26">
        <f t="shared" si="248"/>
        <v>0.58695438614266493</v>
      </c>
      <c r="W797" s="143"/>
      <c r="X797" s="143"/>
      <c r="Y797" s="143"/>
      <c r="Z797" s="30"/>
      <c r="AA797" s="31">
        <f t="shared" si="249"/>
        <v>30</v>
      </c>
      <c r="AB797" s="32">
        <v>3.2500000000000001E-2</v>
      </c>
      <c r="AC797" s="32">
        <v>5.0500000000000003E-2</v>
      </c>
      <c r="AD797" s="33">
        <f t="shared" si="263"/>
        <v>-0.38096594236445519</v>
      </c>
      <c r="AE797" s="34">
        <f t="shared" si="264"/>
        <v>-5.8426915810830746E-2</v>
      </c>
      <c r="AF797" s="33">
        <f t="shared" si="265"/>
        <v>0.6263458313821576</v>
      </c>
      <c r="AG797" s="33">
        <f t="shared" si="266"/>
        <v>0</v>
      </c>
      <c r="AH797" s="35">
        <f t="shared" si="267"/>
        <v>0.5850011585698297</v>
      </c>
      <c r="AI797" s="36">
        <f t="shared" si="260"/>
        <v>2.1129855891584404</v>
      </c>
      <c r="AJ797" s="23"/>
      <c r="AK797" s="23"/>
      <c r="AL797" s="44"/>
      <c r="AM797" s="44"/>
      <c r="AN797" s="44"/>
      <c r="AO797" s="44"/>
      <c r="AP797" s="44"/>
      <c r="AQ797" s="44"/>
      <c r="AR797" s="44"/>
    </row>
    <row r="798" spans="1:44" ht="16.8">
      <c r="A798" s="17" t="s">
        <v>1814</v>
      </c>
      <c r="B798" s="18">
        <v>307</v>
      </c>
      <c r="C798" s="18" t="s">
        <v>1815</v>
      </c>
      <c r="D798" s="19" t="s">
        <v>1816</v>
      </c>
      <c r="E798" s="20" t="s">
        <v>39</v>
      </c>
      <c r="F798" s="21">
        <v>2003</v>
      </c>
      <c r="G798" s="40">
        <v>2021</v>
      </c>
      <c r="H798" s="23">
        <v>142347505822</v>
      </c>
      <c r="I798" s="23">
        <v>749966089849</v>
      </c>
      <c r="J798" s="23">
        <v>195321769999</v>
      </c>
      <c r="K798" s="23">
        <f>(J798+264680270687)/2</f>
        <v>230001020343</v>
      </c>
      <c r="L798" s="23">
        <v>54307007544</v>
      </c>
      <c r="M798" s="23">
        <f t="shared" si="195"/>
        <v>554644319850</v>
      </c>
      <c r="N798" s="23">
        <v>305427281253</v>
      </c>
      <c r="O798" s="25">
        <f t="shared" si="243"/>
        <v>88040498278</v>
      </c>
      <c r="P798" s="23">
        <v>163887039805</v>
      </c>
      <c r="Q798" s="23">
        <v>11152094902</v>
      </c>
      <c r="R798" s="25">
        <f t="shared" si="244"/>
        <v>294275186351</v>
      </c>
      <c r="S798" s="26">
        <f t="shared" si="245"/>
        <v>0.26044080211456838</v>
      </c>
      <c r="T798" s="27">
        <f t="shared" si="246"/>
        <v>2.6211627607481196</v>
      </c>
      <c r="U798" s="26">
        <f t="shared" si="247"/>
        <v>27.343293828919936</v>
      </c>
      <c r="V798" s="26">
        <f t="shared" si="248"/>
        <v>1.3279388099996992</v>
      </c>
      <c r="W798" s="143"/>
      <c r="X798" s="143"/>
      <c r="Y798" s="143"/>
      <c r="Z798" s="30">
        <f>W798*Y798</f>
        <v>0</v>
      </c>
      <c r="AA798" s="31">
        <f t="shared" si="249"/>
        <v>18</v>
      </c>
      <c r="AB798" s="32">
        <v>1.84E-2</v>
      </c>
      <c r="AC798" s="32">
        <v>2.58E-2</v>
      </c>
      <c r="AD798" s="33">
        <f t="shared" si="263"/>
        <v>0.11739263877347612</v>
      </c>
      <c r="AE798" s="34">
        <f t="shared" si="264"/>
        <v>0.21852593340319881</v>
      </c>
      <c r="AF798" s="33">
        <f t="shared" si="265"/>
        <v>0.39238465623192387</v>
      </c>
      <c r="AG798" s="33">
        <f t="shared" si="266"/>
        <v>0</v>
      </c>
      <c r="AH798" s="35">
        <f t="shared" si="267"/>
        <v>1.563713462429527</v>
      </c>
      <c r="AI798" s="36">
        <f t="shared" si="260"/>
        <v>3.3053903012875256</v>
      </c>
      <c r="AJ798" s="23" t="s">
        <v>85</v>
      </c>
      <c r="AK798" s="101">
        <v>54</v>
      </c>
      <c r="AL798" s="44"/>
      <c r="AM798" s="44"/>
      <c r="AN798" s="44"/>
      <c r="AO798" s="44"/>
      <c r="AP798" s="44"/>
      <c r="AQ798" s="44"/>
      <c r="AR798" s="44"/>
    </row>
    <row r="799" spans="1:44" ht="16.8">
      <c r="A799" s="17" t="s">
        <v>1817</v>
      </c>
      <c r="B799" s="18"/>
      <c r="C799" s="18" t="s">
        <v>1815</v>
      </c>
      <c r="D799" s="19" t="s">
        <v>1816</v>
      </c>
      <c r="E799" s="20" t="s">
        <v>39</v>
      </c>
      <c r="F799" s="21">
        <v>2003</v>
      </c>
      <c r="G799" s="40">
        <v>2022</v>
      </c>
      <c r="H799" s="23">
        <v>166029084822</v>
      </c>
      <c r="I799" s="23">
        <v>736723229124</v>
      </c>
      <c r="J799" s="23">
        <v>87238740678</v>
      </c>
      <c r="K799" s="23">
        <f t="shared" ref="K799:K800" si="274">(J799+J798)/2</f>
        <v>141280255338.5</v>
      </c>
      <c r="L799" s="23">
        <v>63510387568</v>
      </c>
      <c r="M799" s="23">
        <f t="shared" si="195"/>
        <v>649484488446</v>
      </c>
      <c r="N799" s="23">
        <v>311283154328</v>
      </c>
      <c r="O799" s="25">
        <f t="shared" si="243"/>
        <v>102518697254</v>
      </c>
      <c r="P799" s="23">
        <v>213728343545</v>
      </c>
      <c r="Q799" s="23">
        <v>11730715397</v>
      </c>
      <c r="R799" s="25">
        <f t="shared" si="244"/>
        <v>299552438931</v>
      </c>
      <c r="S799" s="26">
        <f t="shared" si="245"/>
        <v>0.118414537820032</v>
      </c>
      <c r="T799" s="27">
        <f t="shared" si="246"/>
        <v>2.6142036158137776</v>
      </c>
      <c r="U799" s="26">
        <f t="shared" si="247"/>
        <v>27.325478121458833</v>
      </c>
      <c r="V799" s="26">
        <f t="shared" si="248"/>
        <v>2.2033026029163243</v>
      </c>
      <c r="W799" s="143"/>
      <c r="X799" s="143"/>
      <c r="Y799" s="143"/>
      <c r="Z799" s="30"/>
      <c r="AA799" s="31">
        <f t="shared" si="249"/>
        <v>19</v>
      </c>
      <c r="AB799" s="32">
        <v>3.15E-2</v>
      </c>
      <c r="AC799" s="32">
        <v>8.0199999999999994E-2</v>
      </c>
      <c r="AD799" s="33">
        <f t="shared" si="263"/>
        <v>0.13915496783765016</v>
      </c>
      <c r="AE799" s="34">
        <f t="shared" si="264"/>
        <v>0.2901066982768189</v>
      </c>
      <c r="AF799" s="33">
        <f t="shared" si="265"/>
        <v>0.40660105055623469</v>
      </c>
      <c r="AG799" s="33">
        <f t="shared" si="266"/>
        <v>0</v>
      </c>
      <c r="AH799" s="35">
        <f t="shared" si="267"/>
        <v>3.5681756970444196</v>
      </c>
      <c r="AI799" s="36">
        <f t="shared" si="260"/>
        <v>5.4830945028727207</v>
      </c>
      <c r="AJ799" s="23" t="s">
        <v>85</v>
      </c>
      <c r="AK799" s="101">
        <v>55</v>
      </c>
      <c r="AL799" s="44"/>
      <c r="AM799" s="44"/>
      <c r="AN799" s="44"/>
      <c r="AO799" s="44"/>
      <c r="AP799" s="44"/>
      <c r="AQ799" s="44"/>
      <c r="AR799" s="44"/>
    </row>
    <row r="800" spans="1:44" ht="16.8">
      <c r="A800" s="17" t="s">
        <v>1818</v>
      </c>
      <c r="B800" s="18"/>
      <c r="C800" s="18" t="s">
        <v>1815</v>
      </c>
      <c r="D800" s="19" t="s">
        <v>1816</v>
      </c>
      <c r="E800" s="20" t="s">
        <v>39</v>
      </c>
      <c r="F800" s="21">
        <v>2003</v>
      </c>
      <c r="G800" s="40">
        <v>2023</v>
      </c>
      <c r="H800" s="23">
        <v>170185359460</v>
      </c>
      <c r="I800" s="23">
        <v>708887126755</v>
      </c>
      <c r="J800" s="23">
        <v>62821999486</v>
      </c>
      <c r="K800" s="23">
        <f t="shared" si="274"/>
        <v>75030370082</v>
      </c>
      <c r="L800" s="23">
        <v>57779403738</v>
      </c>
      <c r="M800" s="23">
        <f t="shared" si="195"/>
        <v>646065127269</v>
      </c>
      <c r="N800" s="23">
        <v>376924360111</v>
      </c>
      <c r="O800" s="25">
        <f t="shared" si="243"/>
        <v>112405955722</v>
      </c>
      <c r="P800" s="23">
        <v>175373015775</v>
      </c>
      <c r="Q800" s="23">
        <v>13530794002</v>
      </c>
      <c r="R800" s="25">
        <f t="shared" si="244"/>
        <v>363393566109</v>
      </c>
      <c r="S800" s="26">
        <f t="shared" si="245"/>
        <v>8.8620595740782931E-2</v>
      </c>
      <c r="T800" s="27">
        <f t="shared" si="246"/>
        <v>2.9454329475552123</v>
      </c>
      <c r="U800" s="26">
        <f t="shared" si="247"/>
        <v>27.286962150177128</v>
      </c>
      <c r="V800" s="26">
        <f t="shared" si="248"/>
        <v>5.0236238965509941</v>
      </c>
      <c r="W800" s="143"/>
      <c r="X800" s="143"/>
      <c r="Y800" s="143"/>
      <c r="Z800" s="30"/>
      <c r="AA800" s="31">
        <f t="shared" si="249"/>
        <v>20</v>
      </c>
      <c r="AB800" s="32">
        <v>3.2500000000000001E-2</v>
      </c>
      <c r="AC800" s="32">
        <v>5.0500000000000003E-2</v>
      </c>
      <c r="AD800" s="33">
        <f t="shared" si="263"/>
        <v>0.15856678937950142</v>
      </c>
      <c r="AE800" s="34">
        <f t="shared" si="264"/>
        <v>0.24739201652283785</v>
      </c>
      <c r="AF800" s="33">
        <f t="shared" si="265"/>
        <v>0.51262542708663583</v>
      </c>
      <c r="AG800" s="33">
        <f t="shared" si="266"/>
        <v>0</v>
      </c>
      <c r="AH800" s="35">
        <f t="shared" si="267"/>
        <v>5.9998784374094667</v>
      </c>
      <c r="AI800" s="36">
        <f t="shared" si="260"/>
        <v>8.2281713171827384</v>
      </c>
      <c r="AJ800" s="23" t="s">
        <v>85</v>
      </c>
      <c r="AK800" s="101">
        <v>56</v>
      </c>
      <c r="AL800" s="44"/>
      <c r="AM800" s="44"/>
      <c r="AN800" s="44"/>
      <c r="AO800" s="44"/>
      <c r="AP800" s="44"/>
      <c r="AQ800" s="44"/>
      <c r="AR800" s="44"/>
    </row>
    <row r="801" spans="1:44" ht="16.8">
      <c r="A801" s="17" t="s">
        <v>1819</v>
      </c>
      <c r="B801" s="18">
        <v>308</v>
      </c>
      <c r="C801" s="18" t="s">
        <v>1820</v>
      </c>
      <c r="D801" s="19" t="s">
        <v>1821</v>
      </c>
      <c r="E801" s="20" t="s">
        <v>39</v>
      </c>
      <c r="F801" s="21">
        <v>2007</v>
      </c>
      <c r="G801" s="40">
        <v>2021</v>
      </c>
      <c r="H801" s="23">
        <v>392385799742</v>
      </c>
      <c r="I801" s="23">
        <v>496962491084</v>
      </c>
      <c r="J801" s="23">
        <v>237649705909</v>
      </c>
      <c r="K801" s="23">
        <f>(J801+153039083887)/2</f>
        <v>195344394898</v>
      </c>
      <c r="L801" s="23">
        <v>232088814848</v>
      </c>
      <c r="M801" s="23">
        <f t="shared" si="195"/>
        <v>259312785175</v>
      </c>
      <c r="N801" s="23">
        <v>690568556910</v>
      </c>
      <c r="O801" s="25">
        <f t="shared" si="243"/>
        <v>160296984894</v>
      </c>
      <c r="P801" s="23">
        <v>38255161823</v>
      </c>
      <c r="Q801" s="23">
        <f>76328609763+43127377004</f>
        <v>119455986767</v>
      </c>
      <c r="R801" s="25">
        <f t="shared" si="244"/>
        <v>571112570143</v>
      </c>
      <c r="S801" s="26">
        <f t="shared" si="245"/>
        <v>0.47820451276036208</v>
      </c>
      <c r="T801" s="27">
        <f t="shared" si="246"/>
        <v>1.6906708752810082</v>
      </c>
      <c r="U801" s="26">
        <f t="shared" si="247"/>
        <v>26.93178038953905</v>
      </c>
      <c r="V801" s="26">
        <f t="shared" si="248"/>
        <v>3.535133717405015</v>
      </c>
      <c r="W801" s="143"/>
      <c r="X801" s="143"/>
      <c r="Y801" s="143"/>
      <c r="Z801" s="30">
        <f>W801*Y801</f>
        <v>0</v>
      </c>
      <c r="AA801" s="31">
        <f t="shared" si="249"/>
        <v>14</v>
      </c>
      <c r="AB801" s="32">
        <v>1.84E-2</v>
      </c>
      <c r="AC801" s="32">
        <v>2.58E-2</v>
      </c>
      <c r="AD801" s="33">
        <f t="shared" si="263"/>
        <v>0.32255348797924771</v>
      </c>
      <c r="AE801" s="34">
        <f t="shared" si="264"/>
        <v>7.6977966163112005E-2</v>
      </c>
      <c r="AF801" s="33">
        <f t="shared" si="265"/>
        <v>1.1492065908178706</v>
      </c>
      <c r="AG801" s="33">
        <f t="shared" si="266"/>
        <v>0</v>
      </c>
      <c r="AH801" s="35">
        <f t="shared" si="267"/>
        <v>2.9058254217845745</v>
      </c>
      <c r="AI801" s="36">
        <f t="shared" si="260"/>
        <v>7.1930405096870018</v>
      </c>
      <c r="AJ801" s="23"/>
      <c r="AK801" s="101">
        <v>57</v>
      </c>
      <c r="AL801" s="44"/>
      <c r="AM801" s="44"/>
      <c r="AN801" s="44"/>
      <c r="AO801" s="44"/>
      <c r="AP801" s="44"/>
      <c r="AQ801" s="44"/>
      <c r="AR801" s="44"/>
    </row>
    <row r="802" spans="1:44" ht="16.8">
      <c r="A802" s="17" t="s">
        <v>1822</v>
      </c>
      <c r="B802" s="18"/>
      <c r="C802" s="18" t="s">
        <v>1820</v>
      </c>
      <c r="D802" s="19" t="s">
        <v>1821</v>
      </c>
      <c r="E802" s="20" t="s">
        <v>39</v>
      </c>
      <c r="F802" s="21">
        <v>2007</v>
      </c>
      <c r="G802" s="40">
        <v>2022</v>
      </c>
      <c r="H802" s="23">
        <v>379408806631</v>
      </c>
      <c r="I802" s="23">
        <v>491384038831</v>
      </c>
      <c r="J802" s="23">
        <v>214511746230</v>
      </c>
      <c r="K802" s="23">
        <f t="shared" ref="K802:K803" si="275">(J802+J801)/2</f>
        <v>226080726069.5</v>
      </c>
      <c r="L802" s="23">
        <v>214511746230</v>
      </c>
      <c r="M802" s="23">
        <f t="shared" si="195"/>
        <v>276872292601</v>
      </c>
      <c r="N802" s="23">
        <v>916967456476</v>
      </c>
      <c r="O802" s="25">
        <f t="shared" si="243"/>
        <v>164897060401</v>
      </c>
      <c r="P802" s="23">
        <v>37912298104</v>
      </c>
      <c r="Q802" s="23">
        <f>111315397778+64089025227</f>
        <v>175404423005</v>
      </c>
      <c r="R802" s="25">
        <f t="shared" si="244"/>
        <v>741563033471</v>
      </c>
      <c r="S802" s="26">
        <f t="shared" si="245"/>
        <v>0.43654601956612654</v>
      </c>
      <c r="T802" s="27">
        <f t="shared" si="246"/>
        <v>1.7687087690955487</v>
      </c>
      <c r="U802" s="26">
        <f t="shared" si="247"/>
        <v>26.920491815494575</v>
      </c>
      <c r="V802" s="26">
        <f t="shared" si="248"/>
        <v>4.0559293683182567</v>
      </c>
      <c r="W802" s="143"/>
      <c r="X802" s="143"/>
      <c r="Y802" s="143"/>
      <c r="Z802" s="30"/>
      <c r="AA802" s="31">
        <f t="shared" si="249"/>
        <v>15</v>
      </c>
      <c r="AB802" s="32">
        <v>3.15E-2</v>
      </c>
      <c r="AC802" s="32">
        <v>8.0199999999999994E-2</v>
      </c>
      <c r="AD802" s="33">
        <f t="shared" si="263"/>
        <v>0.33557675335423842</v>
      </c>
      <c r="AE802" s="34">
        <f t="shared" si="264"/>
        <v>7.7154109836764656E-2</v>
      </c>
      <c r="AF802" s="33">
        <f t="shared" si="265"/>
        <v>1.5091313003067306</v>
      </c>
      <c r="AG802" s="33">
        <f t="shared" si="266"/>
        <v>0</v>
      </c>
      <c r="AH802" s="35">
        <f t="shared" si="267"/>
        <v>4.2746724717481221</v>
      </c>
      <c r="AI802" s="36">
        <f t="shared" si="260"/>
        <v>9.765513620556888</v>
      </c>
      <c r="AJ802" s="23"/>
      <c r="AK802" s="101">
        <v>58</v>
      </c>
      <c r="AL802" s="44"/>
      <c r="AM802" s="44"/>
      <c r="AN802" s="44"/>
      <c r="AO802" s="44"/>
      <c r="AP802" s="44"/>
      <c r="AQ802" s="44"/>
      <c r="AR802" s="44"/>
    </row>
    <row r="803" spans="1:44" ht="16.8">
      <c r="A803" s="17" t="s">
        <v>1823</v>
      </c>
      <c r="B803" s="18"/>
      <c r="C803" s="18" t="s">
        <v>1820</v>
      </c>
      <c r="D803" s="19" t="s">
        <v>1821</v>
      </c>
      <c r="E803" s="20" t="s">
        <v>39</v>
      </c>
      <c r="F803" s="21">
        <v>2007</v>
      </c>
      <c r="G803" s="40">
        <v>2023</v>
      </c>
      <c r="H803" s="23">
        <v>428718041355</v>
      </c>
      <c r="I803" s="23">
        <v>533248295095</v>
      </c>
      <c r="J803" s="23">
        <v>236089840210</v>
      </c>
      <c r="K803" s="23">
        <f t="shared" si="275"/>
        <v>225300793220</v>
      </c>
      <c r="L803" s="23">
        <v>236089840210</v>
      </c>
      <c r="M803" s="23">
        <f t="shared" si="195"/>
        <v>297158454885</v>
      </c>
      <c r="N803" s="23">
        <v>1050476910141</v>
      </c>
      <c r="O803" s="25">
        <f t="shared" si="243"/>
        <v>192628201145</v>
      </c>
      <c r="P803" s="23">
        <v>41197424439</v>
      </c>
      <c r="Q803" s="23">
        <f>129220716088+69620608665</f>
        <v>198841324753</v>
      </c>
      <c r="R803" s="25">
        <f t="shared" si="244"/>
        <v>851635585388</v>
      </c>
      <c r="S803" s="26">
        <f t="shared" si="245"/>
        <v>0.44273904367184108</v>
      </c>
      <c r="T803" s="27">
        <f t="shared" si="246"/>
        <v>1.8159105913819027</v>
      </c>
      <c r="U803" s="26">
        <f t="shared" si="247"/>
        <v>27.002252997096324</v>
      </c>
      <c r="V803" s="26">
        <f t="shared" si="248"/>
        <v>4.6625530923685581</v>
      </c>
      <c r="W803" s="143"/>
      <c r="X803" s="143"/>
      <c r="Y803" s="143"/>
      <c r="Z803" s="30"/>
      <c r="AA803" s="31">
        <f t="shared" si="249"/>
        <v>16</v>
      </c>
      <c r="AB803" s="32">
        <v>3.2500000000000001E-2</v>
      </c>
      <c r="AC803" s="32">
        <v>5.0500000000000003E-2</v>
      </c>
      <c r="AD803" s="33">
        <f t="shared" si="263"/>
        <v>0.36123547495014985</v>
      </c>
      <c r="AE803" s="34">
        <f t="shared" si="264"/>
        <v>7.725748927459869E-2</v>
      </c>
      <c r="AF803" s="33">
        <f t="shared" si="265"/>
        <v>1.5970713703571771</v>
      </c>
      <c r="AG803" s="33">
        <f t="shared" si="266"/>
        <v>0</v>
      </c>
      <c r="AH803" s="35">
        <f t="shared" si="267"/>
        <v>4.4494795252799078</v>
      </c>
      <c r="AI803" s="36">
        <f t="shared" si="260"/>
        <v>10.261458102383209</v>
      </c>
      <c r="AJ803" s="23"/>
      <c r="AK803" s="101">
        <v>59</v>
      </c>
      <c r="AL803" s="44"/>
      <c r="AM803" s="44"/>
      <c r="AN803" s="44"/>
      <c r="AO803" s="44"/>
      <c r="AP803" s="44"/>
      <c r="AQ803" s="44"/>
      <c r="AR803" s="44"/>
    </row>
    <row r="804" spans="1:44" ht="16.8">
      <c r="A804" s="45"/>
      <c r="B804" s="45">
        <v>309</v>
      </c>
      <c r="C804" s="45" t="s">
        <v>1824</v>
      </c>
      <c r="D804" s="46" t="s">
        <v>1825</v>
      </c>
      <c r="E804" s="47" t="s">
        <v>39</v>
      </c>
      <c r="F804" s="48"/>
      <c r="G804" s="48"/>
      <c r="H804" s="49"/>
      <c r="I804" s="49"/>
      <c r="J804" s="49"/>
      <c r="K804" s="49"/>
      <c r="L804" s="49"/>
      <c r="M804" s="49">
        <f t="shared" si="195"/>
        <v>0</v>
      </c>
      <c r="N804" s="49"/>
      <c r="O804" s="49">
        <f t="shared" si="243"/>
        <v>0</v>
      </c>
      <c r="P804" s="49"/>
      <c r="Q804" s="49"/>
      <c r="R804" s="49">
        <f t="shared" si="244"/>
        <v>0</v>
      </c>
      <c r="S804" s="50" t="e">
        <f t="shared" si="245"/>
        <v>#DIV/0!</v>
      </c>
      <c r="T804" s="51" t="e">
        <f t="shared" si="246"/>
        <v>#DIV/0!</v>
      </c>
      <c r="U804" s="50" t="e">
        <f t="shared" si="247"/>
        <v>#NUM!</v>
      </c>
      <c r="V804" s="50" t="e">
        <f t="shared" si="248"/>
        <v>#DIV/0!</v>
      </c>
      <c r="W804" s="52"/>
      <c r="X804" s="52"/>
      <c r="Y804" s="52"/>
      <c r="Z804" s="55">
        <f t="shared" ref="Z804:Z805" si="276">W804*Y804</f>
        <v>0</v>
      </c>
      <c r="AA804" s="48">
        <f t="shared" si="249"/>
        <v>0</v>
      </c>
      <c r="AB804" s="49"/>
      <c r="AC804" s="49"/>
      <c r="AD804" s="50" t="e">
        <f t="shared" si="263"/>
        <v>#DIV/0!</v>
      </c>
      <c r="AE804" s="56" t="e">
        <f t="shared" si="264"/>
        <v>#DIV/0!</v>
      </c>
      <c r="AF804" s="50" t="e">
        <f t="shared" si="265"/>
        <v>#DIV/0!</v>
      </c>
      <c r="AG804" s="50" t="e">
        <f t="shared" si="266"/>
        <v>#DIV/0!</v>
      </c>
      <c r="AH804" s="57" t="e">
        <f t="shared" si="267"/>
        <v>#DIV/0!</v>
      </c>
      <c r="AI804" s="58" t="e">
        <f t="shared" si="260"/>
        <v>#DIV/0!</v>
      </c>
      <c r="AJ804" s="49"/>
      <c r="AK804" s="49">
        <v>60</v>
      </c>
      <c r="AL804" s="59"/>
      <c r="AM804" s="59"/>
      <c r="AN804" s="59"/>
      <c r="AO804" s="59"/>
      <c r="AP804" s="59"/>
      <c r="AQ804" s="59"/>
      <c r="AR804" s="59"/>
    </row>
    <row r="805" spans="1:44" ht="16.8">
      <c r="A805" s="17" t="s">
        <v>1826</v>
      </c>
      <c r="B805" s="18">
        <v>310</v>
      </c>
      <c r="C805" s="18" t="s">
        <v>1827</v>
      </c>
      <c r="D805" s="19" t="s">
        <v>1828</v>
      </c>
      <c r="E805" s="20" t="s">
        <v>39</v>
      </c>
      <c r="F805" s="21">
        <v>1968</v>
      </c>
      <c r="G805" s="40">
        <v>2021</v>
      </c>
      <c r="H805" s="23">
        <v>72521545038</v>
      </c>
      <c r="I805" s="23">
        <v>77713791516</v>
      </c>
      <c r="J805" s="23">
        <v>5717069020</v>
      </c>
      <c r="K805" s="23">
        <f>(J805+4914474851)/2</f>
        <v>5315771935.5</v>
      </c>
      <c r="L805" s="23">
        <v>5717069020</v>
      </c>
      <c r="M805" s="23">
        <f t="shared" si="195"/>
        <v>71996722496</v>
      </c>
      <c r="N805" s="23">
        <v>139553456806</v>
      </c>
      <c r="O805" s="25">
        <f t="shared" si="243"/>
        <v>66804476018</v>
      </c>
      <c r="P805" s="23">
        <v>18263748510</v>
      </c>
      <c r="Q805" s="23">
        <f>1908106039+10113932473</f>
        <v>12022038512</v>
      </c>
      <c r="R805" s="25">
        <f t="shared" si="244"/>
        <v>127531418294</v>
      </c>
      <c r="S805" s="26">
        <f t="shared" si="245"/>
        <v>7.356569417698465E-2</v>
      </c>
      <c r="T805" s="27">
        <f t="shared" si="246"/>
        <v>12.685091746189903</v>
      </c>
      <c r="U805" s="26">
        <f t="shared" si="247"/>
        <v>25.076298575557704</v>
      </c>
      <c r="V805" s="26">
        <f t="shared" si="248"/>
        <v>26.252717102859236</v>
      </c>
      <c r="W805" s="143"/>
      <c r="X805" s="143"/>
      <c r="Y805" s="143"/>
      <c r="Z805" s="30">
        <f t="shared" si="276"/>
        <v>0</v>
      </c>
      <c r="AA805" s="31">
        <f t="shared" si="249"/>
        <v>53</v>
      </c>
      <c r="AB805" s="32">
        <v>1.84E-2</v>
      </c>
      <c r="AC805" s="32">
        <v>2.58E-2</v>
      </c>
      <c r="AD805" s="33">
        <f t="shared" si="263"/>
        <v>0.85962188583021393</v>
      </c>
      <c r="AE805" s="34">
        <f t="shared" si="264"/>
        <v>0.23501296428497884</v>
      </c>
      <c r="AF805" s="33">
        <f t="shared" si="265"/>
        <v>1.6410397151674598</v>
      </c>
      <c r="AG805" s="33">
        <f t="shared" si="266"/>
        <v>0</v>
      </c>
      <c r="AH805" s="35">
        <f t="shared" si="267"/>
        <v>24.409965371731683</v>
      </c>
      <c r="AI805" s="36">
        <f t="shared" si="260"/>
        <v>31.18596084477953</v>
      </c>
      <c r="AJ805" s="23"/>
      <c r="AK805" s="101">
        <v>61</v>
      </c>
      <c r="AL805" s="44"/>
      <c r="AM805" s="44"/>
      <c r="AN805" s="44"/>
      <c r="AO805" s="44"/>
      <c r="AP805" s="44"/>
      <c r="AQ805" s="44"/>
      <c r="AR805" s="44"/>
    </row>
    <row r="806" spans="1:44" ht="16.8">
      <c r="A806" s="17" t="s">
        <v>1829</v>
      </c>
      <c r="B806" s="18"/>
      <c r="C806" s="18" t="s">
        <v>1827</v>
      </c>
      <c r="D806" s="19" t="s">
        <v>1828</v>
      </c>
      <c r="E806" s="20" t="s">
        <v>39</v>
      </c>
      <c r="F806" s="21">
        <v>1968</v>
      </c>
      <c r="G806" s="40">
        <v>2022</v>
      </c>
      <c r="H806" s="23">
        <v>69059064405</v>
      </c>
      <c r="I806" s="23">
        <v>75894700175</v>
      </c>
      <c r="J806" s="23">
        <v>5171524359</v>
      </c>
      <c r="K806" s="23">
        <f t="shared" ref="K806:K807" si="277">(J806+J805)/2</f>
        <v>5444296689.5</v>
      </c>
      <c r="L806" s="23">
        <v>5171524359</v>
      </c>
      <c r="M806" s="23">
        <f t="shared" si="195"/>
        <v>70723175816</v>
      </c>
      <c r="N806" s="23">
        <v>169370770833</v>
      </c>
      <c r="O806" s="25">
        <f t="shared" si="243"/>
        <v>63887540046</v>
      </c>
      <c r="P806" s="23">
        <v>8446825058</v>
      </c>
      <c r="Q806" s="23">
        <f>2002193034+11531358172</f>
        <v>13533551206</v>
      </c>
      <c r="R806" s="25">
        <f t="shared" si="244"/>
        <v>155837219627</v>
      </c>
      <c r="S806" s="26">
        <f t="shared" si="245"/>
        <v>6.8140783837018437E-2</v>
      </c>
      <c r="T806" s="27">
        <f t="shared" si="246"/>
        <v>13.353715386608702</v>
      </c>
      <c r="U806" s="26">
        <f t="shared" si="247"/>
        <v>25.052612692493682</v>
      </c>
      <c r="V806" s="26">
        <f t="shared" si="248"/>
        <v>31.109761369113571</v>
      </c>
      <c r="W806" s="143"/>
      <c r="X806" s="143"/>
      <c r="Y806" s="143"/>
      <c r="Z806" s="30"/>
      <c r="AA806" s="31">
        <f t="shared" si="249"/>
        <v>54</v>
      </c>
      <c r="AB806" s="32">
        <v>3.15E-2</v>
      </c>
      <c r="AC806" s="32">
        <v>8.0199999999999994E-2</v>
      </c>
      <c r="AD806" s="33">
        <f t="shared" si="263"/>
        <v>0.84179184974295207</v>
      </c>
      <c r="AE806" s="34">
        <f t="shared" si="264"/>
        <v>0.11129663913979616</v>
      </c>
      <c r="AF806" s="33">
        <f t="shared" si="265"/>
        <v>2.0533346764354619</v>
      </c>
      <c r="AG806" s="33">
        <f t="shared" si="266"/>
        <v>0</v>
      </c>
      <c r="AH806" s="35">
        <f t="shared" si="267"/>
        <v>32.750647405971158</v>
      </c>
      <c r="AI806" s="36">
        <f t="shared" si="260"/>
        <v>40.692617352695436</v>
      </c>
      <c r="AJ806" s="23"/>
      <c r="AK806" s="101">
        <v>62</v>
      </c>
      <c r="AL806" s="44"/>
      <c r="AM806" s="44"/>
      <c r="AN806" s="44"/>
      <c r="AO806" s="44"/>
      <c r="AP806" s="44"/>
      <c r="AQ806" s="44"/>
      <c r="AR806" s="44"/>
    </row>
    <row r="807" spans="1:44" ht="16.8">
      <c r="A807" s="17" t="s">
        <v>1830</v>
      </c>
      <c r="B807" s="18"/>
      <c r="C807" s="18" t="s">
        <v>1827</v>
      </c>
      <c r="D807" s="19" t="s">
        <v>1828</v>
      </c>
      <c r="E807" s="20" t="s">
        <v>39</v>
      </c>
      <c r="F807" s="21">
        <v>1968</v>
      </c>
      <c r="G807" s="40">
        <v>2023</v>
      </c>
      <c r="H807" s="23">
        <v>73344260624</v>
      </c>
      <c r="I807" s="23">
        <v>81025917182</v>
      </c>
      <c r="J807" s="23">
        <v>6610019967</v>
      </c>
      <c r="K807" s="23">
        <f t="shared" si="277"/>
        <v>5890772163</v>
      </c>
      <c r="L807" s="23">
        <v>6610019967</v>
      </c>
      <c r="M807" s="23">
        <f t="shared" si="195"/>
        <v>74415897215</v>
      </c>
      <c r="N807" s="23">
        <v>145663927008</v>
      </c>
      <c r="O807" s="25">
        <f t="shared" si="243"/>
        <v>66734240657</v>
      </c>
      <c r="P807" s="23">
        <v>9282613909</v>
      </c>
      <c r="Q807" s="23">
        <f>1836966425+8189565279</f>
        <v>10026531704</v>
      </c>
      <c r="R807" s="25">
        <f t="shared" si="244"/>
        <v>135637395304</v>
      </c>
      <c r="S807" s="26">
        <f t="shared" si="245"/>
        <v>8.1579082309585049E-2</v>
      </c>
      <c r="T807" s="27">
        <f t="shared" si="246"/>
        <v>11.095921190883749</v>
      </c>
      <c r="U807" s="26">
        <f t="shared" si="247"/>
        <v>25.118034905650774</v>
      </c>
      <c r="V807" s="26">
        <f t="shared" si="248"/>
        <v>24.727475953477985</v>
      </c>
      <c r="W807" s="143"/>
      <c r="X807" s="143"/>
      <c r="Y807" s="143"/>
      <c r="Z807" s="30"/>
      <c r="AA807" s="31">
        <f t="shared" si="249"/>
        <v>55</v>
      </c>
      <c r="AB807" s="32">
        <v>3.2500000000000001E-2</v>
      </c>
      <c r="AC807" s="32">
        <v>5.0500000000000003E-2</v>
      </c>
      <c r="AD807" s="33">
        <f t="shared" si="263"/>
        <v>0.82361598582218931</v>
      </c>
      <c r="AE807" s="34">
        <f t="shared" si="264"/>
        <v>0.11456351537680765</v>
      </c>
      <c r="AF807" s="33">
        <f t="shared" si="265"/>
        <v>1.6740001226932362</v>
      </c>
      <c r="AG807" s="33">
        <f t="shared" si="266"/>
        <v>0</v>
      </c>
      <c r="AH807" s="35">
        <f t="shared" si="267"/>
        <v>22.036836157109295</v>
      </c>
      <c r="AI807" s="36">
        <f t="shared" si="260"/>
        <v>28.709764666511134</v>
      </c>
      <c r="AJ807" s="23"/>
      <c r="AK807" s="101">
        <v>63</v>
      </c>
      <c r="AL807" s="44"/>
      <c r="AM807" s="44"/>
      <c r="AN807" s="44"/>
      <c r="AO807" s="44"/>
      <c r="AP807" s="44"/>
      <c r="AQ807" s="44"/>
      <c r="AR807" s="44"/>
    </row>
    <row r="808" spans="1:44" ht="16.8">
      <c r="A808" s="17" t="s">
        <v>1831</v>
      </c>
      <c r="B808" s="18">
        <v>311</v>
      </c>
      <c r="C808" s="18" t="s">
        <v>1832</v>
      </c>
      <c r="D808" s="19" t="s">
        <v>1833</v>
      </c>
      <c r="E808" s="20" t="s">
        <v>39</v>
      </c>
      <c r="F808" s="21">
        <v>1960</v>
      </c>
      <c r="G808" s="40">
        <v>2021</v>
      </c>
      <c r="H808" s="23">
        <v>125722534897</v>
      </c>
      <c r="I808" s="23">
        <v>226295659004</v>
      </c>
      <c r="J808" s="23">
        <v>74848119352</v>
      </c>
      <c r="K808" s="23">
        <f>(J808+91535105853)/2</f>
        <v>83191612602.5</v>
      </c>
      <c r="L808" s="23">
        <v>70542236470</v>
      </c>
      <c r="M808" s="23">
        <f t="shared" si="195"/>
        <v>151447539652</v>
      </c>
      <c r="N808" s="23">
        <v>384509221816</v>
      </c>
      <c r="O808" s="25">
        <f t="shared" si="243"/>
        <v>55180298427</v>
      </c>
      <c r="P808" s="23">
        <v>31748686055</v>
      </c>
      <c r="Q808" s="23">
        <f>25499877695+19235337529</f>
        <v>44735215224</v>
      </c>
      <c r="R808" s="25">
        <f t="shared" si="244"/>
        <v>339774006592</v>
      </c>
      <c r="S808" s="26">
        <f t="shared" si="245"/>
        <v>0.33075366837097386</v>
      </c>
      <c r="T808" s="27">
        <f t="shared" si="246"/>
        <v>1.7822306349823047</v>
      </c>
      <c r="U808" s="26">
        <f t="shared" si="247"/>
        <v>26.145108206918486</v>
      </c>
      <c r="V808" s="26">
        <f t="shared" si="248"/>
        <v>4.6219710111070151</v>
      </c>
      <c r="W808" s="143"/>
      <c r="X808" s="143"/>
      <c r="Y808" s="143"/>
      <c r="Z808" s="30">
        <f>W808*Y808</f>
        <v>0</v>
      </c>
      <c r="AA808" s="31">
        <f t="shared" si="249"/>
        <v>61</v>
      </c>
      <c r="AB808" s="32">
        <v>1.84E-2</v>
      </c>
      <c r="AC808" s="32">
        <v>2.58E-2</v>
      </c>
      <c r="AD808" s="33">
        <f t="shared" si="263"/>
        <v>0.24384161264898427</v>
      </c>
      <c r="AE808" s="34">
        <f t="shared" si="264"/>
        <v>0.14029737112384824</v>
      </c>
      <c r="AF808" s="33">
        <f t="shared" si="265"/>
        <v>1.5014605586667227</v>
      </c>
      <c r="AG808" s="33">
        <f t="shared" si="266"/>
        <v>0</v>
      </c>
      <c r="AH808" s="35">
        <f t="shared" si="267"/>
        <v>5.1371928265519688</v>
      </c>
      <c r="AI808" s="36">
        <f t="shared" si="260"/>
        <v>10.581038924904323</v>
      </c>
      <c r="AJ808" s="23"/>
      <c r="AK808" s="101">
        <v>64</v>
      </c>
      <c r="AL808" s="44"/>
      <c r="AM808" s="44"/>
      <c r="AN808" s="44"/>
      <c r="AO808" s="44"/>
      <c r="AP808" s="44"/>
      <c r="AQ808" s="44"/>
      <c r="AR808" s="44"/>
    </row>
    <row r="809" spans="1:44" ht="16.8">
      <c r="A809" s="17" t="s">
        <v>1834</v>
      </c>
      <c r="B809" s="18"/>
      <c r="C809" s="18" t="s">
        <v>1832</v>
      </c>
      <c r="D809" s="19" t="s">
        <v>1833</v>
      </c>
      <c r="E809" s="20" t="s">
        <v>39</v>
      </c>
      <c r="F809" s="21">
        <v>1960</v>
      </c>
      <c r="G809" s="40">
        <v>2022</v>
      </c>
      <c r="H809" s="23">
        <v>152033651988</v>
      </c>
      <c r="I809" s="23">
        <v>271275683542</v>
      </c>
      <c r="J809" s="23">
        <v>60462488715</v>
      </c>
      <c r="K809" s="23">
        <f t="shared" ref="K809:K810" si="278">(J809+J808)/2</f>
        <v>67655304033.5</v>
      </c>
      <c r="L809" s="23">
        <v>56530311524</v>
      </c>
      <c r="M809" s="23">
        <f t="shared" si="195"/>
        <v>210813194827</v>
      </c>
      <c r="N809" s="23">
        <v>445745104291</v>
      </c>
      <c r="O809" s="25">
        <f t="shared" si="243"/>
        <v>95503340464</v>
      </c>
      <c r="P809" s="23">
        <v>59365655175</v>
      </c>
      <c r="Q809" s="23">
        <f>29345526522+15041341068</f>
        <v>44386867590</v>
      </c>
      <c r="R809" s="25">
        <f t="shared" si="244"/>
        <v>401358236701</v>
      </c>
      <c r="S809" s="26">
        <f t="shared" si="245"/>
        <v>0.22288208041926821</v>
      </c>
      <c r="T809" s="27">
        <f t="shared" si="246"/>
        <v>2.6894182587947344</v>
      </c>
      <c r="U809" s="26">
        <f t="shared" si="247"/>
        <v>26.326401423187782</v>
      </c>
      <c r="V809" s="26">
        <f t="shared" si="248"/>
        <v>6.5884724140813287</v>
      </c>
      <c r="W809" s="143"/>
      <c r="X809" s="143"/>
      <c r="Y809" s="143"/>
      <c r="Z809" s="30"/>
      <c r="AA809" s="31">
        <f t="shared" si="249"/>
        <v>62</v>
      </c>
      <c r="AB809" s="32">
        <v>3.15E-2</v>
      </c>
      <c r="AC809" s="32">
        <v>8.0199999999999994E-2</v>
      </c>
      <c r="AD809" s="33">
        <f t="shared" si="263"/>
        <v>0.35205271337640476</v>
      </c>
      <c r="AE809" s="34">
        <f t="shared" si="264"/>
        <v>0.21883883730333969</v>
      </c>
      <c r="AF809" s="33">
        <f t="shared" si="265"/>
        <v>1.47952161233375</v>
      </c>
      <c r="AG809" s="33">
        <f t="shared" si="266"/>
        <v>0</v>
      </c>
      <c r="AH809" s="35">
        <f t="shared" si="267"/>
        <v>7.3722586311670648</v>
      </c>
      <c r="AI809" s="36">
        <f t="shared" si="260"/>
        <v>12.983517580144801</v>
      </c>
      <c r="AJ809" s="23"/>
      <c r="AK809" s="101">
        <v>65</v>
      </c>
      <c r="AL809" s="44"/>
      <c r="AM809" s="44"/>
      <c r="AN809" s="44"/>
      <c r="AO809" s="44"/>
      <c r="AP809" s="44"/>
      <c r="AQ809" s="44"/>
      <c r="AR809" s="44"/>
    </row>
    <row r="810" spans="1:44" ht="16.8">
      <c r="A810" s="17" t="s">
        <v>1835</v>
      </c>
      <c r="B810" s="18"/>
      <c r="C810" s="18" t="s">
        <v>1832</v>
      </c>
      <c r="D810" s="19" t="s">
        <v>1833</v>
      </c>
      <c r="E810" s="20" t="s">
        <v>39</v>
      </c>
      <c r="F810" s="21">
        <v>1960</v>
      </c>
      <c r="G810" s="40">
        <v>2023</v>
      </c>
      <c r="H810" s="23">
        <v>139242945004</v>
      </c>
      <c r="I810" s="23">
        <v>297196601089</v>
      </c>
      <c r="J810" s="23">
        <v>44089241400</v>
      </c>
      <c r="K810" s="23">
        <f t="shared" si="278"/>
        <v>52275865057.5</v>
      </c>
      <c r="L810" s="23">
        <v>40384384222</v>
      </c>
      <c r="M810" s="23">
        <f t="shared" si="195"/>
        <v>253107359689</v>
      </c>
      <c r="N810" s="23">
        <v>456342060794</v>
      </c>
      <c r="O810" s="25">
        <f t="shared" si="243"/>
        <v>98858560782</v>
      </c>
      <c r="P810" s="23">
        <v>51441744862</v>
      </c>
      <c r="Q810" s="23">
        <f>24454564887+17417284203</f>
        <v>41871849090</v>
      </c>
      <c r="R810" s="25">
        <f t="shared" si="244"/>
        <v>414470211704</v>
      </c>
      <c r="S810" s="26">
        <f t="shared" si="245"/>
        <v>0.14835042271158685</v>
      </c>
      <c r="T810" s="27">
        <f t="shared" si="246"/>
        <v>3.4479402790582929</v>
      </c>
      <c r="U810" s="26">
        <f t="shared" si="247"/>
        <v>26.417659713281147</v>
      </c>
      <c r="V810" s="26">
        <f t="shared" si="248"/>
        <v>8.7294980253708641</v>
      </c>
      <c r="W810" s="143"/>
      <c r="X810" s="143"/>
      <c r="Y810" s="143"/>
      <c r="Z810" s="30"/>
      <c r="AA810" s="31">
        <f t="shared" si="249"/>
        <v>63</v>
      </c>
      <c r="AB810" s="32">
        <v>3.2500000000000001E-2</v>
      </c>
      <c r="AC810" s="32">
        <v>5.0500000000000003E-2</v>
      </c>
      <c r="AD810" s="33">
        <f t="shared" si="263"/>
        <v>0.33263691583200616</v>
      </c>
      <c r="AE810" s="34">
        <f t="shared" si="264"/>
        <v>0.17308995013235362</v>
      </c>
      <c r="AF810" s="33">
        <f t="shared" si="265"/>
        <v>1.394599434129735</v>
      </c>
      <c r="AG810" s="33">
        <f t="shared" si="266"/>
        <v>0</v>
      </c>
      <c r="AH810" s="35">
        <f t="shared" si="267"/>
        <v>10.350417614443238</v>
      </c>
      <c r="AI810" s="36">
        <f t="shared" si="260"/>
        <v>15.594085976255066</v>
      </c>
      <c r="AJ810" s="23"/>
      <c r="AK810" s="101">
        <v>66</v>
      </c>
      <c r="AL810" s="44"/>
      <c r="AM810" s="44"/>
      <c r="AN810" s="44"/>
      <c r="AO810" s="44"/>
      <c r="AP810" s="44"/>
      <c r="AQ810" s="44"/>
      <c r="AR810" s="44"/>
    </row>
    <row r="811" spans="1:44" ht="16.8">
      <c r="A811" s="17" t="s">
        <v>1836</v>
      </c>
      <c r="B811" s="18">
        <v>312</v>
      </c>
      <c r="C811" s="18" t="s">
        <v>1837</v>
      </c>
      <c r="D811" s="19" t="s">
        <v>1838</v>
      </c>
      <c r="E811" s="20" t="s">
        <v>39</v>
      </c>
      <c r="F811" s="21">
        <v>2004</v>
      </c>
      <c r="G811" s="40">
        <v>2021</v>
      </c>
      <c r="H811" s="23">
        <v>84278265534</v>
      </c>
      <c r="I811" s="23">
        <v>124811477402</v>
      </c>
      <c r="J811" s="23">
        <v>58744991075</v>
      </c>
      <c r="K811" s="23">
        <f>(J811+41184709849)/2</f>
        <v>49964850462</v>
      </c>
      <c r="L811" s="23">
        <v>49858127443</v>
      </c>
      <c r="M811" s="23">
        <f t="shared" si="195"/>
        <v>66066486327</v>
      </c>
      <c r="N811" s="23">
        <v>151458346599</v>
      </c>
      <c r="O811" s="25">
        <f t="shared" si="243"/>
        <v>34420138091</v>
      </c>
      <c r="P811" s="23">
        <v>2371879476</v>
      </c>
      <c r="Q811" s="23">
        <f>9032417610+6657963677</f>
        <v>15690381287</v>
      </c>
      <c r="R811" s="25">
        <f t="shared" si="244"/>
        <v>135767965312</v>
      </c>
      <c r="S811" s="26">
        <f t="shared" si="245"/>
        <v>0.47066978372342111</v>
      </c>
      <c r="T811" s="27">
        <f t="shared" si="246"/>
        <v>1.6903616292118193</v>
      </c>
      <c r="U811" s="26">
        <f t="shared" si="247"/>
        <v>25.550070255015271</v>
      </c>
      <c r="V811" s="26">
        <f t="shared" si="248"/>
        <v>3.031297906399006</v>
      </c>
      <c r="W811" s="143"/>
      <c r="X811" s="143"/>
      <c r="Y811" s="143"/>
      <c r="Z811" s="30">
        <f>W811*Y811</f>
        <v>0</v>
      </c>
      <c r="AA811" s="31">
        <f t="shared" si="249"/>
        <v>17</v>
      </c>
      <c r="AB811" s="32">
        <v>1.84E-2</v>
      </c>
      <c r="AC811" s="32">
        <v>2.58E-2</v>
      </c>
      <c r="AD811" s="33">
        <f t="shared" si="263"/>
        <v>0.27577702633979434</v>
      </c>
      <c r="AE811" s="34">
        <f t="shared" si="264"/>
        <v>1.9003696818366424E-2</v>
      </c>
      <c r="AF811" s="33">
        <f t="shared" si="265"/>
        <v>1.0877842978711862</v>
      </c>
      <c r="AG811" s="33">
        <f t="shared" si="266"/>
        <v>0</v>
      </c>
      <c r="AH811" s="35">
        <f t="shared" si="267"/>
        <v>2.5782342260573747</v>
      </c>
      <c r="AI811" s="36">
        <f t="shared" si="260"/>
        <v>6.5254600161857557</v>
      </c>
      <c r="AJ811" s="23"/>
      <c r="AK811" s="101">
        <v>67</v>
      </c>
      <c r="AL811" s="44"/>
      <c r="AM811" s="44"/>
      <c r="AN811" s="44"/>
      <c r="AO811" s="44"/>
      <c r="AP811" s="44"/>
      <c r="AQ811" s="44"/>
      <c r="AR811" s="44"/>
    </row>
    <row r="812" spans="1:44" ht="16.8">
      <c r="A812" s="17" t="s">
        <v>1839</v>
      </c>
      <c r="B812" s="18"/>
      <c r="C812" s="18" t="s">
        <v>1837</v>
      </c>
      <c r="D812" s="19" t="s">
        <v>1838</v>
      </c>
      <c r="E812" s="20" t="s">
        <v>39</v>
      </c>
      <c r="F812" s="21">
        <v>2004</v>
      </c>
      <c r="G812" s="40">
        <v>2022</v>
      </c>
      <c r="H812" s="23">
        <v>58687059889</v>
      </c>
      <c r="I812" s="23">
        <v>98308941493</v>
      </c>
      <c r="J812" s="23">
        <v>37013119781</v>
      </c>
      <c r="K812" s="23">
        <f t="shared" ref="K812:K813" si="279">(J812+J811)/2</f>
        <v>47879055428</v>
      </c>
      <c r="L812" s="23">
        <v>29159747061</v>
      </c>
      <c r="M812" s="23">
        <f t="shared" si="195"/>
        <v>61295821712</v>
      </c>
      <c r="N812" s="23">
        <v>212802736172</v>
      </c>
      <c r="O812" s="25">
        <f t="shared" si="243"/>
        <v>29527312828</v>
      </c>
      <c r="P812" s="23">
        <v>1419078789</v>
      </c>
      <c r="Q812" s="23">
        <f>7407106285+7371913948</f>
        <v>14779020233</v>
      </c>
      <c r="R812" s="25">
        <f t="shared" si="244"/>
        <v>198023715939</v>
      </c>
      <c r="S812" s="26">
        <f t="shared" si="245"/>
        <v>0.37649799925508798</v>
      </c>
      <c r="T812" s="27">
        <f t="shared" si="246"/>
        <v>2.0126052453826531</v>
      </c>
      <c r="U812" s="26">
        <f t="shared" si="247"/>
        <v>25.311380821234422</v>
      </c>
      <c r="V812" s="26">
        <f t="shared" si="248"/>
        <v>4.4445892733203651</v>
      </c>
      <c r="W812" s="143"/>
      <c r="X812" s="143"/>
      <c r="Y812" s="143"/>
      <c r="Z812" s="30"/>
      <c r="AA812" s="31">
        <f t="shared" si="249"/>
        <v>18</v>
      </c>
      <c r="AB812" s="32">
        <v>3.15E-2</v>
      </c>
      <c r="AC812" s="32">
        <v>8.0199999999999994E-2</v>
      </c>
      <c r="AD812" s="33">
        <f t="shared" si="263"/>
        <v>0.3003522607361454</v>
      </c>
      <c r="AE812" s="34">
        <f t="shared" si="264"/>
        <v>1.4434890330917095E-2</v>
      </c>
      <c r="AF812" s="33">
        <f t="shared" si="265"/>
        <v>2.014300153492143</v>
      </c>
      <c r="AG812" s="33">
        <f t="shared" si="266"/>
        <v>0</v>
      </c>
      <c r="AH812" s="35">
        <f t="shared" si="267"/>
        <v>5.7493866345532521</v>
      </c>
      <c r="AI812" s="36">
        <f t="shared" si="260"/>
        <v>12.777208700423982</v>
      </c>
      <c r="AJ812" s="23"/>
      <c r="AK812" s="101">
        <v>68</v>
      </c>
      <c r="AL812" s="44"/>
      <c r="AM812" s="44"/>
      <c r="AN812" s="44"/>
      <c r="AO812" s="44"/>
      <c r="AP812" s="44"/>
      <c r="AQ812" s="44"/>
      <c r="AR812" s="44"/>
    </row>
    <row r="813" spans="1:44" ht="16.8">
      <c r="A813" s="17" t="s">
        <v>1840</v>
      </c>
      <c r="B813" s="18"/>
      <c r="C813" s="18" t="s">
        <v>1837</v>
      </c>
      <c r="D813" s="19" t="s">
        <v>1838</v>
      </c>
      <c r="E813" s="20" t="s">
        <v>39</v>
      </c>
      <c r="F813" s="21">
        <v>2004</v>
      </c>
      <c r="G813" s="40">
        <v>2023</v>
      </c>
      <c r="H813" s="23">
        <v>48131259776</v>
      </c>
      <c r="I813" s="23">
        <v>86574245869</v>
      </c>
      <c r="J813" s="23">
        <v>26943008194</v>
      </c>
      <c r="K813" s="23">
        <f t="shared" si="279"/>
        <v>31978063987.5</v>
      </c>
      <c r="L813" s="23">
        <v>20043626386</v>
      </c>
      <c r="M813" s="23">
        <f t="shared" si="195"/>
        <v>59631237675</v>
      </c>
      <c r="N813" s="23">
        <v>205216419546</v>
      </c>
      <c r="O813" s="25">
        <f t="shared" si="243"/>
        <v>28087633390</v>
      </c>
      <c r="P813" s="23">
        <v>2742043963</v>
      </c>
      <c r="Q813" s="23">
        <f>7485972363+7306104640</f>
        <v>14792077003</v>
      </c>
      <c r="R813" s="25">
        <f t="shared" si="244"/>
        <v>190424342543</v>
      </c>
      <c r="S813" s="26">
        <f t="shared" si="245"/>
        <v>0.31121273911838482</v>
      </c>
      <c r="T813" s="27">
        <f t="shared" si="246"/>
        <v>2.4013249323794295</v>
      </c>
      <c r="U813" s="26">
        <f t="shared" si="247"/>
        <v>25.184268216472152</v>
      </c>
      <c r="V813" s="26">
        <f t="shared" si="248"/>
        <v>6.4174122494162766</v>
      </c>
      <c r="W813" s="143"/>
      <c r="X813" s="143"/>
      <c r="Y813" s="143"/>
      <c r="Z813" s="30"/>
      <c r="AA813" s="31">
        <f t="shared" si="249"/>
        <v>19</v>
      </c>
      <c r="AB813" s="32">
        <v>3.2500000000000001E-2</v>
      </c>
      <c r="AC813" s="32">
        <v>5.0500000000000003E-2</v>
      </c>
      <c r="AD813" s="33">
        <f t="shared" si="263"/>
        <v>0.3244340520447716</v>
      </c>
      <c r="AE813" s="34">
        <f t="shared" si="264"/>
        <v>3.1672744422736633E-2</v>
      </c>
      <c r="AF813" s="33">
        <f t="shared" si="265"/>
        <v>2.199549538452128</v>
      </c>
      <c r="AG813" s="33">
        <f t="shared" si="266"/>
        <v>0</v>
      </c>
      <c r="AH813" s="35">
        <f t="shared" si="267"/>
        <v>7.6166854891763762</v>
      </c>
      <c r="AI813" s="36">
        <f t="shared" si="260"/>
        <v>15.308861670713956</v>
      </c>
      <c r="AJ813" s="23"/>
      <c r="AK813" s="101">
        <v>69</v>
      </c>
      <c r="AL813" s="44"/>
      <c r="AM813" s="44"/>
      <c r="AN813" s="44"/>
      <c r="AO813" s="44"/>
      <c r="AP813" s="44"/>
      <c r="AQ813" s="44"/>
      <c r="AR813" s="44"/>
    </row>
    <row r="814" spans="1:44" ht="16.8">
      <c r="A814" s="17" t="s">
        <v>1841</v>
      </c>
      <c r="B814" s="18">
        <v>313</v>
      </c>
      <c r="C814" s="18" t="s">
        <v>1842</v>
      </c>
      <c r="D814" s="19" t="s">
        <v>1843</v>
      </c>
      <c r="E814" s="20" t="s">
        <v>39</v>
      </c>
      <c r="F814" s="21">
        <v>1986</v>
      </c>
      <c r="G814" s="40">
        <v>2021</v>
      </c>
      <c r="H814" s="23">
        <v>150705461973</v>
      </c>
      <c r="I814" s="23">
        <v>184802124312</v>
      </c>
      <c r="J814" s="23">
        <v>14541656858</v>
      </c>
      <c r="K814" s="23">
        <f>(J814+12157907298)/2</f>
        <v>13349782078</v>
      </c>
      <c r="L814" s="23">
        <v>12280656858</v>
      </c>
      <c r="M814" s="23">
        <f t="shared" si="195"/>
        <v>170260467454</v>
      </c>
      <c r="N814" s="23">
        <v>17933162805</v>
      </c>
      <c r="O814" s="25">
        <f t="shared" si="243"/>
        <v>138424805115</v>
      </c>
      <c r="P814" s="23">
        <v>4425739119</v>
      </c>
      <c r="Q814" s="23">
        <v>5250687494</v>
      </c>
      <c r="R814" s="25">
        <f t="shared" si="244"/>
        <v>12682475311</v>
      </c>
      <c r="S814" s="26">
        <f t="shared" si="245"/>
        <v>7.8687714830861108E-2</v>
      </c>
      <c r="T814" s="27">
        <f t="shared" si="246"/>
        <v>12.271775338696626</v>
      </c>
      <c r="U814" s="26">
        <f t="shared" si="247"/>
        <v>25.942551491282732</v>
      </c>
      <c r="V814" s="26">
        <f t="shared" si="248"/>
        <v>1.3433300034577538</v>
      </c>
      <c r="W814" s="143"/>
      <c r="X814" s="143"/>
      <c r="Y814" s="143"/>
      <c r="Z814" s="30">
        <f>W814*Y814</f>
        <v>0</v>
      </c>
      <c r="AA814" s="31">
        <f t="shared" si="249"/>
        <v>35</v>
      </c>
      <c r="AB814" s="32">
        <v>1.84E-2</v>
      </c>
      <c r="AC814" s="32">
        <v>2.58E-2</v>
      </c>
      <c r="AD814" s="33">
        <f t="shared" si="263"/>
        <v>0.74904336533111748</v>
      </c>
      <c r="AE814" s="34">
        <f t="shared" si="264"/>
        <v>2.3948529463482027E-2</v>
      </c>
      <c r="AF814" s="33">
        <f t="shared" si="265"/>
        <v>6.8627324270300452E-2</v>
      </c>
      <c r="AG814" s="33">
        <f t="shared" si="266"/>
        <v>0</v>
      </c>
      <c r="AH814" s="35">
        <f t="shared" si="267"/>
        <v>1.2332269273108438</v>
      </c>
      <c r="AI814" s="36">
        <f t="shared" si="260"/>
        <v>2.3920770770490511</v>
      </c>
      <c r="AJ814" s="23" t="s">
        <v>85</v>
      </c>
      <c r="AK814" s="101">
        <v>70</v>
      </c>
      <c r="AL814" s="44"/>
      <c r="AM814" s="44"/>
      <c r="AN814" s="44"/>
      <c r="AO814" s="44"/>
      <c r="AP814" s="44"/>
      <c r="AQ814" s="44"/>
      <c r="AR814" s="44"/>
    </row>
    <row r="815" spans="1:44" ht="16.8">
      <c r="A815" s="17" t="s">
        <v>1844</v>
      </c>
      <c r="B815" s="18"/>
      <c r="C815" s="18" t="s">
        <v>1842</v>
      </c>
      <c r="D815" s="19" t="s">
        <v>1843</v>
      </c>
      <c r="E815" s="20" t="s">
        <v>39</v>
      </c>
      <c r="F815" s="21">
        <v>1986</v>
      </c>
      <c r="G815" s="40">
        <v>2022</v>
      </c>
      <c r="H815" s="23">
        <v>165393042731</v>
      </c>
      <c r="I815" s="23">
        <v>196859328298</v>
      </c>
      <c r="J815" s="23">
        <v>18712815404</v>
      </c>
      <c r="K815" s="23">
        <f t="shared" ref="K815:K816" si="280">(J815+J814)/2</f>
        <v>16627236131</v>
      </c>
      <c r="L815" s="23">
        <v>16240815404</v>
      </c>
      <c r="M815" s="23">
        <f t="shared" si="195"/>
        <v>178146512894</v>
      </c>
      <c r="N815" s="23">
        <v>42228619078</v>
      </c>
      <c r="O815" s="25">
        <f t="shared" si="243"/>
        <v>149152227327</v>
      </c>
      <c r="P815" s="23">
        <v>8946045440</v>
      </c>
      <c r="Q815" s="23">
        <v>7263095872</v>
      </c>
      <c r="R815" s="25">
        <f t="shared" si="244"/>
        <v>34965523206</v>
      </c>
      <c r="S815" s="26">
        <f t="shared" si="245"/>
        <v>9.5056787838232779E-2</v>
      </c>
      <c r="T815" s="27">
        <f t="shared" si="246"/>
        <v>10.183789336726582</v>
      </c>
      <c r="U815" s="26">
        <f t="shared" si="247"/>
        <v>26.005755241062005</v>
      </c>
      <c r="V815" s="26">
        <f t="shared" si="248"/>
        <v>2.5397257093900594</v>
      </c>
      <c r="W815" s="143"/>
      <c r="X815" s="143"/>
      <c r="Y815" s="143"/>
      <c r="Z815" s="30"/>
      <c r="AA815" s="31">
        <f t="shared" si="249"/>
        <v>36</v>
      </c>
      <c r="AB815" s="32">
        <v>3.15E-2</v>
      </c>
      <c r="AC815" s="32">
        <v>8.0199999999999994E-2</v>
      </c>
      <c r="AD815" s="33">
        <f t="shared" si="263"/>
        <v>0.75765892638431453</v>
      </c>
      <c r="AE815" s="34">
        <f t="shared" si="264"/>
        <v>4.5443848241002498E-2</v>
      </c>
      <c r="AF815" s="33">
        <f t="shared" si="265"/>
        <v>0.17761679625905355</v>
      </c>
      <c r="AG815" s="33">
        <f t="shared" si="266"/>
        <v>0</v>
      </c>
      <c r="AH815" s="35">
        <f t="shared" si="267"/>
        <v>2.2566683936278946</v>
      </c>
      <c r="AI815" s="36">
        <f t="shared" si="260"/>
        <v>3.8156159204813522</v>
      </c>
      <c r="AJ815" s="23" t="s">
        <v>85</v>
      </c>
      <c r="AK815" s="101">
        <v>71</v>
      </c>
      <c r="AL815" s="44"/>
      <c r="AM815" s="44"/>
      <c r="AN815" s="44"/>
      <c r="AO815" s="44"/>
      <c r="AP815" s="44"/>
      <c r="AQ815" s="44"/>
      <c r="AR815" s="44"/>
    </row>
    <row r="816" spans="1:44" ht="16.8">
      <c r="A816" s="17" t="s">
        <v>1845</v>
      </c>
      <c r="B816" s="18"/>
      <c r="C816" s="18" t="s">
        <v>1842</v>
      </c>
      <c r="D816" s="19" t="s">
        <v>1843</v>
      </c>
      <c r="E816" s="20" t="s">
        <v>39</v>
      </c>
      <c r="F816" s="21">
        <v>1986</v>
      </c>
      <c r="G816" s="40">
        <v>2023</v>
      </c>
      <c r="H816" s="23">
        <v>181320576772</v>
      </c>
      <c r="I816" s="23">
        <v>210112520914</v>
      </c>
      <c r="J816" s="23">
        <v>20599764540</v>
      </c>
      <c r="K816" s="23">
        <f t="shared" si="280"/>
        <v>19656289972</v>
      </c>
      <c r="L816" s="23">
        <v>18127764540</v>
      </c>
      <c r="M816" s="23">
        <f t="shared" si="195"/>
        <v>189512756374</v>
      </c>
      <c r="N816" s="23">
        <v>28079031839</v>
      </c>
      <c r="O816" s="25">
        <f t="shared" si="243"/>
        <v>163192812232</v>
      </c>
      <c r="P816" s="23">
        <v>17420418280</v>
      </c>
      <c r="Q816" s="23">
        <v>8436142874</v>
      </c>
      <c r="R816" s="25">
        <f t="shared" si="244"/>
        <v>19642888965</v>
      </c>
      <c r="S816" s="26">
        <f t="shared" si="245"/>
        <v>9.8041584815554972E-2</v>
      </c>
      <c r="T816" s="27">
        <f t="shared" si="246"/>
        <v>10.002368266197703</v>
      </c>
      <c r="U816" s="26">
        <f t="shared" si="247"/>
        <v>26.070909038043073</v>
      </c>
      <c r="V816" s="26">
        <f t="shared" si="248"/>
        <v>1.4285010995970262</v>
      </c>
      <c r="W816" s="143"/>
      <c r="X816" s="143"/>
      <c r="Y816" s="143"/>
      <c r="Z816" s="30"/>
      <c r="AA816" s="31">
        <f t="shared" si="249"/>
        <v>37</v>
      </c>
      <c r="AB816" s="32">
        <v>3.2500000000000001E-2</v>
      </c>
      <c r="AC816" s="32">
        <v>5.0500000000000003E-2</v>
      </c>
      <c r="AD816" s="33">
        <f t="shared" si="263"/>
        <v>0.77669246707479922</v>
      </c>
      <c r="AE816" s="34">
        <f t="shared" si="264"/>
        <v>8.2909948461045102E-2</v>
      </c>
      <c r="AF816" s="33">
        <f t="shared" si="265"/>
        <v>9.3487474613851887E-2</v>
      </c>
      <c r="AG816" s="33">
        <f t="shared" si="266"/>
        <v>0</v>
      </c>
      <c r="AH816" s="35">
        <f t="shared" si="267"/>
        <v>1.3630753780936178</v>
      </c>
      <c r="AI816" s="36">
        <f t="shared" si="260"/>
        <v>2.7196889326545515</v>
      </c>
      <c r="AJ816" s="23" t="s">
        <v>85</v>
      </c>
      <c r="AK816" s="101">
        <v>72</v>
      </c>
      <c r="AL816" s="44"/>
      <c r="AM816" s="44"/>
      <c r="AN816" s="44"/>
      <c r="AO816" s="44"/>
      <c r="AP816" s="44"/>
      <c r="AQ816" s="44"/>
      <c r="AR816" s="44"/>
    </row>
    <row r="817" spans="1:44" ht="16.8">
      <c r="A817" s="45"/>
      <c r="B817" s="45">
        <v>314</v>
      </c>
      <c r="C817" s="45" t="s">
        <v>1846</v>
      </c>
      <c r="D817" s="46" t="s">
        <v>1847</v>
      </c>
      <c r="E817" s="47" t="s">
        <v>39</v>
      </c>
      <c r="F817" s="48"/>
      <c r="G817" s="48"/>
      <c r="H817" s="49"/>
      <c r="I817" s="49"/>
      <c r="J817" s="49"/>
      <c r="K817" s="49"/>
      <c r="L817" s="49"/>
      <c r="M817" s="49">
        <f t="shared" si="195"/>
        <v>0</v>
      </c>
      <c r="N817" s="49"/>
      <c r="O817" s="49">
        <f t="shared" si="243"/>
        <v>0</v>
      </c>
      <c r="P817" s="49"/>
      <c r="Q817" s="49"/>
      <c r="R817" s="49">
        <f t="shared" si="244"/>
        <v>0</v>
      </c>
      <c r="S817" s="50" t="e">
        <f t="shared" si="245"/>
        <v>#DIV/0!</v>
      </c>
      <c r="T817" s="51" t="e">
        <f t="shared" si="246"/>
        <v>#DIV/0!</v>
      </c>
      <c r="U817" s="50" t="e">
        <f t="shared" si="247"/>
        <v>#NUM!</v>
      </c>
      <c r="V817" s="50" t="e">
        <f t="shared" si="248"/>
        <v>#DIV/0!</v>
      </c>
      <c r="W817" s="52"/>
      <c r="X817" s="52"/>
      <c r="Y817" s="52"/>
      <c r="Z817" s="55">
        <f>W817*Y817</f>
        <v>0</v>
      </c>
      <c r="AA817" s="48">
        <f t="shared" si="249"/>
        <v>0</v>
      </c>
      <c r="AB817" s="49"/>
      <c r="AC817" s="49"/>
      <c r="AD817" s="50" t="e">
        <f t="shared" si="263"/>
        <v>#DIV/0!</v>
      </c>
      <c r="AE817" s="56" t="e">
        <f t="shared" si="264"/>
        <v>#DIV/0!</v>
      </c>
      <c r="AF817" s="50" t="e">
        <f t="shared" si="265"/>
        <v>#DIV/0!</v>
      </c>
      <c r="AG817" s="50" t="e">
        <f t="shared" si="266"/>
        <v>#DIV/0!</v>
      </c>
      <c r="AH817" s="57" t="e">
        <f t="shared" si="267"/>
        <v>#DIV/0!</v>
      </c>
      <c r="AI817" s="58" t="e">
        <f t="shared" si="260"/>
        <v>#DIV/0!</v>
      </c>
      <c r="AJ817" s="49"/>
      <c r="AK817" s="49">
        <v>73</v>
      </c>
      <c r="AL817" s="59"/>
      <c r="AM817" s="59"/>
      <c r="AN817" s="59"/>
      <c r="AO817" s="59"/>
      <c r="AP817" s="59"/>
      <c r="AQ817" s="59"/>
      <c r="AR817" s="59"/>
    </row>
    <row r="818" spans="1:44" ht="16.8">
      <c r="A818" s="17" t="s">
        <v>1848</v>
      </c>
      <c r="B818" s="18">
        <v>315</v>
      </c>
      <c r="C818" s="18" t="s">
        <v>1849</v>
      </c>
      <c r="D818" s="19" t="s">
        <v>1850</v>
      </c>
      <c r="E818" s="20" t="s">
        <v>414</v>
      </c>
      <c r="F818" s="21">
        <v>1993</v>
      </c>
      <c r="G818" s="40">
        <v>2021</v>
      </c>
      <c r="H818" s="23">
        <f>1878293000000+14352057000000+64131782000000</f>
        <v>80362132000000</v>
      </c>
      <c r="I818" s="23">
        <v>506604328000000</v>
      </c>
      <c r="J818" s="23">
        <v>471072663000000</v>
      </c>
      <c r="K818" s="23">
        <f>(J818+388643373000000)/2</f>
        <v>429858018000000</v>
      </c>
      <c r="L818" s="23">
        <v>471072663000000</v>
      </c>
      <c r="M818" s="23">
        <f t="shared" si="195"/>
        <v>35531665000000</v>
      </c>
      <c r="N818" s="23">
        <v>35606329000000</v>
      </c>
      <c r="O818" s="25">
        <f t="shared" si="243"/>
        <v>-390710531000000</v>
      </c>
      <c r="P818" s="23">
        <v>5007161000000</v>
      </c>
      <c r="Q818" s="23">
        <v>4405941000000</v>
      </c>
      <c r="R818" s="25">
        <f t="shared" si="244"/>
        <v>31200388000000</v>
      </c>
      <c r="S818" s="26">
        <f t="shared" si="245"/>
        <v>0.92986308439117793</v>
      </c>
      <c r="T818" s="27">
        <f t="shared" si="246"/>
        <v>0.17059391960513742</v>
      </c>
      <c r="U818" s="26">
        <f t="shared" si="247"/>
        <v>33.858751396689001</v>
      </c>
      <c r="V818" s="26">
        <f t="shared" si="248"/>
        <v>8.2832766888158868E-2</v>
      </c>
      <c r="W818" s="143"/>
      <c r="X818" s="143"/>
      <c r="Y818" s="143"/>
      <c r="Z818" s="30">
        <f t="shared" ref="Z818:Z820" si="281">X818*Y818</f>
        <v>0</v>
      </c>
      <c r="AA818" s="31">
        <f t="shared" si="249"/>
        <v>28</v>
      </c>
      <c r="AB818" s="32">
        <v>1.84E-2</v>
      </c>
      <c r="AC818" s="32">
        <v>2.58E-2</v>
      </c>
      <c r="AD818" s="33">
        <f t="shared" si="263"/>
        <v>-0.77123409612876426</v>
      </c>
      <c r="AE818" s="34">
        <f t="shared" si="264"/>
        <v>9.8837706731948801E-3</v>
      </c>
      <c r="AF818" s="33">
        <f t="shared" si="265"/>
        <v>6.158729066365181E-2</v>
      </c>
      <c r="AG818" s="33">
        <f t="shared" si="266"/>
        <v>0</v>
      </c>
      <c r="AH818" s="35">
        <f t="shared" si="267"/>
        <v>7.5585640595748183E-2</v>
      </c>
      <c r="AI818" s="36">
        <f t="shared" si="260"/>
        <v>-0.63281993662624503</v>
      </c>
      <c r="AJ818" s="23"/>
      <c r="AK818" s="101">
        <v>74</v>
      </c>
      <c r="AL818" s="44"/>
      <c r="AM818" s="44"/>
      <c r="AN818" s="44"/>
      <c r="AO818" s="44"/>
      <c r="AP818" s="44"/>
      <c r="AQ818" s="44"/>
      <c r="AR818" s="44"/>
    </row>
    <row r="819" spans="1:44" ht="16.8">
      <c r="A819" s="17" t="s">
        <v>1851</v>
      </c>
      <c r="B819" s="18"/>
      <c r="C819" s="18" t="s">
        <v>1849</v>
      </c>
      <c r="D819" s="19" t="s">
        <v>1850</v>
      </c>
      <c r="E819" s="20" t="s">
        <v>414</v>
      </c>
      <c r="F819" s="21">
        <v>1993</v>
      </c>
      <c r="G819" s="40">
        <v>2022</v>
      </c>
      <c r="H819" s="23">
        <f>1897545000000+15145862000000+63008862000000</f>
        <v>80052269000000</v>
      </c>
      <c r="I819" s="23">
        <v>550904120000000</v>
      </c>
      <c r="J819" s="23">
        <v>507999649000000</v>
      </c>
      <c r="K819" s="23">
        <f t="shared" ref="K819:K820" si="282">(J819+J818)/2</f>
        <v>489536156000000</v>
      </c>
      <c r="L819" s="23">
        <v>507999649000000</v>
      </c>
      <c r="M819" s="23">
        <f t="shared" si="195"/>
        <v>42904471000000</v>
      </c>
      <c r="N819" s="23">
        <v>40773670000000</v>
      </c>
      <c r="O819" s="25">
        <f t="shared" si="243"/>
        <v>-427947380000000</v>
      </c>
      <c r="P819" s="23">
        <v>7728918000000</v>
      </c>
      <c r="Q819" s="23">
        <v>4391593000000</v>
      </c>
      <c r="R819" s="25">
        <f t="shared" si="244"/>
        <v>36382077000000</v>
      </c>
      <c r="S819" s="26">
        <f t="shared" si="245"/>
        <v>0.92211989447455933</v>
      </c>
      <c r="T819" s="27">
        <f t="shared" si="246"/>
        <v>0.15758331557429875</v>
      </c>
      <c r="U819" s="26">
        <f t="shared" si="247"/>
        <v>33.942581899050516</v>
      </c>
      <c r="V819" s="26">
        <f t="shared" si="248"/>
        <v>8.3290415836006201E-2</v>
      </c>
      <c r="W819" s="143"/>
      <c r="X819" s="143"/>
      <c r="Y819" s="143"/>
      <c r="Z819" s="30">
        <f t="shared" si="281"/>
        <v>0</v>
      </c>
      <c r="AA819" s="31">
        <f t="shared" si="249"/>
        <v>29</v>
      </c>
      <c r="AB819" s="32">
        <v>3.15E-2</v>
      </c>
      <c r="AC819" s="32">
        <v>8.0199999999999994E-2</v>
      </c>
      <c r="AD819" s="33">
        <f t="shared" si="263"/>
        <v>-0.77680918414623579</v>
      </c>
      <c r="AE819" s="34">
        <f t="shared" si="264"/>
        <v>1.4029515698666404E-2</v>
      </c>
      <c r="AF819" s="33">
        <f t="shared" si="265"/>
        <v>6.6040669654095163E-2</v>
      </c>
      <c r="AG819" s="33">
        <f t="shared" si="266"/>
        <v>0</v>
      </c>
      <c r="AH819" s="35">
        <f t="shared" si="267"/>
        <v>8.0263185378696977E-2</v>
      </c>
      <c r="AI819" s="36">
        <f t="shared" si="260"/>
        <v>-0.61433230376013892</v>
      </c>
      <c r="AJ819" s="23"/>
      <c r="AK819" s="101">
        <v>75</v>
      </c>
      <c r="AL819" s="44"/>
      <c r="AM819" s="44"/>
      <c r="AN819" s="44"/>
      <c r="AO819" s="44"/>
      <c r="AP819" s="44"/>
      <c r="AQ819" s="44"/>
      <c r="AR819" s="44"/>
    </row>
    <row r="820" spans="1:44" ht="16.8">
      <c r="A820" s="17" t="s">
        <v>1852</v>
      </c>
      <c r="B820" s="18"/>
      <c r="C820" s="18" t="s">
        <v>1849</v>
      </c>
      <c r="D820" s="19" t="s">
        <v>1850</v>
      </c>
      <c r="E820" s="20" t="s">
        <v>414</v>
      </c>
      <c r="F820" s="21">
        <v>1993</v>
      </c>
      <c r="G820" s="40">
        <v>2023</v>
      </c>
      <c r="H820" s="23">
        <f>1370849000000+54763646000000+63548928000000</f>
        <v>119683423000000</v>
      </c>
      <c r="I820" s="23">
        <v>630500685000000</v>
      </c>
      <c r="J820" s="23">
        <v>580402405000000</v>
      </c>
      <c r="K820" s="23">
        <f t="shared" si="282"/>
        <v>544201027000000</v>
      </c>
      <c r="L820" s="23">
        <v>580402405000000</v>
      </c>
      <c r="M820" s="23">
        <f t="shared" si="195"/>
        <v>50098280000000</v>
      </c>
      <c r="N820" s="23">
        <v>57589391000000</v>
      </c>
      <c r="O820" s="25">
        <f t="shared" si="243"/>
        <v>-460718982000000</v>
      </c>
      <c r="P820" s="23">
        <v>7324758000000</v>
      </c>
      <c r="Q820" s="23">
        <v>5051539000000</v>
      </c>
      <c r="R820" s="25">
        <f t="shared" si="244"/>
        <v>52537852000000</v>
      </c>
      <c r="S820" s="26">
        <f t="shared" si="245"/>
        <v>0.92054206887975065</v>
      </c>
      <c r="T820" s="27">
        <f t="shared" si="246"/>
        <v>0.20620766207886407</v>
      </c>
      <c r="U820" s="26">
        <f t="shared" si="247"/>
        <v>34.077535357772263</v>
      </c>
      <c r="V820" s="26">
        <f t="shared" si="248"/>
        <v>0.10582374553291683</v>
      </c>
      <c r="W820" s="143"/>
      <c r="X820" s="143"/>
      <c r="Y820" s="143"/>
      <c r="Z820" s="30">
        <f t="shared" si="281"/>
        <v>0</v>
      </c>
      <c r="AA820" s="31">
        <f t="shared" si="249"/>
        <v>30</v>
      </c>
      <c r="AB820" s="32">
        <v>3.2500000000000001E-2</v>
      </c>
      <c r="AC820" s="32">
        <v>5.0500000000000003E-2</v>
      </c>
      <c r="AD820" s="33">
        <f t="shared" si="263"/>
        <v>-0.73071924101081664</v>
      </c>
      <c r="AE820" s="34">
        <f t="shared" si="264"/>
        <v>1.1617367235691425E-2</v>
      </c>
      <c r="AF820" s="33">
        <f t="shared" si="265"/>
        <v>8.3327192578704329E-2</v>
      </c>
      <c r="AG820" s="33">
        <f t="shared" si="266"/>
        <v>0</v>
      </c>
      <c r="AH820" s="35">
        <f t="shared" si="267"/>
        <v>9.9223212212568274E-2</v>
      </c>
      <c r="AI820" s="36">
        <f t="shared" si="260"/>
        <v>-0.4863958273607194</v>
      </c>
      <c r="AJ820" s="23"/>
      <c r="AK820" s="101">
        <v>76</v>
      </c>
      <c r="AL820" s="44"/>
      <c r="AM820" s="44"/>
      <c r="AN820" s="44"/>
      <c r="AO820" s="44"/>
      <c r="AP820" s="44"/>
      <c r="AQ820" s="44"/>
      <c r="AR820" s="44"/>
    </row>
    <row r="821" spans="1:44" ht="16.8">
      <c r="A821" s="17" t="s">
        <v>1853</v>
      </c>
      <c r="B821" s="18">
        <v>316</v>
      </c>
      <c r="C821" s="18" t="s">
        <v>1854</v>
      </c>
      <c r="D821" s="19" t="s">
        <v>1855</v>
      </c>
      <c r="E821" s="20" t="s">
        <v>178</v>
      </c>
      <c r="F821" s="21">
        <v>1998</v>
      </c>
      <c r="G821" s="40">
        <v>2021</v>
      </c>
      <c r="H821" s="23">
        <v>35479965762</v>
      </c>
      <c r="I821" s="23">
        <v>90242958492</v>
      </c>
      <c r="J821" s="23">
        <v>21594711759</v>
      </c>
      <c r="K821" s="23">
        <f>(J821+22207719041)/2</f>
        <v>21901215400</v>
      </c>
      <c r="L821" s="23">
        <v>21594711759</v>
      </c>
      <c r="M821" s="23">
        <f t="shared" si="195"/>
        <v>68648246733</v>
      </c>
      <c r="N821" s="23">
        <v>93435338105</v>
      </c>
      <c r="O821" s="25">
        <f t="shared" si="243"/>
        <v>13885254003</v>
      </c>
      <c r="P821" s="23">
        <v>3758736516</v>
      </c>
      <c r="Q821" s="23">
        <v>4176591137</v>
      </c>
      <c r="R821" s="25">
        <f t="shared" si="244"/>
        <v>89258746968</v>
      </c>
      <c r="S821" s="26">
        <f t="shared" si="245"/>
        <v>0.23929525494129675</v>
      </c>
      <c r="T821" s="27">
        <f t="shared" si="246"/>
        <v>1.6429932549209907</v>
      </c>
      <c r="U821" s="26">
        <f t="shared" si="247"/>
        <v>25.225771408866201</v>
      </c>
      <c r="V821" s="26">
        <f t="shared" si="248"/>
        <v>4.2662170294439461</v>
      </c>
      <c r="W821" s="143"/>
      <c r="X821" s="143"/>
      <c r="Y821" s="143"/>
      <c r="Z821" s="30">
        <f>W821*Y821</f>
        <v>0</v>
      </c>
      <c r="AA821" s="31">
        <f t="shared" si="249"/>
        <v>23</v>
      </c>
      <c r="AB821" s="32">
        <v>1.84E-2</v>
      </c>
      <c r="AC821" s="32">
        <v>2.58E-2</v>
      </c>
      <c r="AD821" s="33">
        <f t="shared" si="263"/>
        <v>0.15386523486185266</v>
      </c>
      <c r="AE821" s="34">
        <f t="shared" si="264"/>
        <v>4.1651299766875552E-2</v>
      </c>
      <c r="AF821" s="33">
        <f t="shared" si="265"/>
        <v>0.98909375822283963</v>
      </c>
      <c r="AG821" s="33">
        <f t="shared" si="266"/>
        <v>0</v>
      </c>
      <c r="AH821" s="35">
        <f t="shared" si="267"/>
        <v>4.3267694029793695</v>
      </c>
      <c r="AI821" s="36">
        <f t="shared" si="260"/>
        <v>7.8337289066225892</v>
      </c>
      <c r="AJ821" s="23" t="s">
        <v>85</v>
      </c>
      <c r="AK821" s="23"/>
      <c r="AL821" s="44"/>
      <c r="AM821" s="44"/>
      <c r="AN821" s="44"/>
      <c r="AO821" s="44"/>
      <c r="AP821" s="44"/>
      <c r="AQ821" s="44"/>
      <c r="AR821" s="44"/>
    </row>
    <row r="822" spans="1:44" ht="16.8">
      <c r="A822" s="17" t="s">
        <v>1856</v>
      </c>
      <c r="B822" s="18"/>
      <c r="C822" s="18" t="s">
        <v>1854</v>
      </c>
      <c r="D822" s="19" t="s">
        <v>1855</v>
      </c>
      <c r="E822" s="20" t="s">
        <v>178</v>
      </c>
      <c r="F822" s="21">
        <v>1998</v>
      </c>
      <c r="G822" s="40">
        <v>2022</v>
      </c>
      <c r="H822" s="23">
        <v>39636427220</v>
      </c>
      <c r="I822" s="23">
        <v>86684893021</v>
      </c>
      <c r="J822" s="23">
        <v>13260223554</v>
      </c>
      <c r="K822" s="23">
        <f t="shared" ref="K822:K823" si="283">(J822+J821)/2</f>
        <v>17427467656.5</v>
      </c>
      <c r="L822" s="23">
        <v>13260223554</v>
      </c>
      <c r="M822" s="23">
        <f t="shared" si="195"/>
        <v>73424669467</v>
      </c>
      <c r="N822" s="23">
        <v>115823310563</v>
      </c>
      <c r="O822" s="25">
        <f t="shared" si="243"/>
        <v>26376203666</v>
      </c>
      <c r="P822" s="23">
        <v>4776422734</v>
      </c>
      <c r="Q822" s="23">
        <v>4458469239</v>
      </c>
      <c r="R822" s="25">
        <f t="shared" si="244"/>
        <v>111364841324</v>
      </c>
      <c r="S822" s="26">
        <f t="shared" si="245"/>
        <v>0.15297040916676935</v>
      </c>
      <c r="T822" s="27">
        <f t="shared" si="246"/>
        <v>2.9891220957616143</v>
      </c>
      <c r="U822" s="26">
        <f t="shared" si="247"/>
        <v>25.185545461271484</v>
      </c>
      <c r="V822" s="26">
        <f t="shared" si="248"/>
        <v>6.6460206867634533</v>
      </c>
      <c r="W822" s="143"/>
      <c r="X822" s="143"/>
      <c r="Y822" s="143"/>
      <c r="Z822" s="30"/>
      <c r="AA822" s="31">
        <f t="shared" si="249"/>
        <v>24</v>
      </c>
      <c r="AB822" s="32">
        <v>3.15E-2</v>
      </c>
      <c r="AC822" s="32">
        <v>8.0199999999999994E-2</v>
      </c>
      <c r="AD822" s="33">
        <f t="shared" si="263"/>
        <v>0.30427682087131591</v>
      </c>
      <c r="AE822" s="34">
        <f t="shared" si="264"/>
        <v>5.5100982045889813E-2</v>
      </c>
      <c r="AF822" s="33">
        <f t="shared" si="265"/>
        <v>1.2847087588493777</v>
      </c>
      <c r="AG822" s="33">
        <f t="shared" si="266"/>
        <v>0</v>
      </c>
      <c r="AH822" s="35">
        <f t="shared" si="267"/>
        <v>8.7346423754719762</v>
      </c>
      <c r="AI822" s="36">
        <f t="shared" si="260"/>
        <v>13.416454839584746</v>
      </c>
      <c r="AJ822" s="23" t="s">
        <v>85</v>
      </c>
      <c r="AK822" s="23"/>
      <c r="AL822" s="44"/>
      <c r="AM822" s="44"/>
      <c r="AN822" s="44"/>
      <c r="AO822" s="44"/>
      <c r="AP822" s="44"/>
      <c r="AQ822" s="44"/>
      <c r="AR822" s="44"/>
    </row>
    <row r="823" spans="1:44" ht="16.8">
      <c r="A823" s="17" t="s">
        <v>1857</v>
      </c>
      <c r="B823" s="18"/>
      <c r="C823" s="18" t="s">
        <v>1854</v>
      </c>
      <c r="D823" s="19" t="s">
        <v>1855</v>
      </c>
      <c r="E823" s="20" t="s">
        <v>178</v>
      </c>
      <c r="F823" s="21">
        <v>1998</v>
      </c>
      <c r="G823" s="40">
        <v>2023</v>
      </c>
      <c r="H823" s="23">
        <v>44146804899</v>
      </c>
      <c r="I823" s="23">
        <v>84862459238</v>
      </c>
      <c r="J823" s="23">
        <v>9037247932</v>
      </c>
      <c r="K823" s="23">
        <f t="shared" si="283"/>
        <v>11148735743</v>
      </c>
      <c r="L823" s="23">
        <v>9037247932</v>
      </c>
      <c r="M823" s="23">
        <f t="shared" si="195"/>
        <v>75825211306</v>
      </c>
      <c r="N823" s="23">
        <v>84788822247</v>
      </c>
      <c r="O823" s="25">
        <f t="shared" si="243"/>
        <v>35109556967</v>
      </c>
      <c r="P823" s="23">
        <v>4555316839</v>
      </c>
      <c r="Q823" s="23">
        <v>4731318346</v>
      </c>
      <c r="R823" s="25">
        <f t="shared" si="244"/>
        <v>80057503901</v>
      </c>
      <c r="S823" s="26">
        <f t="shared" si="245"/>
        <v>0.10649288287362371</v>
      </c>
      <c r="T823" s="27">
        <f t="shared" si="246"/>
        <v>4.8849832638408133</v>
      </c>
      <c r="U823" s="26">
        <f t="shared" si="247"/>
        <v>25.164297656244116</v>
      </c>
      <c r="V823" s="26">
        <f t="shared" si="248"/>
        <v>7.6052410068322489</v>
      </c>
      <c r="W823" s="143"/>
      <c r="X823" s="143"/>
      <c r="Y823" s="143"/>
      <c r="Z823" s="30"/>
      <c r="AA823" s="31">
        <f t="shared" si="249"/>
        <v>25</v>
      </c>
      <c r="AB823" s="32">
        <v>3.2500000000000001E-2</v>
      </c>
      <c r="AC823" s="32">
        <v>5.0500000000000003E-2</v>
      </c>
      <c r="AD823" s="33">
        <f t="shared" si="263"/>
        <v>0.41372306768218808</v>
      </c>
      <c r="AE823" s="34">
        <f t="shared" si="264"/>
        <v>5.3678821942037297E-2</v>
      </c>
      <c r="AF823" s="33">
        <f t="shared" si="265"/>
        <v>0.94337949453568959</v>
      </c>
      <c r="AG823" s="33">
        <f t="shared" si="266"/>
        <v>0</v>
      </c>
      <c r="AH823" s="35">
        <f t="shared" si="267"/>
        <v>9.3821507260823473</v>
      </c>
      <c r="AI823" s="36">
        <f t="shared" si="260"/>
        <v>13.0669210899876</v>
      </c>
      <c r="AJ823" s="23" t="s">
        <v>85</v>
      </c>
      <c r="AK823" s="23"/>
      <c r="AL823" s="44"/>
      <c r="AM823" s="44"/>
      <c r="AN823" s="44"/>
      <c r="AO823" s="44"/>
      <c r="AP823" s="44"/>
      <c r="AQ823" s="44"/>
      <c r="AR823" s="44"/>
    </row>
    <row r="824" spans="1:44" ht="16.8">
      <c r="A824" s="17" t="s">
        <v>1858</v>
      </c>
      <c r="B824" s="18">
        <v>317</v>
      </c>
      <c r="C824" s="18" t="s">
        <v>1859</v>
      </c>
      <c r="D824" s="19" t="s">
        <v>1860</v>
      </c>
      <c r="E824" s="20" t="s">
        <v>39</v>
      </c>
      <c r="F824" s="21">
        <v>2004</v>
      </c>
      <c r="G824" s="40">
        <v>2021</v>
      </c>
      <c r="H824" s="23">
        <v>2651610213349</v>
      </c>
      <c r="I824" s="23">
        <v>3674822897316</v>
      </c>
      <c r="J824" s="23">
        <v>2089078116423</v>
      </c>
      <c r="K824" s="23">
        <f>(J824+2328279008043)/2</f>
        <v>2208678562233</v>
      </c>
      <c r="L824" s="23">
        <v>1900894783090</v>
      </c>
      <c r="M824" s="23">
        <f t="shared" si="195"/>
        <v>1585744780893</v>
      </c>
      <c r="N824" s="23">
        <v>3745725295961</v>
      </c>
      <c r="O824" s="25">
        <f t="shared" si="243"/>
        <v>750715430259</v>
      </c>
      <c r="P824" s="23">
        <v>35035548963</v>
      </c>
      <c r="Q824" s="23">
        <f>31783300623+51937074291</f>
        <v>83720374914</v>
      </c>
      <c r="R824" s="25">
        <f t="shared" si="244"/>
        <v>3662004921047</v>
      </c>
      <c r="S824" s="26">
        <f t="shared" si="245"/>
        <v>0.56848402625030203</v>
      </c>
      <c r="T824" s="27">
        <f t="shared" si="246"/>
        <v>1.3949273978429644</v>
      </c>
      <c r="U824" s="26">
        <f t="shared" si="247"/>
        <v>28.932526056225583</v>
      </c>
      <c r="V824" s="26">
        <f t="shared" si="248"/>
        <v>1.6959123704148364</v>
      </c>
      <c r="W824" s="143"/>
      <c r="X824" s="143"/>
      <c r="Y824" s="143"/>
      <c r="Z824" s="30">
        <f>W824*Y824</f>
        <v>0</v>
      </c>
      <c r="AA824" s="31">
        <f t="shared" si="249"/>
        <v>17</v>
      </c>
      <c r="AB824" s="32">
        <v>1.84E-2</v>
      </c>
      <c r="AC824" s="32">
        <v>2.58E-2</v>
      </c>
      <c r="AD824" s="33">
        <f t="shared" si="263"/>
        <v>0.2042861523496286</v>
      </c>
      <c r="AE824" s="34">
        <f t="shared" si="264"/>
        <v>9.5339421631962448E-3</v>
      </c>
      <c r="AF824" s="33">
        <f t="shared" si="265"/>
        <v>0.99651194720747982</v>
      </c>
      <c r="AG824" s="33">
        <f t="shared" si="266"/>
        <v>0</v>
      </c>
      <c r="AH824" s="35">
        <f t="shared" si="267"/>
        <v>1.7930039410754899</v>
      </c>
      <c r="AI824" s="36">
        <f t="shared" si="260"/>
        <v>5.3399842687082026</v>
      </c>
      <c r="AJ824" s="23"/>
      <c r="AK824" s="101">
        <v>77</v>
      </c>
      <c r="AL824" s="44"/>
      <c r="AM824" s="44"/>
      <c r="AN824" s="44"/>
      <c r="AO824" s="44"/>
      <c r="AP824" s="44"/>
      <c r="AQ824" s="44"/>
      <c r="AR824" s="44"/>
    </row>
    <row r="825" spans="1:44" ht="16.8">
      <c r="A825" s="17" t="s">
        <v>1861</v>
      </c>
      <c r="B825" s="18"/>
      <c r="C825" s="18" t="s">
        <v>1859</v>
      </c>
      <c r="D825" s="19" t="s">
        <v>1860</v>
      </c>
      <c r="E825" s="20" t="s">
        <v>39</v>
      </c>
      <c r="F825" s="21">
        <v>2004</v>
      </c>
      <c r="G825" s="40">
        <v>2022</v>
      </c>
      <c r="H825" s="23">
        <v>4395662144953</v>
      </c>
      <c r="I825" s="23">
        <v>5709791879359</v>
      </c>
      <c r="J825" s="23">
        <v>4125884760819</v>
      </c>
      <c r="K825" s="23">
        <f t="shared" ref="K825:K826" si="284">(J825+J824)/2</f>
        <v>3107481438621</v>
      </c>
      <c r="L825" s="23">
        <v>4125784760819</v>
      </c>
      <c r="M825" s="23">
        <f t="shared" si="195"/>
        <v>1583907118540</v>
      </c>
      <c r="N825" s="23">
        <v>5853603335974</v>
      </c>
      <c r="O825" s="25">
        <f t="shared" si="243"/>
        <v>269877384134</v>
      </c>
      <c r="P825" s="23">
        <v>2840987381</v>
      </c>
      <c r="Q825" s="23">
        <f>18581930533+23189915671</f>
        <v>41771846204</v>
      </c>
      <c r="R825" s="25">
        <f t="shared" si="244"/>
        <v>5811831489770</v>
      </c>
      <c r="S825" s="26">
        <f t="shared" si="245"/>
        <v>0.72259809954442422</v>
      </c>
      <c r="T825" s="27">
        <f t="shared" si="246"/>
        <v>1.0654123760155698</v>
      </c>
      <c r="U825" s="26">
        <f t="shared" si="247"/>
        <v>29.373203690483695</v>
      </c>
      <c r="V825" s="26">
        <f t="shared" si="248"/>
        <v>1.8837130491668006</v>
      </c>
      <c r="W825" s="143"/>
      <c r="X825" s="143"/>
      <c r="Y825" s="143"/>
      <c r="Z825" s="30"/>
      <c r="AA825" s="31">
        <f t="shared" si="249"/>
        <v>18</v>
      </c>
      <c r="AB825" s="32">
        <v>3.15E-2</v>
      </c>
      <c r="AC825" s="32">
        <v>8.0199999999999994E-2</v>
      </c>
      <c r="AD825" s="33">
        <f t="shared" si="263"/>
        <v>4.7265712978017918E-2</v>
      </c>
      <c r="AE825" s="34">
        <f t="shared" si="264"/>
        <v>4.975640865773445E-4</v>
      </c>
      <c r="AF825" s="33">
        <f t="shared" si="265"/>
        <v>1.0178709859425656</v>
      </c>
      <c r="AG825" s="33">
        <f t="shared" si="266"/>
        <v>0</v>
      </c>
      <c r="AH825" s="35">
        <f t="shared" si="267"/>
        <v>1.4187510498504672</v>
      </c>
      <c r="AI825" s="36">
        <f t="shared" si="260"/>
        <v>4.8351407487557632</v>
      </c>
      <c r="AJ825" s="23"/>
      <c r="AK825" s="101">
        <v>78</v>
      </c>
      <c r="AL825" s="44"/>
      <c r="AM825" s="44"/>
      <c r="AN825" s="44"/>
      <c r="AO825" s="44"/>
      <c r="AP825" s="44"/>
      <c r="AQ825" s="44"/>
      <c r="AR825" s="44"/>
    </row>
    <row r="826" spans="1:44" ht="16.8">
      <c r="A826" s="17" t="s">
        <v>1862</v>
      </c>
      <c r="B826" s="18"/>
      <c r="C826" s="18" t="s">
        <v>1859</v>
      </c>
      <c r="D826" s="19" t="s">
        <v>1860</v>
      </c>
      <c r="E826" s="20" t="s">
        <v>39</v>
      </c>
      <c r="F826" s="21">
        <v>2004</v>
      </c>
      <c r="G826" s="40">
        <v>2023</v>
      </c>
      <c r="H826" s="23">
        <v>4224526182624</v>
      </c>
      <c r="I826" s="23">
        <v>5708577797031</v>
      </c>
      <c r="J826" s="23">
        <v>4121905059461</v>
      </c>
      <c r="K826" s="23">
        <f t="shared" si="284"/>
        <v>4123894910140</v>
      </c>
      <c r="L826" s="23">
        <v>4121905059461</v>
      </c>
      <c r="M826" s="23">
        <f t="shared" si="195"/>
        <v>1586672737570</v>
      </c>
      <c r="N826" s="23">
        <v>5724422556276</v>
      </c>
      <c r="O826" s="25">
        <f t="shared" si="243"/>
        <v>102621123163</v>
      </c>
      <c r="P826" s="23">
        <v>3538908688</v>
      </c>
      <c r="Q826" s="23">
        <f>35899280189+22459017835</f>
        <v>58358298024</v>
      </c>
      <c r="R826" s="25">
        <f t="shared" si="244"/>
        <v>5666064258252</v>
      </c>
      <c r="S826" s="26">
        <f t="shared" si="245"/>
        <v>0.72205463532524339</v>
      </c>
      <c r="T826" s="27">
        <f t="shared" si="246"/>
        <v>1.0248965276207549</v>
      </c>
      <c r="U826" s="26">
        <f t="shared" si="247"/>
        <v>29.372991036248987</v>
      </c>
      <c r="V826" s="26">
        <f t="shared" si="248"/>
        <v>1.388110677166035</v>
      </c>
      <c r="W826" s="143"/>
      <c r="X826" s="143"/>
      <c r="Y826" s="143"/>
      <c r="Z826" s="30"/>
      <c r="AA826" s="31">
        <f t="shared" si="249"/>
        <v>19</v>
      </c>
      <c r="AB826" s="32">
        <v>3.2500000000000001E-2</v>
      </c>
      <c r="AC826" s="32">
        <v>5.0500000000000003E-2</v>
      </c>
      <c r="AD826" s="33">
        <f t="shared" si="263"/>
        <v>1.7976653172069E-2</v>
      </c>
      <c r="AE826" s="34">
        <f t="shared" si="264"/>
        <v>6.1992825775985172E-4</v>
      </c>
      <c r="AF826" s="33">
        <f t="shared" si="265"/>
        <v>0.99255269170525962</v>
      </c>
      <c r="AG826" s="33">
        <f t="shared" si="266"/>
        <v>0</v>
      </c>
      <c r="AH826" s="35">
        <f t="shared" si="267"/>
        <v>1.3887807879360892</v>
      </c>
      <c r="AI826" s="36">
        <f t="shared" si="260"/>
        <v>4.6866445539307922</v>
      </c>
      <c r="AJ826" s="23"/>
      <c r="AK826" s="101">
        <v>79</v>
      </c>
      <c r="AL826" s="44"/>
      <c r="AM826" s="44"/>
      <c r="AN826" s="44"/>
      <c r="AO826" s="44"/>
      <c r="AP826" s="44"/>
      <c r="AQ826" s="44"/>
      <c r="AR826" s="44"/>
    </row>
    <row r="827" spans="1:44" ht="16.8">
      <c r="A827" s="17" t="s">
        <v>1863</v>
      </c>
      <c r="B827" s="18">
        <v>318</v>
      </c>
      <c r="C827" s="18" t="s">
        <v>1864</v>
      </c>
      <c r="D827" s="19" t="s">
        <v>1865</v>
      </c>
      <c r="E827" s="20" t="s">
        <v>39</v>
      </c>
      <c r="F827" s="21">
        <v>2007</v>
      </c>
      <c r="G827" s="40">
        <v>2021</v>
      </c>
      <c r="H827" s="23">
        <v>10839040649736</v>
      </c>
      <c r="I827" s="23">
        <v>10910883600024</v>
      </c>
      <c r="J827" s="23">
        <v>4855303932291</v>
      </c>
      <c r="K827" s="23">
        <f>(J827+3703427874103)/2</f>
        <v>4279365903197</v>
      </c>
      <c r="L827" s="23">
        <v>4204719054422</v>
      </c>
      <c r="M827" s="23">
        <f t="shared" si="195"/>
        <v>6055579667733</v>
      </c>
      <c r="N827" s="23">
        <v>2895317648402</v>
      </c>
      <c r="O827" s="25">
        <f t="shared" si="243"/>
        <v>6634321595314</v>
      </c>
      <c r="P827" s="23">
        <v>1396285501055</v>
      </c>
      <c r="Q827" s="23">
        <v>832901357813</v>
      </c>
      <c r="R827" s="25">
        <f t="shared" si="244"/>
        <v>2062416290589</v>
      </c>
      <c r="S827" s="26">
        <f t="shared" si="245"/>
        <v>0.44499640086714148</v>
      </c>
      <c r="T827" s="27">
        <f t="shared" si="246"/>
        <v>2.5778275574290381</v>
      </c>
      <c r="U827" s="26">
        <f t="shared" si="247"/>
        <v>30.020781902413727</v>
      </c>
      <c r="V827" s="26">
        <f t="shared" si="248"/>
        <v>0.67657632319755256</v>
      </c>
      <c r="W827" s="143"/>
      <c r="X827" s="143"/>
      <c r="Y827" s="143"/>
      <c r="Z827" s="30">
        <f>W827*Y827</f>
        <v>0</v>
      </c>
      <c r="AA827" s="31">
        <f t="shared" si="249"/>
        <v>14</v>
      </c>
      <c r="AB827" s="32">
        <v>1.84E-2</v>
      </c>
      <c r="AC827" s="32">
        <v>2.58E-2</v>
      </c>
      <c r="AD827" s="33">
        <f t="shared" si="263"/>
        <v>0.60804622599946045</v>
      </c>
      <c r="AE827" s="34">
        <f t="shared" si="264"/>
        <v>0.12797180798921992</v>
      </c>
      <c r="AF827" s="33">
        <f t="shared" si="265"/>
        <v>0.18902376436171159</v>
      </c>
      <c r="AG827" s="33">
        <f t="shared" si="266"/>
        <v>0</v>
      </c>
      <c r="AH827" s="35">
        <f t="shared" si="267"/>
        <v>0.59632057823326201</v>
      </c>
      <c r="AI827" s="36">
        <f t="shared" si="260"/>
        <v>2.1289150030111705</v>
      </c>
      <c r="AJ827" s="23"/>
      <c r="AK827" s="101">
        <v>80</v>
      </c>
      <c r="AL827" s="44"/>
      <c r="AM827" s="44"/>
      <c r="AN827" s="44"/>
      <c r="AO827" s="44"/>
      <c r="AP827" s="44"/>
      <c r="AQ827" s="44"/>
      <c r="AR827" s="44"/>
    </row>
    <row r="828" spans="1:44" ht="16.8">
      <c r="A828" s="17" t="s">
        <v>1866</v>
      </c>
      <c r="B828" s="18"/>
      <c r="C828" s="18" t="s">
        <v>1864</v>
      </c>
      <c r="D828" s="19" t="s">
        <v>1865</v>
      </c>
      <c r="E828" s="20" t="s">
        <v>39</v>
      </c>
      <c r="F828" s="21">
        <v>2007</v>
      </c>
      <c r="G828" s="40">
        <v>2022</v>
      </c>
      <c r="H828" s="23">
        <v>10832351412869</v>
      </c>
      <c r="I828" s="23">
        <v>10899625766763</v>
      </c>
      <c r="J828" s="23">
        <v>1463766337166</v>
      </c>
      <c r="K828" s="23">
        <f t="shared" ref="K828:K829" si="285">(J828+J827)/2</f>
        <v>3159535134728.5</v>
      </c>
      <c r="L828" s="23">
        <v>1364948808240</v>
      </c>
      <c r="M828" s="23">
        <f t="shared" si="195"/>
        <v>9435859429597</v>
      </c>
      <c r="N828" s="23">
        <v>1542468212379</v>
      </c>
      <c r="O828" s="25">
        <f t="shared" si="243"/>
        <v>9467402604629</v>
      </c>
      <c r="P828" s="23">
        <v>162216054110</v>
      </c>
      <c r="Q828" s="23">
        <v>1088821900636</v>
      </c>
      <c r="R828" s="25">
        <f t="shared" si="244"/>
        <v>453646311743</v>
      </c>
      <c r="S828" s="26">
        <f t="shared" si="245"/>
        <v>0.13429510044551862</v>
      </c>
      <c r="T828" s="27">
        <f t="shared" si="246"/>
        <v>7.9360862088568078</v>
      </c>
      <c r="U828" s="26">
        <f t="shared" si="247"/>
        <v>30.019749571249747</v>
      </c>
      <c r="V828" s="26">
        <f t="shared" si="248"/>
        <v>0.48819466997683658</v>
      </c>
      <c r="W828" s="143"/>
      <c r="X828" s="143"/>
      <c r="Y828" s="143"/>
      <c r="Z828" s="30"/>
      <c r="AA828" s="31">
        <f t="shared" si="249"/>
        <v>15</v>
      </c>
      <c r="AB828" s="32">
        <v>3.15E-2</v>
      </c>
      <c r="AC828" s="32">
        <v>8.0199999999999994E-2</v>
      </c>
      <c r="AD828" s="33">
        <f t="shared" si="263"/>
        <v>0.86859886818303622</v>
      </c>
      <c r="AE828" s="34">
        <f t="shared" si="264"/>
        <v>1.4882717772261217E-2</v>
      </c>
      <c r="AF828" s="33">
        <f t="shared" si="265"/>
        <v>4.1620356648054448E-2</v>
      </c>
      <c r="AG828" s="33">
        <f t="shared" si="266"/>
        <v>0</v>
      </c>
      <c r="AH828" s="35">
        <f t="shared" si="267"/>
        <v>1.0537666929582319</v>
      </c>
      <c r="AI828" s="36">
        <f t="shared" si="260"/>
        <v>2.2542683165976207</v>
      </c>
      <c r="AJ828" s="23"/>
      <c r="AK828" s="101">
        <v>81</v>
      </c>
      <c r="AL828" s="44"/>
      <c r="AM828" s="44"/>
      <c r="AN828" s="44"/>
      <c r="AO828" s="44"/>
      <c r="AP828" s="44"/>
      <c r="AQ828" s="44"/>
      <c r="AR828" s="44"/>
    </row>
    <row r="829" spans="1:44" ht="16.8">
      <c r="A829" s="17" t="s">
        <v>1867</v>
      </c>
      <c r="B829" s="18"/>
      <c r="C829" s="18" t="s">
        <v>1864</v>
      </c>
      <c r="D829" s="19" t="s">
        <v>1865</v>
      </c>
      <c r="E829" s="20" t="s">
        <v>39</v>
      </c>
      <c r="F829" s="21">
        <v>2007</v>
      </c>
      <c r="G829" s="40">
        <v>2023</v>
      </c>
      <c r="H829" s="23">
        <v>11385435031979</v>
      </c>
      <c r="I829" s="23">
        <v>11457207540011</v>
      </c>
      <c r="J829" s="23">
        <v>1193696795393</v>
      </c>
      <c r="K829" s="23">
        <f t="shared" si="285"/>
        <v>1328731566279.5</v>
      </c>
      <c r="L829" s="23">
        <v>1120505210757</v>
      </c>
      <c r="M829" s="23">
        <f t="shared" si="195"/>
        <v>10263510744618</v>
      </c>
      <c r="N829" s="23">
        <v>1460069441257</v>
      </c>
      <c r="O829" s="25">
        <f t="shared" si="243"/>
        <v>10264929821222</v>
      </c>
      <c r="P829" s="23">
        <v>559293397570</v>
      </c>
      <c r="Q829" s="23">
        <v>606441083579</v>
      </c>
      <c r="R829" s="25">
        <f t="shared" si="244"/>
        <v>853628357678</v>
      </c>
      <c r="S829" s="26">
        <f t="shared" si="245"/>
        <v>0.10418741139360158</v>
      </c>
      <c r="T829" s="27">
        <f t="shared" si="246"/>
        <v>10.160983565874838</v>
      </c>
      <c r="U829" s="26">
        <f t="shared" si="247"/>
        <v>30.069640127366636</v>
      </c>
      <c r="V829" s="26">
        <f t="shared" si="248"/>
        <v>1.098844550931571</v>
      </c>
      <c r="W829" s="143"/>
      <c r="X829" s="143"/>
      <c r="Y829" s="143"/>
      <c r="Z829" s="30"/>
      <c r="AA829" s="31">
        <f t="shared" si="249"/>
        <v>16</v>
      </c>
      <c r="AB829" s="32">
        <v>3.2500000000000001E-2</v>
      </c>
      <c r="AC829" s="32">
        <v>5.0500000000000003E-2</v>
      </c>
      <c r="AD829" s="33">
        <f t="shared" si="263"/>
        <v>0.89593644746110135</v>
      </c>
      <c r="AE829" s="34">
        <f t="shared" si="264"/>
        <v>4.8815856360882766E-2</v>
      </c>
      <c r="AF829" s="33">
        <f t="shared" si="265"/>
        <v>7.4505795124767418E-2</v>
      </c>
      <c r="AG829" s="33">
        <f t="shared" si="266"/>
        <v>0</v>
      </c>
      <c r="AH829" s="35">
        <f t="shared" si="267"/>
        <v>1.2231493348160514</v>
      </c>
      <c r="AI829" s="36">
        <f t="shared" si="260"/>
        <v>2.6124843945863416</v>
      </c>
      <c r="AJ829" s="23"/>
      <c r="AK829" s="101">
        <v>82</v>
      </c>
      <c r="AL829" s="44"/>
      <c r="AM829" s="44"/>
      <c r="AN829" s="44"/>
      <c r="AO829" s="44"/>
      <c r="AP829" s="44"/>
      <c r="AQ829" s="44"/>
      <c r="AR829" s="44"/>
    </row>
    <row r="830" spans="1:44" ht="16.8">
      <c r="A830" s="45"/>
      <c r="B830" s="45">
        <v>319</v>
      </c>
      <c r="C830" s="45" t="s">
        <v>1868</v>
      </c>
      <c r="D830" s="46" t="s">
        <v>1869</v>
      </c>
      <c r="E830" s="47" t="s">
        <v>39</v>
      </c>
      <c r="F830" s="48"/>
      <c r="G830" s="48"/>
      <c r="H830" s="49"/>
      <c r="I830" s="49"/>
      <c r="J830" s="49"/>
      <c r="K830" s="49"/>
      <c r="L830" s="49"/>
      <c r="M830" s="49">
        <f t="shared" si="195"/>
        <v>0</v>
      </c>
      <c r="N830" s="49"/>
      <c r="O830" s="49">
        <f t="shared" si="243"/>
        <v>0</v>
      </c>
      <c r="P830" s="49"/>
      <c r="Q830" s="49"/>
      <c r="R830" s="49">
        <f t="shared" si="244"/>
        <v>0</v>
      </c>
      <c r="S830" s="50" t="e">
        <f t="shared" si="245"/>
        <v>#DIV/0!</v>
      </c>
      <c r="T830" s="51" t="e">
        <f t="shared" si="246"/>
        <v>#DIV/0!</v>
      </c>
      <c r="U830" s="50" t="e">
        <f t="shared" si="247"/>
        <v>#NUM!</v>
      </c>
      <c r="V830" s="50" t="e">
        <f t="shared" si="248"/>
        <v>#DIV/0!</v>
      </c>
      <c r="W830" s="52"/>
      <c r="X830" s="52"/>
      <c r="Y830" s="52"/>
      <c r="Z830" s="55">
        <f t="shared" ref="Z830:Z831" si="286">W830*Y830</f>
        <v>0</v>
      </c>
      <c r="AA830" s="48">
        <f t="shared" si="249"/>
        <v>0</v>
      </c>
      <c r="AB830" s="49"/>
      <c r="AC830" s="49"/>
      <c r="AD830" s="50" t="e">
        <f t="shared" si="263"/>
        <v>#DIV/0!</v>
      </c>
      <c r="AE830" s="56" t="e">
        <f t="shared" si="264"/>
        <v>#DIV/0!</v>
      </c>
      <c r="AF830" s="50" t="e">
        <f t="shared" si="265"/>
        <v>#DIV/0!</v>
      </c>
      <c r="AG830" s="50" t="e">
        <f t="shared" si="266"/>
        <v>#DIV/0!</v>
      </c>
      <c r="AH830" s="57" t="e">
        <f t="shared" si="267"/>
        <v>#DIV/0!</v>
      </c>
      <c r="AI830" s="58" t="e">
        <f t="shared" si="260"/>
        <v>#DIV/0!</v>
      </c>
      <c r="AJ830" s="49"/>
      <c r="AK830" s="49">
        <v>83</v>
      </c>
      <c r="AL830" s="59"/>
      <c r="AM830" s="59"/>
      <c r="AN830" s="59"/>
      <c r="AO830" s="59"/>
      <c r="AP830" s="59"/>
      <c r="AQ830" s="59"/>
      <c r="AR830" s="59"/>
    </row>
    <row r="831" spans="1:44" ht="16.8">
      <c r="A831" s="18"/>
      <c r="B831" s="18">
        <v>320</v>
      </c>
      <c r="C831" s="18" t="s">
        <v>1870</v>
      </c>
      <c r="D831" s="19" t="s">
        <v>1871</v>
      </c>
      <c r="E831" s="20" t="s">
        <v>39</v>
      </c>
      <c r="F831" s="21">
        <v>1988</v>
      </c>
      <c r="G831" s="40">
        <v>2021</v>
      </c>
      <c r="H831" s="23">
        <v>618111253989</v>
      </c>
      <c r="I831" s="23">
        <v>967248110811</v>
      </c>
      <c r="J831" s="23">
        <v>676289389938</v>
      </c>
      <c r="K831" s="23">
        <f>(J831+674574311851)/2</f>
        <v>675431850894.5</v>
      </c>
      <c r="L831" s="23">
        <v>593038542111</v>
      </c>
      <c r="M831" s="23">
        <f t="shared" si="195"/>
        <v>290958720873</v>
      </c>
      <c r="N831" s="23">
        <v>1122182236604</v>
      </c>
      <c r="O831" s="25">
        <f t="shared" si="243"/>
        <v>25072711878</v>
      </c>
      <c r="P831" s="23">
        <v>12788192627</v>
      </c>
      <c r="Q831" s="23">
        <f>22772126233+17179456275</f>
        <v>39951582508</v>
      </c>
      <c r="R831" s="25">
        <f t="shared" si="244"/>
        <v>1082230654096</v>
      </c>
      <c r="S831" s="26">
        <f t="shared" si="245"/>
        <v>0.69918915568721829</v>
      </c>
      <c r="T831" s="27">
        <f t="shared" si="246"/>
        <v>1.0422783851261173</v>
      </c>
      <c r="U831" s="26">
        <f t="shared" si="247"/>
        <v>27.597720877370307</v>
      </c>
      <c r="V831" s="26">
        <f t="shared" si="248"/>
        <v>1.6614292546581146</v>
      </c>
      <c r="W831" s="143"/>
      <c r="X831" s="143"/>
      <c r="Y831" s="143"/>
      <c r="Z831" s="30">
        <f t="shared" si="286"/>
        <v>0</v>
      </c>
      <c r="AA831" s="31">
        <f t="shared" si="249"/>
        <v>33</v>
      </c>
      <c r="AB831" s="32">
        <v>1.84E-2</v>
      </c>
      <c r="AC831" s="32">
        <v>2.58E-2</v>
      </c>
      <c r="AD831" s="33">
        <f t="shared" si="263"/>
        <v>2.5921696406289701E-2</v>
      </c>
      <c r="AE831" s="34">
        <f t="shared" si="264"/>
        <v>1.3221212307437434E-2</v>
      </c>
      <c r="AF831" s="33">
        <f t="shared" si="265"/>
        <v>1.1188759554036156</v>
      </c>
      <c r="AG831" s="33">
        <f t="shared" si="266"/>
        <v>0</v>
      </c>
      <c r="AH831" s="35">
        <f t="shared" si="267"/>
        <v>1.6593225522980304</v>
      </c>
      <c r="AI831" s="36">
        <f t="shared" si="260"/>
        <v>5.4012289380479217</v>
      </c>
      <c r="AJ831" s="23"/>
      <c r="AK831" s="101">
        <v>84</v>
      </c>
      <c r="AL831" s="44"/>
      <c r="AM831" s="44"/>
      <c r="AN831" s="44"/>
      <c r="AO831" s="44"/>
      <c r="AP831" s="44"/>
      <c r="AQ831" s="44"/>
      <c r="AR831" s="44"/>
    </row>
    <row r="832" spans="1:44" ht="16.8">
      <c r="A832" s="18"/>
      <c r="B832" s="18"/>
      <c r="C832" s="18" t="s">
        <v>1870</v>
      </c>
      <c r="D832" s="19" t="s">
        <v>1871</v>
      </c>
      <c r="E832" s="20" t="s">
        <v>39</v>
      </c>
      <c r="F832" s="21">
        <v>1988</v>
      </c>
      <c r="G832" s="40">
        <v>2022</v>
      </c>
      <c r="H832" s="23">
        <v>672253898039</v>
      </c>
      <c r="I832" s="23">
        <v>1009778317005</v>
      </c>
      <c r="J832" s="23">
        <v>706215098202</v>
      </c>
      <c r="K832" s="23">
        <f t="shared" ref="K832:K833" si="287">(J832+J831)/2</f>
        <v>691252244070</v>
      </c>
      <c r="L832" s="23">
        <v>649389345781</v>
      </c>
      <c r="M832" s="23">
        <f t="shared" si="195"/>
        <v>303563218803</v>
      </c>
      <c r="N832" s="23">
        <v>1333178991856</v>
      </c>
      <c r="O832" s="25">
        <f t="shared" si="243"/>
        <v>22864552258</v>
      </c>
      <c r="P832" s="23">
        <v>12988143709</v>
      </c>
      <c r="Q832" s="23">
        <f>17939354760+19050924671</f>
        <v>36990279431</v>
      </c>
      <c r="R832" s="25">
        <f t="shared" si="244"/>
        <v>1296188712425</v>
      </c>
      <c r="S832" s="26">
        <f t="shared" si="245"/>
        <v>0.69937637430820676</v>
      </c>
      <c r="T832" s="27">
        <f t="shared" si="246"/>
        <v>1.0352093122662822</v>
      </c>
      <c r="U832" s="26">
        <f t="shared" si="247"/>
        <v>27.640751934576812</v>
      </c>
      <c r="V832" s="26">
        <f t="shared" si="248"/>
        <v>1.9286432750025111</v>
      </c>
      <c r="W832" s="143"/>
      <c r="X832" s="143"/>
      <c r="Y832" s="143"/>
      <c r="Z832" s="30"/>
      <c r="AA832" s="31">
        <f t="shared" si="249"/>
        <v>34</v>
      </c>
      <c r="AB832" s="32">
        <v>3.15E-2</v>
      </c>
      <c r="AC832" s="32">
        <v>8.0199999999999994E-2</v>
      </c>
      <c r="AD832" s="33">
        <f t="shared" si="263"/>
        <v>2.2643140452665102E-2</v>
      </c>
      <c r="AE832" s="34">
        <f t="shared" si="264"/>
        <v>1.2862371364363223E-2</v>
      </c>
      <c r="AF832" s="33">
        <f t="shared" si="265"/>
        <v>1.2836369038597428</v>
      </c>
      <c r="AG832" s="33">
        <f t="shared" si="266"/>
        <v>0</v>
      </c>
      <c r="AH832" s="35">
        <f t="shared" si="267"/>
        <v>1.8877803593412674</v>
      </c>
      <c r="AI832" s="36">
        <f t="shared" si="260"/>
        <v>6.1689612305317256</v>
      </c>
      <c r="AJ832" s="23"/>
      <c r="AK832" s="101">
        <v>85</v>
      </c>
      <c r="AL832" s="44"/>
      <c r="AM832" s="44"/>
      <c r="AN832" s="44"/>
      <c r="AO832" s="44"/>
      <c r="AP832" s="44"/>
      <c r="AQ832" s="44"/>
      <c r="AR832" s="44"/>
    </row>
    <row r="833" spans="1:44" ht="16.8">
      <c r="A833" s="18"/>
      <c r="B833" s="18"/>
      <c r="C833" s="18" t="s">
        <v>1870</v>
      </c>
      <c r="D833" s="19" t="s">
        <v>1871</v>
      </c>
      <c r="E833" s="20" t="s">
        <v>39</v>
      </c>
      <c r="F833" s="21">
        <v>1988</v>
      </c>
      <c r="G833" s="40">
        <v>2023</v>
      </c>
      <c r="H833" s="23">
        <v>720486392287</v>
      </c>
      <c r="I833" s="23">
        <v>1156287218414</v>
      </c>
      <c r="J833" s="23">
        <v>826201544489</v>
      </c>
      <c r="K833" s="23">
        <f t="shared" si="287"/>
        <v>766208321345.5</v>
      </c>
      <c r="L833" s="23">
        <v>684381405986</v>
      </c>
      <c r="M833" s="23">
        <f t="shared" si="195"/>
        <v>330085673925</v>
      </c>
      <c r="N833" s="23">
        <v>1396812606867</v>
      </c>
      <c r="O833" s="25">
        <f t="shared" si="243"/>
        <v>36104986301</v>
      </c>
      <c r="P833" s="23">
        <v>10585973118</v>
      </c>
      <c r="Q833" s="23">
        <f>13244311958+19625505463</f>
        <v>32869817421</v>
      </c>
      <c r="R833" s="25">
        <f t="shared" si="244"/>
        <v>1363942789446</v>
      </c>
      <c r="S833" s="26">
        <f t="shared" si="245"/>
        <v>0.7145296872019774</v>
      </c>
      <c r="T833" s="27">
        <f t="shared" si="246"/>
        <v>1.0527556505556765</v>
      </c>
      <c r="U833" s="26">
        <f t="shared" si="247"/>
        <v>27.776235314153588</v>
      </c>
      <c r="V833" s="26">
        <f t="shared" si="248"/>
        <v>1.8230193642560908</v>
      </c>
      <c r="W833" s="143"/>
      <c r="X833" s="143"/>
      <c r="Y833" s="143"/>
      <c r="Z833" s="30"/>
      <c r="AA833" s="31">
        <f t="shared" si="249"/>
        <v>35</v>
      </c>
      <c r="AB833" s="32">
        <v>3.2500000000000001E-2</v>
      </c>
      <c r="AC833" s="32">
        <v>5.0500000000000003E-2</v>
      </c>
      <c r="AD833" s="33">
        <f t="shared" si="263"/>
        <v>3.122492900208889E-2</v>
      </c>
      <c r="AE833" s="34">
        <f t="shared" si="264"/>
        <v>9.1551415162402765E-3</v>
      </c>
      <c r="AF833" s="33">
        <f t="shared" si="265"/>
        <v>1.1795882266318112</v>
      </c>
      <c r="AG833" s="33">
        <f t="shared" si="266"/>
        <v>0</v>
      </c>
      <c r="AH833" s="35">
        <f t="shared" si="267"/>
        <v>1.6906439066643466</v>
      </c>
      <c r="AI833" s="36">
        <f t="shared" si="260"/>
        <v>5.6335721674745658</v>
      </c>
      <c r="AJ833" s="23"/>
      <c r="AK833" s="101">
        <v>86</v>
      </c>
      <c r="AL833" s="44"/>
      <c r="AM833" s="44"/>
      <c r="AN833" s="44"/>
      <c r="AO833" s="44"/>
      <c r="AP833" s="44"/>
      <c r="AQ833" s="44"/>
      <c r="AR833" s="44"/>
    </row>
    <row r="834" spans="1:44" ht="16.8">
      <c r="A834" s="45"/>
      <c r="B834" s="45">
        <v>321</v>
      </c>
      <c r="C834" s="45" t="s">
        <v>1872</v>
      </c>
      <c r="D834" s="46" t="s">
        <v>1873</v>
      </c>
      <c r="E834" s="47" t="s">
        <v>178</v>
      </c>
      <c r="F834" s="48"/>
      <c r="G834" s="48"/>
      <c r="H834" s="49"/>
      <c r="I834" s="49"/>
      <c r="J834" s="49"/>
      <c r="K834" s="49"/>
      <c r="L834" s="49"/>
      <c r="M834" s="49">
        <f t="shared" si="195"/>
        <v>0</v>
      </c>
      <c r="N834" s="49"/>
      <c r="O834" s="49">
        <f t="shared" si="243"/>
        <v>0</v>
      </c>
      <c r="P834" s="49"/>
      <c r="Q834" s="49"/>
      <c r="R834" s="49">
        <f t="shared" si="244"/>
        <v>0</v>
      </c>
      <c r="S834" s="50" t="e">
        <f t="shared" si="245"/>
        <v>#DIV/0!</v>
      </c>
      <c r="T834" s="51" t="e">
        <f t="shared" si="246"/>
        <v>#DIV/0!</v>
      </c>
      <c r="U834" s="50" t="e">
        <f t="shared" si="247"/>
        <v>#NUM!</v>
      </c>
      <c r="V834" s="50" t="e">
        <f t="shared" si="248"/>
        <v>#DIV/0!</v>
      </c>
      <c r="W834" s="52"/>
      <c r="X834" s="52"/>
      <c r="Y834" s="52"/>
      <c r="Z834" s="55">
        <f t="shared" ref="Z834:Z835" si="288">W834*Y834</f>
        <v>0</v>
      </c>
      <c r="AA834" s="48">
        <f t="shared" si="249"/>
        <v>0</v>
      </c>
      <c r="AB834" s="49"/>
      <c r="AC834" s="49"/>
      <c r="AD834" s="50">
        <f>O832/I832</f>
        <v>2.2643140452665102E-2</v>
      </c>
      <c r="AE834" s="56">
        <f>P832/I832</f>
        <v>1.2862371364363223E-2</v>
      </c>
      <c r="AF834" s="50">
        <f>R832/I832</f>
        <v>1.2836369038597428</v>
      </c>
      <c r="AG834" s="50">
        <f>Z832/J832</f>
        <v>0</v>
      </c>
      <c r="AH834" s="57">
        <f>N832/J832</f>
        <v>1.8877803593412674</v>
      </c>
      <c r="AI834" s="58">
        <f t="shared" si="260"/>
        <v>6.1689612305317256</v>
      </c>
      <c r="AJ834" s="49"/>
      <c r="AK834" s="49"/>
      <c r="AL834" s="59"/>
      <c r="AM834" s="59"/>
      <c r="AN834" s="59"/>
      <c r="AO834" s="59"/>
      <c r="AP834" s="59"/>
      <c r="AQ834" s="59"/>
      <c r="AR834" s="59"/>
    </row>
    <row r="835" spans="1:44" ht="16.8">
      <c r="A835" s="17" t="s">
        <v>1874</v>
      </c>
      <c r="B835" s="18">
        <v>322</v>
      </c>
      <c r="C835" s="18" t="s">
        <v>1875</v>
      </c>
      <c r="D835" s="19" t="s">
        <v>1876</v>
      </c>
      <c r="E835" s="20" t="s">
        <v>39</v>
      </c>
      <c r="F835" s="21">
        <v>1961</v>
      </c>
      <c r="G835" s="40">
        <v>2021</v>
      </c>
      <c r="H835" s="23">
        <v>695183281947</v>
      </c>
      <c r="I835" s="23">
        <v>2128531125344</v>
      </c>
      <c r="J835" s="23">
        <v>1468652726302</v>
      </c>
      <c r="K835" s="23">
        <f>(J835+1538248977067)/2</f>
        <v>1503450851684.5</v>
      </c>
      <c r="L835" s="23">
        <v>659749968870</v>
      </c>
      <c r="M835" s="23">
        <f t="shared" si="195"/>
        <v>659878399042</v>
      </c>
      <c r="N835" s="23">
        <v>710517163214</v>
      </c>
      <c r="O835" s="25">
        <f t="shared" si="243"/>
        <v>35433313077</v>
      </c>
      <c r="P835" s="23">
        <v>56399787749</v>
      </c>
      <c r="Q835" s="23">
        <v>81714272647</v>
      </c>
      <c r="R835" s="25">
        <f t="shared" si="244"/>
        <v>628802890567</v>
      </c>
      <c r="S835" s="26">
        <f t="shared" si="245"/>
        <v>0.68998414390799456</v>
      </c>
      <c r="T835" s="27">
        <f t="shared" si="246"/>
        <v>1.0537071841590067</v>
      </c>
      <c r="U835" s="26">
        <f t="shared" si="247"/>
        <v>28.386453245243242</v>
      </c>
      <c r="V835" s="26">
        <f t="shared" si="248"/>
        <v>0.47259088144977979</v>
      </c>
      <c r="W835" s="143"/>
      <c r="X835" s="143"/>
      <c r="Y835" s="143"/>
      <c r="Z835" s="30">
        <f t="shared" si="288"/>
        <v>0</v>
      </c>
      <c r="AA835" s="31">
        <f t="shared" si="249"/>
        <v>60</v>
      </c>
      <c r="AB835" s="32">
        <v>1.84E-2</v>
      </c>
      <c r="AC835" s="32">
        <v>2.58E-2</v>
      </c>
      <c r="AD835" s="33">
        <f t="shared" ref="AD835:AD1089" si="289">O835/I835</f>
        <v>1.6646838120007987E-2</v>
      </c>
      <c r="AE835" s="34">
        <f t="shared" ref="AE835:AE1089" si="290">P835/I835</f>
        <v>2.6497046285797216E-2</v>
      </c>
      <c r="AF835" s="33">
        <f t="shared" ref="AF835:AF1089" si="291">R835/I835</f>
        <v>0.29541634748957535</v>
      </c>
      <c r="AG835" s="33">
        <f t="shared" ref="AG835:AG1089" si="292">Z835/J835</f>
        <v>0</v>
      </c>
      <c r="AH835" s="35">
        <f t="shared" ref="AH835:AH1089" si="293">N835/J835</f>
        <v>0.48378840721798783</v>
      </c>
      <c r="AI835" s="36">
        <f t="shared" si="260"/>
        <v>1.5157344244777122</v>
      </c>
      <c r="AJ835" s="23" t="s">
        <v>85</v>
      </c>
      <c r="AK835" s="101">
        <v>87</v>
      </c>
      <c r="AL835" s="44"/>
      <c r="AM835" s="44"/>
      <c r="AN835" s="44"/>
      <c r="AO835" s="44"/>
      <c r="AP835" s="44"/>
      <c r="AQ835" s="44"/>
      <c r="AR835" s="44"/>
    </row>
    <row r="836" spans="1:44" ht="16.8">
      <c r="A836" s="17" t="s">
        <v>1877</v>
      </c>
      <c r="B836" s="18"/>
      <c r="C836" s="18" t="s">
        <v>1875</v>
      </c>
      <c r="D836" s="19" t="s">
        <v>1876</v>
      </c>
      <c r="E836" s="20" t="s">
        <v>39</v>
      </c>
      <c r="F836" s="21">
        <v>1961</v>
      </c>
      <c r="G836" s="40">
        <v>2022</v>
      </c>
      <c r="H836" s="23">
        <v>548989523710</v>
      </c>
      <c r="I836" s="23">
        <v>1918647584236</v>
      </c>
      <c r="J836" s="23">
        <v>1236831589880</v>
      </c>
      <c r="K836" s="23">
        <f t="shared" ref="K836:K837" si="294">(J836+J835)/2</f>
        <v>1352742158091</v>
      </c>
      <c r="L836" s="23">
        <v>547154012621</v>
      </c>
      <c r="M836" s="23">
        <f t="shared" si="195"/>
        <v>681815994356</v>
      </c>
      <c r="N836" s="23">
        <v>907407917755</v>
      </c>
      <c r="O836" s="25">
        <f t="shared" si="243"/>
        <v>1835511089</v>
      </c>
      <c r="P836" s="23">
        <v>71515448946</v>
      </c>
      <c r="Q836" s="23">
        <v>85857621799</v>
      </c>
      <c r="R836" s="25">
        <f t="shared" si="244"/>
        <v>821550295956</v>
      </c>
      <c r="S836" s="26">
        <f t="shared" si="245"/>
        <v>0.64463719134355923</v>
      </c>
      <c r="T836" s="27">
        <f t="shared" si="246"/>
        <v>1.0033546516093474</v>
      </c>
      <c r="U836" s="26">
        <f t="shared" si="247"/>
        <v>28.282641670563411</v>
      </c>
      <c r="V836" s="26">
        <f t="shared" si="248"/>
        <v>0.67079148256571008</v>
      </c>
      <c r="W836" s="143"/>
      <c r="X836" s="143"/>
      <c r="Y836" s="143"/>
      <c r="Z836" s="30"/>
      <c r="AA836" s="31">
        <f t="shared" si="249"/>
        <v>61</v>
      </c>
      <c r="AB836" s="32">
        <v>3.15E-2</v>
      </c>
      <c r="AC836" s="32">
        <v>8.0199999999999994E-2</v>
      </c>
      <c r="AD836" s="33">
        <f t="shared" si="289"/>
        <v>9.5666922059107345E-4</v>
      </c>
      <c r="AE836" s="34">
        <f t="shared" si="290"/>
        <v>3.7273884757985529E-2</v>
      </c>
      <c r="AF836" s="33">
        <f t="shared" si="291"/>
        <v>0.42819239067456932</v>
      </c>
      <c r="AG836" s="33">
        <f t="shared" si="292"/>
        <v>0</v>
      </c>
      <c r="AH836" s="35">
        <f t="shared" si="293"/>
        <v>0.73365519216972674</v>
      </c>
      <c r="AI836" s="36">
        <f t="shared" si="260"/>
        <v>2.2000215231216944</v>
      </c>
      <c r="AJ836" s="23" t="s">
        <v>85</v>
      </c>
      <c r="AK836" s="101">
        <v>88</v>
      </c>
      <c r="AL836" s="44"/>
      <c r="AM836" s="44"/>
      <c r="AN836" s="44"/>
      <c r="AO836" s="44"/>
      <c r="AP836" s="44"/>
      <c r="AQ836" s="44"/>
      <c r="AR836" s="44"/>
    </row>
    <row r="837" spans="1:44" ht="16.8">
      <c r="A837" s="17" t="s">
        <v>1878</v>
      </c>
      <c r="B837" s="18"/>
      <c r="C837" s="18" t="s">
        <v>1875</v>
      </c>
      <c r="D837" s="19" t="s">
        <v>1876</v>
      </c>
      <c r="E837" s="20" t="s">
        <v>39</v>
      </c>
      <c r="F837" s="21">
        <v>1961</v>
      </c>
      <c r="G837" s="40">
        <v>2023</v>
      </c>
      <c r="H837" s="23">
        <v>622616672834</v>
      </c>
      <c r="I837" s="23">
        <v>1917897471132</v>
      </c>
      <c r="J837" s="23">
        <v>1166600184106</v>
      </c>
      <c r="K837" s="23">
        <f t="shared" si="294"/>
        <v>1201715886993</v>
      </c>
      <c r="L837" s="23">
        <v>575629194882</v>
      </c>
      <c r="M837" s="23">
        <f t="shared" si="195"/>
        <v>751297287026</v>
      </c>
      <c r="N837" s="23">
        <v>696151873720</v>
      </c>
      <c r="O837" s="25">
        <f t="shared" si="243"/>
        <v>46987477952</v>
      </c>
      <c r="P837" s="23">
        <v>89043164149</v>
      </c>
      <c r="Q837" s="23">
        <v>32491482944</v>
      </c>
      <c r="R837" s="25">
        <f t="shared" si="244"/>
        <v>663660390776</v>
      </c>
      <c r="S837" s="26">
        <f t="shared" si="245"/>
        <v>0.60827035942512508</v>
      </c>
      <c r="T837" s="27">
        <f t="shared" si="246"/>
        <v>1.0816280313260207</v>
      </c>
      <c r="U837" s="26">
        <f t="shared" si="247"/>
        <v>28.282250634825406</v>
      </c>
      <c r="V837" s="26">
        <f t="shared" si="248"/>
        <v>0.57929821953336225</v>
      </c>
      <c r="W837" s="143"/>
      <c r="X837" s="143"/>
      <c r="Y837" s="143"/>
      <c r="Z837" s="30"/>
      <c r="AA837" s="31">
        <f t="shared" si="249"/>
        <v>62</v>
      </c>
      <c r="AB837" s="32">
        <v>3.2500000000000001E-2</v>
      </c>
      <c r="AC837" s="32">
        <v>5.0500000000000003E-2</v>
      </c>
      <c r="AD837" s="33">
        <f t="shared" si="289"/>
        <v>2.4499473334341798E-2</v>
      </c>
      <c r="AE837" s="34">
        <f t="shared" si="290"/>
        <v>4.642748921111204E-2</v>
      </c>
      <c r="AF837" s="33">
        <f t="shared" si="291"/>
        <v>0.34603538550175361</v>
      </c>
      <c r="AG837" s="33">
        <f t="shared" si="292"/>
        <v>0</v>
      </c>
      <c r="AH837" s="35">
        <f t="shared" si="293"/>
        <v>0.59673561105554052</v>
      </c>
      <c r="AI837" s="36">
        <f t="shared" si="260"/>
        <v>1.8330502361080945</v>
      </c>
      <c r="AJ837" s="23" t="s">
        <v>85</v>
      </c>
      <c r="AK837" s="101">
        <v>89</v>
      </c>
      <c r="AL837" s="44"/>
      <c r="AM837" s="44"/>
      <c r="AN837" s="44"/>
      <c r="AO837" s="44"/>
      <c r="AP837" s="44"/>
      <c r="AQ837" s="44"/>
      <c r="AR837" s="44"/>
    </row>
    <row r="838" spans="1:44" ht="16.8">
      <c r="A838" s="45"/>
      <c r="B838" s="45">
        <v>323</v>
      </c>
      <c r="C838" s="45" t="s">
        <v>1879</v>
      </c>
      <c r="D838" s="46" t="s">
        <v>1880</v>
      </c>
      <c r="E838" s="47" t="s">
        <v>39</v>
      </c>
      <c r="F838" s="48"/>
      <c r="G838" s="48"/>
      <c r="H838" s="49"/>
      <c r="I838" s="49"/>
      <c r="J838" s="49"/>
      <c r="K838" s="49"/>
      <c r="L838" s="49"/>
      <c r="M838" s="49">
        <f t="shared" si="195"/>
        <v>0</v>
      </c>
      <c r="N838" s="49"/>
      <c r="O838" s="49">
        <f t="shared" si="243"/>
        <v>0</v>
      </c>
      <c r="P838" s="49"/>
      <c r="Q838" s="49"/>
      <c r="R838" s="49">
        <f t="shared" si="244"/>
        <v>0</v>
      </c>
      <c r="S838" s="50" t="e">
        <f t="shared" si="245"/>
        <v>#DIV/0!</v>
      </c>
      <c r="T838" s="51" t="e">
        <f t="shared" si="246"/>
        <v>#DIV/0!</v>
      </c>
      <c r="U838" s="50" t="e">
        <f t="shared" si="247"/>
        <v>#NUM!</v>
      </c>
      <c r="V838" s="50" t="e">
        <f t="shared" si="248"/>
        <v>#DIV/0!</v>
      </c>
      <c r="W838" s="52"/>
      <c r="X838" s="52"/>
      <c r="Y838" s="52"/>
      <c r="Z838" s="55">
        <f t="shared" ref="Z838:Z839" si="295">W838*Y838</f>
        <v>0</v>
      </c>
      <c r="AA838" s="48">
        <f t="shared" si="249"/>
        <v>0</v>
      </c>
      <c r="AB838" s="49"/>
      <c r="AC838" s="49"/>
      <c r="AD838" s="50" t="e">
        <f t="shared" si="289"/>
        <v>#DIV/0!</v>
      </c>
      <c r="AE838" s="56" t="e">
        <f t="shared" si="290"/>
        <v>#DIV/0!</v>
      </c>
      <c r="AF838" s="50" t="e">
        <f t="shared" si="291"/>
        <v>#DIV/0!</v>
      </c>
      <c r="AG838" s="50" t="e">
        <f t="shared" si="292"/>
        <v>#DIV/0!</v>
      </c>
      <c r="AH838" s="57" t="e">
        <f t="shared" si="293"/>
        <v>#DIV/0!</v>
      </c>
      <c r="AI838" s="58" t="e">
        <f t="shared" si="260"/>
        <v>#DIV/0!</v>
      </c>
      <c r="AJ838" s="49"/>
      <c r="AK838" s="49">
        <v>90</v>
      </c>
      <c r="AL838" s="59"/>
      <c r="AM838" s="59"/>
      <c r="AN838" s="59"/>
      <c r="AO838" s="59"/>
      <c r="AP838" s="59"/>
      <c r="AQ838" s="59"/>
      <c r="AR838" s="59"/>
    </row>
    <row r="839" spans="1:44" ht="16.8">
      <c r="A839" s="114" t="s">
        <v>1881</v>
      </c>
      <c r="B839" s="115">
        <v>324</v>
      </c>
      <c r="C839" s="115" t="s">
        <v>1882</v>
      </c>
      <c r="D839" s="116" t="s">
        <v>1883</v>
      </c>
      <c r="E839" s="117" t="s">
        <v>39</v>
      </c>
      <c r="F839" s="118">
        <v>1995</v>
      </c>
      <c r="G839" s="118">
        <v>2021</v>
      </c>
      <c r="H839" s="120">
        <v>565390612744</v>
      </c>
      <c r="I839" s="120">
        <v>1192887788812</v>
      </c>
      <c r="J839" s="120">
        <v>536104594266</v>
      </c>
      <c r="K839" s="120">
        <f>(J839+556500913793)/2</f>
        <v>546302754029.5</v>
      </c>
      <c r="L839" s="120">
        <v>433704594266</v>
      </c>
      <c r="M839" s="120">
        <f t="shared" si="195"/>
        <v>656783194546</v>
      </c>
      <c r="N839" s="120">
        <v>801155649910</v>
      </c>
      <c r="O839" s="25">
        <f t="shared" si="243"/>
        <v>131686018478</v>
      </c>
      <c r="P839" s="120">
        <v>163809094802</v>
      </c>
      <c r="Q839" s="120">
        <f>3402836603+14033577781</f>
        <v>17436414384</v>
      </c>
      <c r="R839" s="25">
        <f t="shared" si="244"/>
        <v>783719235526</v>
      </c>
      <c r="S839" s="26">
        <f t="shared" si="245"/>
        <v>0.44941745509852854</v>
      </c>
      <c r="T839" s="27">
        <f t="shared" si="246"/>
        <v>1.3036306744706381</v>
      </c>
      <c r="U839" s="26">
        <f t="shared" si="247"/>
        <v>27.807398196625627</v>
      </c>
      <c r="V839" s="26">
        <f t="shared" si="248"/>
        <v>1.4665048711556341</v>
      </c>
      <c r="W839" s="123"/>
      <c r="X839" s="123"/>
      <c r="Y839" s="123"/>
      <c r="Z839" s="125">
        <f t="shared" si="295"/>
        <v>0</v>
      </c>
      <c r="AA839" s="118">
        <f t="shared" si="249"/>
        <v>26</v>
      </c>
      <c r="AB839" s="120"/>
      <c r="AC839" s="120"/>
      <c r="AD839" s="121">
        <f t="shared" si="289"/>
        <v>0.11039262847107056</v>
      </c>
      <c r="AE839" s="127">
        <f t="shared" si="290"/>
        <v>0.13732146169853737</v>
      </c>
      <c r="AF839" s="121">
        <f t="shared" si="291"/>
        <v>0.65699325860859725</v>
      </c>
      <c r="AG839" s="121">
        <f t="shared" si="292"/>
        <v>0</v>
      </c>
      <c r="AH839" s="128">
        <f t="shared" si="293"/>
        <v>1.4944017612960225</v>
      </c>
      <c r="AI839" s="129">
        <f t="shared" si="260"/>
        <v>3.9872007152476301</v>
      </c>
      <c r="AJ839" s="120" t="s">
        <v>1884</v>
      </c>
      <c r="AK839" s="120">
        <v>91</v>
      </c>
      <c r="AL839" s="130"/>
      <c r="AM839" s="130"/>
      <c r="AN839" s="130"/>
      <c r="AO839" s="130"/>
      <c r="AP839" s="130"/>
      <c r="AQ839" s="130"/>
      <c r="AR839" s="130"/>
    </row>
    <row r="840" spans="1:44" ht="16.8">
      <c r="A840" s="114" t="s">
        <v>1885</v>
      </c>
      <c r="B840" s="115"/>
      <c r="C840" s="115" t="s">
        <v>1882</v>
      </c>
      <c r="D840" s="116" t="s">
        <v>1883</v>
      </c>
      <c r="E840" s="117" t="s">
        <v>39</v>
      </c>
      <c r="F840" s="118">
        <v>1995</v>
      </c>
      <c r="G840" s="118">
        <v>2022</v>
      </c>
      <c r="H840" s="120">
        <v>779346292945</v>
      </c>
      <c r="I840" s="120">
        <v>1379570091729</v>
      </c>
      <c r="J840" s="120">
        <v>619492409198</v>
      </c>
      <c r="K840" s="120">
        <f t="shared" ref="K840:K841" si="296">(J840+J839)/2</f>
        <v>577798501732</v>
      </c>
      <c r="L840" s="120">
        <v>569392409198</v>
      </c>
      <c r="M840" s="120">
        <f t="shared" si="195"/>
        <v>760077682531</v>
      </c>
      <c r="N840" s="120">
        <v>868974945103</v>
      </c>
      <c r="O840" s="25">
        <f t="shared" si="243"/>
        <v>209953883747</v>
      </c>
      <c r="P840" s="120">
        <v>187639199121</v>
      </c>
      <c r="Q840" s="120">
        <f>3130485212+19304031311</f>
        <v>22434516523</v>
      </c>
      <c r="R840" s="25">
        <f t="shared" si="244"/>
        <v>846540428580</v>
      </c>
      <c r="S840" s="26">
        <f t="shared" si="245"/>
        <v>0.44904743362593269</v>
      </c>
      <c r="T840" s="27">
        <f t="shared" si="246"/>
        <v>1.3687331976250334</v>
      </c>
      <c r="U840" s="26">
        <f t="shared" si="247"/>
        <v>27.952793038830208</v>
      </c>
      <c r="V840" s="26">
        <f t="shared" si="248"/>
        <v>1.503941153357397</v>
      </c>
      <c r="W840" s="123"/>
      <c r="X840" s="123"/>
      <c r="Y840" s="123"/>
      <c r="Z840" s="125"/>
      <c r="AA840" s="118">
        <f t="shared" si="249"/>
        <v>27</v>
      </c>
      <c r="AB840" s="120"/>
      <c r="AC840" s="120"/>
      <c r="AD840" s="121">
        <f t="shared" si="289"/>
        <v>0.15218790622219644</v>
      </c>
      <c r="AE840" s="127">
        <f t="shared" si="290"/>
        <v>0.13601280590668202</v>
      </c>
      <c r="AF840" s="121">
        <f t="shared" si="291"/>
        <v>0.61362625476973065</v>
      </c>
      <c r="AG840" s="121">
        <f t="shared" si="292"/>
        <v>0</v>
      </c>
      <c r="AH840" s="128">
        <f t="shared" si="293"/>
        <v>1.4027208924609458</v>
      </c>
      <c r="AI840" s="129">
        <f t="shared" si="260"/>
        <v>3.8007309489370478</v>
      </c>
      <c r="AJ840" s="120" t="s">
        <v>1884</v>
      </c>
      <c r="AK840" s="120">
        <v>92</v>
      </c>
      <c r="AL840" s="130"/>
      <c r="AM840" s="130"/>
      <c r="AN840" s="130"/>
      <c r="AO840" s="130"/>
      <c r="AP840" s="130"/>
      <c r="AQ840" s="130"/>
      <c r="AR840" s="130"/>
    </row>
    <row r="841" spans="1:44" ht="16.8">
      <c r="A841" s="114" t="s">
        <v>1886</v>
      </c>
      <c r="B841" s="115"/>
      <c r="C841" s="115" t="s">
        <v>1882</v>
      </c>
      <c r="D841" s="116" t="s">
        <v>1883</v>
      </c>
      <c r="E841" s="117" t="s">
        <v>39</v>
      </c>
      <c r="F841" s="118">
        <v>1995</v>
      </c>
      <c r="G841" s="118">
        <v>2023</v>
      </c>
      <c r="H841" s="120">
        <v>781233332217</v>
      </c>
      <c r="I841" s="120">
        <v>1341953642225</v>
      </c>
      <c r="J841" s="120">
        <v>161305408559</v>
      </c>
      <c r="K841" s="120">
        <f t="shared" si="296"/>
        <v>390398908878.5</v>
      </c>
      <c r="L841" s="120">
        <v>156805408559</v>
      </c>
      <c r="M841" s="120">
        <f t="shared" si="195"/>
        <v>1180648233666</v>
      </c>
      <c r="N841" s="120">
        <v>1715939079381</v>
      </c>
      <c r="O841" s="25">
        <f t="shared" si="243"/>
        <v>624427923658</v>
      </c>
      <c r="P841" s="120">
        <v>523115195136</v>
      </c>
      <c r="Q841" s="120">
        <f>5351903969+28798925586</f>
        <v>34150829555</v>
      </c>
      <c r="R841" s="25">
        <f t="shared" si="244"/>
        <v>1681788249826</v>
      </c>
      <c r="S841" s="26">
        <f t="shared" si="245"/>
        <v>0.12020192313912627</v>
      </c>
      <c r="T841" s="27">
        <f t="shared" si="246"/>
        <v>4.9821835828006611</v>
      </c>
      <c r="U841" s="26">
        <f t="shared" si="247"/>
        <v>27.925147610084814</v>
      </c>
      <c r="V841" s="26">
        <f t="shared" si="248"/>
        <v>4.3953480410854189</v>
      </c>
      <c r="W841" s="123"/>
      <c r="X841" s="123"/>
      <c r="Y841" s="123"/>
      <c r="Z841" s="125"/>
      <c r="AA841" s="118">
        <f t="shared" si="249"/>
        <v>28</v>
      </c>
      <c r="AB841" s="120"/>
      <c r="AC841" s="120"/>
      <c r="AD841" s="121">
        <f t="shared" si="289"/>
        <v>0.46531258905686151</v>
      </c>
      <c r="AE841" s="127">
        <f t="shared" si="290"/>
        <v>0.38981614466849918</v>
      </c>
      <c r="AF841" s="121">
        <f t="shared" si="291"/>
        <v>1.2532387087809858</v>
      </c>
      <c r="AG841" s="121">
        <f t="shared" si="292"/>
        <v>0</v>
      </c>
      <c r="AH841" s="128">
        <f t="shared" si="293"/>
        <v>10.637827303561046</v>
      </c>
      <c r="AI841" s="129">
        <f t="shared" si="260"/>
        <v>15.877632751942432</v>
      </c>
      <c r="AJ841" s="120" t="s">
        <v>1884</v>
      </c>
      <c r="AK841" s="120">
        <v>93</v>
      </c>
      <c r="AL841" s="130"/>
      <c r="AM841" s="130"/>
      <c r="AN841" s="130"/>
      <c r="AO841" s="130"/>
      <c r="AP841" s="130"/>
      <c r="AQ841" s="130"/>
      <c r="AR841" s="130"/>
    </row>
    <row r="842" spans="1:44" ht="16.8">
      <c r="A842" s="45"/>
      <c r="B842" s="45">
        <v>325</v>
      </c>
      <c r="C842" s="45" t="s">
        <v>1887</v>
      </c>
      <c r="D842" s="46" t="s">
        <v>1888</v>
      </c>
      <c r="E842" s="47" t="s">
        <v>39</v>
      </c>
      <c r="F842" s="48"/>
      <c r="G842" s="48"/>
      <c r="H842" s="49"/>
      <c r="I842" s="49"/>
      <c r="J842" s="49"/>
      <c r="K842" s="49"/>
      <c r="L842" s="49"/>
      <c r="M842" s="49">
        <f t="shared" si="195"/>
        <v>0</v>
      </c>
      <c r="N842" s="49"/>
      <c r="O842" s="49">
        <f t="shared" si="243"/>
        <v>0</v>
      </c>
      <c r="P842" s="49"/>
      <c r="Q842" s="49"/>
      <c r="R842" s="49">
        <f t="shared" si="244"/>
        <v>0</v>
      </c>
      <c r="S842" s="50" t="e">
        <f t="shared" si="245"/>
        <v>#DIV/0!</v>
      </c>
      <c r="T842" s="51" t="e">
        <f t="shared" si="246"/>
        <v>#DIV/0!</v>
      </c>
      <c r="U842" s="50" t="e">
        <f t="shared" si="247"/>
        <v>#NUM!</v>
      </c>
      <c r="V842" s="50" t="e">
        <f t="shared" si="248"/>
        <v>#DIV/0!</v>
      </c>
      <c r="W842" s="52"/>
      <c r="X842" s="52"/>
      <c r="Y842" s="52"/>
      <c r="Z842" s="55">
        <f t="shared" ref="Z842:Z843" si="297">W842*Y842</f>
        <v>0</v>
      </c>
      <c r="AA842" s="48">
        <f t="shared" si="249"/>
        <v>0</v>
      </c>
      <c r="AB842" s="49"/>
      <c r="AC842" s="49"/>
      <c r="AD842" s="50" t="e">
        <f t="shared" si="289"/>
        <v>#DIV/0!</v>
      </c>
      <c r="AE842" s="56" t="e">
        <f t="shared" si="290"/>
        <v>#DIV/0!</v>
      </c>
      <c r="AF842" s="50" t="e">
        <f t="shared" si="291"/>
        <v>#DIV/0!</v>
      </c>
      <c r="AG842" s="50" t="e">
        <f t="shared" si="292"/>
        <v>#DIV/0!</v>
      </c>
      <c r="AH842" s="57" t="e">
        <f t="shared" si="293"/>
        <v>#DIV/0!</v>
      </c>
      <c r="AI842" s="58" t="e">
        <f t="shared" si="260"/>
        <v>#DIV/0!</v>
      </c>
      <c r="AJ842" s="49"/>
      <c r="AK842" s="49">
        <v>94</v>
      </c>
      <c r="AL842" s="59"/>
      <c r="AM842" s="59"/>
      <c r="AN842" s="59"/>
      <c r="AO842" s="59"/>
      <c r="AP842" s="59"/>
      <c r="AQ842" s="59"/>
      <c r="AR842" s="59"/>
    </row>
    <row r="843" spans="1:44" ht="16.8">
      <c r="A843" s="17" t="s">
        <v>1889</v>
      </c>
      <c r="B843" s="18">
        <v>326</v>
      </c>
      <c r="C843" s="18" t="s">
        <v>1890</v>
      </c>
      <c r="D843" s="19" t="s">
        <v>1891</v>
      </c>
      <c r="E843" s="20" t="s">
        <v>39</v>
      </c>
      <c r="F843" s="21">
        <v>2010</v>
      </c>
      <c r="G843" s="40">
        <v>2021</v>
      </c>
      <c r="H843" s="23">
        <v>110672764584</v>
      </c>
      <c r="I843" s="23">
        <v>142167045998</v>
      </c>
      <c r="J843" s="23">
        <v>68103200647</v>
      </c>
      <c r="K843" s="23">
        <f>(J843+25626077437)/2</f>
        <v>46864639042</v>
      </c>
      <c r="L843" s="23">
        <v>68104200647</v>
      </c>
      <c r="M843" s="23">
        <f t="shared" si="195"/>
        <v>74063845351</v>
      </c>
      <c r="N843" s="23">
        <v>470053983866</v>
      </c>
      <c r="O843" s="25">
        <f t="shared" si="243"/>
        <v>42568563937</v>
      </c>
      <c r="P843" s="23">
        <v>11512124160</v>
      </c>
      <c r="Q843" s="23">
        <f>31800071676+17881759400</f>
        <v>49681831076</v>
      </c>
      <c r="R843" s="25">
        <f t="shared" si="244"/>
        <v>420372152790</v>
      </c>
      <c r="S843" s="26">
        <f t="shared" si="245"/>
        <v>0.47903647549909756</v>
      </c>
      <c r="T843" s="27">
        <f t="shared" si="246"/>
        <v>1.6250504892883602</v>
      </c>
      <c r="U843" s="26">
        <f t="shared" si="247"/>
        <v>25.680268583422183</v>
      </c>
      <c r="V843" s="26">
        <f t="shared" si="248"/>
        <v>10.030035298996724</v>
      </c>
      <c r="W843" s="143"/>
      <c r="X843" s="143"/>
      <c r="Y843" s="143"/>
      <c r="Z843" s="30">
        <f t="shared" si="297"/>
        <v>0</v>
      </c>
      <c r="AA843" s="31">
        <f t="shared" si="249"/>
        <v>11</v>
      </c>
      <c r="AB843" s="32">
        <v>1.84E-2</v>
      </c>
      <c r="AC843" s="32">
        <v>2.58E-2</v>
      </c>
      <c r="AD843" s="33">
        <f t="shared" si="289"/>
        <v>0.29942637998962751</v>
      </c>
      <c r="AE843" s="34">
        <f t="shared" si="290"/>
        <v>8.0976038287817784E-2</v>
      </c>
      <c r="AF843" s="33">
        <f t="shared" si="291"/>
        <v>2.9568888474753408</v>
      </c>
      <c r="AG843" s="33">
        <f t="shared" si="292"/>
        <v>0</v>
      </c>
      <c r="AH843" s="35">
        <f t="shared" si="293"/>
        <v>6.9020835937276352</v>
      </c>
      <c r="AI843" s="36">
        <f t="shared" si="260"/>
        <v>17.13249489998676</v>
      </c>
      <c r="AJ843" s="23"/>
      <c r="AK843" s="101">
        <v>95</v>
      </c>
      <c r="AL843" s="44"/>
      <c r="AM843" s="44"/>
      <c r="AN843" s="44"/>
      <c r="AO843" s="44"/>
      <c r="AP843" s="44"/>
      <c r="AQ843" s="44"/>
      <c r="AR843" s="44"/>
    </row>
    <row r="844" spans="1:44" ht="16.8">
      <c r="A844" s="17" t="s">
        <v>1892</v>
      </c>
      <c r="B844" s="18"/>
      <c r="C844" s="18" t="s">
        <v>1890</v>
      </c>
      <c r="D844" s="19" t="s">
        <v>1891</v>
      </c>
      <c r="E844" s="20" t="s">
        <v>39</v>
      </c>
      <c r="F844" s="21">
        <v>2010</v>
      </c>
      <c r="G844" s="40">
        <v>2022</v>
      </c>
      <c r="H844" s="23">
        <v>68187972186</v>
      </c>
      <c r="I844" s="23">
        <v>108895822247</v>
      </c>
      <c r="J844" s="23">
        <v>31997979432</v>
      </c>
      <c r="K844" s="23">
        <f t="shared" ref="K844:K845" si="298">(J844+J843)/2</f>
        <v>50050590039.5</v>
      </c>
      <c r="L844" s="23">
        <v>31997979432</v>
      </c>
      <c r="M844" s="23">
        <f t="shared" si="195"/>
        <v>76897842815</v>
      </c>
      <c r="N844" s="23">
        <v>502979530092</v>
      </c>
      <c r="O844" s="25">
        <f t="shared" si="243"/>
        <v>36189992754</v>
      </c>
      <c r="P844" s="23">
        <v>11780765327</v>
      </c>
      <c r="Q844" s="23">
        <f>41728454717+20661073389</f>
        <v>62389528106</v>
      </c>
      <c r="R844" s="25">
        <f t="shared" si="244"/>
        <v>440590001986</v>
      </c>
      <c r="S844" s="26">
        <f t="shared" si="245"/>
        <v>0.29384028488642522</v>
      </c>
      <c r="T844" s="27">
        <f t="shared" si="246"/>
        <v>2.1310086885613697</v>
      </c>
      <c r="U844" s="26">
        <f t="shared" si="247"/>
        <v>25.413657502944666</v>
      </c>
      <c r="V844" s="26">
        <f t="shared" si="248"/>
        <v>10.049422588126291</v>
      </c>
      <c r="W844" s="143"/>
      <c r="X844" s="143"/>
      <c r="Y844" s="143"/>
      <c r="Z844" s="30"/>
      <c r="AA844" s="31">
        <f t="shared" si="249"/>
        <v>12</v>
      </c>
      <c r="AB844" s="32">
        <v>3.15E-2</v>
      </c>
      <c r="AC844" s="32">
        <v>8.0199999999999994E-2</v>
      </c>
      <c r="AD844" s="33">
        <f t="shared" si="289"/>
        <v>0.33233591525589501</v>
      </c>
      <c r="AE844" s="34">
        <f t="shared" si="290"/>
        <v>0.10818381351929736</v>
      </c>
      <c r="AF844" s="33">
        <f t="shared" si="291"/>
        <v>4.0459770897972893</v>
      </c>
      <c r="AG844" s="33">
        <f t="shared" si="292"/>
        <v>0</v>
      </c>
      <c r="AH844" s="35">
        <f t="shared" si="293"/>
        <v>15.719102862757287</v>
      </c>
      <c r="AI844" s="36">
        <f t="shared" si="260"/>
        <v>29.621087696322434</v>
      </c>
      <c r="AJ844" s="23"/>
      <c r="AK844" s="101">
        <v>96</v>
      </c>
      <c r="AL844" s="44"/>
      <c r="AM844" s="44"/>
      <c r="AN844" s="44"/>
      <c r="AO844" s="44"/>
      <c r="AP844" s="44"/>
      <c r="AQ844" s="44"/>
      <c r="AR844" s="44"/>
    </row>
    <row r="845" spans="1:44" ht="16.8">
      <c r="A845" s="17" t="s">
        <v>1893</v>
      </c>
      <c r="B845" s="18"/>
      <c r="C845" s="18" t="s">
        <v>1890</v>
      </c>
      <c r="D845" s="19" t="s">
        <v>1891</v>
      </c>
      <c r="E845" s="20" t="s">
        <v>39</v>
      </c>
      <c r="F845" s="21">
        <v>2010</v>
      </c>
      <c r="G845" s="40">
        <v>2023</v>
      </c>
      <c r="H845" s="23">
        <v>77966588069</v>
      </c>
      <c r="I845" s="23">
        <v>97886358840</v>
      </c>
      <c r="J845" s="23">
        <v>19351850722</v>
      </c>
      <c r="K845" s="23">
        <f t="shared" si="298"/>
        <v>25674915077</v>
      </c>
      <c r="L845" s="23">
        <v>19351850722</v>
      </c>
      <c r="M845" s="23">
        <f t="shared" si="195"/>
        <v>78534508118</v>
      </c>
      <c r="N845" s="23">
        <v>453809385664</v>
      </c>
      <c r="O845" s="25">
        <f t="shared" si="243"/>
        <v>58614737347</v>
      </c>
      <c r="P845" s="23">
        <v>9539623542</v>
      </c>
      <c r="Q845" s="23">
        <f>36819438863+23230678353</f>
        <v>60050117216</v>
      </c>
      <c r="R845" s="25">
        <f t="shared" si="244"/>
        <v>393759268448</v>
      </c>
      <c r="S845" s="26">
        <f t="shared" si="245"/>
        <v>0.19769711481077296</v>
      </c>
      <c r="T845" s="27">
        <f t="shared" si="246"/>
        <v>4.0288956952507027</v>
      </c>
      <c r="U845" s="26">
        <f t="shared" si="247"/>
        <v>25.307073039082955</v>
      </c>
      <c r="V845" s="26">
        <f t="shared" si="248"/>
        <v>17.675204934583395</v>
      </c>
      <c r="W845" s="143"/>
      <c r="X845" s="143"/>
      <c r="Y845" s="143"/>
      <c r="Z845" s="30"/>
      <c r="AA845" s="31">
        <f t="shared" si="249"/>
        <v>13</v>
      </c>
      <c r="AB845" s="32">
        <v>3.2500000000000001E-2</v>
      </c>
      <c r="AC845" s="32">
        <v>5.0500000000000003E-2</v>
      </c>
      <c r="AD845" s="33">
        <f t="shared" si="289"/>
        <v>0.59880394001383408</v>
      </c>
      <c r="AE845" s="34">
        <f t="shared" si="290"/>
        <v>9.7456107827986305E-2</v>
      </c>
      <c r="AF845" s="33">
        <f t="shared" si="291"/>
        <v>4.022616359564652</v>
      </c>
      <c r="AG845" s="33">
        <f t="shared" si="292"/>
        <v>0</v>
      </c>
      <c r="AH845" s="35">
        <f t="shared" si="293"/>
        <v>23.450438523075746</v>
      </c>
      <c r="AI845" s="36">
        <f t="shared" si="260"/>
        <v>37.580075788614877</v>
      </c>
      <c r="AJ845" s="23"/>
      <c r="AK845" s="101">
        <v>97</v>
      </c>
      <c r="AL845" s="44"/>
      <c r="AM845" s="44"/>
      <c r="AN845" s="44"/>
      <c r="AO845" s="44"/>
      <c r="AP845" s="44"/>
      <c r="AQ845" s="44"/>
      <c r="AR845" s="44"/>
    </row>
    <row r="846" spans="1:44" ht="16.8">
      <c r="A846" s="17" t="s">
        <v>1894</v>
      </c>
      <c r="B846" s="18">
        <v>327</v>
      </c>
      <c r="C846" s="18" t="s">
        <v>1895</v>
      </c>
      <c r="D846" s="19" t="s">
        <v>1896</v>
      </c>
      <c r="E846" s="20" t="s">
        <v>39</v>
      </c>
      <c r="F846" s="21">
        <v>2006</v>
      </c>
      <c r="G846" s="40">
        <v>2021</v>
      </c>
      <c r="H846" s="23">
        <v>196931019419</v>
      </c>
      <c r="I846" s="23">
        <v>253322767418</v>
      </c>
      <c r="J846" s="23">
        <v>182416402719</v>
      </c>
      <c r="K846" s="23">
        <f>(J846+123168999152)/2</f>
        <v>152792700935.5</v>
      </c>
      <c r="L846" s="23">
        <v>165942307085</v>
      </c>
      <c r="M846" s="23">
        <f t="shared" si="195"/>
        <v>70906364699</v>
      </c>
      <c r="N846" s="23">
        <v>400627615581</v>
      </c>
      <c r="O846" s="25">
        <f t="shared" si="243"/>
        <v>30988712334</v>
      </c>
      <c r="P846" s="23">
        <v>2210842918</v>
      </c>
      <c r="Q846" s="23">
        <f>25163363347+8445973913</f>
        <v>33609337260</v>
      </c>
      <c r="R846" s="25">
        <f t="shared" si="244"/>
        <v>367018278321</v>
      </c>
      <c r="S846" s="26">
        <f t="shared" si="245"/>
        <v>0.72009478097166202</v>
      </c>
      <c r="T846" s="27">
        <f t="shared" si="246"/>
        <v>1.186743892370538</v>
      </c>
      <c r="U846" s="26">
        <f t="shared" si="247"/>
        <v>26.257930273128366</v>
      </c>
      <c r="V846" s="26">
        <f t="shared" si="248"/>
        <v>2.6220337301984156</v>
      </c>
      <c r="W846" s="143"/>
      <c r="X846" s="143"/>
      <c r="Y846" s="143"/>
      <c r="Z846" s="30">
        <f>W846*Y846</f>
        <v>0</v>
      </c>
      <c r="AA846" s="31">
        <f t="shared" si="249"/>
        <v>15</v>
      </c>
      <c r="AB846" s="32">
        <v>1.84E-2</v>
      </c>
      <c r="AC846" s="32">
        <v>2.58E-2</v>
      </c>
      <c r="AD846" s="33">
        <f t="shared" si="289"/>
        <v>0.122328966519091</v>
      </c>
      <c r="AE846" s="34">
        <f t="shared" si="290"/>
        <v>8.7273755159636198E-3</v>
      </c>
      <c r="AF846" s="33">
        <f t="shared" si="291"/>
        <v>1.4488167884073151</v>
      </c>
      <c r="AG846" s="33">
        <f t="shared" si="292"/>
        <v>0</v>
      </c>
      <c r="AH846" s="35">
        <f t="shared" si="293"/>
        <v>2.1962258306241211</v>
      </c>
      <c r="AI846" s="36">
        <f t="shared" si="260"/>
        <v>7.1363343179135192</v>
      </c>
      <c r="AJ846" s="23"/>
      <c r="AK846" s="101">
        <v>98</v>
      </c>
      <c r="AL846" s="44"/>
      <c r="AM846" s="44"/>
      <c r="AN846" s="44"/>
      <c r="AO846" s="44"/>
      <c r="AP846" s="44"/>
      <c r="AQ846" s="44"/>
      <c r="AR846" s="44"/>
    </row>
    <row r="847" spans="1:44" ht="16.8">
      <c r="A847" s="17" t="s">
        <v>1897</v>
      </c>
      <c r="B847" s="18"/>
      <c r="C847" s="18" t="s">
        <v>1895</v>
      </c>
      <c r="D847" s="19" t="s">
        <v>1896</v>
      </c>
      <c r="E847" s="20" t="s">
        <v>39</v>
      </c>
      <c r="F847" s="21">
        <v>2006</v>
      </c>
      <c r="G847" s="40">
        <v>2022</v>
      </c>
      <c r="H847" s="23">
        <v>126052721680</v>
      </c>
      <c r="I847" s="23">
        <v>183194179763</v>
      </c>
      <c r="J847" s="23">
        <v>111727363953</v>
      </c>
      <c r="K847" s="23">
        <f t="shared" ref="K847:K848" si="299">(J847+J846)/2</f>
        <v>147071883336</v>
      </c>
      <c r="L847" s="23">
        <v>94193811363</v>
      </c>
      <c r="M847" s="23">
        <f t="shared" si="195"/>
        <v>71466815810</v>
      </c>
      <c r="N847" s="23">
        <v>340134474513</v>
      </c>
      <c r="O847" s="25">
        <f t="shared" si="243"/>
        <v>31858910317</v>
      </c>
      <c r="P847" s="23">
        <v>560451111</v>
      </c>
      <c r="Q847" s="23">
        <f>23373750543+10785429643</f>
        <v>34159180186</v>
      </c>
      <c r="R847" s="25">
        <f t="shared" si="244"/>
        <v>305975294327</v>
      </c>
      <c r="S847" s="26">
        <f t="shared" si="245"/>
        <v>0.60988489971429616</v>
      </c>
      <c r="T847" s="27">
        <f t="shared" si="246"/>
        <v>1.3382272131894475</v>
      </c>
      <c r="U847" s="26">
        <f t="shared" si="247"/>
        <v>25.93381251882915</v>
      </c>
      <c r="V847" s="26">
        <f t="shared" si="248"/>
        <v>2.3127090426654138</v>
      </c>
      <c r="W847" s="143"/>
      <c r="X847" s="143"/>
      <c r="Y847" s="143"/>
      <c r="Z847" s="30"/>
      <c r="AA847" s="31">
        <f t="shared" si="249"/>
        <v>16</v>
      </c>
      <c r="AB847" s="32">
        <v>3.15E-2</v>
      </c>
      <c r="AC847" s="32">
        <v>8.0199999999999994E-2</v>
      </c>
      <c r="AD847" s="33">
        <f t="shared" si="289"/>
        <v>0.17390787391944529</v>
      </c>
      <c r="AE847" s="34">
        <f t="shared" si="290"/>
        <v>3.0593281496446053E-3</v>
      </c>
      <c r="AF847" s="33">
        <f t="shared" si="291"/>
        <v>1.670223883328843</v>
      </c>
      <c r="AG847" s="33">
        <f t="shared" si="292"/>
        <v>0</v>
      </c>
      <c r="AH847" s="35">
        <f t="shared" si="293"/>
        <v>3.0443256018828415</v>
      </c>
      <c r="AI847" s="36">
        <f t="shared" si="260"/>
        <v>8.7690369249808597</v>
      </c>
      <c r="AJ847" s="23"/>
      <c r="AK847" s="101">
        <v>99</v>
      </c>
      <c r="AL847" s="44"/>
      <c r="AM847" s="44"/>
      <c r="AN847" s="44"/>
      <c r="AO847" s="44"/>
      <c r="AP847" s="44"/>
      <c r="AQ847" s="44"/>
      <c r="AR847" s="44"/>
    </row>
    <row r="848" spans="1:44" ht="16.8">
      <c r="A848" s="17" t="s">
        <v>1898</v>
      </c>
      <c r="B848" s="18"/>
      <c r="C848" s="18" t="s">
        <v>1895</v>
      </c>
      <c r="D848" s="19" t="s">
        <v>1896</v>
      </c>
      <c r="E848" s="20" t="s">
        <v>39</v>
      </c>
      <c r="F848" s="21">
        <v>2006</v>
      </c>
      <c r="G848" s="40">
        <v>2023</v>
      </c>
      <c r="H848" s="23">
        <v>106441230477</v>
      </c>
      <c r="I848" s="23">
        <v>158059271054</v>
      </c>
      <c r="J848" s="23">
        <v>89894390240</v>
      </c>
      <c r="K848" s="23">
        <f t="shared" si="299"/>
        <v>100810877096.5</v>
      </c>
      <c r="L848" s="23">
        <v>76475233414</v>
      </c>
      <c r="M848" s="23">
        <f t="shared" si="195"/>
        <v>68164880814</v>
      </c>
      <c r="N848" s="23">
        <v>178936412988</v>
      </c>
      <c r="O848" s="25">
        <f t="shared" si="243"/>
        <v>29965997063</v>
      </c>
      <c r="P848" s="23">
        <v>-3301934996</v>
      </c>
      <c r="Q848" s="23">
        <f>4473677409+5265919978</f>
        <v>9739597387</v>
      </c>
      <c r="R848" s="25">
        <f t="shared" si="244"/>
        <v>169196815601</v>
      </c>
      <c r="S848" s="26">
        <f t="shared" si="245"/>
        <v>0.5687384842442309</v>
      </c>
      <c r="T848" s="27">
        <f t="shared" si="246"/>
        <v>1.3918392363809935</v>
      </c>
      <c r="U848" s="26">
        <f t="shared" si="247"/>
        <v>25.786235932881656</v>
      </c>
      <c r="V848" s="26">
        <f t="shared" si="248"/>
        <v>1.7749712941859961</v>
      </c>
      <c r="W848" s="143"/>
      <c r="X848" s="143"/>
      <c r="Y848" s="143"/>
      <c r="Z848" s="30"/>
      <c r="AA848" s="31">
        <f t="shared" si="249"/>
        <v>17</v>
      </c>
      <c r="AB848" s="32">
        <v>3.2500000000000001E-2</v>
      </c>
      <c r="AC848" s="32">
        <v>5.0500000000000003E-2</v>
      </c>
      <c r="AD848" s="33">
        <f t="shared" si="289"/>
        <v>0.18958708883809983</v>
      </c>
      <c r="AE848" s="34">
        <f t="shared" si="290"/>
        <v>-2.0890486043503981E-2</v>
      </c>
      <c r="AF848" s="33">
        <f t="shared" si="291"/>
        <v>1.0704643547495225</v>
      </c>
      <c r="AG848" s="33">
        <f t="shared" si="292"/>
        <v>0</v>
      </c>
      <c r="AH848" s="35">
        <f t="shared" si="293"/>
        <v>1.9905181236590588</v>
      </c>
      <c r="AI848" s="36">
        <f t="shared" si="260"/>
        <v>5.7213083204772968</v>
      </c>
      <c r="AJ848" s="23"/>
      <c r="AK848" s="101">
        <v>100</v>
      </c>
      <c r="AL848" s="44"/>
      <c r="AM848" s="44"/>
      <c r="AN848" s="44"/>
      <c r="AO848" s="44"/>
      <c r="AP848" s="44"/>
      <c r="AQ848" s="44"/>
      <c r="AR848" s="44"/>
    </row>
    <row r="849" spans="1:44" ht="16.8">
      <c r="A849" s="45"/>
      <c r="B849" s="45">
        <v>328</v>
      </c>
      <c r="C849" s="45" t="s">
        <v>1899</v>
      </c>
      <c r="D849" s="46" t="s">
        <v>1900</v>
      </c>
      <c r="E849" s="47" t="s">
        <v>39</v>
      </c>
      <c r="F849" s="48"/>
      <c r="G849" s="48"/>
      <c r="H849" s="49"/>
      <c r="I849" s="49"/>
      <c r="J849" s="49"/>
      <c r="K849" s="49"/>
      <c r="L849" s="49"/>
      <c r="M849" s="49">
        <f t="shared" si="195"/>
        <v>0</v>
      </c>
      <c r="N849" s="49"/>
      <c r="O849" s="49">
        <f t="shared" si="243"/>
        <v>0</v>
      </c>
      <c r="P849" s="49"/>
      <c r="Q849" s="49"/>
      <c r="R849" s="49">
        <f t="shared" si="244"/>
        <v>0</v>
      </c>
      <c r="S849" s="50" t="e">
        <f t="shared" si="245"/>
        <v>#DIV/0!</v>
      </c>
      <c r="T849" s="51" t="e">
        <f t="shared" si="246"/>
        <v>#DIV/0!</v>
      </c>
      <c r="U849" s="50" t="e">
        <f t="shared" si="247"/>
        <v>#NUM!</v>
      </c>
      <c r="V849" s="50" t="e">
        <f t="shared" si="248"/>
        <v>#DIV/0!</v>
      </c>
      <c r="W849" s="52"/>
      <c r="X849" s="52"/>
      <c r="Y849" s="52"/>
      <c r="Z849" s="55">
        <f t="shared" ref="Z849:Z850" si="300">W849*Y849</f>
        <v>0</v>
      </c>
      <c r="AA849" s="48">
        <f t="shared" si="249"/>
        <v>0</v>
      </c>
      <c r="AB849" s="49"/>
      <c r="AC849" s="49"/>
      <c r="AD849" s="50" t="e">
        <f t="shared" si="289"/>
        <v>#DIV/0!</v>
      </c>
      <c r="AE849" s="56" t="e">
        <f t="shared" si="290"/>
        <v>#DIV/0!</v>
      </c>
      <c r="AF849" s="50" t="e">
        <f t="shared" si="291"/>
        <v>#DIV/0!</v>
      </c>
      <c r="AG849" s="50" t="e">
        <f t="shared" si="292"/>
        <v>#DIV/0!</v>
      </c>
      <c r="AH849" s="57" t="e">
        <f t="shared" si="293"/>
        <v>#DIV/0!</v>
      </c>
      <c r="AI849" s="58" t="e">
        <f t="shared" si="260"/>
        <v>#DIV/0!</v>
      </c>
      <c r="AJ849" s="49"/>
      <c r="AK849" s="49">
        <v>101</v>
      </c>
      <c r="AL849" s="59"/>
      <c r="AM849" s="59"/>
      <c r="AN849" s="59"/>
      <c r="AO849" s="59"/>
      <c r="AP849" s="59"/>
      <c r="AQ849" s="59"/>
      <c r="AR849" s="59"/>
    </row>
    <row r="850" spans="1:44" ht="16.8">
      <c r="A850" s="17" t="s">
        <v>1901</v>
      </c>
      <c r="B850" s="18">
        <v>329</v>
      </c>
      <c r="C850" s="18" t="s">
        <v>1902</v>
      </c>
      <c r="D850" s="19" t="s">
        <v>1903</v>
      </c>
      <c r="E850" s="20" t="s">
        <v>39</v>
      </c>
      <c r="F850" s="21">
        <v>2009</v>
      </c>
      <c r="G850" s="40">
        <v>2021</v>
      </c>
      <c r="H850" s="23">
        <v>48348488141</v>
      </c>
      <c r="I850" s="23">
        <v>174586585561</v>
      </c>
      <c r="J850" s="23">
        <v>17139818695</v>
      </c>
      <c r="K850" s="23">
        <f>(J850+72012695239)/2</f>
        <v>44576256967</v>
      </c>
      <c r="L850" s="23">
        <v>16915818695</v>
      </c>
      <c r="M850" s="23">
        <f t="shared" si="195"/>
        <v>157446766866</v>
      </c>
      <c r="N850" s="23">
        <v>16150112674</v>
      </c>
      <c r="O850" s="25">
        <f t="shared" si="243"/>
        <v>31432669446</v>
      </c>
      <c r="P850" s="23">
        <v>5738513586</v>
      </c>
      <c r="Q850" s="23">
        <v>-3778708067</v>
      </c>
      <c r="R850" s="25">
        <f t="shared" si="244"/>
        <v>19928820741</v>
      </c>
      <c r="S850" s="26">
        <f t="shared" si="245"/>
        <v>9.8173743646595354E-2</v>
      </c>
      <c r="T850" s="27">
        <f t="shared" si="246"/>
        <v>2.8581819782267415</v>
      </c>
      <c r="U850" s="26">
        <f t="shared" si="247"/>
        <v>25.885686647852836</v>
      </c>
      <c r="V850" s="26">
        <f t="shared" si="248"/>
        <v>0.36230302346731352</v>
      </c>
      <c r="W850" s="143"/>
      <c r="X850" s="143"/>
      <c r="Y850" s="143"/>
      <c r="Z850" s="30">
        <f t="shared" si="300"/>
        <v>0</v>
      </c>
      <c r="AA850" s="31">
        <f t="shared" si="249"/>
        <v>12</v>
      </c>
      <c r="AB850" s="32">
        <v>1.84E-2</v>
      </c>
      <c r="AC850" s="32">
        <v>2.58E-2</v>
      </c>
      <c r="AD850" s="33">
        <f t="shared" si="289"/>
        <v>0.18004057611297705</v>
      </c>
      <c r="AE850" s="34">
        <f t="shared" si="290"/>
        <v>3.2869155253597543E-2</v>
      </c>
      <c r="AF850" s="33">
        <f t="shared" si="291"/>
        <v>0.114148636775057</v>
      </c>
      <c r="AG850" s="33">
        <f t="shared" si="292"/>
        <v>0</v>
      </c>
      <c r="AH850" s="35">
        <f t="shared" si="293"/>
        <v>0.9422569142292786</v>
      </c>
      <c r="AI850" s="36">
        <f t="shared" si="260"/>
        <v>1.5810129242775757</v>
      </c>
      <c r="AJ850" s="23"/>
      <c r="AK850" s="101">
        <v>102</v>
      </c>
      <c r="AL850" s="44"/>
      <c r="AM850" s="44"/>
      <c r="AN850" s="44"/>
      <c r="AO850" s="44"/>
      <c r="AP850" s="44"/>
      <c r="AQ850" s="44"/>
      <c r="AR850" s="44"/>
    </row>
    <row r="851" spans="1:44" ht="16.8">
      <c r="A851" s="17" t="s">
        <v>1904</v>
      </c>
      <c r="B851" s="18"/>
      <c r="C851" s="18" t="s">
        <v>1902</v>
      </c>
      <c r="D851" s="19" t="s">
        <v>1903</v>
      </c>
      <c r="E851" s="20" t="s">
        <v>39</v>
      </c>
      <c r="F851" s="21">
        <v>2009</v>
      </c>
      <c r="G851" s="40">
        <v>2022</v>
      </c>
      <c r="H851" s="23">
        <v>178288356741</v>
      </c>
      <c r="I851" s="23">
        <v>297646418304</v>
      </c>
      <c r="J851" s="23">
        <v>134368540569</v>
      </c>
      <c r="K851" s="23">
        <f t="shared" ref="K851:K852" si="301">(J851+J850)/2</f>
        <v>75754179632</v>
      </c>
      <c r="L851" s="23">
        <v>134368540569</v>
      </c>
      <c r="M851" s="23">
        <f t="shared" si="195"/>
        <v>163277877735</v>
      </c>
      <c r="N851" s="23">
        <v>3987181855</v>
      </c>
      <c r="O851" s="25">
        <f t="shared" si="243"/>
        <v>43919816172</v>
      </c>
      <c r="P851" s="23">
        <v>-7668889131</v>
      </c>
      <c r="Q851" s="23">
        <f>9129259+9198000794</f>
        <v>9207130053</v>
      </c>
      <c r="R851" s="25">
        <f t="shared" si="244"/>
        <v>-5219948198</v>
      </c>
      <c r="S851" s="26">
        <f t="shared" si="245"/>
        <v>0.45143677970202623</v>
      </c>
      <c r="T851" s="27">
        <f t="shared" si="246"/>
        <v>1.3268608558671262</v>
      </c>
      <c r="U851" s="26">
        <f t="shared" si="247"/>
        <v>26.419172103226309</v>
      </c>
      <c r="V851" s="26">
        <f t="shared" si="248"/>
        <v>5.2633159970433351E-2</v>
      </c>
      <c r="W851" s="143"/>
      <c r="X851" s="143"/>
      <c r="Y851" s="143"/>
      <c r="Z851" s="30"/>
      <c r="AA851" s="31">
        <f t="shared" si="249"/>
        <v>13</v>
      </c>
      <c r="AB851" s="32">
        <v>3.15E-2</v>
      </c>
      <c r="AC851" s="32">
        <v>8.0199999999999994E-2</v>
      </c>
      <c r="AD851" s="33">
        <f t="shared" si="289"/>
        <v>0.14755701218330358</v>
      </c>
      <c r="AE851" s="34">
        <f t="shared" si="290"/>
        <v>-2.576509798000462E-2</v>
      </c>
      <c r="AF851" s="33">
        <f t="shared" si="291"/>
        <v>-1.7537413108289535E-2</v>
      </c>
      <c r="AG851" s="33">
        <f t="shared" si="292"/>
        <v>0</v>
      </c>
      <c r="AH851" s="35">
        <f t="shared" si="293"/>
        <v>2.9673477423478676E-2</v>
      </c>
      <c r="AI851" s="36">
        <f t="shared" si="260"/>
        <v>0.11279729161408103</v>
      </c>
      <c r="AJ851" s="23"/>
      <c r="AK851" s="101">
        <v>103</v>
      </c>
      <c r="AL851" s="44"/>
      <c r="AM851" s="44"/>
      <c r="AN851" s="44"/>
      <c r="AO851" s="44"/>
      <c r="AP851" s="44"/>
      <c r="AQ851" s="44"/>
      <c r="AR851" s="44"/>
    </row>
    <row r="852" spans="1:44" ht="16.8">
      <c r="A852" s="17" t="s">
        <v>1905</v>
      </c>
      <c r="B852" s="18"/>
      <c r="C852" s="18" t="s">
        <v>1902</v>
      </c>
      <c r="D852" s="19" t="s">
        <v>1903</v>
      </c>
      <c r="E852" s="20" t="s">
        <v>39</v>
      </c>
      <c r="F852" s="21">
        <v>2009</v>
      </c>
      <c r="G852" s="40">
        <v>2023</v>
      </c>
      <c r="H852" s="23">
        <v>167199311329</v>
      </c>
      <c r="I852" s="23">
        <v>252078977658</v>
      </c>
      <c r="J852" s="23">
        <v>133619782617</v>
      </c>
      <c r="K852" s="23">
        <f t="shared" si="301"/>
        <v>133994161593</v>
      </c>
      <c r="L852" s="23">
        <v>133619782617</v>
      </c>
      <c r="M852" s="23">
        <f t="shared" si="195"/>
        <v>118459195041</v>
      </c>
      <c r="N852" s="23">
        <v>2459337689</v>
      </c>
      <c r="O852" s="25">
        <f t="shared" si="243"/>
        <v>33579528712</v>
      </c>
      <c r="P852" s="23">
        <v>-44818682694</v>
      </c>
      <c r="Q852" s="23">
        <f>564431520+10466448627</f>
        <v>11030880147</v>
      </c>
      <c r="R852" s="25">
        <f t="shared" si="244"/>
        <v>-8571542458</v>
      </c>
      <c r="S852" s="26">
        <f t="shared" si="245"/>
        <v>0.53007110651759437</v>
      </c>
      <c r="T852" s="27">
        <f t="shared" si="246"/>
        <v>1.2513065659465292</v>
      </c>
      <c r="U852" s="26">
        <f t="shared" si="247"/>
        <v>26.253008278762007</v>
      </c>
      <c r="V852" s="26">
        <f t="shared" si="248"/>
        <v>1.8354066026175862E-2</v>
      </c>
      <c r="W852" s="143"/>
      <c r="X852" s="143"/>
      <c r="Y852" s="143"/>
      <c r="Z852" s="30"/>
      <c r="AA852" s="31">
        <f t="shared" si="249"/>
        <v>14</v>
      </c>
      <c r="AB852" s="32">
        <v>3.2500000000000001E-2</v>
      </c>
      <c r="AC852" s="32">
        <v>5.0500000000000003E-2</v>
      </c>
      <c r="AD852" s="33">
        <f t="shared" si="289"/>
        <v>0.1332103494864135</v>
      </c>
      <c r="AE852" s="34">
        <f t="shared" si="290"/>
        <v>-0.17779619351997808</v>
      </c>
      <c r="AF852" s="33">
        <f t="shared" si="291"/>
        <v>-3.4003400591497014E-2</v>
      </c>
      <c r="AG852" s="33">
        <f t="shared" si="292"/>
        <v>0</v>
      </c>
      <c r="AH852" s="35">
        <f t="shared" si="293"/>
        <v>1.8405490869935801E-2</v>
      </c>
      <c r="AI852" s="36">
        <f t="shared" si="260"/>
        <v>-0.18286798262627746</v>
      </c>
      <c r="AJ852" s="23"/>
      <c r="AK852" s="101">
        <v>104</v>
      </c>
      <c r="AL852" s="44"/>
      <c r="AM852" s="44"/>
      <c r="AN852" s="44"/>
      <c r="AO852" s="44"/>
      <c r="AP852" s="44"/>
      <c r="AQ852" s="44"/>
      <c r="AR852" s="44"/>
    </row>
    <row r="853" spans="1:44" ht="16.8">
      <c r="A853" s="45"/>
      <c r="B853" s="45">
        <v>330</v>
      </c>
      <c r="C853" s="45" t="s">
        <v>1906</v>
      </c>
      <c r="D853" s="46" t="s">
        <v>1907</v>
      </c>
      <c r="E853" s="47" t="s">
        <v>39</v>
      </c>
      <c r="F853" s="48"/>
      <c r="G853" s="48"/>
      <c r="H853" s="49"/>
      <c r="I853" s="49"/>
      <c r="J853" s="49"/>
      <c r="K853" s="49"/>
      <c r="L853" s="49"/>
      <c r="M853" s="49">
        <f t="shared" si="195"/>
        <v>0</v>
      </c>
      <c r="N853" s="49"/>
      <c r="O853" s="49">
        <f t="shared" si="243"/>
        <v>0</v>
      </c>
      <c r="P853" s="49"/>
      <c r="Q853" s="49"/>
      <c r="R853" s="49">
        <f t="shared" si="244"/>
        <v>0</v>
      </c>
      <c r="S853" s="50" t="e">
        <f t="shared" si="245"/>
        <v>#DIV/0!</v>
      </c>
      <c r="T853" s="51" t="e">
        <f t="shared" si="246"/>
        <v>#DIV/0!</v>
      </c>
      <c r="U853" s="50" t="e">
        <f t="shared" si="247"/>
        <v>#NUM!</v>
      </c>
      <c r="V853" s="50" t="e">
        <f t="shared" si="248"/>
        <v>#DIV/0!</v>
      </c>
      <c r="W853" s="52"/>
      <c r="X853" s="52"/>
      <c r="Y853" s="52"/>
      <c r="Z853" s="55">
        <f t="shared" ref="Z853:Z854" si="302">W853*Y853</f>
        <v>0</v>
      </c>
      <c r="AA853" s="48">
        <f t="shared" si="249"/>
        <v>0</v>
      </c>
      <c r="AB853" s="49"/>
      <c r="AC853" s="49"/>
      <c r="AD853" s="50" t="e">
        <f t="shared" si="289"/>
        <v>#DIV/0!</v>
      </c>
      <c r="AE853" s="56" t="e">
        <f t="shared" si="290"/>
        <v>#DIV/0!</v>
      </c>
      <c r="AF853" s="50" t="e">
        <f t="shared" si="291"/>
        <v>#DIV/0!</v>
      </c>
      <c r="AG853" s="50" t="e">
        <f t="shared" si="292"/>
        <v>#DIV/0!</v>
      </c>
      <c r="AH853" s="57" t="e">
        <f t="shared" si="293"/>
        <v>#DIV/0!</v>
      </c>
      <c r="AI853" s="58" t="e">
        <f t="shared" si="260"/>
        <v>#DIV/0!</v>
      </c>
      <c r="AJ853" s="49"/>
      <c r="AK853" s="49">
        <v>105</v>
      </c>
      <c r="AL853" s="59"/>
      <c r="AM853" s="59"/>
      <c r="AN853" s="59"/>
      <c r="AO853" s="59"/>
      <c r="AP853" s="59"/>
      <c r="AQ853" s="59"/>
      <c r="AR853" s="59"/>
    </row>
    <row r="854" spans="1:44" ht="16.8">
      <c r="A854" s="17" t="s">
        <v>1908</v>
      </c>
      <c r="B854" s="18">
        <v>331</v>
      </c>
      <c r="C854" s="18" t="s">
        <v>1909</v>
      </c>
      <c r="D854" s="19" t="s">
        <v>1910</v>
      </c>
      <c r="E854" s="20" t="s">
        <v>39</v>
      </c>
      <c r="F854" s="21">
        <v>2004</v>
      </c>
      <c r="G854" s="40">
        <v>2021</v>
      </c>
      <c r="H854" s="23">
        <v>354712624804</v>
      </c>
      <c r="I854" s="23">
        <v>601389723340</v>
      </c>
      <c r="J854" s="23">
        <v>7814547422</v>
      </c>
      <c r="K854" s="23">
        <f>(J854+91573407776)/2</f>
        <v>49693977599</v>
      </c>
      <c r="L854" s="23">
        <v>7814547422</v>
      </c>
      <c r="M854" s="23">
        <f t="shared" si="195"/>
        <v>593575175918</v>
      </c>
      <c r="N854" s="23">
        <v>108966426981</v>
      </c>
      <c r="O854" s="25">
        <f t="shared" si="243"/>
        <v>346898077382</v>
      </c>
      <c r="P854" s="23">
        <v>61933853148</v>
      </c>
      <c r="Q854" s="23">
        <f>1267174711+3315847705</f>
        <v>4583022416</v>
      </c>
      <c r="R854" s="25">
        <f t="shared" si="244"/>
        <v>104383404565</v>
      </c>
      <c r="S854" s="26">
        <f t="shared" si="245"/>
        <v>1.2994148584048865E-2</v>
      </c>
      <c r="T854" s="27">
        <f t="shared" si="246"/>
        <v>45.391320270882346</v>
      </c>
      <c r="U854" s="26">
        <f t="shared" si="247"/>
        <v>27.12250901945993</v>
      </c>
      <c r="V854" s="26">
        <f t="shared" si="248"/>
        <v>2.1927491467938509</v>
      </c>
      <c r="W854" s="143"/>
      <c r="X854" s="143"/>
      <c r="Y854" s="143"/>
      <c r="Z854" s="30">
        <f t="shared" si="302"/>
        <v>0</v>
      </c>
      <c r="AA854" s="31">
        <f t="shared" si="249"/>
        <v>17</v>
      </c>
      <c r="AB854" s="32">
        <v>1.84E-2</v>
      </c>
      <c r="AC854" s="32">
        <v>2.58E-2</v>
      </c>
      <c r="AD854" s="33">
        <f t="shared" si="289"/>
        <v>0.5768274114419456</v>
      </c>
      <c r="AE854" s="34">
        <f t="shared" si="290"/>
        <v>0.10298455518001137</v>
      </c>
      <c r="AF854" s="33">
        <f t="shared" si="291"/>
        <v>0.173570316408593</v>
      </c>
      <c r="AG854" s="33">
        <f t="shared" si="292"/>
        <v>0</v>
      </c>
      <c r="AH854" s="35">
        <f t="shared" si="293"/>
        <v>13.944048336597323</v>
      </c>
      <c r="AI854" s="36">
        <f t="shared" si="260"/>
        <v>15.35320165172803</v>
      </c>
      <c r="AJ854" s="23"/>
      <c r="AK854" s="101">
        <v>106</v>
      </c>
      <c r="AL854" s="44"/>
      <c r="AM854" s="44"/>
      <c r="AN854" s="44"/>
      <c r="AO854" s="44"/>
      <c r="AP854" s="44"/>
      <c r="AQ854" s="44"/>
      <c r="AR854" s="44"/>
    </row>
    <row r="855" spans="1:44" ht="16.8">
      <c r="A855" s="17" t="s">
        <v>1911</v>
      </c>
      <c r="B855" s="18"/>
      <c r="C855" s="18" t="s">
        <v>1909</v>
      </c>
      <c r="D855" s="19" t="s">
        <v>1910</v>
      </c>
      <c r="E855" s="20" t="s">
        <v>39</v>
      </c>
      <c r="F855" s="21">
        <v>2004</v>
      </c>
      <c r="G855" s="40">
        <v>2022</v>
      </c>
      <c r="H855" s="23">
        <v>401825528865</v>
      </c>
      <c r="I855" s="23">
        <v>649690396246</v>
      </c>
      <c r="J855" s="23">
        <v>19768135104</v>
      </c>
      <c r="K855" s="23">
        <f t="shared" ref="K855:K856" si="303">(J855+J854)/2</f>
        <v>13791341263</v>
      </c>
      <c r="L855" s="23">
        <v>17651335104</v>
      </c>
      <c r="M855" s="23">
        <f t="shared" si="195"/>
        <v>629922261142</v>
      </c>
      <c r="N855" s="23">
        <v>107330583242</v>
      </c>
      <c r="O855" s="25">
        <f t="shared" si="243"/>
        <v>384174193761</v>
      </c>
      <c r="P855" s="23">
        <v>33737972972</v>
      </c>
      <c r="Q855" s="23">
        <f>1400659153+6189201819</f>
        <v>7589860972</v>
      </c>
      <c r="R855" s="25">
        <f t="shared" si="244"/>
        <v>99740722270</v>
      </c>
      <c r="S855" s="26">
        <f t="shared" si="245"/>
        <v>3.0427008338468585E-2</v>
      </c>
      <c r="T855" s="27">
        <f t="shared" si="246"/>
        <v>22.764596926945295</v>
      </c>
      <c r="U855" s="26">
        <f t="shared" si="247"/>
        <v>27.199761772895108</v>
      </c>
      <c r="V855" s="26">
        <f t="shared" si="248"/>
        <v>7.7824615601349141</v>
      </c>
      <c r="W855" s="143"/>
      <c r="X855" s="143"/>
      <c r="Y855" s="143"/>
      <c r="Z855" s="30"/>
      <c r="AA855" s="31">
        <f t="shared" si="249"/>
        <v>18</v>
      </c>
      <c r="AB855" s="32">
        <v>3.15E-2</v>
      </c>
      <c r="AC855" s="32">
        <v>8.0199999999999994E-2</v>
      </c>
      <c r="AD855" s="33">
        <f t="shared" si="289"/>
        <v>0.59131887431430574</v>
      </c>
      <c r="AE855" s="34">
        <f t="shared" si="290"/>
        <v>5.1929308432051055E-2</v>
      </c>
      <c r="AF855" s="33">
        <f t="shared" si="291"/>
        <v>0.15352038885954838</v>
      </c>
      <c r="AG855" s="33">
        <f t="shared" si="292"/>
        <v>0</v>
      </c>
      <c r="AH855" s="35">
        <f t="shared" si="293"/>
        <v>5.429474387813249</v>
      </c>
      <c r="AI855" s="36">
        <f t="shared" si="260"/>
        <v>6.7183753520317975</v>
      </c>
      <c r="AJ855" s="23"/>
      <c r="AK855" s="101">
        <v>107</v>
      </c>
      <c r="AL855" s="44"/>
      <c r="AM855" s="44"/>
      <c r="AN855" s="44"/>
      <c r="AO855" s="44"/>
      <c r="AP855" s="44"/>
      <c r="AQ855" s="44"/>
      <c r="AR855" s="44"/>
    </row>
    <row r="856" spans="1:44" ht="16.8">
      <c r="A856" s="17" t="s">
        <v>1912</v>
      </c>
      <c r="B856" s="18"/>
      <c r="C856" s="18" t="s">
        <v>1909</v>
      </c>
      <c r="D856" s="19" t="s">
        <v>1910</v>
      </c>
      <c r="E856" s="20" t="s">
        <v>39</v>
      </c>
      <c r="F856" s="21">
        <v>2004</v>
      </c>
      <c r="G856" s="40">
        <v>2023</v>
      </c>
      <c r="H856" s="23">
        <v>368386895771</v>
      </c>
      <c r="I856" s="23">
        <v>657562353216</v>
      </c>
      <c r="J856" s="23">
        <v>23236683388</v>
      </c>
      <c r="K856" s="23">
        <f t="shared" si="303"/>
        <v>21502409246</v>
      </c>
      <c r="L856" s="23">
        <v>23236683388</v>
      </c>
      <c r="M856" s="23">
        <f t="shared" si="195"/>
        <v>634325669828</v>
      </c>
      <c r="N856" s="23">
        <v>40803491146</v>
      </c>
      <c r="O856" s="25">
        <f t="shared" si="243"/>
        <v>345150212383</v>
      </c>
      <c r="P856" s="23">
        <v>4962128689</v>
      </c>
      <c r="Q856" s="23">
        <f>1267098917+7937658105</f>
        <v>9204757022</v>
      </c>
      <c r="R856" s="25">
        <f t="shared" si="244"/>
        <v>31598734124</v>
      </c>
      <c r="S856" s="26">
        <f t="shared" si="245"/>
        <v>3.5337612128118707E-2</v>
      </c>
      <c r="T856" s="27">
        <f t="shared" si="246"/>
        <v>15.853677980621113</v>
      </c>
      <c r="U856" s="26">
        <f t="shared" si="247"/>
        <v>27.211805430290486</v>
      </c>
      <c r="V856" s="26">
        <f t="shared" si="248"/>
        <v>1.8976241536092286</v>
      </c>
      <c r="W856" s="143"/>
      <c r="X856" s="143"/>
      <c r="Y856" s="143"/>
      <c r="Z856" s="30"/>
      <c r="AA856" s="31">
        <f t="shared" si="249"/>
        <v>19</v>
      </c>
      <c r="AB856" s="32">
        <v>3.2500000000000001E-2</v>
      </c>
      <c r="AC856" s="32">
        <v>5.0500000000000003E-2</v>
      </c>
      <c r="AD856" s="33">
        <f t="shared" si="289"/>
        <v>0.52489351115516647</v>
      </c>
      <c r="AE856" s="34">
        <f t="shared" si="290"/>
        <v>7.5462481462499576E-3</v>
      </c>
      <c r="AF856" s="33">
        <f t="shared" si="291"/>
        <v>4.8054354038757234E-2</v>
      </c>
      <c r="AG856" s="33">
        <f t="shared" si="292"/>
        <v>0</v>
      </c>
      <c r="AH856" s="35">
        <f t="shared" si="293"/>
        <v>1.7559946255958343</v>
      </c>
      <c r="AI856" s="36">
        <f t="shared" si="260"/>
        <v>2.5550109547146826</v>
      </c>
      <c r="AJ856" s="23"/>
      <c r="AK856" s="101">
        <v>108</v>
      </c>
      <c r="AL856" s="44"/>
      <c r="AM856" s="44"/>
      <c r="AN856" s="44"/>
      <c r="AO856" s="44"/>
      <c r="AP856" s="44"/>
      <c r="AQ856" s="44"/>
      <c r="AR856" s="44"/>
    </row>
    <row r="857" spans="1:44" ht="16.8">
      <c r="A857" s="17" t="s">
        <v>1913</v>
      </c>
      <c r="B857" s="18">
        <v>332</v>
      </c>
      <c r="C857" s="18" t="s">
        <v>1914</v>
      </c>
      <c r="D857" s="19" t="s">
        <v>1915</v>
      </c>
      <c r="E857" s="20" t="s">
        <v>39</v>
      </c>
      <c r="F857" s="21">
        <v>2001</v>
      </c>
      <c r="G857" s="40">
        <v>2021</v>
      </c>
      <c r="H857" s="23">
        <v>134572914857</v>
      </c>
      <c r="I857" s="23">
        <v>151834731144</v>
      </c>
      <c r="J857" s="23">
        <v>84472913362</v>
      </c>
      <c r="K857" s="23">
        <f>(J857+43953834252)/2</f>
        <v>64213373807</v>
      </c>
      <c r="L857" s="23">
        <v>84472913362</v>
      </c>
      <c r="M857" s="23">
        <f t="shared" si="195"/>
        <v>67361817782</v>
      </c>
      <c r="N857" s="23">
        <v>160105731514</v>
      </c>
      <c r="O857" s="25">
        <f t="shared" si="243"/>
        <v>50100001495</v>
      </c>
      <c r="P857" s="23">
        <v>-3505206374</v>
      </c>
      <c r="Q857" s="23">
        <f>1340078422+9149944180</f>
        <v>10490022602</v>
      </c>
      <c r="R857" s="25">
        <f t="shared" si="244"/>
        <v>149615708912</v>
      </c>
      <c r="S857" s="26">
        <f t="shared" si="245"/>
        <v>0.55634776526778928</v>
      </c>
      <c r="T857" s="27">
        <f t="shared" si="246"/>
        <v>1.5930895419730771</v>
      </c>
      <c r="U857" s="26">
        <f t="shared" si="247"/>
        <v>25.74605847115328</v>
      </c>
      <c r="V857" s="26">
        <f t="shared" si="248"/>
        <v>2.4933393469593188</v>
      </c>
      <c r="W857" s="143"/>
      <c r="X857" s="143"/>
      <c r="Y857" s="143"/>
      <c r="Z857" s="30">
        <f>W857*Y857</f>
        <v>0</v>
      </c>
      <c r="AA857" s="31">
        <f t="shared" si="249"/>
        <v>20</v>
      </c>
      <c r="AB857" s="32">
        <v>1.84E-2</v>
      </c>
      <c r="AC857" s="32">
        <v>2.58E-2</v>
      </c>
      <c r="AD857" s="33">
        <f t="shared" si="289"/>
        <v>0.32996404128041812</v>
      </c>
      <c r="AE857" s="34">
        <f t="shared" si="290"/>
        <v>-2.308566918510669E-2</v>
      </c>
      <c r="AF857" s="33">
        <f t="shared" si="291"/>
        <v>0.98538527901172046</v>
      </c>
      <c r="AG857" s="33">
        <f t="shared" si="292"/>
        <v>0</v>
      </c>
      <c r="AH857" s="35">
        <f t="shared" si="293"/>
        <v>1.895349942861368</v>
      </c>
      <c r="AI857" s="36">
        <f t="shared" si="260"/>
        <v>5.5107582762773983</v>
      </c>
      <c r="AJ857" s="23"/>
      <c r="AK857" s="101">
        <v>109</v>
      </c>
      <c r="AL857" s="44"/>
      <c r="AM857" s="44"/>
      <c r="AN857" s="44"/>
      <c r="AO857" s="44"/>
      <c r="AP857" s="44"/>
      <c r="AQ857" s="44"/>
      <c r="AR857" s="44"/>
    </row>
    <row r="858" spans="1:44" ht="16.8">
      <c r="A858" s="17" t="s">
        <v>1916</v>
      </c>
      <c r="B858" s="18"/>
      <c r="C858" s="18" t="s">
        <v>1914</v>
      </c>
      <c r="D858" s="19" t="s">
        <v>1915</v>
      </c>
      <c r="E858" s="20" t="s">
        <v>39</v>
      </c>
      <c r="F858" s="21">
        <v>2001</v>
      </c>
      <c r="G858" s="40">
        <v>2022</v>
      </c>
      <c r="H858" s="23">
        <v>85474163772</v>
      </c>
      <c r="I858" s="23">
        <v>100846985786</v>
      </c>
      <c r="J858" s="23">
        <v>42723191863</v>
      </c>
      <c r="K858" s="23">
        <f t="shared" ref="K858:K859" si="304">(J858+J857)/2</f>
        <v>63598052612.5</v>
      </c>
      <c r="L858" s="23">
        <v>42723191863</v>
      </c>
      <c r="M858" s="23">
        <f t="shared" si="195"/>
        <v>58123793923</v>
      </c>
      <c r="N858" s="23">
        <v>168857576312</v>
      </c>
      <c r="O858" s="25">
        <f t="shared" si="243"/>
        <v>42750971909</v>
      </c>
      <c r="P858" s="23">
        <v>-9238023859</v>
      </c>
      <c r="Q858" s="23">
        <f>3212764353+10323814480</f>
        <v>13536578833</v>
      </c>
      <c r="R858" s="25">
        <f t="shared" si="244"/>
        <v>155320997479</v>
      </c>
      <c r="S858" s="26">
        <f t="shared" si="245"/>
        <v>0.42364371656739208</v>
      </c>
      <c r="T858" s="27">
        <f t="shared" si="246"/>
        <v>2.0006502333928862</v>
      </c>
      <c r="U858" s="26">
        <f t="shared" si="247"/>
        <v>25.336870212808748</v>
      </c>
      <c r="V858" s="26">
        <f t="shared" si="248"/>
        <v>2.655074634766593</v>
      </c>
      <c r="W858" s="143"/>
      <c r="X858" s="143"/>
      <c r="Y858" s="143"/>
      <c r="Z858" s="30"/>
      <c r="AA858" s="31">
        <f t="shared" si="249"/>
        <v>21</v>
      </c>
      <c r="AB858" s="32">
        <v>3.15E-2</v>
      </c>
      <c r="AC858" s="32">
        <v>8.0199999999999994E-2</v>
      </c>
      <c r="AD858" s="33">
        <f t="shared" si="289"/>
        <v>0.42391918385859051</v>
      </c>
      <c r="AE858" s="34">
        <f t="shared" si="290"/>
        <v>-9.1604362658923036E-2</v>
      </c>
      <c r="AF858" s="33">
        <f t="shared" si="291"/>
        <v>1.5401649961913122</v>
      </c>
      <c r="AG858" s="33">
        <f t="shared" si="292"/>
        <v>0</v>
      </c>
      <c r="AH858" s="35">
        <f t="shared" si="293"/>
        <v>3.9523633171761552</v>
      </c>
      <c r="AI858" s="36">
        <f t="shared" si="260"/>
        <v>9.4153647175153026</v>
      </c>
      <c r="AJ858" s="23"/>
      <c r="AK858" s="101">
        <v>110</v>
      </c>
      <c r="AL858" s="44"/>
      <c r="AM858" s="44"/>
      <c r="AN858" s="44"/>
      <c r="AO858" s="44"/>
      <c r="AP858" s="44"/>
      <c r="AQ858" s="44"/>
      <c r="AR858" s="44"/>
    </row>
    <row r="859" spans="1:44" ht="16.8">
      <c r="A859" s="17" t="s">
        <v>1917</v>
      </c>
      <c r="B859" s="18"/>
      <c r="C859" s="18" t="s">
        <v>1914</v>
      </c>
      <c r="D859" s="19" t="s">
        <v>1915</v>
      </c>
      <c r="E859" s="20" t="s">
        <v>39</v>
      </c>
      <c r="F859" s="21">
        <v>2001</v>
      </c>
      <c r="G859" s="40">
        <v>2023</v>
      </c>
      <c r="H859" s="23">
        <v>122058217338</v>
      </c>
      <c r="I859" s="23">
        <v>143663241674</v>
      </c>
      <c r="J859" s="23">
        <v>84053212382</v>
      </c>
      <c r="K859" s="23">
        <f t="shared" si="304"/>
        <v>63388202122.5</v>
      </c>
      <c r="L859" s="23">
        <v>84053212382</v>
      </c>
      <c r="M859" s="23">
        <f t="shared" si="195"/>
        <v>59610029292</v>
      </c>
      <c r="N859" s="23">
        <v>137557264548</v>
      </c>
      <c r="O859" s="25">
        <f t="shared" si="243"/>
        <v>38005004956</v>
      </c>
      <c r="P859" s="23">
        <v>1486235369</v>
      </c>
      <c r="Q859" s="23">
        <f>3881347907+6533445878</f>
        <v>10414793785</v>
      </c>
      <c r="R859" s="25">
        <f t="shared" si="244"/>
        <v>127142470763</v>
      </c>
      <c r="S859" s="26">
        <f t="shared" si="245"/>
        <v>0.58507111076285734</v>
      </c>
      <c r="T859" s="27">
        <f t="shared" si="246"/>
        <v>1.4521541042747674</v>
      </c>
      <c r="U859" s="26">
        <f t="shared" si="247"/>
        <v>25.690737798241727</v>
      </c>
      <c r="V859" s="26">
        <f t="shared" si="248"/>
        <v>2.1700767641613434</v>
      </c>
      <c r="W859" s="143"/>
      <c r="X859" s="143"/>
      <c r="Y859" s="143"/>
      <c r="Z859" s="30"/>
      <c r="AA859" s="31">
        <f t="shared" si="249"/>
        <v>22</v>
      </c>
      <c r="AB859" s="32">
        <v>3.2500000000000001E-2</v>
      </c>
      <c r="AC859" s="32">
        <v>5.0500000000000003E-2</v>
      </c>
      <c r="AD859" s="33">
        <f t="shared" si="289"/>
        <v>0.26454230402402301</v>
      </c>
      <c r="AE859" s="34">
        <f t="shared" si="290"/>
        <v>1.034527240010746E-2</v>
      </c>
      <c r="AF859" s="33">
        <f t="shared" si="291"/>
        <v>0.88500349345806317</v>
      </c>
      <c r="AG859" s="33">
        <f t="shared" si="292"/>
        <v>0</v>
      </c>
      <c r="AH859" s="35">
        <f t="shared" si="293"/>
        <v>1.6365497599644139</v>
      </c>
      <c r="AI859" s="36">
        <f t="shared" si="260"/>
        <v>4.8889954345650004</v>
      </c>
      <c r="AJ859" s="23"/>
      <c r="AK859" s="101">
        <v>111</v>
      </c>
      <c r="AL859" s="44"/>
      <c r="AM859" s="44"/>
      <c r="AN859" s="44"/>
      <c r="AO859" s="44"/>
      <c r="AP859" s="44"/>
      <c r="AQ859" s="44"/>
      <c r="AR859" s="44"/>
    </row>
    <row r="860" spans="1:44" ht="16.8">
      <c r="A860" s="45"/>
      <c r="B860" s="45">
        <v>333</v>
      </c>
      <c r="C860" s="45" t="s">
        <v>1918</v>
      </c>
      <c r="D860" s="46" t="s">
        <v>1919</v>
      </c>
      <c r="E860" s="47" t="s">
        <v>39</v>
      </c>
      <c r="F860" s="48"/>
      <c r="G860" s="48"/>
      <c r="H860" s="49"/>
      <c r="I860" s="49"/>
      <c r="J860" s="49"/>
      <c r="K860" s="49"/>
      <c r="L860" s="49"/>
      <c r="M860" s="49">
        <f t="shared" si="195"/>
        <v>0</v>
      </c>
      <c r="N860" s="49"/>
      <c r="O860" s="49">
        <f t="shared" si="243"/>
        <v>0</v>
      </c>
      <c r="P860" s="49"/>
      <c r="Q860" s="49"/>
      <c r="R860" s="49">
        <f t="shared" si="244"/>
        <v>0</v>
      </c>
      <c r="S860" s="50" t="e">
        <f t="shared" si="245"/>
        <v>#DIV/0!</v>
      </c>
      <c r="T860" s="51" t="e">
        <f t="shared" si="246"/>
        <v>#DIV/0!</v>
      </c>
      <c r="U860" s="50" t="e">
        <f t="shared" si="247"/>
        <v>#NUM!</v>
      </c>
      <c r="V860" s="50" t="e">
        <f t="shared" si="248"/>
        <v>#DIV/0!</v>
      </c>
      <c r="W860" s="52"/>
      <c r="X860" s="52"/>
      <c r="Y860" s="52"/>
      <c r="Z860" s="55">
        <f t="shared" ref="Z860:Z861" si="305">W860*Y860</f>
        <v>0</v>
      </c>
      <c r="AA860" s="48">
        <f t="shared" si="249"/>
        <v>0</v>
      </c>
      <c r="AB860" s="49"/>
      <c r="AC860" s="49"/>
      <c r="AD860" s="50" t="e">
        <f t="shared" si="289"/>
        <v>#DIV/0!</v>
      </c>
      <c r="AE860" s="56" t="e">
        <f t="shared" si="290"/>
        <v>#DIV/0!</v>
      </c>
      <c r="AF860" s="50" t="e">
        <f t="shared" si="291"/>
        <v>#DIV/0!</v>
      </c>
      <c r="AG860" s="50" t="e">
        <f t="shared" si="292"/>
        <v>#DIV/0!</v>
      </c>
      <c r="AH860" s="57" t="e">
        <f t="shared" si="293"/>
        <v>#DIV/0!</v>
      </c>
      <c r="AI860" s="58" t="e">
        <f t="shared" si="260"/>
        <v>#DIV/0!</v>
      </c>
      <c r="AJ860" s="49"/>
      <c r="AK860" s="49">
        <v>112</v>
      </c>
      <c r="AL860" s="59"/>
      <c r="AM860" s="59"/>
      <c r="AN860" s="59"/>
      <c r="AO860" s="59"/>
      <c r="AP860" s="59"/>
      <c r="AQ860" s="59"/>
      <c r="AR860" s="59"/>
    </row>
    <row r="861" spans="1:44" ht="16.8">
      <c r="A861" s="17" t="s">
        <v>1920</v>
      </c>
      <c r="B861" s="18">
        <v>334</v>
      </c>
      <c r="C861" s="18" t="s">
        <v>1921</v>
      </c>
      <c r="D861" s="19" t="s">
        <v>1922</v>
      </c>
      <c r="E861" s="20" t="s">
        <v>39</v>
      </c>
      <c r="F861" s="21">
        <v>1982</v>
      </c>
      <c r="G861" s="40">
        <v>2021</v>
      </c>
      <c r="H861" s="23">
        <v>194597913394</v>
      </c>
      <c r="I861" s="23">
        <v>240529702605</v>
      </c>
      <c r="J861" s="23">
        <v>110845429765</v>
      </c>
      <c r="K861" s="23">
        <f>(J861+74397714131)/2</f>
        <v>92621571948</v>
      </c>
      <c r="L861" s="23">
        <v>110821929765</v>
      </c>
      <c r="M861" s="23">
        <f t="shared" si="195"/>
        <v>129684272840</v>
      </c>
      <c r="N861" s="23">
        <v>527338143398</v>
      </c>
      <c r="O861" s="25">
        <f t="shared" si="243"/>
        <v>83775983629</v>
      </c>
      <c r="P861" s="23">
        <v>19081255562</v>
      </c>
      <c r="Q861" s="23">
        <f>52997273161+39625401845</f>
        <v>92622675006</v>
      </c>
      <c r="R861" s="25">
        <f t="shared" si="244"/>
        <v>434715468392</v>
      </c>
      <c r="S861" s="26">
        <f t="shared" si="245"/>
        <v>0.46083884262323871</v>
      </c>
      <c r="T861" s="27">
        <f t="shared" si="246"/>
        <v>1.7559513158329634</v>
      </c>
      <c r="U861" s="26">
        <f t="shared" si="247"/>
        <v>26.206109422421385</v>
      </c>
      <c r="V861" s="26">
        <f t="shared" si="248"/>
        <v>5.6934700233122841</v>
      </c>
      <c r="W861" s="143"/>
      <c r="X861" s="143"/>
      <c r="Y861" s="143"/>
      <c r="Z861" s="30">
        <f t="shared" si="305"/>
        <v>0</v>
      </c>
      <c r="AA861" s="31">
        <f t="shared" si="249"/>
        <v>39</v>
      </c>
      <c r="AB861" s="32">
        <v>1.84E-2</v>
      </c>
      <c r="AC861" s="32">
        <v>2.58E-2</v>
      </c>
      <c r="AD861" s="33">
        <f t="shared" si="289"/>
        <v>0.34829787224481651</v>
      </c>
      <c r="AE861" s="34">
        <f t="shared" si="290"/>
        <v>7.9330142412121996E-2</v>
      </c>
      <c r="AF861" s="33">
        <f t="shared" si="291"/>
        <v>1.8073255139964712</v>
      </c>
      <c r="AG861" s="33">
        <f t="shared" si="292"/>
        <v>0</v>
      </c>
      <c r="AH861" s="35">
        <f t="shared" si="293"/>
        <v>4.7574189077167501</v>
      </c>
      <c r="AI861" s="36">
        <f t="shared" si="260"/>
        <v>11.250612749975854</v>
      </c>
      <c r="AJ861" s="23"/>
      <c r="AK861" s="101">
        <v>113</v>
      </c>
      <c r="AL861" s="44"/>
      <c r="AM861" s="44"/>
      <c r="AN861" s="44"/>
      <c r="AO861" s="44"/>
      <c r="AP861" s="44"/>
      <c r="AQ861" s="44"/>
      <c r="AR861" s="44"/>
    </row>
    <row r="862" spans="1:44" ht="16.8">
      <c r="A862" s="17" t="s">
        <v>1923</v>
      </c>
      <c r="B862" s="18"/>
      <c r="C862" s="18" t="s">
        <v>1921</v>
      </c>
      <c r="D862" s="19" t="s">
        <v>1922</v>
      </c>
      <c r="E862" s="20" t="s">
        <v>39</v>
      </c>
      <c r="F862" s="21">
        <v>1982</v>
      </c>
      <c r="G862" s="40">
        <v>2022</v>
      </c>
      <c r="H862" s="23">
        <v>186225356729</v>
      </c>
      <c r="I862" s="23">
        <v>228680555099</v>
      </c>
      <c r="J862" s="23">
        <v>95012315000</v>
      </c>
      <c r="K862" s="23">
        <f t="shared" ref="K862:K863" si="306">(J862+J861)/2</f>
        <v>102928872382.5</v>
      </c>
      <c r="L862" s="23">
        <v>94988815000</v>
      </c>
      <c r="M862" s="23">
        <f t="shared" si="195"/>
        <v>133668240099</v>
      </c>
      <c r="N862" s="23">
        <v>514543725855</v>
      </c>
      <c r="O862" s="25">
        <f t="shared" si="243"/>
        <v>91236541729</v>
      </c>
      <c r="P862" s="23">
        <v>17129239298</v>
      </c>
      <c r="Q862" s="23">
        <f>47012811014+46276384656</f>
        <v>93289195670</v>
      </c>
      <c r="R862" s="25">
        <f t="shared" si="244"/>
        <v>421254530185</v>
      </c>
      <c r="S862" s="26">
        <f t="shared" si="245"/>
        <v>0.41548051586138329</v>
      </c>
      <c r="T862" s="27">
        <f t="shared" si="246"/>
        <v>1.9604977357492037</v>
      </c>
      <c r="U862" s="26">
        <f t="shared" si="247"/>
        <v>26.155591910744342</v>
      </c>
      <c r="V862" s="26">
        <f t="shared" si="248"/>
        <v>4.9990222757213738</v>
      </c>
      <c r="W862" s="143"/>
      <c r="X862" s="143"/>
      <c r="Y862" s="143"/>
      <c r="Z862" s="30"/>
      <c r="AA862" s="31">
        <f t="shared" si="249"/>
        <v>40</v>
      </c>
      <c r="AB862" s="32">
        <v>3.15E-2</v>
      </c>
      <c r="AC862" s="32">
        <v>8.0199999999999994E-2</v>
      </c>
      <c r="AD862" s="33">
        <f t="shared" si="289"/>
        <v>0.398969390683445</v>
      </c>
      <c r="AE862" s="34">
        <f t="shared" si="290"/>
        <v>7.4904660304783849E-2</v>
      </c>
      <c r="AF862" s="33">
        <f t="shared" si="291"/>
        <v>1.8421090940706839</v>
      </c>
      <c r="AG862" s="33">
        <f t="shared" si="292"/>
        <v>0</v>
      </c>
      <c r="AH862" s="35">
        <f t="shared" si="293"/>
        <v>5.4155477198403172</v>
      </c>
      <c r="AI862" s="36">
        <f t="shared" si="260"/>
        <v>12.078137523520404</v>
      </c>
      <c r="AJ862" s="23"/>
      <c r="AK862" s="101">
        <v>114</v>
      </c>
      <c r="AL862" s="44"/>
      <c r="AM862" s="44"/>
      <c r="AN862" s="44"/>
      <c r="AO862" s="44"/>
      <c r="AP862" s="44"/>
      <c r="AQ862" s="44"/>
      <c r="AR862" s="44"/>
    </row>
    <row r="863" spans="1:44" ht="16.8">
      <c r="A863" s="17" t="s">
        <v>1924</v>
      </c>
      <c r="B863" s="18"/>
      <c r="C863" s="18" t="s">
        <v>1921</v>
      </c>
      <c r="D863" s="19" t="s">
        <v>1922</v>
      </c>
      <c r="E863" s="20" t="s">
        <v>39</v>
      </c>
      <c r="F863" s="21">
        <v>1982</v>
      </c>
      <c r="G863" s="40">
        <v>2023</v>
      </c>
      <c r="H863" s="23">
        <v>168435795197</v>
      </c>
      <c r="I863" s="23">
        <v>208693498925</v>
      </c>
      <c r="J863" s="23">
        <v>72392854694</v>
      </c>
      <c r="K863" s="23">
        <f t="shared" si="306"/>
        <v>83702584847</v>
      </c>
      <c r="L863" s="23">
        <v>72315854694</v>
      </c>
      <c r="M863" s="23">
        <f t="shared" si="195"/>
        <v>136300644231</v>
      </c>
      <c r="N863" s="23">
        <v>504209296185</v>
      </c>
      <c r="O863" s="25">
        <f t="shared" si="243"/>
        <v>96119940503</v>
      </c>
      <c r="P863" s="23">
        <v>15478325909</v>
      </c>
      <c r="Q863" s="23">
        <f>39931811608+39099917363</f>
        <v>79031728971</v>
      </c>
      <c r="R863" s="25">
        <f t="shared" si="244"/>
        <v>425177567214</v>
      </c>
      <c r="S863" s="26">
        <f t="shared" si="245"/>
        <v>0.34688600779086298</v>
      </c>
      <c r="T863" s="27">
        <f t="shared" si="246"/>
        <v>2.3291682841850587</v>
      </c>
      <c r="U863" s="26">
        <f t="shared" si="247"/>
        <v>26.064132500208974</v>
      </c>
      <c r="V863" s="26">
        <f t="shared" si="248"/>
        <v>6.0238198988316123</v>
      </c>
      <c r="W863" s="143"/>
      <c r="X863" s="143"/>
      <c r="Y863" s="143"/>
      <c r="Z863" s="30"/>
      <c r="AA863" s="31">
        <f t="shared" si="249"/>
        <v>41</v>
      </c>
      <c r="AB863" s="32">
        <v>3.2500000000000001E-2</v>
      </c>
      <c r="AC863" s="32">
        <v>5.0500000000000003E-2</v>
      </c>
      <c r="AD863" s="33">
        <f t="shared" si="289"/>
        <v>0.46057946700842589</v>
      </c>
      <c r="AE863" s="34">
        <f t="shared" si="290"/>
        <v>7.4167743550854842E-2</v>
      </c>
      <c r="AF863" s="33">
        <f t="shared" si="291"/>
        <v>2.037330196695776</v>
      </c>
      <c r="AG863" s="33">
        <f t="shared" si="292"/>
        <v>0</v>
      </c>
      <c r="AH863" s="35">
        <f t="shared" si="293"/>
        <v>6.9649041789588306</v>
      </c>
      <c r="AI863" s="36">
        <f t="shared" si="260"/>
        <v>14.344624029436199</v>
      </c>
      <c r="AJ863" s="23"/>
      <c r="AK863" s="101">
        <v>115</v>
      </c>
      <c r="AL863" s="44"/>
      <c r="AM863" s="44"/>
      <c r="AN863" s="44"/>
      <c r="AO863" s="44"/>
      <c r="AP863" s="44"/>
      <c r="AQ863" s="44"/>
      <c r="AR863" s="44"/>
    </row>
    <row r="864" spans="1:44" ht="16.8">
      <c r="A864" s="17" t="s">
        <v>1925</v>
      </c>
      <c r="B864" s="18">
        <v>335</v>
      </c>
      <c r="C864" s="18" t="s">
        <v>1926</v>
      </c>
      <c r="D864" s="19" t="s">
        <v>1927</v>
      </c>
      <c r="E864" s="20" t="s">
        <v>39</v>
      </c>
      <c r="F864" s="21">
        <v>1996</v>
      </c>
      <c r="G864" s="40">
        <v>2021</v>
      </c>
      <c r="H864" s="23">
        <v>152570376083</v>
      </c>
      <c r="I864" s="23">
        <v>175619023706</v>
      </c>
      <c r="J864" s="23">
        <v>33904184075</v>
      </c>
      <c r="K864" s="23">
        <f>(J864+31004897838)/2</f>
        <v>32454540956.5</v>
      </c>
      <c r="L864" s="23">
        <v>33904184075</v>
      </c>
      <c r="M864" s="23">
        <f t="shared" si="195"/>
        <v>141714839631</v>
      </c>
      <c r="N864" s="23">
        <v>236522186184</v>
      </c>
      <c r="O864" s="25">
        <f t="shared" si="243"/>
        <v>118666192008</v>
      </c>
      <c r="P864" s="23">
        <v>6602775245</v>
      </c>
      <c r="Q864" s="23">
        <f>3874821804+11354232627</f>
        <v>15229054431</v>
      </c>
      <c r="R864" s="25">
        <f t="shared" si="244"/>
        <v>221293131753</v>
      </c>
      <c r="S864" s="26">
        <f t="shared" si="245"/>
        <v>0.19305530437157115</v>
      </c>
      <c r="T864" s="27">
        <f t="shared" si="246"/>
        <v>4.5000456505750615</v>
      </c>
      <c r="U864" s="26">
        <f t="shared" si="247"/>
        <v>25.891582847735148</v>
      </c>
      <c r="V864" s="26">
        <f t="shared" si="248"/>
        <v>7.287799463903041</v>
      </c>
      <c r="W864" s="143"/>
      <c r="X864" s="143"/>
      <c r="Y864" s="143"/>
      <c r="Z864" s="30">
        <f>W864*Y864</f>
        <v>0</v>
      </c>
      <c r="AA864" s="31">
        <f t="shared" si="249"/>
        <v>25</v>
      </c>
      <c r="AB864" s="32">
        <v>1.84E-2</v>
      </c>
      <c r="AC864" s="32">
        <v>2.58E-2</v>
      </c>
      <c r="AD864" s="33">
        <f t="shared" si="289"/>
        <v>0.67570237838616221</v>
      </c>
      <c r="AE864" s="34">
        <f t="shared" si="290"/>
        <v>3.7597152664130301E-2</v>
      </c>
      <c r="AF864" s="33">
        <f t="shared" si="291"/>
        <v>1.26007494565886</v>
      </c>
      <c r="AG864" s="33">
        <f t="shared" si="292"/>
        <v>0</v>
      </c>
      <c r="AH864" s="35">
        <f t="shared" si="293"/>
        <v>6.9761946095144305</v>
      </c>
      <c r="AI864" s="36">
        <f t="shared" si="260"/>
        <v>11.997920797981845</v>
      </c>
      <c r="AJ864" s="23"/>
      <c r="AK864" s="101">
        <v>116</v>
      </c>
      <c r="AL864" s="44"/>
      <c r="AM864" s="44"/>
      <c r="AN864" s="44"/>
      <c r="AO864" s="44"/>
      <c r="AP864" s="44"/>
      <c r="AQ864" s="44"/>
      <c r="AR864" s="44"/>
    </row>
    <row r="865" spans="1:44" ht="16.8">
      <c r="A865" s="17" t="s">
        <v>1928</v>
      </c>
      <c r="B865" s="18"/>
      <c r="C865" s="18" t="s">
        <v>1926</v>
      </c>
      <c r="D865" s="19" t="s">
        <v>1927</v>
      </c>
      <c r="E865" s="20" t="s">
        <v>39</v>
      </c>
      <c r="F865" s="21">
        <v>1996</v>
      </c>
      <c r="G865" s="40">
        <v>2022</v>
      </c>
      <c r="H865" s="23">
        <v>160688879460</v>
      </c>
      <c r="I865" s="23">
        <v>187597466806</v>
      </c>
      <c r="J865" s="23">
        <v>47800375193</v>
      </c>
      <c r="K865" s="23">
        <f t="shared" ref="K865:K866" si="307">(J864+J865)/2</f>
        <v>40852279634</v>
      </c>
      <c r="L865" s="23">
        <v>47800375193</v>
      </c>
      <c r="M865" s="23">
        <f t="shared" si="195"/>
        <v>139797091613</v>
      </c>
      <c r="N865" s="23">
        <v>257082321762</v>
      </c>
      <c r="O865" s="25">
        <f t="shared" si="243"/>
        <v>112888504267</v>
      </c>
      <c r="P865" s="23">
        <v>4499902382</v>
      </c>
      <c r="Q865" s="23">
        <f>4352682747+12283424180</f>
        <v>16636106927</v>
      </c>
      <c r="R865" s="25">
        <f t="shared" si="244"/>
        <v>240446214835</v>
      </c>
      <c r="S865" s="26">
        <f t="shared" si="245"/>
        <v>0.25480288197298401</v>
      </c>
      <c r="T865" s="27">
        <f t="shared" si="246"/>
        <v>3.3616656524388886</v>
      </c>
      <c r="U865" s="26">
        <f t="shared" si="247"/>
        <v>25.957564370261057</v>
      </c>
      <c r="V865" s="26">
        <f t="shared" si="248"/>
        <v>6.2929737107752217</v>
      </c>
      <c r="W865" s="143"/>
      <c r="X865" s="143"/>
      <c r="Y865" s="143"/>
      <c r="Z865" s="30"/>
      <c r="AA865" s="31">
        <f t="shared" si="249"/>
        <v>26</v>
      </c>
      <c r="AB865" s="32">
        <v>3.15E-2</v>
      </c>
      <c r="AC865" s="32">
        <v>8.0199999999999994E-2</v>
      </c>
      <c r="AD865" s="33">
        <f t="shared" si="289"/>
        <v>0.60175921449803627</v>
      </c>
      <c r="AE865" s="34">
        <f t="shared" si="290"/>
        <v>2.3987010371805714E-2</v>
      </c>
      <c r="AF865" s="33">
        <f t="shared" si="291"/>
        <v>1.2817135483159399</v>
      </c>
      <c r="AG865" s="33">
        <f t="shared" si="292"/>
        <v>0</v>
      </c>
      <c r="AH865" s="35">
        <f t="shared" si="293"/>
        <v>5.3782490351591994</v>
      </c>
      <c r="AI865" s="36">
        <f t="shared" si="260"/>
        <v>10.363596616519972</v>
      </c>
      <c r="AJ865" s="23"/>
      <c r="AK865" s="101">
        <v>117</v>
      </c>
      <c r="AL865" s="44"/>
      <c r="AM865" s="44"/>
      <c r="AN865" s="44"/>
      <c r="AO865" s="44"/>
      <c r="AP865" s="44"/>
      <c r="AQ865" s="44"/>
      <c r="AR865" s="44"/>
    </row>
    <row r="866" spans="1:44" ht="16.8">
      <c r="A866" s="17" t="s">
        <v>1929</v>
      </c>
      <c r="B866" s="18"/>
      <c r="C866" s="18" t="s">
        <v>1926</v>
      </c>
      <c r="D866" s="19" t="s">
        <v>1927</v>
      </c>
      <c r="E866" s="20" t="s">
        <v>39</v>
      </c>
      <c r="F866" s="21">
        <v>1996</v>
      </c>
      <c r="G866" s="40">
        <v>2023</v>
      </c>
      <c r="H866" s="23">
        <v>150850870796</v>
      </c>
      <c r="I866" s="23">
        <v>181168841295</v>
      </c>
      <c r="J866" s="23">
        <v>37688293191</v>
      </c>
      <c r="K866" s="23">
        <f t="shared" si="307"/>
        <v>42744334192</v>
      </c>
      <c r="L866" s="23">
        <v>37688293191</v>
      </c>
      <c r="M866" s="23">
        <f t="shared" si="195"/>
        <v>143480548104</v>
      </c>
      <c r="N866" s="23">
        <v>214965688085</v>
      </c>
      <c r="O866" s="25">
        <f t="shared" si="243"/>
        <v>113162577605</v>
      </c>
      <c r="P866" s="23">
        <v>10101106891</v>
      </c>
      <c r="Q866" s="23">
        <f>4038201296+12347447890</f>
        <v>16385649186</v>
      </c>
      <c r="R866" s="25">
        <f t="shared" si="244"/>
        <v>198580038899</v>
      </c>
      <c r="S866" s="26">
        <f t="shared" si="245"/>
        <v>0.20802856010781443</v>
      </c>
      <c r="T866" s="27">
        <f t="shared" si="246"/>
        <v>4.0025922646988779</v>
      </c>
      <c r="U866" s="26">
        <f t="shared" si="247"/>
        <v>25.922695258235787</v>
      </c>
      <c r="V866" s="26">
        <f t="shared" si="248"/>
        <v>5.0291036730017149</v>
      </c>
      <c r="W866" s="143"/>
      <c r="X866" s="143"/>
      <c r="Y866" s="143"/>
      <c r="Z866" s="30"/>
      <c r="AA866" s="31">
        <f t="shared" si="249"/>
        <v>27</v>
      </c>
      <c r="AB866" s="32">
        <v>3.2500000000000001E-2</v>
      </c>
      <c r="AC866" s="32">
        <v>5.0500000000000003E-2</v>
      </c>
      <c r="AD866" s="33">
        <f t="shared" si="289"/>
        <v>0.6246249454161692</v>
      </c>
      <c r="AE866" s="34">
        <f t="shared" si="290"/>
        <v>5.5755210547227672E-2</v>
      </c>
      <c r="AF866" s="33">
        <f t="shared" si="291"/>
        <v>1.0961048129443467</v>
      </c>
      <c r="AG866" s="33">
        <f t="shared" si="292"/>
        <v>0</v>
      </c>
      <c r="AH866" s="35">
        <f t="shared" si="293"/>
        <v>5.7037788099232367</v>
      </c>
      <c r="AI866" s="36">
        <f t="shared" si="260"/>
        <v>10.148531921905104</v>
      </c>
      <c r="AJ866" s="23"/>
      <c r="AK866" s="101">
        <v>118</v>
      </c>
      <c r="AL866" s="44"/>
      <c r="AM866" s="44"/>
      <c r="AN866" s="44"/>
      <c r="AO866" s="44"/>
      <c r="AP866" s="44"/>
      <c r="AQ866" s="44"/>
      <c r="AR866" s="44"/>
    </row>
    <row r="867" spans="1:44" ht="16.8">
      <c r="A867" s="17" t="s">
        <v>1930</v>
      </c>
      <c r="B867" s="18">
        <v>336</v>
      </c>
      <c r="C867" s="18" t="s">
        <v>1931</v>
      </c>
      <c r="D867" s="19" t="s">
        <v>1932</v>
      </c>
      <c r="E867" s="20" t="s">
        <v>39</v>
      </c>
      <c r="F867" s="21">
        <v>2005</v>
      </c>
      <c r="G867" s="40">
        <v>2021</v>
      </c>
      <c r="H867" s="23">
        <v>176543914164</v>
      </c>
      <c r="I867" s="23">
        <v>274481304043</v>
      </c>
      <c r="J867" s="23">
        <v>52850849799</v>
      </c>
      <c r="K867" s="23">
        <f>(J867+13328855110)/2</f>
        <v>33089852454.5</v>
      </c>
      <c r="L867" s="23">
        <v>52850849799</v>
      </c>
      <c r="M867" s="23">
        <f t="shared" si="195"/>
        <v>221630454244</v>
      </c>
      <c r="N867" s="23">
        <v>180449815700</v>
      </c>
      <c r="O867" s="25">
        <f t="shared" si="243"/>
        <v>123693064365</v>
      </c>
      <c r="P867" s="23">
        <v>810301856</v>
      </c>
      <c r="Q867" s="23">
        <v>1949739009</v>
      </c>
      <c r="R867" s="25">
        <f t="shared" si="244"/>
        <v>178500076691</v>
      </c>
      <c r="S867" s="26">
        <f t="shared" si="245"/>
        <v>0.19254808622856306</v>
      </c>
      <c r="T867" s="27">
        <f t="shared" si="246"/>
        <v>3.3404177006694113</v>
      </c>
      <c r="U867" s="26">
        <f t="shared" si="247"/>
        <v>26.338148986443496</v>
      </c>
      <c r="V867" s="26">
        <f t="shared" si="248"/>
        <v>5.4533279031124851</v>
      </c>
      <c r="W867" s="143"/>
      <c r="X867" s="143"/>
      <c r="Y867" s="143"/>
      <c r="Z867" s="30">
        <f>W867*Y867</f>
        <v>0</v>
      </c>
      <c r="AA867" s="31">
        <f t="shared" si="249"/>
        <v>16</v>
      </c>
      <c r="AB867" s="32">
        <v>1.84E-2</v>
      </c>
      <c r="AC867" s="32">
        <v>2.58E-2</v>
      </c>
      <c r="AD867" s="33">
        <f t="shared" si="289"/>
        <v>0.45064294923934911</v>
      </c>
      <c r="AE867" s="34">
        <f t="shared" si="290"/>
        <v>2.9521203960509415E-3</v>
      </c>
      <c r="AF867" s="33">
        <f t="shared" si="291"/>
        <v>0.65031779600929152</v>
      </c>
      <c r="AG867" s="33">
        <f t="shared" si="292"/>
        <v>0</v>
      </c>
      <c r="AH867" s="35">
        <f t="shared" si="293"/>
        <v>3.4143219340139033</v>
      </c>
      <c r="AI867" s="36">
        <f t="shared" si="260"/>
        <v>6.105275168486255</v>
      </c>
      <c r="AJ867" s="23" t="s">
        <v>85</v>
      </c>
      <c r="AK867" s="101">
        <v>119</v>
      </c>
      <c r="AL867" s="44"/>
      <c r="AM867" s="44"/>
      <c r="AN867" s="44"/>
      <c r="AO867" s="44"/>
      <c r="AP867" s="44"/>
      <c r="AQ867" s="44"/>
      <c r="AR867" s="44"/>
    </row>
    <row r="868" spans="1:44" ht="16.8">
      <c r="A868" s="17" t="s">
        <v>1933</v>
      </c>
      <c r="B868" s="18"/>
      <c r="C868" s="18" t="s">
        <v>1931</v>
      </c>
      <c r="D868" s="19" t="s">
        <v>1932</v>
      </c>
      <c r="E868" s="20" t="s">
        <v>39</v>
      </c>
      <c r="F868" s="21">
        <v>2005</v>
      </c>
      <c r="G868" s="40">
        <v>2022</v>
      </c>
      <c r="H868" s="23">
        <v>84659709526</v>
      </c>
      <c r="I868" s="23">
        <v>228655517103</v>
      </c>
      <c r="J868" s="23">
        <v>6023333618</v>
      </c>
      <c r="K868" s="23">
        <f t="shared" ref="K868:K869" si="308">(J868+J867)/2</f>
        <v>29437091708.5</v>
      </c>
      <c r="L868" s="23">
        <v>6023333618</v>
      </c>
      <c r="M868" s="23">
        <f t="shared" si="195"/>
        <v>222632183485</v>
      </c>
      <c r="N868" s="23">
        <v>113798522950</v>
      </c>
      <c r="O868" s="25">
        <f t="shared" si="243"/>
        <v>78636375908</v>
      </c>
      <c r="P868" s="23">
        <v>991729241</v>
      </c>
      <c r="Q868" s="23">
        <v>2242953797</v>
      </c>
      <c r="R868" s="25">
        <f t="shared" si="244"/>
        <v>111555569153</v>
      </c>
      <c r="S868" s="26">
        <f t="shared" si="245"/>
        <v>2.6342393546037787E-2</v>
      </c>
      <c r="T868" s="27">
        <f t="shared" si="246"/>
        <v>14.055291454055402</v>
      </c>
      <c r="U868" s="26">
        <f t="shared" si="247"/>
        <v>26.155482415790644</v>
      </c>
      <c r="V868" s="26">
        <f t="shared" si="248"/>
        <v>3.8658208520354789</v>
      </c>
      <c r="W868" s="143"/>
      <c r="X868" s="143"/>
      <c r="Y868" s="143"/>
      <c r="Z868" s="30"/>
      <c r="AA868" s="31">
        <f t="shared" si="249"/>
        <v>17</v>
      </c>
      <c r="AB868" s="32">
        <v>3.15E-2</v>
      </c>
      <c r="AC868" s="32">
        <v>8.0199999999999994E-2</v>
      </c>
      <c r="AD868" s="33">
        <f t="shared" si="289"/>
        <v>0.34390762534095126</v>
      </c>
      <c r="AE868" s="34">
        <f t="shared" si="290"/>
        <v>4.3372198211743401E-3</v>
      </c>
      <c r="AF868" s="33">
        <f t="shared" si="291"/>
        <v>0.48787613159908472</v>
      </c>
      <c r="AG868" s="33">
        <f t="shared" si="292"/>
        <v>0</v>
      </c>
      <c r="AH868" s="35">
        <f t="shared" si="293"/>
        <v>18.892947023543069</v>
      </c>
      <c r="AI868" s="36">
        <f t="shared" si="260"/>
        <v>20.921699515978833</v>
      </c>
      <c r="AJ868" s="23" t="s">
        <v>85</v>
      </c>
      <c r="AK868" s="101">
        <v>120</v>
      </c>
      <c r="AL868" s="44"/>
      <c r="AM868" s="44"/>
      <c r="AN868" s="44"/>
      <c r="AO868" s="44"/>
      <c r="AP868" s="44"/>
      <c r="AQ868" s="44"/>
      <c r="AR868" s="44"/>
    </row>
    <row r="869" spans="1:44" ht="16.8">
      <c r="A869" s="17" t="s">
        <v>1934</v>
      </c>
      <c r="B869" s="18"/>
      <c r="C869" s="18" t="s">
        <v>1931</v>
      </c>
      <c r="D869" s="19" t="s">
        <v>1932</v>
      </c>
      <c r="E869" s="20" t="s">
        <v>39</v>
      </c>
      <c r="F869" s="21">
        <v>2005</v>
      </c>
      <c r="G869" s="40">
        <v>2023</v>
      </c>
      <c r="H869" s="23">
        <v>56691985992</v>
      </c>
      <c r="I869" s="23">
        <v>236308953312</v>
      </c>
      <c r="J869" s="23">
        <v>12099731031</v>
      </c>
      <c r="K869" s="23">
        <f t="shared" si="308"/>
        <v>9061532324.5</v>
      </c>
      <c r="L869" s="23">
        <v>12099731031</v>
      </c>
      <c r="M869" s="23">
        <f t="shared" si="195"/>
        <v>224209222281</v>
      </c>
      <c r="N869" s="23">
        <v>80248872433</v>
      </c>
      <c r="O869" s="25">
        <f t="shared" si="243"/>
        <v>44592254961</v>
      </c>
      <c r="P869" s="23">
        <v>716994453</v>
      </c>
      <c r="Q869" s="23">
        <v>1953287914</v>
      </c>
      <c r="R869" s="25">
        <f t="shared" si="244"/>
        <v>78295584519</v>
      </c>
      <c r="S869" s="26">
        <f t="shared" si="245"/>
        <v>5.1203015634471792E-2</v>
      </c>
      <c r="T869" s="27">
        <f t="shared" si="246"/>
        <v>4.6853922493609854</v>
      </c>
      <c r="U869" s="26">
        <f t="shared" si="247"/>
        <v>26.188405910019448</v>
      </c>
      <c r="V869" s="26">
        <f t="shared" si="248"/>
        <v>8.8559936177712633</v>
      </c>
      <c r="W869" s="143"/>
      <c r="X869" s="143"/>
      <c r="Y869" s="143"/>
      <c r="Z869" s="30"/>
      <c r="AA869" s="31">
        <f t="shared" si="249"/>
        <v>18</v>
      </c>
      <c r="AB869" s="32">
        <v>3.2500000000000001E-2</v>
      </c>
      <c r="AC869" s="32">
        <v>5.0500000000000003E-2</v>
      </c>
      <c r="AD869" s="33">
        <f t="shared" si="289"/>
        <v>0.18870319696319166</v>
      </c>
      <c r="AE869" s="34">
        <f t="shared" si="290"/>
        <v>3.0341400228426738E-3</v>
      </c>
      <c r="AF869" s="33">
        <f t="shared" si="291"/>
        <v>0.33132720289114864</v>
      </c>
      <c r="AG869" s="33">
        <f t="shared" si="292"/>
        <v>0</v>
      </c>
      <c r="AH869" s="35">
        <f t="shared" si="293"/>
        <v>6.6322856456394899</v>
      </c>
      <c r="AI869" s="36">
        <f t="shared" si="260"/>
        <v>7.9563570475680905</v>
      </c>
      <c r="AJ869" s="23" t="s">
        <v>85</v>
      </c>
      <c r="AK869" s="101">
        <v>121</v>
      </c>
      <c r="AL869" s="44"/>
      <c r="AM869" s="44"/>
      <c r="AN869" s="44"/>
      <c r="AO869" s="44"/>
      <c r="AP869" s="44"/>
      <c r="AQ869" s="44"/>
      <c r="AR869" s="44"/>
    </row>
    <row r="870" spans="1:44" ht="16.8">
      <c r="A870" s="45"/>
      <c r="B870" s="45">
        <v>337</v>
      </c>
      <c r="C870" s="45" t="s">
        <v>1935</v>
      </c>
      <c r="D870" s="46" t="s">
        <v>1936</v>
      </c>
      <c r="E870" s="47" t="s">
        <v>39</v>
      </c>
      <c r="F870" s="48"/>
      <c r="G870" s="48"/>
      <c r="H870" s="49"/>
      <c r="I870" s="49"/>
      <c r="J870" s="49"/>
      <c r="K870" s="49"/>
      <c r="L870" s="49"/>
      <c r="M870" s="49">
        <f t="shared" si="195"/>
        <v>0</v>
      </c>
      <c r="N870" s="49"/>
      <c r="O870" s="49">
        <f t="shared" si="243"/>
        <v>0</v>
      </c>
      <c r="P870" s="49"/>
      <c r="Q870" s="49"/>
      <c r="R870" s="49">
        <f t="shared" si="244"/>
        <v>0</v>
      </c>
      <c r="S870" s="50" t="e">
        <f t="shared" si="245"/>
        <v>#DIV/0!</v>
      </c>
      <c r="T870" s="51" t="e">
        <f t="shared" si="246"/>
        <v>#DIV/0!</v>
      </c>
      <c r="U870" s="50" t="e">
        <f t="shared" si="247"/>
        <v>#NUM!</v>
      </c>
      <c r="V870" s="50" t="e">
        <f t="shared" si="248"/>
        <v>#DIV/0!</v>
      </c>
      <c r="W870" s="52"/>
      <c r="X870" s="52"/>
      <c r="Y870" s="52"/>
      <c r="Z870" s="55">
        <f t="shared" ref="Z870:Z871" si="309">W870*Y870</f>
        <v>0</v>
      </c>
      <c r="AA870" s="48">
        <f t="shared" si="249"/>
        <v>0</v>
      </c>
      <c r="AB870" s="49"/>
      <c r="AC870" s="49"/>
      <c r="AD870" s="50" t="e">
        <f t="shared" si="289"/>
        <v>#DIV/0!</v>
      </c>
      <c r="AE870" s="56" t="e">
        <f t="shared" si="290"/>
        <v>#DIV/0!</v>
      </c>
      <c r="AF870" s="50" t="e">
        <f t="shared" si="291"/>
        <v>#DIV/0!</v>
      </c>
      <c r="AG870" s="50" t="e">
        <f t="shared" si="292"/>
        <v>#DIV/0!</v>
      </c>
      <c r="AH870" s="57" t="e">
        <f t="shared" si="293"/>
        <v>#DIV/0!</v>
      </c>
      <c r="AI870" s="58" t="e">
        <f t="shared" si="260"/>
        <v>#DIV/0!</v>
      </c>
      <c r="AJ870" s="49"/>
      <c r="AK870" s="49">
        <v>122</v>
      </c>
      <c r="AL870" s="59"/>
      <c r="AM870" s="59"/>
      <c r="AN870" s="59"/>
      <c r="AO870" s="59"/>
      <c r="AP870" s="59"/>
      <c r="AQ870" s="59"/>
      <c r="AR870" s="59"/>
    </row>
    <row r="871" spans="1:44" ht="16.8">
      <c r="A871" s="17" t="s">
        <v>1937</v>
      </c>
      <c r="B871" s="18">
        <v>338</v>
      </c>
      <c r="C871" s="18" t="s">
        <v>1938</v>
      </c>
      <c r="D871" s="19" t="s">
        <v>1939</v>
      </c>
      <c r="E871" s="20" t="s">
        <v>39</v>
      </c>
      <c r="F871" s="21">
        <v>2007</v>
      </c>
      <c r="G871" s="40">
        <v>2021</v>
      </c>
      <c r="H871" s="23">
        <v>1379059729098</v>
      </c>
      <c r="I871" s="23">
        <v>1428708781972</v>
      </c>
      <c r="J871" s="23">
        <v>1276216581176</v>
      </c>
      <c r="K871" s="23">
        <f>(J871+999315983169)/2</f>
        <v>1137766282172.5</v>
      </c>
      <c r="L871" s="23">
        <v>1276216581176</v>
      </c>
      <c r="M871" s="23">
        <f t="shared" si="195"/>
        <v>152492200796</v>
      </c>
      <c r="N871" s="23">
        <v>1226156406274</v>
      </c>
      <c r="O871" s="25">
        <f t="shared" si="243"/>
        <v>102843147922</v>
      </c>
      <c r="P871" s="23">
        <v>19610524359</v>
      </c>
      <c r="Q871" s="23">
        <v>49332455071</v>
      </c>
      <c r="R871" s="25">
        <f t="shared" si="244"/>
        <v>1176823951203</v>
      </c>
      <c r="S871" s="26">
        <f t="shared" si="245"/>
        <v>0.89326572166406093</v>
      </c>
      <c r="T871" s="27">
        <f t="shared" si="246"/>
        <v>1.0805844003587799</v>
      </c>
      <c r="U871" s="26">
        <f t="shared" si="247"/>
        <v>27.987792202625819</v>
      </c>
      <c r="V871" s="26">
        <f t="shared" si="248"/>
        <v>1.0776874174305149</v>
      </c>
      <c r="W871" s="143"/>
      <c r="X871" s="143"/>
      <c r="Y871" s="143"/>
      <c r="Z871" s="30">
        <f t="shared" si="309"/>
        <v>0</v>
      </c>
      <c r="AA871" s="31">
        <f t="shared" si="249"/>
        <v>14</v>
      </c>
      <c r="AB871" s="32">
        <v>1.84E-2</v>
      </c>
      <c r="AC871" s="32">
        <v>2.58E-2</v>
      </c>
      <c r="AD871" s="33">
        <f t="shared" si="289"/>
        <v>7.1983282541351057E-2</v>
      </c>
      <c r="AE871" s="34">
        <f t="shared" si="290"/>
        <v>1.3726047327806185E-2</v>
      </c>
      <c r="AF871" s="33">
        <f t="shared" si="291"/>
        <v>0.82369756947855277</v>
      </c>
      <c r="AG871" s="33">
        <f t="shared" si="292"/>
        <v>0</v>
      </c>
      <c r="AH871" s="35">
        <f t="shared" si="293"/>
        <v>0.96077454591925859</v>
      </c>
      <c r="AI871" s="36">
        <f t="shared" si="260"/>
        <v>3.7845729305070326</v>
      </c>
      <c r="AJ871" s="23" t="s">
        <v>85</v>
      </c>
      <c r="AK871" s="101">
        <v>123</v>
      </c>
      <c r="AL871" s="44"/>
      <c r="AM871" s="44"/>
      <c r="AN871" s="44"/>
      <c r="AO871" s="44"/>
      <c r="AP871" s="44"/>
      <c r="AQ871" s="44"/>
      <c r="AR871" s="44"/>
    </row>
    <row r="872" spans="1:44" ht="16.8">
      <c r="A872" s="17" t="s">
        <v>1940</v>
      </c>
      <c r="B872" s="18"/>
      <c r="C872" s="18" t="s">
        <v>1938</v>
      </c>
      <c r="D872" s="19" t="s">
        <v>1939</v>
      </c>
      <c r="E872" s="20" t="s">
        <v>39</v>
      </c>
      <c r="F872" s="21">
        <v>2007</v>
      </c>
      <c r="G872" s="40">
        <v>2022</v>
      </c>
      <c r="H872" s="23">
        <v>1557023023347</v>
      </c>
      <c r="I872" s="23">
        <v>1599272001597</v>
      </c>
      <c r="J872" s="23">
        <v>1446008319034</v>
      </c>
      <c r="K872" s="23">
        <f t="shared" ref="K872:K873" si="310">(J872+J871)/2</f>
        <v>1361112450105</v>
      </c>
      <c r="L872" s="23">
        <v>1446008319034</v>
      </c>
      <c r="M872" s="23">
        <f t="shared" si="195"/>
        <v>153263682563</v>
      </c>
      <c r="N872" s="23">
        <v>2201369239282</v>
      </c>
      <c r="O872" s="25">
        <f t="shared" si="243"/>
        <v>111014704313</v>
      </c>
      <c r="P872" s="23">
        <v>20307135972</v>
      </c>
      <c r="Q872" s="23">
        <v>82975670007</v>
      </c>
      <c r="R872" s="25">
        <f t="shared" si="244"/>
        <v>2118393569275</v>
      </c>
      <c r="S872" s="26">
        <f t="shared" si="245"/>
        <v>0.90416659429418256</v>
      </c>
      <c r="T872" s="27">
        <f t="shared" si="246"/>
        <v>1.0767732127482939</v>
      </c>
      <c r="U872" s="26">
        <f t="shared" si="247"/>
        <v>28.100569642628955</v>
      </c>
      <c r="V872" s="26">
        <f t="shared" si="248"/>
        <v>1.6173309112793586</v>
      </c>
      <c r="W872" s="143"/>
      <c r="X872" s="143"/>
      <c r="Y872" s="143"/>
      <c r="Z872" s="30"/>
      <c r="AA872" s="31">
        <f t="shared" si="249"/>
        <v>15</v>
      </c>
      <c r="AB872" s="32">
        <v>3.15E-2</v>
      </c>
      <c r="AC872" s="32">
        <v>8.0199999999999994E-2</v>
      </c>
      <c r="AD872" s="33">
        <f t="shared" si="289"/>
        <v>6.9415774303647537E-2</v>
      </c>
      <c r="AE872" s="34">
        <f t="shared" si="290"/>
        <v>1.2697737440361435E-2</v>
      </c>
      <c r="AF872" s="33">
        <f t="shared" si="291"/>
        <v>1.324598671870461</v>
      </c>
      <c r="AG872" s="33">
        <f t="shared" si="292"/>
        <v>0</v>
      </c>
      <c r="AH872" s="35">
        <f t="shared" si="293"/>
        <v>1.5223766075928358</v>
      </c>
      <c r="AI872" s="36">
        <f t="shared" si="260"/>
        <v>5.9946279863462397</v>
      </c>
      <c r="AJ872" s="23"/>
      <c r="AK872" s="101">
        <v>124</v>
      </c>
      <c r="AL872" s="44"/>
      <c r="AM872" s="44"/>
      <c r="AN872" s="44"/>
      <c r="AO872" s="44"/>
      <c r="AP872" s="44"/>
      <c r="AQ872" s="44"/>
      <c r="AR872" s="44"/>
    </row>
    <row r="873" spans="1:44" ht="16.8">
      <c r="A873" s="17" t="s">
        <v>1941</v>
      </c>
      <c r="B873" s="18"/>
      <c r="C873" s="18" t="s">
        <v>1938</v>
      </c>
      <c r="D873" s="19" t="s">
        <v>1939</v>
      </c>
      <c r="E873" s="20" t="s">
        <v>39</v>
      </c>
      <c r="F873" s="21">
        <v>2007</v>
      </c>
      <c r="G873" s="40">
        <v>2023</v>
      </c>
      <c r="H873" s="23">
        <v>2130749540885</v>
      </c>
      <c r="I873" s="23">
        <v>2226749306339</v>
      </c>
      <c r="J873" s="23">
        <v>2067558228076</v>
      </c>
      <c r="K873" s="23">
        <f t="shared" si="310"/>
        <v>1756783273555</v>
      </c>
      <c r="L873" s="23">
        <v>2050256228076</v>
      </c>
      <c r="M873" s="23">
        <f t="shared" si="195"/>
        <v>159191078263</v>
      </c>
      <c r="N873" s="23">
        <v>2843811093744</v>
      </c>
      <c r="O873" s="25">
        <f t="shared" si="243"/>
        <v>80493312809</v>
      </c>
      <c r="P873" s="23">
        <v>23010016598</v>
      </c>
      <c r="Q873" s="23">
        <v>93232340166</v>
      </c>
      <c r="R873" s="25">
        <f t="shared" si="244"/>
        <v>2750578753578</v>
      </c>
      <c r="S873" s="26">
        <f t="shared" si="245"/>
        <v>0.92850965404600205</v>
      </c>
      <c r="T873" s="27">
        <f t="shared" si="246"/>
        <v>1.0392601235429664</v>
      </c>
      <c r="U873" s="26">
        <f t="shared" si="247"/>
        <v>28.4315639277456</v>
      </c>
      <c r="V873" s="26">
        <f t="shared" si="248"/>
        <v>1.6187603425830137</v>
      </c>
      <c r="W873" s="143"/>
      <c r="X873" s="143"/>
      <c r="Y873" s="143"/>
      <c r="Z873" s="30"/>
      <c r="AA873" s="31">
        <f t="shared" si="249"/>
        <v>16</v>
      </c>
      <c r="AB873" s="32">
        <v>3.2500000000000001E-2</v>
      </c>
      <c r="AC873" s="32">
        <v>5.0500000000000003E-2</v>
      </c>
      <c r="AD873" s="33">
        <f t="shared" si="289"/>
        <v>3.6148349784978315E-2</v>
      </c>
      <c r="AE873" s="34">
        <f t="shared" si="290"/>
        <v>1.0333456277496628E-2</v>
      </c>
      <c r="AF873" s="33">
        <f t="shared" si="291"/>
        <v>1.235244015007791</v>
      </c>
      <c r="AG873" s="33">
        <f t="shared" si="292"/>
        <v>0</v>
      </c>
      <c r="AH873" s="35">
        <f t="shared" si="293"/>
        <v>1.3754442584141171</v>
      </c>
      <c r="AI873" s="36">
        <f t="shared" si="260"/>
        <v>5.5095943664702958</v>
      </c>
      <c r="AJ873" s="23"/>
      <c r="AK873" s="101">
        <v>125</v>
      </c>
      <c r="AL873" s="44"/>
      <c r="AM873" s="44"/>
      <c r="AN873" s="44"/>
      <c r="AO873" s="44"/>
      <c r="AP873" s="44"/>
      <c r="AQ873" s="44"/>
      <c r="AR873" s="44"/>
    </row>
    <row r="874" spans="1:44" ht="16.8">
      <c r="A874" s="45"/>
      <c r="B874" s="45">
        <v>339</v>
      </c>
      <c r="C874" s="45" t="s">
        <v>1942</v>
      </c>
      <c r="D874" s="46" t="s">
        <v>1943</v>
      </c>
      <c r="E874" s="47" t="s">
        <v>39</v>
      </c>
      <c r="F874" s="48"/>
      <c r="G874" s="48"/>
      <c r="H874" s="49"/>
      <c r="I874" s="49"/>
      <c r="J874" s="49"/>
      <c r="K874" s="49"/>
      <c r="L874" s="49"/>
      <c r="M874" s="49">
        <f t="shared" si="195"/>
        <v>0</v>
      </c>
      <c r="N874" s="49"/>
      <c r="O874" s="49">
        <f t="shared" si="243"/>
        <v>0</v>
      </c>
      <c r="P874" s="49"/>
      <c r="Q874" s="49"/>
      <c r="R874" s="49">
        <f t="shared" si="244"/>
        <v>0</v>
      </c>
      <c r="S874" s="50" t="e">
        <f t="shared" si="245"/>
        <v>#DIV/0!</v>
      </c>
      <c r="T874" s="51" t="e">
        <f t="shared" si="246"/>
        <v>#DIV/0!</v>
      </c>
      <c r="U874" s="50" t="e">
        <f t="shared" si="247"/>
        <v>#NUM!</v>
      </c>
      <c r="V874" s="50" t="e">
        <f t="shared" si="248"/>
        <v>#DIV/0!</v>
      </c>
      <c r="W874" s="52"/>
      <c r="X874" s="52"/>
      <c r="Y874" s="52"/>
      <c r="Z874" s="55">
        <f t="shared" ref="Z874:Z876" si="311">W874*Y874</f>
        <v>0</v>
      </c>
      <c r="AA874" s="48">
        <f t="shared" si="249"/>
        <v>0</v>
      </c>
      <c r="AB874" s="49"/>
      <c r="AC874" s="49"/>
      <c r="AD874" s="50" t="e">
        <f t="shared" si="289"/>
        <v>#DIV/0!</v>
      </c>
      <c r="AE874" s="56" t="e">
        <f t="shared" si="290"/>
        <v>#DIV/0!</v>
      </c>
      <c r="AF874" s="50" t="e">
        <f t="shared" si="291"/>
        <v>#DIV/0!</v>
      </c>
      <c r="AG874" s="50" t="e">
        <f t="shared" si="292"/>
        <v>#DIV/0!</v>
      </c>
      <c r="AH874" s="57" t="e">
        <f t="shared" si="293"/>
        <v>#DIV/0!</v>
      </c>
      <c r="AI874" s="58" t="e">
        <f t="shared" si="260"/>
        <v>#DIV/0!</v>
      </c>
      <c r="AJ874" s="49"/>
      <c r="AK874" s="49">
        <v>126</v>
      </c>
      <c r="AL874" s="59"/>
      <c r="AM874" s="59"/>
      <c r="AN874" s="59"/>
      <c r="AO874" s="59"/>
      <c r="AP874" s="59"/>
      <c r="AQ874" s="59"/>
      <c r="AR874" s="59"/>
    </row>
    <row r="875" spans="1:44" ht="16.8">
      <c r="A875" s="45"/>
      <c r="B875" s="45">
        <v>340</v>
      </c>
      <c r="C875" s="45" t="s">
        <v>1944</v>
      </c>
      <c r="D875" s="46" t="s">
        <v>1945</v>
      </c>
      <c r="E875" s="47" t="s">
        <v>39</v>
      </c>
      <c r="F875" s="48"/>
      <c r="G875" s="48"/>
      <c r="H875" s="49"/>
      <c r="I875" s="49"/>
      <c r="J875" s="49"/>
      <c r="K875" s="49"/>
      <c r="L875" s="49"/>
      <c r="M875" s="49">
        <f t="shared" si="195"/>
        <v>0</v>
      </c>
      <c r="N875" s="49"/>
      <c r="O875" s="49">
        <f t="shared" si="243"/>
        <v>0</v>
      </c>
      <c r="P875" s="49"/>
      <c r="Q875" s="49"/>
      <c r="R875" s="49">
        <f t="shared" si="244"/>
        <v>0</v>
      </c>
      <c r="S875" s="50" t="e">
        <f t="shared" si="245"/>
        <v>#DIV/0!</v>
      </c>
      <c r="T875" s="51" t="e">
        <f t="shared" si="246"/>
        <v>#DIV/0!</v>
      </c>
      <c r="U875" s="50" t="e">
        <f t="shared" si="247"/>
        <v>#NUM!</v>
      </c>
      <c r="V875" s="50" t="e">
        <f t="shared" si="248"/>
        <v>#DIV/0!</v>
      </c>
      <c r="W875" s="52"/>
      <c r="X875" s="52"/>
      <c r="Y875" s="52"/>
      <c r="Z875" s="55">
        <f t="shared" si="311"/>
        <v>0</v>
      </c>
      <c r="AA875" s="48">
        <f t="shared" si="249"/>
        <v>0</v>
      </c>
      <c r="AB875" s="49"/>
      <c r="AC875" s="49"/>
      <c r="AD875" s="50" t="e">
        <f t="shared" si="289"/>
        <v>#DIV/0!</v>
      </c>
      <c r="AE875" s="56" t="e">
        <f t="shared" si="290"/>
        <v>#DIV/0!</v>
      </c>
      <c r="AF875" s="50" t="e">
        <f t="shared" si="291"/>
        <v>#DIV/0!</v>
      </c>
      <c r="AG875" s="50" t="e">
        <f t="shared" si="292"/>
        <v>#DIV/0!</v>
      </c>
      <c r="AH875" s="57" t="e">
        <f t="shared" si="293"/>
        <v>#DIV/0!</v>
      </c>
      <c r="AI875" s="58" t="e">
        <f t="shared" si="260"/>
        <v>#DIV/0!</v>
      </c>
      <c r="AJ875" s="49"/>
      <c r="AK875" s="49">
        <v>127</v>
      </c>
      <c r="AL875" s="59"/>
      <c r="AM875" s="59"/>
      <c r="AN875" s="59"/>
      <c r="AO875" s="59"/>
      <c r="AP875" s="59"/>
      <c r="AQ875" s="59"/>
      <c r="AR875" s="59"/>
    </row>
    <row r="876" spans="1:44" ht="16.8">
      <c r="A876" s="17" t="s">
        <v>1946</v>
      </c>
      <c r="B876" s="18">
        <v>341</v>
      </c>
      <c r="C876" s="18" t="s">
        <v>1947</v>
      </c>
      <c r="D876" s="19" t="s">
        <v>1948</v>
      </c>
      <c r="E876" s="20" t="s">
        <v>39</v>
      </c>
      <c r="F876" s="21">
        <v>1979</v>
      </c>
      <c r="G876" s="40">
        <v>2021</v>
      </c>
      <c r="H876" s="23">
        <v>18327263709</v>
      </c>
      <c r="I876" s="23">
        <v>24942045057</v>
      </c>
      <c r="J876" s="23">
        <v>4913904401</v>
      </c>
      <c r="K876" s="23">
        <f>(J876+7363901282)/2</f>
        <v>6138902841.5</v>
      </c>
      <c r="L876" s="23">
        <v>4913904401</v>
      </c>
      <c r="M876" s="23">
        <f t="shared" si="195"/>
        <v>20028140656</v>
      </c>
      <c r="N876" s="23">
        <v>18083571966</v>
      </c>
      <c r="O876" s="25">
        <f t="shared" si="243"/>
        <v>13413359308</v>
      </c>
      <c r="P876" s="23">
        <v>112480295</v>
      </c>
      <c r="Q876" s="23">
        <v>3864149966</v>
      </c>
      <c r="R876" s="25">
        <f t="shared" si="244"/>
        <v>14219422000</v>
      </c>
      <c r="S876" s="26">
        <f t="shared" si="245"/>
        <v>0.19701289087443571</v>
      </c>
      <c r="T876" s="27">
        <f t="shared" si="246"/>
        <v>3.7296744530215782</v>
      </c>
      <c r="U876" s="26">
        <f t="shared" si="247"/>
        <v>23.939820772914349</v>
      </c>
      <c r="V876" s="26">
        <f t="shared" si="248"/>
        <v>2.9457335346231672</v>
      </c>
      <c r="W876" s="143"/>
      <c r="X876" s="143"/>
      <c r="Y876" s="143"/>
      <c r="Z876" s="30">
        <f t="shared" si="311"/>
        <v>0</v>
      </c>
      <c r="AA876" s="31">
        <f t="shared" si="249"/>
        <v>42</v>
      </c>
      <c r="AB876" s="32">
        <v>1.84E-2</v>
      </c>
      <c r="AC876" s="32">
        <v>2.58E-2</v>
      </c>
      <c r="AD876" s="33">
        <f t="shared" si="289"/>
        <v>0.53778105513587515</v>
      </c>
      <c r="AE876" s="34">
        <f t="shared" si="290"/>
        <v>4.5096660976655699E-3</v>
      </c>
      <c r="AF876" s="33">
        <f t="shared" si="291"/>
        <v>0.57009848099882698</v>
      </c>
      <c r="AG876" s="33">
        <f t="shared" si="292"/>
        <v>0</v>
      </c>
      <c r="AH876" s="35">
        <f t="shared" si="293"/>
        <v>3.6800821689408361</v>
      </c>
      <c r="AI876" s="36">
        <f t="shared" si="260"/>
        <v>6.2130579549367475</v>
      </c>
      <c r="AJ876" s="23"/>
      <c r="AK876" s="101">
        <v>128</v>
      </c>
      <c r="AL876" s="44"/>
      <c r="AM876" s="44"/>
      <c r="AN876" s="44"/>
      <c r="AO876" s="44"/>
      <c r="AP876" s="44"/>
      <c r="AQ876" s="44"/>
      <c r="AR876" s="44"/>
    </row>
    <row r="877" spans="1:44" ht="16.8">
      <c r="A877" s="17" t="s">
        <v>1949</v>
      </c>
      <c r="B877" s="18"/>
      <c r="C877" s="18" t="s">
        <v>1947</v>
      </c>
      <c r="D877" s="19" t="s">
        <v>1948</v>
      </c>
      <c r="E877" s="20" t="s">
        <v>39</v>
      </c>
      <c r="F877" s="21">
        <v>1979</v>
      </c>
      <c r="G877" s="40">
        <v>2022</v>
      </c>
      <c r="H877" s="23">
        <v>19459954528</v>
      </c>
      <c r="I877" s="23">
        <v>25870120256</v>
      </c>
      <c r="J877" s="23">
        <v>5495145475</v>
      </c>
      <c r="K877" s="23">
        <f t="shared" ref="K877:K878" si="312">(J877+J876)/2</f>
        <v>5204524938</v>
      </c>
      <c r="L877" s="23">
        <v>5495145475</v>
      </c>
      <c r="M877" s="23">
        <f t="shared" si="195"/>
        <v>20374974781</v>
      </c>
      <c r="N877" s="23">
        <v>19851531314</v>
      </c>
      <c r="O877" s="25">
        <f t="shared" si="243"/>
        <v>13964809053</v>
      </c>
      <c r="P877" s="23">
        <v>345834125</v>
      </c>
      <c r="Q877" s="23">
        <v>4003157303</v>
      </c>
      <c r="R877" s="25">
        <f t="shared" si="244"/>
        <v>15848374011</v>
      </c>
      <c r="S877" s="26">
        <f t="shared" si="245"/>
        <v>0.2124128307337699</v>
      </c>
      <c r="T877" s="27">
        <f t="shared" si="246"/>
        <v>3.5412992461314228</v>
      </c>
      <c r="U877" s="26">
        <f t="shared" si="247"/>
        <v>23.97635448160668</v>
      </c>
      <c r="V877" s="26">
        <f t="shared" si="248"/>
        <v>3.814283061467771</v>
      </c>
      <c r="W877" s="143"/>
      <c r="X877" s="143"/>
      <c r="Y877" s="143"/>
      <c r="Z877" s="30"/>
      <c r="AA877" s="31">
        <f t="shared" si="249"/>
        <v>43</v>
      </c>
      <c r="AB877" s="32">
        <v>3.15E-2</v>
      </c>
      <c r="AC877" s="32">
        <v>8.0199999999999994E-2</v>
      </c>
      <c r="AD877" s="33">
        <f t="shared" si="289"/>
        <v>0.53980456661237097</v>
      </c>
      <c r="AE877" s="34">
        <f t="shared" si="290"/>
        <v>1.3368091125119198E-2</v>
      </c>
      <c r="AF877" s="33">
        <f t="shared" si="291"/>
        <v>0.61261307849252544</v>
      </c>
      <c r="AG877" s="33">
        <f t="shared" si="292"/>
        <v>0</v>
      </c>
      <c r="AH877" s="35">
        <f t="shared" si="293"/>
        <v>3.6125579212259162</v>
      </c>
      <c r="AI877" s="36">
        <f t="shared" si="260"/>
        <v>6.3006618877612617</v>
      </c>
      <c r="AJ877" s="23"/>
      <c r="AK877" s="101">
        <v>129</v>
      </c>
      <c r="AL877" s="44"/>
      <c r="AM877" s="44"/>
      <c r="AN877" s="44"/>
      <c r="AO877" s="44"/>
      <c r="AP877" s="44"/>
      <c r="AQ877" s="44"/>
      <c r="AR877" s="44"/>
    </row>
    <row r="878" spans="1:44" ht="16.8">
      <c r="A878" s="17" t="s">
        <v>1950</v>
      </c>
      <c r="B878" s="18"/>
      <c r="C878" s="18" t="s">
        <v>1947</v>
      </c>
      <c r="D878" s="19" t="s">
        <v>1948</v>
      </c>
      <c r="E878" s="20" t="s">
        <v>39</v>
      </c>
      <c r="F878" s="21">
        <v>1979</v>
      </c>
      <c r="G878" s="40">
        <v>2023</v>
      </c>
      <c r="H878" s="23">
        <v>14518510326</v>
      </c>
      <c r="I878" s="23">
        <v>24035285209</v>
      </c>
      <c r="J878" s="23">
        <v>3919495172</v>
      </c>
      <c r="K878" s="23">
        <f t="shared" si="312"/>
        <v>4707320323.5</v>
      </c>
      <c r="L878" s="23">
        <v>3919495172</v>
      </c>
      <c r="M878" s="23">
        <f t="shared" si="195"/>
        <v>20115790037</v>
      </c>
      <c r="N878" s="23">
        <v>18240566077</v>
      </c>
      <c r="O878" s="25">
        <f t="shared" si="243"/>
        <v>10599015154</v>
      </c>
      <c r="P878" s="23">
        <v>-259184744</v>
      </c>
      <c r="Q878" s="23">
        <v>3845227376</v>
      </c>
      <c r="R878" s="25">
        <f t="shared" si="244"/>
        <v>14395338701</v>
      </c>
      <c r="S878" s="26">
        <f t="shared" si="245"/>
        <v>0.16307254679600586</v>
      </c>
      <c r="T878" s="27">
        <f t="shared" si="246"/>
        <v>3.7041786477291776</v>
      </c>
      <c r="U878" s="26">
        <f t="shared" si="247"/>
        <v>23.902788804625093</v>
      </c>
      <c r="V878" s="26">
        <f t="shared" si="248"/>
        <v>3.8749362319659868</v>
      </c>
      <c r="W878" s="143"/>
      <c r="X878" s="143"/>
      <c r="Y878" s="143"/>
      <c r="Z878" s="30"/>
      <c r="AA878" s="31">
        <f t="shared" si="249"/>
        <v>44</v>
      </c>
      <c r="AB878" s="32">
        <v>3.2500000000000001E-2</v>
      </c>
      <c r="AC878" s="32">
        <v>5.0500000000000003E-2</v>
      </c>
      <c r="AD878" s="33">
        <f t="shared" si="289"/>
        <v>0.44097729907657612</v>
      </c>
      <c r="AE878" s="34">
        <f t="shared" si="290"/>
        <v>-1.0783510232820055E-2</v>
      </c>
      <c r="AF878" s="33">
        <f t="shared" si="291"/>
        <v>0.59892522912978263</v>
      </c>
      <c r="AG878" s="33">
        <f t="shared" si="292"/>
        <v>0</v>
      </c>
      <c r="AH878" s="35">
        <f t="shared" si="293"/>
        <v>4.6538049612374923</v>
      </c>
      <c r="AI878" s="36">
        <f t="shared" si="260"/>
        <v>7.1443340619317182</v>
      </c>
      <c r="AJ878" s="23"/>
      <c r="AK878" s="101">
        <v>130</v>
      </c>
      <c r="AL878" s="44"/>
      <c r="AM878" s="44"/>
      <c r="AN878" s="44"/>
      <c r="AO878" s="44"/>
      <c r="AP878" s="44"/>
      <c r="AQ878" s="44"/>
      <c r="AR878" s="44"/>
    </row>
    <row r="879" spans="1:44" ht="16.8">
      <c r="A879" s="17" t="s">
        <v>1951</v>
      </c>
      <c r="B879" s="18">
        <v>342</v>
      </c>
      <c r="C879" s="18" t="s">
        <v>1952</v>
      </c>
      <c r="D879" s="19" t="s">
        <v>1953</v>
      </c>
      <c r="E879" s="20" t="s">
        <v>39</v>
      </c>
      <c r="F879" s="21">
        <v>1960</v>
      </c>
      <c r="G879" s="40">
        <v>2021</v>
      </c>
      <c r="H879" s="23">
        <v>760080541539</v>
      </c>
      <c r="I879" s="23">
        <v>1790082336109</v>
      </c>
      <c r="J879" s="23">
        <v>1425471763220</v>
      </c>
      <c r="K879" s="23">
        <f>(J879+1374005755688)/2</f>
        <v>1399738759454</v>
      </c>
      <c r="L879" s="23">
        <v>1166338396068</v>
      </c>
      <c r="M879" s="23">
        <f t="shared" si="195"/>
        <v>364610572889</v>
      </c>
      <c r="N879" s="23">
        <v>2675815388106</v>
      </c>
      <c r="O879" s="25">
        <f t="shared" si="243"/>
        <v>-406257854529</v>
      </c>
      <c r="P879" s="23">
        <v>37609205512</v>
      </c>
      <c r="Q879" s="23">
        <f>3988479934+119342259845</f>
        <v>123330739779</v>
      </c>
      <c r="R879" s="25">
        <f t="shared" si="244"/>
        <v>2552484648327</v>
      </c>
      <c r="S879" s="26">
        <f t="shared" si="245"/>
        <v>0.79631631152702553</v>
      </c>
      <c r="T879" s="27">
        <f t="shared" si="246"/>
        <v>0.65168097363630451</v>
      </c>
      <c r="U879" s="26">
        <f t="shared" si="247"/>
        <v>28.213282732549601</v>
      </c>
      <c r="V879" s="26">
        <f t="shared" si="248"/>
        <v>1.9116534210639153</v>
      </c>
      <c r="W879" s="143"/>
      <c r="X879" s="143"/>
      <c r="Y879" s="143"/>
      <c r="Z879" s="30">
        <f>W879*Y879</f>
        <v>0</v>
      </c>
      <c r="AA879" s="31">
        <f t="shared" si="249"/>
        <v>61</v>
      </c>
      <c r="AB879" s="32">
        <v>1.84E-2</v>
      </c>
      <c r="AC879" s="32">
        <v>2.58E-2</v>
      </c>
      <c r="AD879" s="33">
        <f t="shared" si="289"/>
        <v>-0.22694925609514674</v>
      </c>
      <c r="AE879" s="34">
        <f t="shared" si="290"/>
        <v>2.1009762932887761E-2</v>
      </c>
      <c r="AF879" s="33">
        <f t="shared" si="291"/>
        <v>1.4259034888167159</v>
      </c>
      <c r="AG879" s="33">
        <f t="shared" si="292"/>
        <v>0</v>
      </c>
      <c r="AH879" s="35">
        <f t="shared" si="293"/>
        <v>1.8771437338482224</v>
      </c>
      <c r="AI879" s="36">
        <f t="shared" si="260"/>
        <v>6.3396998077352515</v>
      </c>
      <c r="AJ879" s="23"/>
      <c r="AK879" s="101">
        <v>131</v>
      </c>
      <c r="AL879" s="44"/>
      <c r="AM879" s="44"/>
      <c r="AN879" s="44"/>
      <c r="AO879" s="44"/>
      <c r="AP879" s="44"/>
      <c r="AQ879" s="44"/>
      <c r="AR879" s="44"/>
    </row>
    <row r="880" spans="1:44" ht="16.8">
      <c r="A880" s="17" t="s">
        <v>1954</v>
      </c>
      <c r="B880" s="18"/>
      <c r="C880" s="18" t="s">
        <v>1952</v>
      </c>
      <c r="D880" s="19" t="s">
        <v>1953</v>
      </c>
      <c r="E880" s="20" t="s">
        <v>39</v>
      </c>
      <c r="F880" s="21">
        <v>1960</v>
      </c>
      <c r="G880" s="40">
        <v>2022</v>
      </c>
      <c r="H880" s="23">
        <v>729977245427</v>
      </c>
      <c r="I880" s="23">
        <v>1420072299882</v>
      </c>
      <c r="J880" s="23">
        <v>1088119777612</v>
      </c>
      <c r="K880" s="23">
        <f t="shared" ref="K880:K881" si="313">(J880+J879)/2</f>
        <v>1256795770416</v>
      </c>
      <c r="L880" s="23">
        <v>928013616691</v>
      </c>
      <c r="M880" s="23">
        <f t="shared" si="195"/>
        <v>331952522270</v>
      </c>
      <c r="N880" s="23">
        <v>3237000594683</v>
      </c>
      <c r="O880" s="25">
        <f t="shared" si="243"/>
        <v>-198036371264</v>
      </c>
      <c r="P880" s="23">
        <v>1573989815</v>
      </c>
      <c r="Q880" s="23">
        <f>2985739519+115172877319</f>
        <v>118158616838</v>
      </c>
      <c r="R880" s="25">
        <f t="shared" si="244"/>
        <v>3118841977845</v>
      </c>
      <c r="S880" s="26">
        <f t="shared" si="245"/>
        <v>0.76624251997762127</v>
      </c>
      <c r="T880" s="27">
        <f t="shared" si="246"/>
        <v>0.7866018690866472</v>
      </c>
      <c r="U880" s="26">
        <f t="shared" si="247"/>
        <v>27.98172890165543</v>
      </c>
      <c r="V880" s="26">
        <f t="shared" si="248"/>
        <v>2.575597937930322</v>
      </c>
      <c r="W880" s="143"/>
      <c r="X880" s="143"/>
      <c r="Y880" s="143"/>
      <c r="Z880" s="30"/>
      <c r="AA880" s="31">
        <f t="shared" si="249"/>
        <v>62</v>
      </c>
      <c r="AB880" s="32">
        <v>3.15E-2</v>
      </c>
      <c r="AC880" s="32">
        <v>8.0199999999999994E-2</v>
      </c>
      <c r="AD880" s="33">
        <f t="shared" si="289"/>
        <v>-0.13945513286926003</v>
      </c>
      <c r="AE880" s="34">
        <f t="shared" si="290"/>
        <v>1.1083870977067786E-3</v>
      </c>
      <c r="AF880" s="33">
        <f t="shared" si="291"/>
        <v>2.1962557667691693</v>
      </c>
      <c r="AG880" s="33">
        <f t="shared" si="292"/>
        <v>0</v>
      </c>
      <c r="AH880" s="35">
        <f t="shared" si="293"/>
        <v>2.9748568689624943</v>
      </c>
      <c r="AI880" s="36">
        <f t="shared" si="260"/>
        <v>10.05670648179443</v>
      </c>
      <c r="AJ880" s="23"/>
      <c r="AK880" s="101">
        <v>132</v>
      </c>
      <c r="AL880" s="44"/>
      <c r="AM880" s="44"/>
      <c r="AN880" s="44"/>
      <c r="AO880" s="44"/>
      <c r="AP880" s="44"/>
      <c r="AQ880" s="44"/>
      <c r="AR880" s="44"/>
    </row>
    <row r="881" spans="1:44" ht="16.8">
      <c r="A881" s="17" t="s">
        <v>1955</v>
      </c>
      <c r="B881" s="18"/>
      <c r="C881" s="18" t="s">
        <v>1952</v>
      </c>
      <c r="D881" s="19" t="s">
        <v>1953</v>
      </c>
      <c r="E881" s="20" t="s">
        <v>39</v>
      </c>
      <c r="F881" s="21">
        <v>1960</v>
      </c>
      <c r="G881" s="40">
        <v>2023</v>
      </c>
      <c r="H881" s="23">
        <v>767245543615</v>
      </c>
      <c r="I881" s="23">
        <v>1314130228183</v>
      </c>
      <c r="J881" s="23">
        <v>921972973086</v>
      </c>
      <c r="K881" s="23">
        <f t="shared" si="313"/>
        <v>1005046375349</v>
      </c>
      <c r="L881" s="23">
        <v>824573088945</v>
      </c>
      <c r="M881" s="23">
        <f t="shared" si="195"/>
        <v>392157255097</v>
      </c>
      <c r="N881" s="23">
        <v>2268369650780</v>
      </c>
      <c r="O881" s="25">
        <f t="shared" si="243"/>
        <v>-57327545330</v>
      </c>
      <c r="P881" s="23">
        <v>60204732827</v>
      </c>
      <c r="Q881" s="23">
        <f>2611165450+128705499000</f>
        <v>131316664450</v>
      </c>
      <c r="R881" s="25">
        <f t="shared" si="244"/>
        <v>2137052986330</v>
      </c>
      <c r="S881" s="26">
        <f t="shared" si="245"/>
        <v>0.70158417583984689</v>
      </c>
      <c r="T881" s="27">
        <f t="shared" si="246"/>
        <v>0.93047608987173258</v>
      </c>
      <c r="U881" s="26">
        <f t="shared" si="247"/>
        <v>27.904196139286313</v>
      </c>
      <c r="V881" s="26">
        <f t="shared" si="248"/>
        <v>2.2569800821303532</v>
      </c>
      <c r="W881" s="143"/>
      <c r="X881" s="143"/>
      <c r="Y881" s="143"/>
      <c r="Z881" s="30"/>
      <c r="AA881" s="31">
        <f t="shared" si="249"/>
        <v>63</v>
      </c>
      <c r="AB881" s="32">
        <v>3.2500000000000001E-2</v>
      </c>
      <c r="AC881" s="32">
        <v>5.0500000000000003E-2</v>
      </c>
      <c r="AD881" s="33">
        <f t="shared" si="289"/>
        <v>-4.3623945405520968E-2</v>
      </c>
      <c r="AE881" s="34">
        <f t="shared" si="290"/>
        <v>4.5813368824369018E-2</v>
      </c>
      <c r="AF881" s="33">
        <f t="shared" si="291"/>
        <v>1.6262109648636767</v>
      </c>
      <c r="AG881" s="33">
        <f t="shared" si="292"/>
        <v>0</v>
      </c>
      <c r="AH881" s="35">
        <f t="shared" si="293"/>
        <v>2.4603428918175139</v>
      </c>
      <c r="AI881" s="36">
        <f t="shared" si="260"/>
        <v>7.8386290577351385</v>
      </c>
      <c r="AJ881" s="23"/>
      <c r="AK881" s="101">
        <v>133</v>
      </c>
      <c r="AL881" s="44"/>
      <c r="AM881" s="44"/>
      <c r="AN881" s="44"/>
      <c r="AO881" s="44"/>
      <c r="AP881" s="44"/>
      <c r="AQ881" s="44"/>
      <c r="AR881" s="44"/>
    </row>
    <row r="882" spans="1:44" ht="16.8">
      <c r="A882" s="45"/>
      <c r="B882" s="45">
        <v>343</v>
      </c>
      <c r="C882" s="45" t="s">
        <v>1956</v>
      </c>
      <c r="D882" s="46" t="s">
        <v>1957</v>
      </c>
      <c r="E882" s="47" t="s">
        <v>39</v>
      </c>
      <c r="F882" s="48"/>
      <c r="G882" s="48"/>
      <c r="H882" s="49"/>
      <c r="I882" s="49"/>
      <c r="J882" s="49"/>
      <c r="K882" s="49"/>
      <c r="L882" s="49"/>
      <c r="M882" s="49">
        <f t="shared" si="195"/>
        <v>0</v>
      </c>
      <c r="N882" s="49"/>
      <c r="O882" s="49">
        <f t="shared" si="243"/>
        <v>0</v>
      </c>
      <c r="P882" s="49"/>
      <c r="Q882" s="49"/>
      <c r="R882" s="49">
        <f t="shared" si="244"/>
        <v>0</v>
      </c>
      <c r="S882" s="50" t="e">
        <f t="shared" si="245"/>
        <v>#DIV/0!</v>
      </c>
      <c r="T882" s="51" t="e">
        <f t="shared" si="246"/>
        <v>#DIV/0!</v>
      </c>
      <c r="U882" s="50" t="e">
        <f t="shared" si="247"/>
        <v>#NUM!</v>
      </c>
      <c r="V882" s="50" t="e">
        <f t="shared" si="248"/>
        <v>#DIV/0!</v>
      </c>
      <c r="W882" s="52"/>
      <c r="X882" s="52"/>
      <c r="Y882" s="52"/>
      <c r="Z882" s="55">
        <f t="shared" ref="Z882:Z883" si="314">W882*Y882</f>
        <v>0</v>
      </c>
      <c r="AA882" s="48">
        <f t="shared" si="249"/>
        <v>0</v>
      </c>
      <c r="AB882" s="49"/>
      <c r="AC882" s="49"/>
      <c r="AD882" s="50" t="e">
        <f t="shared" si="289"/>
        <v>#DIV/0!</v>
      </c>
      <c r="AE882" s="56" t="e">
        <f t="shared" si="290"/>
        <v>#DIV/0!</v>
      </c>
      <c r="AF882" s="50" t="e">
        <f t="shared" si="291"/>
        <v>#DIV/0!</v>
      </c>
      <c r="AG882" s="50" t="e">
        <f t="shared" si="292"/>
        <v>#DIV/0!</v>
      </c>
      <c r="AH882" s="57" t="e">
        <f t="shared" si="293"/>
        <v>#DIV/0!</v>
      </c>
      <c r="AI882" s="58" t="e">
        <f t="shared" si="260"/>
        <v>#DIV/0!</v>
      </c>
      <c r="AJ882" s="49"/>
      <c r="AK882" s="49">
        <v>134</v>
      </c>
      <c r="AL882" s="59"/>
      <c r="AM882" s="59"/>
      <c r="AN882" s="59"/>
      <c r="AO882" s="59"/>
      <c r="AP882" s="59"/>
      <c r="AQ882" s="59"/>
      <c r="AR882" s="59"/>
    </row>
    <row r="883" spans="1:44" ht="16.8">
      <c r="A883" s="17" t="s">
        <v>1958</v>
      </c>
      <c r="B883" s="18">
        <v>344</v>
      </c>
      <c r="C883" s="18" t="s">
        <v>1959</v>
      </c>
      <c r="D883" s="19" t="s">
        <v>1960</v>
      </c>
      <c r="E883" s="20" t="s">
        <v>39</v>
      </c>
      <c r="F883" s="21">
        <v>1960</v>
      </c>
      <c r="G883" s="40">
        <v>2021</v>
      </c>
      <c r="H883" s="23">
        <v>538502348507</v>
      </c>
      <c r="I883" s="23">
        <v>1326940723120</v>
      </c>
      <c r="J883" s="23">
        <v>931577997352</v>
      </c>
      <c r="K883" s="23">
        <f>(J883+988131972415)/2</f>
        <v>959854984883.5</v>
      </c>
      <c r="L883" s="23">
        <v>524955802276</v>
      </c>
      <c r="M883" s="23">
        <f t="shared" si="195"/>
        <v>395362725768</v>
      </c>
      <c r="N883" s="23">
        <v>3214243496643</v>
      </c>
      <c r="O883" s="25">
        <f t="shared" si="243"/>
        <v>13546546231</v>
      </c>
      <c r="P883" s="23">
        <v>45457772280</v>
      </c>
      <c r="Q883" s="23">
        <f>1592651452+131313325291</f>
        <v>132905976743</v>
      </c>
      <c r="R883" s="25">
        <f t="shared" si="244"/>
        <v>3081337519900</v>
      </c>
      <c r="S883" s="26">
        <f t="shared" si="245"/>
        <v>0.70204944435016337</v>
      </c>
      <c r="T883" s="27">
        <f t="shared" si="246"/>
        <v>1.0258051176351752</v>
      </c>
      <c r="U883" s="26">
        <f t="shared" si="247"/>
        <v>27.913897200439145</v>
      </c>
      <c r="V883" s="26">
        <f t="shared" si="248"/>
        <v>3.348676151359594</v>
      </c>
      <c r="W883" s="143"/>
      <c r="X883" s="143"/>
      <c r="Y883" s="143"/>
      <c r="Z883" s="30">
        <f t="shared" si="314"/>
        <v>0</v>
      </c>
      <c r="AA883" s="31">
        <f t="shared" si="249"/>
        <v>61</v>
      </c>
      <c r="AB883" s="32">
        <v>1.84E-2</v>
      </c>
      <c r="AC883" s="32">
        <v>2.58E-2</v>
      </c>
      <c r="AD883" s="33">
        <f t="shared" si="289"/>
        <v>1.020885559917731E-2</v>
      </c>
      <c r="AE883" s="34">
        <f t="shared" si="290"/>
        <v>3.4257575706257898E-2</v>
      </c>
      <c r="AF883" s="33">
        <f t="shared" si="291"/>
        <v>2.3221365251756945</v>
      </c>
      <c r="AG883" s="33">
        <f t="shared" si="292"/>
        <v>0</v>
      </c>
      <c r="AH883" s="35">
        <f t="shared" si="293"/>
        <v>3.4503213963612827</v>
      </c>
      <c r="AI883" s="36">
        <f t="shared" si="260"/>
        <v>11.173583162148848</v>
      </c>
      <c r="AJ883" s="23"/>
      <c r="AK883" s="101">
        <v>135</v>
      </c>
      <c r="AL883" s="44"/>
      <c r="AM883" s="44"/>
      <c r="AN883" s="44"/>
      <c r="AO883" s="44"/>
      <c r="AP883" s="44"/>
      <c r="AQ883" s="44"/>
      <c r="AR883" s="44"/>
    </row>
    <row r="884" spans="1:44" ht="16.8">
      <c r="A884" s="17" t="s">
        <v>1961</v>
      </c>
      <c r="B884" s="18"/>
      <c r="C884" s="18" t="s">
        <v>1959</v>
      </c>
      <c r="D884" s="19" t="s">
        <v>1960</v>
      </c>
      <c r="E884" s="20" t="s">
        <v>39</v>
      </c>
      <c r="F884" s="21">
        <v>1960</v>
      </c>
      <c r="G884" s="40">
        <v>2022</v>
      </c>
      <c r="H884" s="23">
        <v>766381152440</v>
      </c>
      <c r="I884" s="23">
        <v>1469478200999</v>
      </c>
      <c r="J884" s="23">
        <v>1105281859390</v>
      </c>
      <c r="K884" s="23">
        <f t="shared" ref="K884:K885" si="315">(J884+J883)/2</f>
        <v>1018429928371</v>
      </c>
      <c r="L884" s="23">
        <v>742674913023</v>
      </c>
      <c r="M884" s="23">
        <f t="shared" si="195"/>
        <v>364196341609</v>
      </c>
      <c r="N884" s="23">
        <v>3792754745856</v>
      </c>
      <c r="O884" s="25">
        <f t="shared" si="243"/>
        <v>23706239417</v>
      </c>
      <c r="P884" s="23">
        <v>49566425009</v>
      </c>
      <c r="Q884" s="23">
        <f>1809608442+133017507001</f>
        <v>134827115443</v>
      </c>
      <c r="R884" s="25">
        <f t="shared" si="244"/>
        <v>3657927630413</v>
      </c>
      <c r="S884" s="26">
        <f t="shared" si="245"/>
        <v>0.75215941185013346</v>
      </c>
      <c r="T884" s="27">
        <f t="shared" si="246"/>
        <v>1.0319200756633957</v>
      </c>
      <c r="U884" s="26">
        <f t="shared" si="247"/>
        <v>28.015928488397293</v>
      </c>
      <c r="V884" s="26">
        <f t="shared" si="248"/>
        <v>3.7241194904028307</v>
      </c>
      <c r="W884" s="143"/>
      <c r="X884" s="143"/>
      <c r="Y884" s="143"/>
      <c r="Z884" s="30"/>
      <c r="AA884" s="31">
        <f t="shared" si="249"/>
        <v>62</v>
      </c>
      <c r="AB884" s="32">
        <v>3.15E-2</v>
      </c>
      <c r="AC884" s="32">
        <v>8.0199999999999994E-2</v>
      </c>
      <c r="AD884" s="33">
        <f t="shared" si="289"/>
        <v>1.6132419930342427E-2</v>
      </c>
      <c r="AE884" s="34">
        <f t="shared" si="290"/>
        <v>3.3730629672017662E-2</v>
      </c>
      <c r="AF884" s="33">
        <f t="shared" si="291"/>
        <v>2.4892697475377448</v>
      </c>
      <c r="AG884" s="33">
        <f t="shared" si="292"/>
        <v>0</v>
      </c>
      <c r="AH884" s="35">
        <f t="shared" si="293"/>
        <v>3.4314819461066737</v>
      </c>
      <c r="AI884" s="36">
        <f t="shared" si="260"/>
        <v>11.712653898438468</v>
      </c>
      <c r="AJ884" s="23"/>
      <c r="AK884" s="101">
        <v>136</v>
      </c>
      <c r="AL884" s="44"/>
      <c r="AM884" s="44"/>
      <c r="AN884" s="44"/>
      <c r="AO884" s="44"/>
      <c r="AP884" s="44"/>
      <c r="AQ884" s="44"/>
      <c r="AR884" s="44"/>
    </row>
    <row r="885" spans="1:44" ht="16.8">
      <c r="A885" s="17" t="s">
        <v>1962</v>
      </c>
      <c r="B885" s="18"/>
      <c r="C885" s="18" t="s">
        <v>1959</v>
      </c>
      <c r="D885" s="19" t="s">
        <v>1960</v>
      </c>
      <c r="E885" s="20" t="s">
        <v>39</v>
      </c>
      <c r="F885" s="21">
        <v>1960</v>
      </c>
      <c r="G885" s="40">
        <v>2023</v>
      </c>
      <c r="H885" s="23">
        <v>678141832423</v>
      </c>
      <c r="I885" s="23">
        <v>1260618894679</v>
      </c>
      <c r="J885" s="23">
        <v>836853444753</v>
      </c>
      <c r="K885" s="23">
        <f t="shared" si="315"/>
        <v>971067652071.5</v>
      </c>
      <c r="L885" s="23">
        <v>498768787953</v>
      </c>
      <c r="M885" s="23">
        <f t="shared" si="195"/>
        <v>423765449926</v>
      </c>
      <c r="N885" s="23">
        <v>3980500622621</v>
      </c>
      <c r="O885" s="25">
        <f t="shared" si="243"/>
        <v>179373044470</v>
      </c>
      <c r="P885" s="23">
        <v>102744630265</v>
      </c>
      <c r="Q885" s="23">
        <f>3102218280+149263911368</f>
        <v>152366129648</v>
      </c>
      <c r="R885" s="25">
        <f t="shared" si="244"/>
        <v>3828134492973</v>
      </c>
      <c r="S885" s="26">
        <f t="shared" si="245"/>
        <v>0.6638433298797205</v>
      </c>
      <c r="T885" s="27">
        <f t="shared" si="246"/>
        <v>1.3596316545912306</v>
      </c>
      <c r="U885" s="26">
        <f t="shared" si="247"/>
        <v>27.862623902552627</v>
      </c>
      <c r="V885" s="26">
        <f t="shared" si="248"/>
        <v>4.0990971268888634</v>
      </c>
      <c r="W885" s="143"/>
      <c r="X885" s="143"/>
      <c r="Y885" s="143"/>
      <c r="Z885" s="30"/>
      <c r="AA885" s="31">
        <f t="shared" si="249"/>
        <v>63</v>
      </c>
      <c r="AB885" s="32">
        <v>3.2500000000000001E-2</v>
      </c>
      <c r="AC885" s="32">
        <v>5.0500000000000003E-2</v>
      </c>
      <c r="AD885" s="33">
        <f t="shared" si="289"/>
        <v>0.14228966837410048</v>
      </c>
      <c r="AE885" s="34">
        <f t="shared" si="290"/>
        <v>8.1503324040817712E-2</v>
      </c>
      <c r="AF885" s="33">
        <f t="shared" si="291"/>
        <v>3.0367103881524669</v>
      </c>
      <c r="AG885" s="33">
        <f t="shared" si="292"/>
        <v>0</v>
      </c>
      <c r="AH885" s="35">
        <f t="shared" si="293"/>
        <v>4.7565086187771595</v>
      </c>
      <c r="AI885" s="36">
        <f t="shared" si="260"/>
        <v>15.062505155386365</v>
      </c>
      <c r="AJ885" s="23"/>
      <c r="AK885" s="101">
        <v>137</v>
      </c>
      <c r="AL885" s="44"/>
      <c r="AM885" s="44"/>
      <c r="AN885" s="44"/>
      <c r="AO885" s="44"/>
      <c r="AP885" s="44"/>
      <c r="AQ885" s="44"/>
      <c r="AR885" s="44"/>
    </row>
    <row r="886" spans="1:44" ht="16.8">
      <c r="A886" s="17" t="s">
        <v>1963</v>
      </c>
      <c r="B886" s="18">
        <v>345</v>
      </c>
      <c r="C886" s="18" t="s">
        <v>1964</v>
      </c>
      <c r="D886" s="19" t="s">
        <v>1965</v>
      </c>
      <c r="E886" s="20" t="s">
        <v>414</v>
      </c>
      <c r="F886" s="21">
        <v>2011</v>
      </c>
      <c r="G886" s="40">
        <v>2021</v>
      </c>
      <c r="H886" s="23">
        <v>546358543691</v>
      </c>
      <c r="I886" s="23">
        <v>1224553852426</v>
      </c>
      <c r="J886" s="23">
        <v>306307191537</v>
      </c>
      <c r="K886" s="23">
        <f>(J886+116449416308)/2</f>
        <v>211378303922.5</v>
      </c>
      <c r="L886" s="23">
        <v>235128082960</v>
      </c>
      <c r="M886" s="23">
        <f t="shared" si="195"/>
        <v>918246660889</v>
      </c>
      <c r="N886" s="23">
        <v>249830463435</v>
      </c>
      <c r="O886" s="25">
        <f t="shared" si="243"/>
        <v>311230460731</v>
      </c>
      <c r="P886" s="23">
        <v>48864430150</v>
      </c>
      <c r="Q886" s="23">
        <f>393542370+14425059114</f>
        <v>14818601484</v>
      </c>
      <c r="R886" s="25">
        <f t="shared" si="244"/>
        <v>235011861951</v>
      </c>
      <c r="S886" s="26">
        <f t="shared" si="245"/>
        <v>0.25013778767684713</v>
      </c>
      <c r="T886" s="27">
        <f t="shared" si="246"/>
        <v>2.3236634978389481</v>
      </c>
      <c r="U886" s="26">
        <f t="shared" si="247"/>
        <v>27.833597691486322</v>
      </c>
      <c r="V886" s="26">
        <f t="shared" si="248"/>
        <v>1.1819115718072852</v>
      </c>
      <c r="W886" s="143"/>
      <c r="X886" s="143"/>
      <c r="Y886" s="143"/>
      <c r="Z886" s="30">
        <f t="shared" ref="Z886:Z888" si="316">X886*Y886</f>
        <v>0</v>
      </c>
      <c r="AA886" s="31">
        <f t="shared" si="249"/>
        <v>10</v>
      </c>
      <c r="AB886" s="32">
        <v>1.84E-2</v>
      </c>
      <c r="AC886" s="32">
        <v>2.58E-2</v>
      </c>
      <c r="AD886" s="33">
        <f t="shared" si="289"/>
        <v>0.25415824719706048</v>
      </c>
      <c r="AE886" s="34">
        <f t="shared" si="290"/>
        <v>3.9903863805738904E-2</v>
      </c>
      <c r="AF886" s="33">
        <f t="shared" si="291"/>
        <v>0.19191631424409064</v>
      </c>
      <c r="AG886" s="33">
        <f t="shared" si="292"/>
        <v>0</v>
      </c>
      <c r="AH886" s="35">
        <f t="shared" si="293"/>
        <v>0.81562062640903432</v>
      </c>
      <c r="AI886" s="36">
        <f t="shared" si="260"/>
        <v>1.8097997693790404</v>
      </c>
      <c r="AJ886" s="23"/>
      <c r="AK886" s="101">
        <v>138</v>
      </c>
      <c r="AL886" s="44"/>
      <c r="AM886" s="44"/>
      <c r="AN886" s="44"/>
      <c r="AO886" s="44"/>
      <c r="AP886" s="44"/>
      <c r="AQ886" s="44"/>
      <c r="AR886" s="44"/>
    </row>
    <row r="887" spans="1:44" ht="16.8">
      <c r="A887" s="17" t="s">
        <v>1966</v>
      </c>
      <c r="B887" s="18"/>
      <c r="C887" s="18" t="s">
        <v>1964</v>
      </c>
      <c r="D887" s="19" t="s">
        <v>1965</v>
      </c>
      <c r="E887" s="20" t="s">
        <v>414</v>
      </c>
      <c r="F887" s="21">
        <v>2011</v>
      </c>
      <c r="G887" s="40">
        <v>2022</v>
      </c>
      <c r="H887" s="23">
        <v>552205467402</v>
      </c>
      <c r="I887" s="23">
        <v>1233581460767</v>
      </c>
      <c r="J887" s="23">
        <v>271776855838</v>
      </c>
      <c r="K887" s="23">
        <f t="shared" ref="K887:K888" si="317">(J887+J886)/2</f>
        <v>289042023687.5</v>
      </c>
      <c r="L887" s="23">
        <v>198318043374</v>
      </c>
      <c r="M887" s="23">
        <f t="shared" si="195"/>
        <v>961804604929</v>
      </c>
      <c r="N887" s="23">
        <v>222414026409</v>
      </c>
      <c r="O887" s="25">
        <f t="shared" si="243"/>
        <v>353887424028</v>
      </c>
      <c r="P887" s="23">
        <v>43667944040</v>
      </c>
      <c r="Q887" s="23">
        <f>470999465+26728145730</f>
        <v>27199145195</v>
      </c>
      <c r="R887" s="25">
        <f t="shared" si="244"/>
        <v>195214881214</v>
      </c>
      <c r="S887" s="26">
        <f t="shared" si="245"/>
        <v>0.22031528884117485</v>
      </c>
      <c r="T887" s="27">
        <f t="shared" si="246"/>
        <v>2.7844439064004782</v>
      </c>
      <c r="U887" s="26">
        <f t="shared" si="247"/>
        <v>27.840942811081426</v>
      </c>
      <c r="V887" s="26">
        <f t="shared" si="248"/>
        <v>0.76948681569384747</v>
      </c>
      <c r="W887" s="143"/>
      <c r="X887" s="143"/>
      <c r="Y887" s="143"/>
      <c r="Z887" s="30">
        <f t="shared" si="316"/>
        <v>0</v>
      </c>
      <c r="AA887" s="31">
        <f t="shared" si="249"/>
        <v>11</v>
      </c>
      <c r="AB887" s="32">
        <v>3.15E-2</v>
      </c>
      <c r="AC887" s="32">
        <v>8.0199999999999994E-2</v>
      </c>
      <c r="AD887" s="33">
        <f t="shared" si="289"/>
        <v>0.28687803382515537</v>
      </c>
      <c r="AE887" s="34">
        <f t="shared" si="290"/>
        <v>3.5399319322494294E-2</v>
      </c>
      <c r="AF887" s="33">
        <f t="shared" si="291"/>
        <v>0.15825049858695336</v>
      </c>
      <c r="AG887" s="33">
        <f t="shared" si="292"/>
        <v>0</v>
      </c>
      <c r="AH887" s="35">
        <f t="shared" si="293"/>
        <v>0.81837000329997167</v>
      </c>
      <c r="AI887" s="36">
        <f t="shared" si="260"/>
        <v>1.7344093362785962</v>
      </c>
      <c r="AJ887" s="23"/>
      <c r="AK887" s="101">
        <v>139</v>
      </c>
      <c r="AL887" s="44"/>
      <c r="AM887" s="44"/>
      <c r="AN887" s="44"/>
      <c r="AO887" s="44"/>
      <c r="AP887" s="44"/>
      <c r="AQ887" s="44"/>
      <c r="AR887" s="44"/>
    </row>
    <row r="888" spans="1:44" ht="16.8">
      <c r="A888" s="17" t="s">
        <v>1967</v>
      </c>
      <c r="B888" s="18"/>
      <c r="C888" s="18" t="s">
        <v>1964</v>
      </c>
      <c r="D888" s="19" t="s">
        <v>1965</v>
      </c>
      <c r="E888" s="20" t="s">
        <v>414</v>
      </c>
      <c r="F888" s="21">
        <v>2011</v>
      </c>
      <c r="G888" s="40">
        <v>2023</v>
      </c>
      <c r="H888" s="23">
        <v>429406692945</v>
      </c>
      <c r="I888" s="23">
        <v>1168230782485</v>
      </c>
      <c r="J888" s="23">
        <v>190857062426</v>
      </c>
      <c r="K888" s="23">
        <f t="shared" si="317"/>
        <v>231316959132</v>
      </c>
      <c r="L888" s="23">
        <v>187070062426</v>
      </c>
      <c r="M888" s="23">
        <f t="shared" si="195"/>
        <v>977373720059</v>
      </c>
      <c r="N888" s="23">
        <v>325520733030</v>
      </c>
      <c r="O888" s="25">
        <f t="shared" si="243"/>
        <v>242336630519</v>
      </c>
      <c r="P888" s="23">
        <v>81658654101</v>
      </c>
      <c r="Q888" s="23">
        <f>219930140+28373961508</f>
        <v>28593891648</v>
      </c>
      <c r="R888" s="25">
        <f t="shared" si="244"/>
        <v>296926841382</v>
      </c>
      <c r="S888" s="26">
        <f t="shared" si="245"/>
        <v>0.16337273874946073</v>
      </c>
      <c r="T888" s="27">
        <f t="shared" si="246"/>
        <v>2.2954324565688431</v>
      </c>
      <c r="U888" s="26">
        <f t="shared" si="247"/>
        <v>27.786511568560702</v>
      </c>
      <c r="V888" s="26">
        <f t="shared" si="248"/>
        <v>1.4072497505219366</v>
      </c>
      <c r="W888" s="143"/>
      <c r="X888" s="143"/>
      <c r="Y888" s="143"/>
      <c r="Z888" s="30">
        <f t="shared" si="316"/>
        <v>0</v>
      </c>
      <c r="AA888" s="31">
        <f t="shared" si="249"/>
        <v>12</v>
      </c>
      <c r="AB888" s="32">
        <v>3.2500000000000001E-2</v>
      </c>
      <c r="AC888" s="32">
        <v>5.0500000000000003E-2</v>
      </c>
      <c r="AD888" s="33">
        <f t="shared" si="289"/>
        <v>0.20743900447779168</v>
      </c>
      <c r="AE888" s="34">
        <f t="shared" si="290"/>
        <v>6.9899419982154501E-2</v>
      </c>
      <c r="AF888" s="33">
        <f t="shared" si="291"/>
        <v>0.25416796563979643</v>
      </c>
      <c r="AG888" s="33">
        <f t="shared" si="292"/>
        <v>0</v>
      </c>
      <c r="AH888" s="35">
        <f t="shared" si="293"/>
        <v>1.7055734217653717</v>
      </c>
      <c r="AI888" s="36">
        <f t="shared" si="260"/>
        <v>2.8911137017250663</v>
      </c>
      <c r="AJ888" s="23"/>
      <c r="AK888" s="101">
        <v>140</v>
      </c>
      <c r="AL888" s="44"/>
      <c r="AM888" s="44"/>
      <c r="AN888" s="44"/>
      <c r="AO888" s="44"/>
      <c r="AP888" s="44"/>
      <c r="AQ888" s="44"/>
      <c r="AR888" s="44"/>
    </row>
    <row r="889" spans="1:44" ht="16.8">
      <c r="A889" s="17" t="s">
        <v>1968</v>
      </c>
      <c r="B889" s="18">
        <v>346</v>
      </c>
      <c r="C889" s="18" t="s">
        <v>1969</v>
      </c>
      <c r="D889" s="19" t="s">
        <v>1970</v>
      </c>
      <c r="E889" s="20" t="s">
        <v>39</v>
      </c>
      <c r="F889" s="21">
        <v>2004</v>
      </c>
      <c r="G889" s="40">
        <v>2021</v>
      </c>
      <c r="H889" s="23">
        <v>73093294381</v>
      </c>
      <c r="I889" s="23">
        <v>110818149049</v>
      </c>
      <c r="J889" s="23">
        <v>5298855460</v>
      </c>
      <c r="K889" s="23">
        <f>(J889+6373940451)/2</f>
        <v>5836397955.5</v>
      </c>
      <c r="L889" s="23">
        <v>5298855460</v>
      </c>
      <c r="M889" s="23">
        <f t="shared" si="195"/>
        <v>105519293589</v>
      </c>
      <c r="N889" s="23">
        <v>22593129147</v>
      </c>
      <c r="O889" s="25">
        <f t="shared" si="243"/>
        <v>67794438921</v>
      </c>
      <c r="P889" s="23">
        <v>11339839090</v>
      </c>
      <c r="Q889" s="23">
        <v>5229339798</v>
      </c>
      <c r="R889" s="25">
        <f t="shared" si="244"/>
        <v>17363789349</v>
      </c>
      <c r="S889" s="26">
        <f t="shared" si="245"/>
        <v>4.7815773007154512E-2</v>
      </c>
      <c r="T889" s="27">
        <f t="shared" si="246"/>
        <v>13.794166482321826</v>
      </c>
      <c r="U889" s="26">
        <f t="shared" si="247"/>
        <v>25.431156397927055</v>
      </c>
      <c r="V889" s="26">
        <f t="shared" si="248"/>
        <v>3.8710741315555928</v>
      </c>
      <c r="W889" s="143"/>
      <c r="X889" s="143"/>
      <c r="Y889" s="143"/>
      <c r="Z889" s="30">
        <f>W889*Y889</f>
        <v>0</v>
      </c>
      <c r="AA889" s="31">
        <f t="shared" si="249"/>
        <v>17</v>
      </c>
      <c r="AB889" s="32">
        <v>1.84E-2</v>
      </c>
      <c r="AC889" s="32">
        <v>2.58E-2</v>
      </c>
      <c r="AD889" s="33">
        <f t="shared" si="289"/>
        <v>0.61176296033444499</v>
      </c>
      <c r="AE889" s="34">
        <f t="shared" si="290"/>
        <v>0.10232835674764709</v>
      </c>
      <c r="AF889" s="33">
        <f t="shared" si="291"/>
        <v>0.15668723487993222</v>
      </c>
      <c r="AG889" s="33">
        <f t="shared" si="292"/>
        <v>0</v>
      </c>
      <c r="AH889" s="35">
        <f t="shared" si="293"/>
        <v>4.2637753223410249</v>
      </c>
      <c r="AI889" s="36">
        <f t="shared" si="260"/>
        <v>5.6582184492928409</v>
      </c>
      <c r="AJ889" s="23" t="s">
        <v>85</v>
      </c>
      <c r="AK889" s="101">
        <v>141</v>
      </c>
      <c r="AL889" s="44"/>
      <c r="AM889" s="44"/>
      <c r="AN889" s="44"/>
      <c r="AO889" s="44"/>
      <c r="AP889" s="44"/>
      <c r="AQ889" s="44"/>
      <c r="AR889" s="44"/>
    </row>
    <row r="890" spans="1:44" ht="16.8">
      <c r="A890" s="17" t="s">
        <v>1971</v>
      </c>
      <c r="B890" s="18"/>
      <c r="C890" s="18" t="s">
        <v>1969</v>
      </c>
      <c r="D890" s="19" t="s">
        <v>1970</v>
      </c>
      <c r="E890" s="20" t="s">
        <v>39</v>
      </c>
      <c r="F890" s="21">
        <v>2004</v>
      </c>
      <c r="G890" s="40">
        <v>2022</v>
      </c>
      <c r="H890" s="23">
        <v>79392820018</v>
      </c>
      <c r="I890" s="23">
        <v>114517483665</v>
      </c>
      <c r="J890" s="23">
        <v>5507938565</v>
      </c>
      <c r="K890" s="23">
        <f t="shared" ref="K890:K891" si="318">(J890+J889)/2</f>
        <v>5403397012.5</v>
      </c>
      <c r="L890" s="23">
        <v>5507938565</v>
      </c>
      <c r="M890" s="23">
        <f t="shared" si="195"/>
        <v>109009545100</v>
      </c>
      <c r="N890" s="23">
        <v>22997604620</v>
      </c>
      <c r="O890" s="25">
        <f t="shared" si="243"/>
        <v>73884881453</v>
      </c>
      <c r="P890" s="23">
        <v>9756881421</v>
      </c>
      <c r="Q890" s="23">
        <v>5674222569</v>
      </c>
      <c r="R890" s="25">
        <f t="shared" si="244"/>
        <v>17323382051</v>
      </c>
      <c r="S890" s="26">
        <f t="shared" si="245"/>
        <v>4.8096922746857319E-2</v>
      </c>
      <c r="T890" s="27">
        <f t="shared" si="246"/>
        <v>14.414253006106287</v>
      </c>
      <c r="U890" s="26">
        <f t="shared" si="247"/>
        <v>25.463993344048085</v>
      </c>
      <c r="V890" s="26">
        <f t="shared" si="248"/>
        <v>4.2561382342993257</v>
      </c>
      <c r="W890" s="143"/>
      <c r="X890" s="143"/>
      <c r="Y890" s="143"/>
      <c r="Z890" s="30"/>
      <c r="AA890" s="31">
        <f t="shared" si="249"/>
        <v>18</v>
      </c>
      <c r="AB890" s="32">
        <v>3.15E-2</v>
      </c>
      <c r="AC890" s="32">
        <v>8.0199999999999994E-2</v>
      </c>
      <c r="AD890" s="33">
        <f t="shared" si="289"/>
        <v>0.64518429054149262</v>
      </c>
      <c r="AE890" s="34">
        <f t="shared" si="290"/>
        <v>8.5199928506480074E-2</v>
      </c>
      <c r="AF890" s="33">
        <f t="shared" si="291"/>
        <v>0.15127281439117535</v>
      </c>
      <c r="AG890" s="33">
        <f t="shared" si="292"/>
        <v>0</v>
      </c>
      <c r="AH890" s="35">
        <f t="shared" si="293"/>
        <v>4.175356051742745</v>
      </c>
      <c r="AI890" s="36">
        <f t="shared" si="260"/>
        <v>5.5680573877924866</v>
      </c>
      <c r="AJ890" s="23" t="s">
        <v>85</v>
      </c>
      <c r="AK890" s="101">
        <v>142</v>
      </c>
      <c r="AL890" s="44"/>
      <c r="AM890" s="44"/>
      <c r="AN890" s="44"/>
      <c r="AO890" s="44"/>
      <c r="AP890" s="44"/>
      <c r="AQ890" s="44"/>
      <c r="AR890" s="44"/>
    </row>
    <row r="891" spans="1:44" ht="16.8">
      <c r="A891" s="17" t="s">
        <v>1972</v>
      </c>
      <c r="B891" s="18"/>
      <c r="C891" s="18" t="s">
        <v>1969</v>
      </c>
      <c r="D891" s="19" t="s">
        <v>1970</v>
      </c>
      <c r="E891" s="20" t="s">
        <v>39</v>
      </c>
      <c r="F891" s="21">
        <v>2004</v>
      </c>
      <c r="G891" s="40">
        <v>2023</v>
      </c>
      <c r="H891" s="23">
        <v>85961841378</v>
      </c>
      <c r="I891" s="23">
        <v>120737378713</v>
      </c>
      <c r="J891" s="23">
        <v>5142143158</v>
      </c>
      <c r="K891" s="23">
        <f t="shared" si="318"/>
        <v>5325040861.5</v>
      </c>
      <c r="L891" s="23">
        <v>5142143158</v>
      </c>
      <c r="M891" s="23">
        <f t="shared" si="195"/>
        <v>115595235555</v>
      </c>
      <c r="N891" s="23">
        <v>23988586386</v>
      </c>
      <c r="O891" s="25">
        <f t="shared" si="243"/>
        <v>80819698220</v>
      </c>
      <c r="P891" s="23">
        <v>10983142597</v>
      </c>
      <c r="Q891" s="23">
        <v>5662457049</v>
      </c>
      <c r="R891" s="25">
        <f t="shared" si="244"/>
        <v>18326129337</v>
      </c>
      <c r="S891" s="26">
        <f t="shared" si="245"/>
        <v>4.2589488133771593E-2</v>
      </c>
      <c r="T891" s="27">
        <f t="shared" si="246"/>
        <v>16.717123334900354</v>
      </c>
      <c r="U891" s="26">
        <f t="shared" si="247"/>
        <v>25.516883599900126</v>
      </c>
      <c r="V891" s="26">
        <f t="shared" si="248"/>
        <v>4.5048642836597317</v>
      </c>
      <c r="W891" s="143"/>
      <c r="X891" s="143"/>
      <c r="Y891" s="143"/>
      <c r="Z891" s="30"/>
      <c r="AA891" s="31">
        <f t="shared" si="249"/>
        <v>19</v>
      </c>
      <c r="AB891" s="32">
        <v>3.2500000000000001E-2</v>
      </c>
      <c r="AC891" s="32">
        <v>5.0500000000000003E-2</v>
      </c>
      <c r="AD891" s="33">
        <f t="shared" si="289"/>
        <v>0.66938423776876321</v>
      </c>
      <c r="AE891" s="34">
        <f t="shared" si="290"/>
        <v>9.0967210933969256E-2</v>
      </c>
      <c r="AF891" s="33">
        <f t="shared" si="291"/>
        <v>0.15178505225430072</v>
      </c>
      <c r="AG891" s="33">
        <f t="shared" si="292"/>
        <v>0</v>
      </c>
      <c r="AH891" s="35">
        <f t="shared" si="293"/>
        <v>4.6650950097877457</v>
      </c>
      <c r="AI891" s="36">
        <f t="shared" si="260"/>
        <v>6.0966008628570112</v>
      </c>
      <c r="AJ891" s="23" t="s">
        <v>85</v>
      </c>
      <c r="AK891" s="101">
        <v>143</v>
      </c>
      <c r="AL891" s="44"/>
      <c r="AM891" s="44"/>
      <c r="AN891" s="44"/>
      <c r="AO891" s="44"/>
      <c r="AP891" s="44"/>
      <c r="AQ891" s="44"/>
      <c r="AR891" s="44"/>
    </row>
    <row r="892" spans="1:44" ht="16.8">
      <c r="A892" s="17" t="s">
        <v>1973</v>
      </c>
      <c r="B892" s="18">
        <v>347</v>
      </c>
      <c r="C892" s="18" t="s">
        <v>1974</v>
      </c>
      <c r="D892" s="19" t="s">
        <v>1975</v>
      </c>
      <c r="E892" s="20" t="s">
        <v>39</v>
      </c>
      <c r="F892" s="21">
        <v>2004</v>
      </c>
      <c r="G892" s="40">
        <v>2021</v>
      </c>
      <c r="H892" s="23">
        <v>451853576428</v>
      </c>
      <c r="I892" s="23">
        <v>590058363550</v>
      </c>
      <c r="J892" s="23">
        <v>413937903532</v>
      </c>
      <c r="K892" s="23">
        <f>(J892+353808403643)/2</f>
        <v>383873153587.5</v>
      </c>
      <c r="L892" s="23">
        <v>407524892764</v>
      </c>
      <c r="M892" s="23">
        <f t="shared" si="195"/>
        <v>176120460018</v>
      </c>
      <c r="N892" s="23">
        <v>673653123591</v>
      </c>
      <c r="O892" s="25">
        <f t="shared" si="243"/>
        <v>44328683664</v>
      </c>
      <c r="P892" s="23">
        <v>-28628120058</v>
      </c>
      <c r="Q892" s="23">
        <f>22716603037+37561811795</f>
        <v>60278414832</v>
      </c>
      <c r="R892" s="25">
        <f t="shared" si="244"/>
        <v>613374708759</v>
      </c>
      <c r="S892" s="26">
        <f t="shared" si="245"/>
        <v>0.70152027172634757</v>
      </c>
      <c r="T892" s="27">
        <f t="shared" si="246"/>
        <v>1.1087754010886177</v>
      </c>
      <c r="U892" s="26">
        <f t="shared" si="247"/>
        <v>27.103487290224976</v>
      </c>
      <c r="V892" s="26">
        <f t="shared" si="248"/>
        <v>1.7548846990089073</v>
      </c>
      <c r="W892" s="143"/>
      <c r="X892" s="143"/>
      <c r="Y892" s="143"/>
      <c r="Z892" s="30">
        <f>W892*Y892</f>
        <v>0</v>
      </c>
      <c r="AA892" s="31">
        <f t="shared" si="249"/>
        <v>17</v>
      </c>
      <c r="AB892" s="32">
        <v>1.84E-2</v>
      </c>
      <c r="AC892" s="32">
        <v>2.58E-2</v>
      </c>
      <c r="AD892" s="33">
        <f t="shared" si="289"/>
        <v>7.5125930589819867E-2</v>
      </c>
      <c r="AE892" s="34">
        <f t="shared" si="290"/>
        <v>-4.8517437979801008E-2</v>
      </c>
      <c r="AF892" s="33">
        <f t="shared" si="291"/>
        <v>1.039515320262085</v>
      </c>
      <c r="AG892" s="33">
        <f t="shared" si="292"/>
        <v>0</v>
      </c>
      <c r="AH892" s="35">
        <f t="shared" si="293"/>
        <v>1.6274255578987402</v>
      </c>
      <c r="AI892" s="36">
        <f t="shared" si="260"/>
        <v>5.0800528182996834</v>
      </c>
      <c r="AJ892" s="23"/>
      <c r="AK892" s="101">
        <v>144</v>
      </c>
      <c r="AL892" s="44"/>
      <c r="AM892" s="44"/>
      <c r="AN892" s="44"/>
      <c r="AO892" s="44"/>
      <c r="AP892" s="44"/>
      <c r="AQ892" s="44"/>
      <c r="AR892" s="44"/>
    </row>
    <row r="893" spans="1:44" ht="16.8">
      <c r="A893" s="17" t="s">
        <v>1976</v>
      </c>
      <c r="B893" s="18"/>
      <c r="C893" s="18" t="s">
        <v>1974</v>
      </c>
      <c r="D893" s="19" t="s">
        <v>1975</v>
      </c>
      <c r="E893" s="20" t="s">
        <v>39</v>
      </c>
      <c r="F893" s="21">
        <v>2004</v>
      </c>
      <c r="G893" s="40">
        <v>2022</v>
      </c>
      <c r="H893" s="23">
        <v>543795570513</v>
      </c>
      <c r="I893" s="23">
        <v>713629041643</v>
      </c>
      <c r="J893" s="23">
        <v>508364104085</v>
      </c>
      <c r="K893" s="23">
        <f t="shared" ref="K893:K894" si="319">(J893+J892)/2</f>
        <v>461151003808.5</v>
      </c>
      <c r="L893" s="23">
        <v>501389200378</v>
      </c>
      <c r="M893" s="23">
        <f t="shared" si="195"/>
        <v>205264937558</v>
      </c>
      <c r="N893" s="23">
        <v>850188743187</v>
      </c>
      <c r="O893" s="25">
        <f t="shared" si="243"/>
        <v>42406370135</v>
      </c>
      <c r="P893" s="23">
        <v>29684877540</v>
      </c>
      <c r="Q893" s="23">
        <f>31194638694+35615103067</f>
        <v>66809741761</v>
      </c>
      <c r="R893" s="25">
        <f t="shared" si="244"/>
        <v>783379001426</v>
      </c>
      <c r="S893" s="26">
        <f t="shared" si="245"/>
        <v>0.71236465224927625</v>
      </c>
      <c r="T893" s="27">
        <f t="shared" si="246"/>
        <v>1.084577749387162</v>
      </c>
      <c r="U893" s="26">
        <f t="shared" si="247"/>
        <v>27.29362911475377</v>
      </c>
      <c r="V893" s="26">
        <f t="shared" si="248"/>
        <v>1.8436233167998348</v>
      </c>
      <c r="W893" s="143"/>
      <c r="X893" s="143"/>
      <c r="Y893" s="143"/>
      <c r="Z893" s="30"/>
      <c r="AA893" s="31">
        <f t="shared" si="249"/>
        <v>18</v>
      </c>
      <c r="AB893" s="32">
        <v>3.15E-2</v>
      </c>
      <c r="AC893" s="32">
        <v>8.0199999999999994E-2</v>
      </c>
      <c r="AD893" s="33">
        <f t="shared" si="289"/>
        <v>5.9423548735302464E-2</v>
      </c>
      <c r="AE893" s="34">
        <f t="shared" si="290"/>
        <v>4.1597070477479466E-2</v>
      </c>
      <c r="AF893" s="33">
        <f t="shared" si="291"/>
        <v>1.0977397999700427</v>
      </c>
      <c r="AG893" s="33">
        <f t="shared" si="292"/>
        <v>0</v>
      </c>
      <c r="AH893" s="35">
        <f t="shared" si="293"/>
        <v>1.6724012107763728</v>
      </c>
      <c r="AI893" s="36">
        <f t="shared" si="260"/>
        <v>5.4244867078283479</v>
      </c>
      <c r="AJ893" s="23"/>
      <c r="AK893" s="101">
        <v>145</v>
      </c>
      <c r="AL893" s="44"/>
      <c r="AM893" s="44"/>
      <c r="AN893" s="44"/>
      <c r="AO893" s="44"/>
      <c r="AP893" s="44"/>
      <c r="AQ893" s="44"/>
      <c r="AR893" s="44"/>
    </row>
    <row r="894" spans="1:44" ht="16.8">
      <c r="A894" s="17" t="s">
        <v>1977</v>
      </c>
      <c r="B894" s="18"/>
      <c r="C894" s="18" t="s">
        <v>1974</v>
      </c>
      <c r="D894" s="19" t="s">
        <v>1975</v>
      </c>
      <c r="E894" s="20" t="s">
        <v>39</v>
      </c>
      <c r="F894" s="21">
        <v>2004</v>
      </c>
      <c r="G894" s="40">
        <v>2023</v>
      </c>
      <c r="H894" s="23">
        <v>495843223130</v>
      </c>
      <c r="I894" s="23">
        <v>683054160580</v>
      </c>
      <c r="J894" s="23">
        <v>434657634481</v>
      </c>
      <c r="K894" s="23">
        <f t="shared" si="319"/>
        <v>471510869283</v>
      </c>
      <c r="L894" s="23">
        <v>426918417158</v>
      </c>
      <c r="M894" s="23">
        <f t="shared" si="195"/>
        <v>248396526099</v>
      </c>
      <c r="N894" s="23">
        <v>782528625160</v>
      </c>
      <c r="O894" s="25">
        <f t="shared" si="243"/>
        <v>68924805972</v>
      </c>
      <c r="P894" s="23">
        <v>52082985541</v>
      </c>
      <c r="Q894" s="23">
        <f>26105749301+42554439633</f>
        <v>68660188934</v>
      </c>
      <c r="R894" s="25">
        <f t="shared" si="244"/>
        <v>713868436226</v>
      </c>
      <c r="S894" s="26">
        <f t="shared" si="245"/>
        <v>0.63634431874614494</v>
      </c>
      <c r="T894" s="27">
        <f t="shared" si="246"/>
        <v>1.1614472536247864</v>
      </c>
      <c r="U894" s="26">
        <f t="shared" si="247"/>
        <v>27.249839991440627</v>
      </c>
      <c r="V894" s="26">
        <f t="shared" si="248"/>
        <v>1.6596194831095774</v>
      </c>
      <c r="W894" s="143"/>
      <c r="X894" s="143"/>
      <c r="Y894" s="143"/>
      <c r="Z894" s="30"/>
      <c r="AA894" s="31">
        <f t="shared" si="249"/>
        <v>19</v>
      </c>
      <c r="AB894" s="32">
        <v>3.2500000000000001E-2</v>
      </c>
      <c r="AC894" s="32">
        <v>5.0500000000000003E-2</v>
      </c>
      <c r="AD894" s="33">
        <f t="shared" si="289"/>
        <v>0.10090679473129049</v>
      </c>
      <c r="AE894" s="34">
        <f t="shared" si="290"/>
        <v>7.6250154887827507E-2</v>
      </c>
      <c r="AF894" s="33">
        <f t="shared" si="291"/>
        <v>1.0451124924264201</v>
      </c>
      <c r="AG894" s="33">
        <f t="shared" si="292"/>
        <v>0</v>
      </c>
      <c r="AH894" s="35">
        <f t="shared" si="293"/>
        <v>1.8003333269283834</v>
      </c>
      <c r="AI894" s="36">
        <f t="shared" si="260"/>
        <v>5.4770429224560768</v>
      </c>
      <c r="AJ894" s="23"/>
      <c r="AK894" s="101">
        <v>146</v>
      </c>
      <c r="AL894" s="44"/>
      <c r="AM894" s="44"/>
      <c r="AN894" s="44"/>
      <c r="AO894" s="44"/>
      <c r="AP894" s="44"/>
      <c r="AQ894" s="44"/>
      <c r="AR894" s="44"/>
    </row>
    <row r="895" spans="1:44" ht="16.8">
      <c r="A895" s="145"/>
      <c r="B895" s="145">
        <v>348</v>
      </c>
      <c r="C895" s="145" t="s">
        <v>1978</v>
      </c>
      <c r="D895" s="146" t="s">
        <v>1979</v>
      </c>
      <c r="E895" s="147" t="s">
        <v>178</v>
      </c>
      <c r="F895" s="148"/>
      <c r="G895" s="148"/>
      <c r="H895" s="149"/>
      <c r="I895" s="149"/>
      <c r="J895" s="149"/>
      <c r="K895" s="149"/>
      <c r="L895" s="149"/>
      <c r="M895" s="149">
        <f t="shared" si="195"/>
        <v>0</v>
      </c>
      <c r="N895" s="149"/>
      <c r="O895" s="149">
        <f t="shared" si="243"/>
        <v>0</v>
      </c>
      <c r="P895" s="149"/>
      <c r="Q895" s="149"/>
      <c r="R895" s="149">
        <f t="shared" si="244"/>
        <v>0</v>
      </c>
      <c r="S895" s="150" t="e">
        <f t="shared" si="245"/>
        <v>#DIV/0!</v>
      </c>
      <c r="T895" s="151" t="e">
        <f t="shared" si="246"/>
        <v>#DIV/0!</v>
      </c>
      <c r="U895" s="150" t="e">
        <f t="shared" si="247"/>
        <v>#NUM!</v>
      </c>
      <c r="V895" s="150" t="e">
        <f t="shared" si="248"/>
        <v>#DIV/0!</v>
      </c>
      <c r="W895" s="152"/>
      <c r="X895" s="152"/>
      <c r="Y895" s="152"/>
      <c r="Z895" s="153">
        <f t="shared" ref="Z895:Z896" si="320">W895*Y895</f>
        <v>0</v>
      </c>
      <c r="AA895" s="148">
        <f t="shared" si="249"/>
        <v>0</v>
      </c>
      <c r="AB895" s="149"/>
      <c r="AC895" s="149"/>
      <c r="AD895" s="150" t="e">
        <f t="shared" si="289"/>
        <v>#DIV/0!</v>
      </c>
      <c r="AE895" s="154" t="e">
        <f t="shared" si="290"/>
        <v>#DIV/0!</v>
      </c>
      <c r="AF895" s="150" t="e">
        <f t="shared" si="291"/>
        <v>#DIV/0!</v>
      </c>
      <c r="AG895" s="150" t="e">
        <f t="shared" si="292"/>
        <v>#DIV/0!</v>
      </c>
      <c r="AH895" s="155" t="e">
        <f t="shared" si="293"/>
        <v>#DIV/0!</v>
      </c>
      <c r="AI895" s="156" t="e">
        <f t="shared" si="260"/>
        <v>#DIV/0!</v>
      </c>
      <c r="AJ895" s="149"/>
      <c r="AK895" s="149"/>
      <c r="AL895" s="157"/>
      <c r="AM895" s="157"/>
      <c r="AN895" s="157"/>
      <c r="AO895" s="157"/>
      <c r="AP895" s="157"/>
      <c r="AQ895" s="157"/>
      <c r="AR895" s="157"/>
    </row>
    <row r="896" spans="1:44" ht="16.8">
      <c r="A896" s="17" t="s">
        <v>1980</v>
      </c>
      <c r="B896" s="18">
        <v>349</v>
      </c>
      <c r="C896" s="18" t="s">
        <v>1981</v>
      </c>
      <c r="D896" s="19" t="s">
        <v>1982</v>
      </c>
      <c r="E896" s="20" t="s">
        <v>39</v>
      </c>
      <c r="F896" s="21">
        <v>1989</v>
      </c>
      <c r="G896" s="40">
        <v>2021</v>
      </c>
      <c r="H896" s="23">
        <v>238588932265</v>
      </c>
      <c r="I896" s="23">
        <v>308034285008</v>
      </c>
      <c r="J896" s="23">
        <v>158664782916</v>
      </c>
      <c r="K896" s="23">
        <f>(J896+155337493915)/2</f>
        <v>157001138415.5</v>
      </c>
      <c r="L896" s="23">
        <v>146182002750</v>
      </c>
      <c r="M896" s="23">
        <f t="shared" si="195"/>
        <v>149369502092</v>
      </c>
      <c r="N896" s="23">
        <v>1308753516644</v>
      </c>
      <c r="O896" s="25">
        <f t="shared" si="243"/>
        <v>92406929515</v>
      </c>
      <c r="P896" s="23">
        <v>5604955741</v>
      </c>
      <c r="Q896" s="23">
        <f>119443561467+42554689743</f>
        <v>161998251210</v>
      </c>
      <c r="R896" s="25">
        <f t="shared" si="244"/>
        <v>1146755265434</v>
      </c>
      <c r="S896" s="26">
        <f t="shared" si="245"/>
        <v>0.51508806207036106</v>
      </c>
      <c r="T896" s="27">
        <f t="shared" si="246"/>
        <v>1.6321361575065709</v>
      </c>
      <c r="U896" s="26">
        <f t="shared" si="247"/>
        <v>26.453476928685973</v>
      </c>
      <c r="V896" s="26">
        <f t="shared" si="248"/>
        <v>8.3359492157337929</v>
      </c>
      <c r="W896" s="143"/>
      <c r="X896" s="143"/>
      <c r="Y896" s="143"/>
      <c r="Z896" s="30">
        <f t="shared" si="320"/>
        <v>0</v>
      </c>
      <c r="AA896" s="31">
        <f t="shared" si="249"/>
        <v>32</v>
      </c>
      <c r="AB896" s="32">
        <v>1.84E-2</v>
      </c>
      <c r="AC896" s="32">
        <v>2.58E-2</v>
      </c>
      <c r="AD896" s="33">
        <f t="shared" si="289"/>
        <v>0.29998910514977284</v>
      </c>
      <c r="AE896" s="34">
        <f t="shared" si="290"/>
        <v>1.8195882776017719E-2</v>
      </c>
      <c r="AF896" s="33">
        <f t="shared" si="291"/>
        <v>3.7228169760525764</v>
      </c>
      <c r="AG896" s="33">
        <f t="shared" si="292"/>
        <v>0</v>
      </c>
      <c r="AH896" s="35">
        <f t="shared" si="293"/>
        <v>8.2485444633096545</v>
      </c>
      <c r="AI896" s="36">
        <f t="shared" si="260"/>
        <v>20.919301646349307</v>
      </c>
      <c r="AJ896" s="23"/>
      <c r="AK896" s="101">
        <v>147</v>
      </c>
      <c r="AL896" s="44"/>
      <c r="AM896" s="44"/>
      <c r="AN896" s="44"/>
      <c r="AO896" s="44"/>
      <c r="AP896" s="44"/>
      <c r="AQ896" s="44"/>
      <c r="AR896" s="44"/>
    </row>
    <row r="897" spans="1:44" ht="16.8">
      <c r="A897" s="17" t="s">
        <v>1983</v>
      </c>
      <c r="B897" s="18"/>
      <c r="C897" s="18" t="s">
        <v>1981</v>
      </c>
      <c r="D897" s="19" t="s">
        <v>1982</v>
      </c>
      <c r="E897" s="20" t="s">
        <v>39</v>
      </c>
      <c r="F897" s="21">
        <v>1989</v>
      </c>
      <c r="G897" s="40">
        <v>2022</v>
      </c>
      <c r="H897" s="23">
        <v>239045519143</v>
      </c>
      <c r="I897" s="23">
        <v>313403480283</v>
      </c>
      <c r="J897" s="23">
        <v>159652563670</v>
      </c>
      <c r="K897" s="23">
        <f t="shared" ref="K897:K898" si="321">(J897+J896)/2</f>
        <v>159158673293</v>
      </c>
      <c r="L897" s="23">
        <v>146966883504</v>
      </c>
      <c r="M897" s="23">
        <f t="shared" si="195"/>
        <v>153750916613</v>
      </c>
      <c r="N897" s="23">
        <v>1531851841049</v>
      </c>
      <c r="O897" s="25">
        <f t="shared" si="243"/>
        <v>92078635639</v>
      </c>
      <c r="P897" s="23">
        <v>9986370262</v>
      </c>
      <c r="Q897" s="23">
        <f>152914992131+54749136753</f>
        <v>207664128884</v>
      </c>
      <c r="R897" s="25">
        <f t="shared" si="244"/>
        <v>1324187712165</v>
      </c>
      <c r="S897" s="26">
        <f t="shared" si="245"/>
        <v>0.50941541404018686</v>
      </c>
      <c r="T897" s="27">
        <f t="shared" si="246"/>
        <v>1.6265264217601367</v>
      </c>
      <c r="U897" s="26">
        <f t="shared" si="247"/>
        <v>26.470757271730093</v>
      </c>
      <c r="V897" s="26">
        <f t="shared" si="248"/>
        <v>9.6246834015069211</v>
      </c>
      <c r="W897" s="143"/>
      <c r="X897" s="143"/>
      <c r="Y897" s="143"/>
      <c r="Z897" s="30"/>
      <c r="AA897" s="31">
        <f t="shared" si="249"/>
        <v>33</v>
      </c>
      <c r="AB897" s="32">
        <v>3.15E-2</v>
      </c>
      <c r="AC897" s="32">
        <v>8.0199999999999994E-2</v>
      </c>
      <c r="AD897" s="33">
        <f t="shared" si="289"/>
        <v>0.29380221162781595</v>
      </c>
      <c r="AE897" s="34">
        <f t="shared" si="290"/>
        <v>3.1864260897748853E-2</v>
      </c>
      <c r="AF897" s="33">
        <f t="shared" si="291"/>
        <v>4.2251850903802106</v>
      </c>
      <c r="AG897" s="33">
        <f t="shared" si="292"/>
        <v>0</v>
      </c>
      <c r="AH897" s="35">
        <f t="shared" si="293"/>
        <v>9.5949091316524058</v>
      </c>
      <c r="AI897" s="36">
        <f t="shared" si="260"/>
        <v>23.935192549117328</v>
      </c>
      <c r="AJ897" s="23"/>
      <c r="AK897" s="101">
        <v>148</v>
      </c>
      <c r="AL897" s="44"/>
      <c r="AM897" s="44"/>
      <c r="AN897" s="44"/>
      <c r="AO897" s="44"/>
      <c r="AP897" s="44"/>
      <c r="AQ897" s="44"/>
      <c r="AR897" s="44"/>
    </row>
    <row r="898" spans="1:44" ht="16.8">
      <c r="A898" s="17" t="s">
        <v>1984</v>
      </c>
      <c r="B898" s="18"/>
      <c r="C898" s="18" t="s">
        <v>1981</v>
      </c>
      <c r="D898" s="19" t="s">
        <v>1982</v>
      </c>
      <c r="E898" s="20" t="s">
        <v>39</v>
      </c>
      <c r="F898" s="21">
        <v>1989</v>
      </c>
      <c r="G898" s="40">
        <v>2023</v>
      </c>
      <c r="H898" s="23">
        <v>248104006124</v>
      </c>
      <c r="I898" s="23">
        <v>317660131581</v>
      </c>
      <c r="J898" s="23">
        <v>168842916440</v>
      </c>
      <c r="K898" s="23">
        <f t="shared" si="321"/>
        <v>164247740055</v>
      </c>
      <c r="L898" s="23">
        <v>157257570714</v>
      </c>
      <c r="M898" s="23">
        <f t="shared" si="195"/>
        <v>148817215141</v>
      </c>
      <c r="N898" s="23">
        <v>1629585306986</v>
      </c>
      <c r="O898" s="25">
        <f t="shared" si="243"/>
        <v>90846435410</v>
      </c>
      <c r="P898" s="23">
        <v>5050910890</v>
      </c>
      <c r="Q898" s="23">
        <f>132546477793+36800918263</f>
        <v>169347396056</v>
      </c>
      <c r="R898" s="25">
        <f t="shared" si="244"/>
        <v>1460237910930</v>
      </c>
      <c r="S898" s="26">
        <f t="shared" si="245"/>
        <v>0.53152063999868626</v>
      </c>
      <c r="T898" s="27">
        <f t="shared" si="246"/>
        <v>1.5776919673725591</v>
      </c>
      <c r="U898" s="26">
        <f t="shared" si="247"/>
        <v>26.484247879572941</v>
      </c>
      <c r="V898" s="26">
        <f t="shared" si="248"/>
        <v>9.9215082438292121</v>
      </c>
      <c r="W898" s="143"/>
      <c r="X898" s="143"/>
      <c r="Y898" s="143"/>
      <c r="Z898" s="30"/>
      <c r="AA898" s="31">
        <f t="shared" si="249"/>
        <v>34</v>
      </c>
      <c r="AB898" s="32">
        <v>3.2500000000000001E-2</v>
      </c>
      <c r="AC898" s="32">
        <v>5.0500000000000003E-2</v>
      </c>
      <c r="AD898" s="33">
        <f t="shared" si="289"/>
        <v>0.28598626764352114</v>
      </c>
      <c r="AE898" s="34">
        <f t="shared" si="290"/>
        <v>1.5900361385804158E-2</v>
      </c>
      <c r="AF898" s="33">
        <f t="shared" si="291"/>
        <v>4.5968560916422545</v>
      </c>
      <c r="AG898" s="33">
        <f t="shared" si="292"/>
        <v>0</v>
      </c>
      <c r="AH898" s="35">
        <f t="shared" si="293"/>
        <v>9.6514875562759492</v>
      </c>
      <c r="AI898" s="36">
        <f t="shared" si="260"/>
        <v>25.186556685807737</v>
      </c>
      <c r="AJ898" s="23"/>
      <c r="AK898" s="101">
        <v>149</v>
      </c>
      <c r="AL898" s="44"/>
      <c r="AM898" s="44"/>
      <c r="AN898" s="44"/>
      <c r="AO898" s="44"/>
      <c r="AP898" s="44"/>
      <c r="AQ898" s="44"/>
      <c r="AR898" s="44"/>
    </row>
    <row r="899" spans="1:44" ht="16.8">
      <c r="A899" s="17" t="s">
        <v>1985</v>
      </c>
      <c r="B899" s="18">
        <v>350</v>
      </c>
      <c r="C899" s="18" t="s">
        <v>1986</v>
      </c>
      <c r="D899" s="19" t="s">
        <v>1987</v>
      </c>
      <c r="E899" s="20" t="s">
        <v>39</v>
      </c>
      <c r="F899" s="21">
        <v>1970</v>
      </c>
      <c r="G899" s="40">
        <v>2021</v>
      </c>
      <c r="H899" s="23">
        <v>49803192944</v>
      </c>
      <c r="I899" s="23">
        <v>74000938528</v>
      </c>
      <c r="J899" s="23">
        <v>34362683313</v>
      </c>
      <c r="K899" s="23">
        <f>(J899+38272363253)/2</f>
        <v>36317523283</v>
      </c>
      <c r="L899" s="23">
        <v>34362683313</v>
      </c>
      <c r="M899" s="23">
        <f t="shared" si="195"/>
        <v>39638255215</v>
      </c>
      <c r="N899" s="23">
        <v>278554313308</v>
      </c>
      <c r="O899" s="25">
        <f t="shared" si="243"/>
        <v>15440509631</v>
      </c>
      <c r="P899" s="23">
        <v>3777096487</v>
      </c>
      <c r="Q899" s="23">
        <f>10552980317+5028513272</f>
        <v>15581493589</v>
      </c>
      <c r="R899" s="25">
        <f t="shared" si="244"/>
        <v>262972819719</v>
      </c>
      <c r="S899" s="26">
        <f t="shared" si="245"/>
        <v>0.46435469598805246</v>
      </c>
      <c r="T899" s="27">
        <f t="shared" si="246"/>
        <v>1.4493394619493696</v>
      </c>
      <c r="U899" s="26">
        <f t="shared" si="247"/>
        <v>25.027343612880966</v>
      </c>
      <c r="V899" s="26">
        <f t="shared" si="248"/>
        <v>7.6699699794338532</v>
      </c>
      <c r="W899" s="143"/>
      <c r="X899" s="143"/>
      <c r="Y899" s="143"/>
      <c r="Z899" s="30">
        <f>W899*Y899</f>
        <v>0</v>
      </c>
      <c r="AA899" s="31">
        <f t="shared" si="249"/>
        <v>51</v>
      </c>
      <c r="AB899" s="32">
        <v>1.84E-2</v>
      </c>
      <c r="AC899" s="32">
        <v>2.58E-2</v>
      </c>
      <c r="AD899" s="33">
        <f t="shared" si="289"/>
        <v>0.20865288924893458</v>
      </c>
      <c r="AE899" s="34">
        <f t="shared" si="290"/>
        <v>5.1041197073072885E-2</v>
      </c>
      <c r="AF899" s="33">
        <f t="shared" si="291"/>
        <v>3.5536416827943071</v>
      </c>
      <c r="AG899" s="33">
        <f t="shared" si="292"/>
        <v>0</v>
      </c>
      <c r="AH899" s="35">
        <f t="shared" si="293"/>
        <v>8.1063027229488238</v>
      </c>
      <c r="AI899" s="36">
        <f t="shared" si="260"/>
        <v>20.155161419171058</v>
      </c>
      <c r="AJ899" s="23"/>
      <c r="AK899" s="101">
        <v>150</v>
      </c>
      <c r="AL899" s="44"/>
      <c r="AM899" s="44"/>
      <c r="AN899" s="44"/>
      <c r="AO899" s="44"/>
      <c r="AP899" s="44"/>
      <c r="AQ899" s="44"/>
      <c r="AR899" s="44"/>
    </row>
    <row r="900" spans="1:44" ht="16.8">
      <c r="A900" s="17" t="s">
        <v>1988</v>
      </c>
      <c r="B900" s="18"/>
      <c r="C900" s="18" t="s">
        <v>1986</v>
      </c>
      <c r="D900" s="19" t="s">
        <v>1987</v>
      </c>
      <c r="E900" s="20" t="s">
        <v>39</v>
      </c>
      <c r="F900" s="21">
        <v>1970</v>
      </c>
      <c r="G900" s="40">
        <v>2022</v>
      </c>
      <c r="H900" s="23">
        <v>47109432157</v>
      </c>
      <c r="I900" s="23">
        <v>70963388740</v>
      </c>
      <c r="J900" s="23">
        <v>30782573904</v>
      </c>
      <c r="K900" s="23">
        <f t="shared" ref="K900:K901" si="322">(J900+J899)/2</f>
        <v>32572628608.5</v>
      </c>
      <c r="L900" s="23">
        <v>30782573904</v>
      </c>
      <c r="M900" s="23">
        <f t="shared" si="195"/>
        <v>40180814836</v>
      </c>
      <c r="N900" s="23">
        <v>252825651555</v>
      </c>
      <c r="O900" s="25">
        <f t="shared" si="243"/>
        <v>16326858253</v>
      </c>
      <c r="P900" s="23">
        <v>3419656107</v>
      </c>
      <c r="Q900" s="23">
        <f>10062728801+4602475137</f>
        <v>14665203938</v>
      </c>
      <c r="R900" s="25">
        <f t="shared" si="244"/>
        <v>238160447617</v>
      </c>
      <c r="S900" s="26">
        <f t="shared" si="245"/>
        <v>0.43378105880460521</v>
      </c>
      <c r="T900" s="27">
        <f t="shared" si="246"/>
        <v>1.5303928873497621</v>
      </c>
      <c r="U900" s="26">
        <f t="shared" si="247"/>
        <v>24.98542992944445</v>
      </c>
      <c r="V900" s="26">
        <f t="shared" si="248"/>
        <v>7.7619050827547831</v>
      </c>
      <c r="W900" s="143"/>
      <c r="X900" s="143"/>
      <c r="Y900" s="143"/>
      <c r="Z900" s="30"/>
      <c r="AA900" s="31">
        <f t="shared" si="249"/>
        <v>52</v>
      </c>
      <c r="AB900" s="32">
        <v>3.15E-2</v>
      </c>
      <c r="AC900" s="32">
        <v>8.0199999999999994E-2</v>
      </c>
      <c r="AD900" s="33">
        <f t="shared" si="289"/>
        <v>0.23007438825701151</v>
      </c>
      <c r="AE900" s="34">
        <f t="shared" si="290"/>
        <v>4.8189019263569062E-2</v>
      </c>
      <c r="AF900" s="33">
        <f t="shared" si="291"/>
        <v>3.3561030814014083</v>
      </c>
      <c r="AG900" s="33">
        <f t="shared" si="292"/>
        <v>0</v>
      </c>
      <c r="AH900" s="35">
        <f t="shared" si="293"/>
        <v>8.2132719747047176</v>
      </c>
      <c r="AI900" s="36">
        <f t="shared" si="260"/>
        <v>19.631966036206776</v>
      </c>
      <c r="AJ900" s="23"/>
      <c r="AK900" s="101">
        <v>151</v>
      </c>
      <c r="AL900" s="44"/>
      <c r="AM900" s="44"/>
      <c r="AN900" s="44"/>
      <c r="AO900" s="44"/>
      <c r="AP900" s="44"/>
      <c r="AQ900" s="44"/>
      <c r="AR900" s="44"/>
    </row>
    <row r="901" spans="1:44" ht="16.8">
      <c r="A901" s="17" t="s">
        <v>1989</v>
      </c>
      <c r="B901" s="18"/>
      <c r="C901" s="18" t="s">
        <v>1986</v>
      </c>
      <c r="D901" s="19" t="s">
        <v>1987</v>
      </c>
      <c r="E901" s="20" t="s">
        <v>39</v>
      </c>
      <c r="F901" s="21">
        <v>1970</v>
      </c>
      <c r="G901" s="40">
        <v>2023</v>
      </c>
      <c r="H901" s="23">
        <v>51692232081</v>
      </c>
      <c r="I901" s="23">
        <v>75727964302</v>
      </c>
      <c r="J901" s="23">
        <v>35346850628</v>
      </c>
      <c r="K901" s="23">
        <f t="shared" si="322"/>
        <v>33064712266</v>
      </c>
      <c r="L901" s="23">
        <v>35346850628</v>
      </c>
      <c r="M901" s="23">
        <f t="shared" si="195"/>
        <v>40381113674</v>
      </c>
      <c r="N901" s="23">
        <v>226619858475</v>
      </c>
      <c r="O901" s="25">
        <f t="shared" si="243"/>
        <v>16345381453</v>
      </c>
      <c r="P901" s="23">
        <v>2360298838</v>
      </c>
      <c r="Q901" s="23">
        <f>8799319846+4377138476</f>
        <v>13176458322</v>
      </c>
      <c r="R901" s="25">
        <f t="shared" si="244"/>
        <v>213443400153</v>
      </c>
      <c r="S901" s="26">
        <f t="shared" si="245"/>
        <v>0.46676087167797375</v>
      </c>
      <c r="T901" s="27">
        <f t="shared" si="246"/>
        <v>1.462428226633917</v>
      </c>
      <c r="U901" s="26">
        <f t="shared" si="247"/>
        <v>25.050413338712559</v>
      </c>
      <c r="V901" s="26">
        <f t="shared" si="248"/>
        <v>6.8538282339154106</v>
      </c>
      <c r="W901" s="143"/>
      <c r="X901" s="143"/>
      <c r="Y901" s="143"/>
      <c r="Z901" s="30"/>
      <c r="AA901" s="31">
        <f t="shared" si="249"/>
        <v>53</v>
      </c>
      <c r="AB901" s="32">
        <v>3.2500000000000001E-2</v>
      </c>
      <c r="AC901" s="32">
        <v>5.0500000000000003E-2</v>
      </c>
      <c r="AD901" s="33">
        <f t="shared" si="289"/>
        <v>0.21584340215214676</v>
      </c>
      <c r="AE901" s="34">
        <f t="shared" si="290"/>
        <v>3.1168127385376762E-2</v>
      </c>
      <c r="AF901" s="33">
        <f t="shared" si="291"/>
        <v>2.8185545738664852</v>
      </c>
      <c r="AG901" s="33">
        <f t="shared" si="292"/>
        <v>0</v>
      </c>
      <c r="AH901" s="35">
        <f t="shared" si="293"/>
        <v>6.411316834419277</v>
      </c>
      <c r="AI901" s="36">
        <f t="shared" si="260"/>
        <v>16.015194389100781</v>
      </c>
      <c r="AJ901" s="23"/>
      <c r="AK901" s="101">
        <v>152</v>
      </c>
      <c r="AL901" s="44"/>
      <c r="AM901" s="44"/>
      <c r="AN901" s="44"/>
      <c r="AO901" s="44"/>
      <c r="AP901" s="44"/>
      <c r="AQ901" s="44"/>
      <c r="AR901" s="44"/>
    </row>
    <row r="902" spans="1:44" ht="16.8">
      <c r="A902" s="17" t="s">
        <v>1990</v>
      </c>
      <c r="B902" s="18">
        <v>351</v>
      </c>
      <c r="C902" s="18" t="s">
        <v>1991</v>
      </c>
      <c r="D902" s="19" t="s">
        <v>1992</v>
      </c>
      <c r="E902" s="20" t="s">
        <v>39</v>
      </c>
      <c r="F902" s="21">
        <v>1996</v>
      </c>
      <c r="G902" s="40">
        <v>2021</v>
      </c>
      <c r="H902" s="23">
        <v>602313063707</v>
      </c>
      <c r="I902" s="23">
        <v>1701554239384</v>
      </c>
      <c r="J902" s="23">
        <v>1345611958426</v>
      </c>
      <c r="K902" s="23">
        <f>(J902+1424223935602)/2</f>
        <v>1384917947014</v>
      </c>
      <c r="L902" s="23">
        <v>748383918727</v>
      </c>
      <c r="M902" s="23">
        <f t="shared" si="195"/>
        <v>355942280958</v>
      </c>
      <c r="N902" s="23">
        <v>3592045565382</v>
      </c>
      <c r="O902" s="25">
        <f t="shared" si="243"/>
        <v>-146070855020</v>
      </c>
      <c r="P902" s="23">
        <v>41159598117</v>
      </c>
      <c r="Q902" s="23">
        <f>7492247505+71204984500</f>
        <v>78697232005</v>
      </c>
      <c r="R902" s="25">
        <f t="shared" si="244"/>
        <v>3513348333377</v>
      </c>
      <c r="S902" s="26">
        <f t="shared" si="245"/>
        <v>0.79081343825580375</v>
      </c>
      <c r="T902" s="27">
        <f t="shared" si="246"/>
        <v>0.80481828729234817</v>
      </c>
      <c r="U902" s="26">
        <f t="shared" si="247"/>
        <v>28.162563207772187</v>
      </c>
      <c r="V902" s="26">
        <f t="shared" si="248"/>
        <v>2.5936883648065603</v>
      </c>
      <c r="W902" s="143"/>
      <c r="X902" s="143"/>
      <c r="Y902" s="143"/>
      <c r="Z902" s="30">
        <f>W902*Y902</f>
        <v>0</v>
      </c>
      <c r="AA902" s="31">
        <f t="shared" si="249"/>
        <v>25</v>
      </c>
      <c r="AB902" s="32">
        <v>1.84E-2</v>
      </c>
      <c r="AC902" s="32">
        <v>2.58E-2</v>
      </c>
      <c r="AD902" s="33">
        <f t="shared" si="289"/>
        <v>-8.5845547346689852E-2</v>
      </c>
      <c r="AE902" s="34">
        <f t="shared" si="290"/>
        <v>2.4189412928676712E-2</v>
      </c>
      <c r="AF902" s="33">
        <f t="shared" si="291"/>
        <v>2.0647877405594248</v>
      </c>
      <c r="AG902" s="33">
        <f t="shared" si="292"/>
        <v>0</v>
      </c>
      <c r="AH902" s="35">
        <f t="shared" si="293"/>
        <v>2.6694512804298474</v>
      </c>
      <c r="AI902" s="36">
        <f t="shared" si="260"/>
        <v>9.4141013455600682</v>
      </c>
      <c r="AJ902" s="23"/>
      <c r="AK902" s="101">
        <v>153</v>
      </c>
      <c r="AL902" s="44"/>
      <c r="AM902" s="44"/>
      <c r="AN902" s="44"/>
      <c r="AO902" s="44"/>
      <c r="AP902" s="44"/>
      <c r="AQ902" s="44"/>
      <c r="AR902" s="44"/>
    </row>
    <row r="903" spans="1:44" ht="16.8">
      <c r="A903" s="17" t="s">
        <v>1993</v>
      </c>
      <c r="B903" s="18"/>
      <c r="C903" s="18" t="s">
        <v>1991</v>
      </c>
      <c r="D903" s="19" t="s">
        <v>1992</v>
      </c>
      <c r="E903" s="20" t="s">
        <v>39</v>
      </c>
      <c r="F903" s="21">
        <v>1996</v>
      </c>
      <c r="G903" s="40">
        <v>2022</v>
      </c>
      <c r="H903" s="23">
        <v>773158210886</v>
      </c>
      <c r="I903" s="23">
        <v>1570890440557</v>
      </c>
      <c r="J903" s="23">
        <v>1217540448832</v>
      </c>
      <c r="K903" s="23">
        <f t="shared" ref="K903:K904" si="323">(J903+J902)/2</f>
        <v>1281576203629</v>
      </c>
      <c r="L903" s="23">
        <v>947595086610</v>
      </c>
      <c r="M903" s="23">
        <f t="shared" ref="M903:M939" si="324">I903-J903</f>
        <v>353349991725</v>
      </c>
      <c r="N903" s="23">
        <v>4540017540852</v>
      </c>
      <c r="O903" s="25">
        <f t="shared" si="243"/>
        <v>-174436875724</v>
      </c>
      <c r="P903" s="23">
        <v>68567308884</v>
      </c>
      <c r="Q903" s="23">
        <f>9268424285+77926181940</f>
        <v>87194606225</v>
      </c>
      <c r="R903" s="25">
        <f t="shared" si="244"/>
        <v>4452822934627</v>
      </c>
      <c r="S903" s="26">
        <f t="shared" si="245"/>
        <v>0.77506388567766027</v>
      </c>
      <c r="T903" s="27">
        <f t="shared" si="246"/>
        <v>0.81591623026661741</v>
      </c>
      <c r="U903" s="26">
        <f t="shared" si="247"/>
        <v>28.082663734104997</v>
      </c>
      <c r="V903" s="26">
        <f t="shared" si="248"/>
        <v>3.5425264045916052</v>
      </c>
      <c r="W903" s="143"/>
      <c r="X903" s="143"/>
      <c r="Y903" s="143"/>
      <c r="Z903" s="30"/>
      <c r="AA903" s="31">
        <f t="shared" si="249"/>
        <v>26</v>
      </c>
      <c r="AB903" s="32">
        <v>3.15E-2</v>
      </c>
      <c r="AC903" s="32">
        <v>8.0199999999999994E-2</v>
      </c>
      <c r="AD903" s="33">
        <f t="shared" si="289"/>
        <v>-0.11104331099128013</v>
      </c>
      <c r="AE903" s="34">
        <f t="shared" si="290"/>
        <v>4.3648689376254449E-2</v>
      </c>
      <c r="AF903" s="33">
        <f t="shared" si="291"/>
        <v>2.8345852897596959</v>
      </c>
      <c r="AG903" s="33">
        <f t="shared" si="292"/>
        <v>0</v>
      </c>
      <c r="AH903" s="35">
        <f t="shared" si="293"/>
        <v>3.72884329650591</v>
      </c>
      <c r="AI903" s="36">
        <f t="shared" si="260"/>
        <v>13.010830944650127</v>
      </c>
      <c r="AJ903" s="23"/>
      <c r="AK903" s="101">
        <v>154</v>
      </c>
      <c r="AL903" s="44"/>
      <c r="AM903" s="44"/>
      <c r="AN903" s="44"/>
      <c r="AO903" s="44"/>
      <c r="AP903" s="44"/>
      <c r="AQ903" s="44"/>
      <c r="AR903" s="44"/>
    </row>
    <row r="904" spans="1:44" ht="16.8">
      <c r="A904" s="17" t="s">
        <v>1994</v>
      </c>
      <c r="B904" s="18"/>
      <c r="C904" s="18" t="s">
        <v>1991</v>
      </c>
      <c r="D904" s="19" t="s">
        <v>1992</v>
      </c>
      <c r="E904" s="20" t="s">
        <v>39</v>
      </c>
      <c r="F904" s="21">
        <v>1996</v>
      </c>
      <c r="G904" s="40">
        <v>2023</v>
      </c>
      <c r="H904" s="23">
        <v>694950547867</v>
      </c>
      <c r="I904" s="23">
        <v>1611870511008</v>
      </c>
      <c r="J904" s="23">
        <v>1208609606880</v>
      </c>
      <c r="K904" s="23">
        <f t="shared" si="323"/>
        <v>1213075027856</v>
      </c>
      <c r="L904" s="23">
        <v>954897380485</v>
      </c>
      <c r="M904" s="23">
        <f t="shared" si="324"/>
        <v>403260904128</v>
      </c>
      <c r="N904" s="23">
        <v>4344213085100</v>
      </c>
      <c r="O904" s="25">
        <f t="shared" si="243"/>
        <v>-259946832618</v>
      </c>
      <c r="P904" s="23">
        <v>71355230626</v>
      </c>
      <c r="Q904" s="23">
        <f>11159909644+99656045495</f>
        <v>110815955139</v>
      </c>
      <c r="R904" s="25">
        <f t="shared" si="244"/>
        <v>4233397129961</v>
      </c>
      <c r="S904" s="26">
        <f t="shared" si="245"/>
        <v>0.74981805214873209</v>
      </c>
      <c r="T904" s="27">
        <f t="shared" si="246"/>
        <v>0.72777511182827737</v>
      </c>
      <c r="U904" s="26">
        <f t="shared" si="247"/>
        <v>28.108416428627695</v>
      </c>
      <c r="V904" s="26">
        <f t="shared" si="248"/>
        <v>3.5811577893726838</v>
      </c>
      <c r="W904" s="143"/>
      <c r="X904" s="143"/>
      <c r="Y904" s="143"/>
      <c r="Z904" s="30"/>
      <c r="AA904" s="31">
        <f t="shared" si="249"/>
        <v>27</v>
      </c>
      <c r="AB904" s="32">
        <v>3.2500000000000001E-2</v>
      </c>
      <c r="AC904" s="32">
        <v>5.0500000000000003E-2</v>
      </c>
      <c r="AD904" s="33">
        <f t="shared" si="289"/>
        <v>-0.16127029487960515</v>
      </c>
      <c r="AE904" s="34">
        <f t="shared" si="290"/>
        <v>4.4268587419827705E-2</v>
      </c>
      <c r="AF904" s="33">
        <f t="shared" si="291"/>
        <v>2.6263878525289237</v>
      </c>
      <c r="AG904" s="33">
        <f t="shared" si="292"/>
        <v>0</v>
      </c>
      <c r="AH904" s="35">
        <f t="shared" si="293"/>
        <v>3.5943890073110487</v>
      </c>
      <c r="AI904" s="36">
        <f t="shared" si="260"/>
        <v>12.12992058918873</v>
      </c>
      <c r="AJ904" s="23"/>
      <c r="AK904" s="101">
        <v>155</v>
      </c>
      <c r="AL904" s="44"/>
      <c r="AM904" s="44"/>
      <c r="AN904" s="44"/>
      <c r="AO904" s="44"/>
      <c r="AP904" s="44"/>
      <c r="AQ904" s="44"/>
      <c r="AR904" s="44"/>
    </row>
    <row r="905" spans="1:44" ht="16.8">
      <c r="A905" s="45"/>
      <c r="B905" s="45">
        <v>352</v>
      </c>
      <c r="C905" s="45" t="s">
        <v>1995</v>
      </c>
      <c r="D905" s="46" t="s">
        <v>1996</v>
      </c>
      <c r="E905" s="47" t="s">
        <v>39</v>
      </c>
      <c r="F905" s="48"/>
      <c r="G905" s="48"/>
      <c r="H905" s="49"/>
      <c r="I905" s="49"/>
      <c r="J905" s="49"/>
      <c r="K905" s="49"/>
      <c r="L905" s="49"/>
      <c r="M905" s="49">
        <f t="shared" si="324"/>
        <v>0</v>
      </c>
      <c r="N905" s="49"/>
      <c r="O905" s="49">
        <f t="shared" si="243"/>
        <v>0</v>
      </c>
      <c r="P905" s="49"/>
      <c r="Q905" s="49"/>
      <c r="R905" s="49">
        <f t="shared" si="244"/>
        <v>0</v>
      </c>
      <c r="S905" s="50" t="e">
        <f t="shared" si="245"/>
        <v>#DIV/0!</v>
      </c>
      <c r="T905" s="51" t="e">
        <f t="shared" si="246"/>
        <v>#DIV/0!</v>
      </c>
      <c r="U905" s="50" t="e">
        <f t="shared" si="247"/>
        <v>#NUM!</v>
      </c>
      <c r="V905" s="50" t="e">
        <f t="shared" si="248"/>
        <v>#DIV/0!</v>
      </c>
      <c r="W905" s="52"/>
      <c r="X905" s="52"/>
      <c r="Y905" s="52"/>
      <c r="Z905" s="55">
        <f t="shared" ref="Z905:Z906" si="325">W905*Y905</f>
        <v>0</v>
      </c>
      <c r="AA905" s="48">
        <f t="shared" si="249"/>
        <v>0</v>
      </c>
      <c r="AB905" s="49"/>
      <c r="AC905" s="49"/>
      <c r="AD905" s="50" t="e">
        <f t="shared" si="289"/>
        <v>#DIV/0!</v>
      </c>
      <c r="AE905" s="56" t="e">
        <f t="shared" si="290"/>
        <v>#DIV/0!</v>
      </c>
      <c r="AF905" s="50" t="e">
        <f t="shared" si="291"/>
        <v>#DIV/0!</v>
      </c>
      <c r="AG905" s="50" t="e">
        <f t="shared" si="292"/>
        <v>#DIV/0!</v>
      </c>
      <c r="AH905" s="57" t="e">
        <f t="shared" si="293"/>
        <v>#DIV/0!</v>
      </c>
      <c r="AI905" s="58" t="e">
        <f t="shared" si="260"/>
        <v>#DIV/0!</v>
      </c>
      <c r="AJ905" s="49"/>
      <c r="AK905" s="49">
        <v>156</v>
      </c>
      <c r="AL905" s="59"/>
      <c r="AM905" s="59"/>
      <c r="AN905" s="59"/>
      <c r="AO905" s="59"/>
      <c r="AP905" s="59"/>
      <c r="AQ905" s="59"/>
      <c r="AR905" s="59"/>
    </row>
    <row r="906" spans="1:44" ht="16.8">
      <c r="A906" s="17" t="s">
        <v>1997</v>
      </c>
      <c r="B906" s="18">
        <v>353</v>
      </c>
      <c r="C906" s="18" t="s">
        <v>1998</v>
      </c>
      <c r="D906" s="19" t="s">
        <v>1999</v>
      </c>
      <c r="E906" s="20" t="s">
        <v>39</v>
      </c>
      <c r="F906" s="21">
        <v>2001</v>
      </c>
      <c r="G906" s="40">
        <v>2021</v>
      </c>
      <c r="H906" s="23">
        <v>1470883625467</v>
      </c>
      <c r="I906" s="23">
        <v>3518554533704</v>
      </c>
      <c r="J906" s="23">
        <v>1509560916269</v>
      </c>
      <c r="K906" s="23">
        <f>(J906+552619879869)/2</f>
        <v>1031090398069</v>
      </c>
      <c r="L906" s="23">
        <v>569565781582</v>
      </c>
      <c r="M906" s="23">
        <f t="shared" si="324"/>
        <v>2008993617435</v>
      </c>
      <c r="N906" s="23">
        <v>906312821134</v>
      </c>
      <c r="O906" s="25">
        <f t="shared" si="243"/>
        <v>901317843885</v>
      </c>
      <c r="P906" s="23">
        <v>205531911866</v>
      </c>
      <c r="Q906" s="23">
        <f>30470283702+20198388391</f>
        <v>50668672093</v>
      </c>
      <c r="R906" s="25">
        <f t="shared" si="244"/>
        <v>855644149041</v>
      </c>
      <c r="S906" s="26">
        <f t="shared" si="245"/>
        <v>0.42902871102579665</v>
      </c>
      <c r="T906" s="27">
        <f t="shared" si="246"/>
        <v>2.5824648759297664</v>
      </c>
      <c r="U906" s="26">
        <f t="shared" si="247"/>
        <v>28.889071377367195</v>
      </c>
      <c r="V906" s="26">
        <f t="shared" si="248"/>
        <v>0.87898483278606776</v>
      </c>
      <c r="W906" s="143"/>
      <c r="X906" s="143"/>
      <c r="Y906" s="143"/>
      <c r="Z906" s="30">
        <f t="shared" si="325"/>
        <v>0</v>
      </c>
      <c r="AA906" s="31">
        <f t="shared" si="249"/>
        <v>20</v>
      </c>
      <c r="AB906" s="32">
        <v>1.84E-2</v>
      </c>
      <c r="AC906" s="32">
        <v>2.58E-2</v>
      </c>
      <c r="AD906" s="33">
        <f t="shared" si="289"/>
        <v>0.25616139674725408</v>
      </c>
      <c r="AE906" s="34">
        <f t="shared" si="290"/>
        <v>5.8413734929279475E-2</v>
      </c>
      <c r="AF906" s="33">
        <f t="shared" si="291"/>
        <v>0.24318058476708021</v>
      </c>
      <c r="AG906" s="33">
        <f t="shared" si="292"/>
        <v>0</v>
      </c>
      <c r="AH906" s="35">
        <f t="shared" si="293"/>
        <v>0.60038174767668484</v>
      </c>
      <c r="AI906" s="36">
        <f t="shared" si="260"/>
        <v>1.7920505824057456</v>
      </c>
      <c r="AJ906" s="23"/>
      <c r="AK906" s="101">
        <v>157</v>
      </c>
      <c r="AL906" s="44"/>
      <c r="AM906" s="44"/>
      <c r="AN906" s="44"/>
      <c r="AO906" s="44"/>
      <c r="AP906" s="44"/>
      <c r="AQ906" s="44"/>
      <c r="AR906" s="44"/>
    </row>
    <row r="907" spans="1:44" ht="16.8">
      <c r="A907" s="17" t="s">
        <v>2000</v>
      </c>
      <c r="B907" s="18"/>
      <c r="C907" s="18" t="s">
        <v>1998</v>
      </c>
      <c r="D907" s="19" t="s">
        <v>1999</v>
      </c>
      <c r="E907" s="20" t="s">
        <v>39</v>
      </c>
      <c r="F907" s="21">
        <v>2001</v>
      </c>
      <c r="G907" s="40">
        <v>2022</v>
      </c>
      <c r="H907" s="23">
        <v>1439075442708</v>
      </c>
      <c r="I907" s="23">
        <v>4315722507363</v>
      </c>
      <c r="J907" s="23">
        <v>1815272183349</v>
      </c>
      <c r="K907" s="23">
        <f t="shared" ref="K907:K908" si="326">(J907+J906)/2</f>
        <v>1662416549809</v>
      </c>
      <c r="L907" s="23">
        <v>910118888317</v>
      </c>
      <c r="M907" s="23">
        <f t="shared" si="324"/>
        <v>2500450324014</v>
      </c>
      <c r="N907" s="23">
        <v>943536981227</v>
      </c>
      <c r="O907" s="25">
        <f t="shared" si="243"/>
        <v>528956554391</v>
      </c>
      <c r="P907" s="23">
        <v>221291144471</v>
      </c>
      <c r="Q907" s="23">
        <f>24583947650+17818650023</f>
        <v>42402597673</v>
      </c>
      <c r="R907" s="25">
        <f t="shared" si="244"/>
        <v>901134383554</v>
      </c>
      <c r="S907" s="26">
        <f t="shared" si="245"/>
        <v>0.42061837392278739</v>
      </c>
      <c r="T907" s="27">
        <f t="shared" si="246"/>
        <v>1.5811950077963455</v>
      </c>
      <c r="U907" s="26">
        <f t="shared" si="247"/>
        <v>29.093285867319356</v>
      </c>
      <c r="V907" s="26">
        <f t="shared" si="248"/>
        <v>0.56756953083473927</v>
      </c>
      <c r="W907" s="143"/>
      <c r="X907" s="143"/>
      <c r="Y907" s="143"/>
      <c r="Z907" s="30"/>
      <c r="AA907" s="31">
        <f t="shared" si="249"/>
        <v>21</v>
      </c>
      <c r="AB907" s="32">
        <v>3.15E-2</v>
      </c>
      <c r="AC907" s="32">
        <v>8.0199999999999994E-2</v>
      </c>
      <c r="AD907" s="33">
        <f t="shared" si="289"/>
        <v>0.12256500585673752</v>
      </c>
      <c r="AE907" s="34">
        <f t="shared" si="290"/>
        <v>5.1275572999296866E-2</v>
      </c>
      <c r="AF907" s="33">
        <f t="shared" si="291"/>
        <v>0.20880267024040261</v>
      </c>
      <c r="AG907" s="33">
        <f t="shared" si="292"/>
        <v>0</v>
      </c>
      <c r="AH907" s="35">
        <f t="shared" si="293"/>
        <v>0.51977713859211261</v>
      </c>
      <c r="AI907" s="36">
        <f t="shared" si="260"/>
        <v>1.4276897596125417</v>
      </c>
      <c r="AJ907" s="23"/>
      <c r="AK907" s="101">
        <v>158</v>
      </c>
      <c r="AL907" s="44"/>
      <c r="AM907" s="44"/>
      <c r="AN907" s="44"/>
      <c r="AO907" s="44"/>
      <c r="AP907" s="44"/>
      <c r="AQ907" s="44"/>
      <c r="AR907" s="44"/>
    </row>
    <row r="908" spans="1:44" ht="16.8">
      <c r="A908" s="17" t="s">
        <v>2001</v>
      </c>
      <c r="B908" s="18"/>
      <c r="C908" s="18" t="s">
        <v>1998</v>
      </c>
      <c r="D908" s="19" t="s">
        <v>1999</v>
      </c>
      <c r="E908" s="20" t="s">
        <v>39</v>
      </c>
      <c r="F908" s="21">
        <v>2001</v>
      </c>
      <c r="G908" s="40">
        <v>2023</v>
      </c>
      <c r="H908" s="23">
        <v>1421212708945</v>
      </c>
      <c r="I908" s="23">
        <v>4141564154884</v>
      </c>
      <c r="J908" s="23">
        <v>1558804252246</v>
      </c>
      <c r="K908" s="23">
        <f t="shared" si="326"/>
        <v>1687038217797.5</v>
      </c>
      <c r="L908" s="23">
        <v>546378735570</v>
      </c>
      <c r="M908" s="23">
        <f t="shared" si="324"/>
        <v>2582759902638</v>
      </c>
      <c r="N908" s="23">
        <v>1232618318344</v>
      </c>
      <c r="O908" s="25">
        <f t="shared" si="243"/>
        <v>874833973375</v>
      </c>
      <c r="P908" s="23">
        <v>226421558832</v>
      </c>
      <c r="Q908" s="23">
        <f>11369892939+25460880599</f>
        <v>36830773538</v>
      </c>
      <c r="R908" s="25">
        <f t="shared" si="244"/>
        <v>1195787544806</v>
      </c>
      <c r="S908" s="26">
        <f t="shared" si="245"/>
        <v>0.37638056394895086</v>
      </c>
      <c r="T908" s="27">
        <f t="shared" si="246"/>
        <v>2.6011493793995202</v>
      </c>
      <c r="U908" s="26">
        <f t="shared" si="247"/>
        <v>29.052094647600956</v>
      </c>
      <c r="V908" s="26">
        <f t="shared" si="248"/>
        <v>0.73064042375592153</v>
      </c>
      <c r="W908" s="143"/>
      <c r="X908" s="143"/>
      <c r="Y908" s="143"/>
      <c r="Z908" s="30"/>
      <c r="AA908" s="31">
        <f t="shared" si="249"/>
        <v>22</v>
      </c>
      <c r="AB908" s="32">
        <v>3.2500000000000001E-2</v>
      </c>
      <c r="AC908" s="32">
        <v>5.0500000000000003E-2</v>
      </c>
      <c r="AD908" s="33">
        <f t="shared" si="289"/>
        <v>0.21123274701499897</v>
      </c>
      <c r="AE908" s="34">
        <f t="shared" si="290"/>
        <v>5.4670542424168189E-2</v>
      </c>
      <c r="AF908" s="33">
        <f t="shared" si="291"/>
        <v>0.28872848520186511</v>
      </c>
      <c r="AG908" s="33">
        <f t="shared" si="292"/>
        <v>0</v>
      </c>
      <c r="AH908" s="35">
        <f t="shared" si="293"/>
        <v>0.7907460584406184</v>
      </c>
      <c r="AI908" s="36">
        <f t="shared" si="260"/>
        <v>2.0735681154186074</v>
      </c>
      <c r="AJ908" s="23"/>
      <c r="AK908" s="101">
        <v>159</v>
      </c>
      <c r="AL908" s="44"/>
      <c r="AM908" s="44"/>
      <c r="AN908" s="44"/>
      <c r="AO908" s="44"/>
      <c r="AP908" s="44"/>
      <c r="AQ908" s="44"/>
      <c r="AR908" s="44"/>
    </row>
    <row r="909" spans="1:44" ht="16.8">
      <c r="A909" s="17" t="s">
        <v>2002</v>
      </c>
      <c r="B909" s="18">
        <v>354</v>
      </c>
      <c r="C909" s="18" t="s">
        <v>2003</v>
      </c>
      <c r="D909" s="19" t="s">
        <v>2004</v>
      </c>
      <c r="E909" s="20" t="s">
        <v>39</v>
      </c>
      <c r="F909" s="21">
        <v>2000</v>
      </c>
      <c r="G909" s="40">
        <v>2021</v>
      </c>
      <c r="H909" s="23">
        <v>83248629076</v>
      </c>
      <c r="I909" s="23">
        <v>137086423114</v>
      </c>
      <c r="J909" s="23">
        <v>24319976087</v>
      </c>
      <c r="K909" s="23">
        <f>(J909+11729261358)/2</f>
        <v>18024618722.5</v>
      </c>
      <c r="L909" s="23">
        <v>24319976087</v>
      </c>
      <c r="M909" s="23">
        <f t="shared" si="324"/>
        <v>112766447027</v>
      </c>
      <c r="N909" s="23">
        <v>144660728166</v>
      </c>
      <c r="O909" s="25">
        <f t="shared" si="243"/>
        <v>58928652989</v>
      </c>
      <c r="P909" s="23">
        <v>17241736244</v>
      </c>
      <c r="Q909" s="23">
        <f>2144208256+8282675573</f>
        <v>10426883829</v>
      </c>
      <c r="R909" s="25">
        <f t="shared" si="244"/>
        <v>134233844337</v>
      </c>
      <c r="S909" s="26">
        <f t="shared" si="245"/>
        <v>0.1774061612708043</v>
      </c>
      <c r="T909" s="27">
        <f t="shared" si="246"/>
        <v>3.4230555481713538</v>
      </c>
      <c r="U909" s="26">
        <f t="shared" si="247"/>
        <v>25.643877389537309</v>
      </c>
      <c r="V909" s="26">
        <f t="shared" si="248"/>
        <v>8.0257302744174588</v>
      </c>
      <c r="W909" s="143"/>
      <c r="X909" s="143"/>
      <c r="Y909" s="143"/>
      <c r="Z909" s="30">
        <f>W909*Y909</f>
        <v>0</v>
      </c>
      <c r="AA909" s="31">
        <f t="shared" si="249"/>
        <v>21</v>
      </c>
      <c r="AB909" s="32">
        <v>1.84E-2</v>
      </c>
      <c r="AC909" s="32">
        <v>2.58E-2</v>
      </c>
      <c r="AD909" s="33">
        <f t="shared" si="289"/>
        <v>0.42986498334700435</v>
      </c>
      <c r="AE909" s="34">
        <f t="shared" si="290"/>
        <v>0.12577274869636001</v>
      </c>
      <c r="AF909" s="33">
        <f t="shared" si="291"/>
        <v>0.97919138371107828</v>
      </c>
      <c r="AG909" s="33">
        <f t="shared" si="292"/>
        <v>0</v>
      </c>
      <c r="AH909" s="35">
        <f t="shared" si="293"/>
        <v>5.9482265791917017</v>
      </c>
      <c r="AI909" s="36">
        <f t="shared" si="260"/>
        <v>9.8714779736295686</v>
      </c>
      <c r="AJ909" s="23"/>
      <c r="AK909" s="101">
        <v>160</v>
      </c>
      <c r="AL909" s="44"/>
      <c r="AM909" s="44"/>
      <c r="AN909" s="44"/>
      <c r="AO909" s="44"/>
      <c r="AP909" s="44"/>
      <c r="AQ909" s="44"/>
      <c r="AR909" s="44"/>
    </row>
    <row r="910" spans="1:44" ht="16.8">
      <c r="A910" s="17" t="s">
        <v>2005</v>
      </c>
      <c r="B910" s="18"/>
      <c r="C910" s="18" t="s">
        <v>2003</v>
      </c>
      <c r="D910" s="19" t="s">
        <v>2004</v>
      </c>
      <c r="E910" s="20" t="s">
        <v>39</v>
      </c>
      <c r="F910" s="21">
        <v>2000</v>
      </c>
      <c r="G910" s="40">
        <v>2022</v>
      </c>
      <c r="H910" s="23">
        <v>142156669754</v>
      </c>
      <c r="I910" s="23">
        <v>174082095804</v>
      </c>
      <c r="J910" s="23">
        <v>21587777577</v>
      </c>
      <c r="K910" s="23">
        <f t="shared" ref="K910:K911" si="327">(J910+J909)/2</f>
        <v>22953876832</v>
      </c>
      <c r="L910" s="23">
        <v>21587777577</v>
      </c>
      <c r="M910" s="23">
        <f t="shared" si="324"/>
        <v>152494318227</v>
      </c>
      <c r="N910" s="23">
        <v>167446381528</v>
      </c>
      <c r="O910" s="25">
        <f t="shared" si="243"/>
        <v>120568892177</v>
      </c>
      <c r="P910" s="23">
        <v>49362374775</v>
      </c>
      <c r="Q910" s="23">
        <f>842906880+8302677264</f>
        <v>9145584144</v>
      </c>
      <c r="R910" s="25">
        <f t="shared" si="244"/>
        <v>158300797384</v>
      </c>
      <c r="S910" s="26">
        <f t="shared" si="245"/>
        <v>0.12400917783817239</v>
      </c>
      <c r="T910" s="27">
        <f t="shared" si="246"/>
        <v>6.5850534751412404</v>
      </c>
      <c r="U910" s="26">
        <f t="shared" si="247"/>
        <v>25.882792839856773</v>
      </c>
      <c r="V910" s="26">
        <f t="shared" si="248"/>
        <v>7.2949063355852379</v>
      </c>
      <c r="W910" s="143"/>
      <c r="X910" s="143"/>
      <c r="Y910" s="143"/>
      <c r="Z910" s="30"/>
      <c r="AA910" s="31">
        <f t="shared" si="249"/>
        <v>22</v>
      </c>
      <c r="AB910" s="32">
        <v>3.15E-2</v>
      </c>
      <c r="AC910" s="32">
        <v>8.0199999999999994E-2</v>
      </c>
      <c r="AD910" s="33">
        <f t="shared" si="289"/>
        <v>0.69259788963449287</v>
      </c>
      <c r="AE910" s="34">
        <f t="shared" si="290"/>
        <v>0.28355802213328918</v>
      </c>
      <c r="AF910" s="33">
        <f t="shared" si="291"/>
        <v>0.90934565472047024</v>
      </c>
      <c r="AG910" s="33">
        <f t="shared" si="292"/>
        <v>0</v>
      </c>
      <c r="AH910" s="35">
        <f t="shared" si="293"/>
        <v>7.7565363516807926</v>
      </c>
      <c r="AI910" s="36">
        <f t="shared" si="260"/>
        <v>11.985475710806341</v>
      </c>
      <c r="AJ910" s="23"/>
      <c r="AK910" s="101">
        <v>161</v>
      </c>
      <c r="AL910" s="44"/>
      <c r="AM910" s="44"/>
      <c r="AN910" s="44"/>
      <c r="AO910" s="44"/>
      <c r="AP910" s="44"/>
      <c r="AQ910" s="44"/>
      <c r="AR910" s="44"/>
    </row>
    <row r="911" spans="1:44" ht="16.8">
      <c r="A911" s="17" t="s">
        <v>2006</v>
      </c>
      <c r="B911" s="18"/>
      <c r="C911" s="18" t="s">
        <v>2003</v>
      </c>
      <c r="D911" s="19" t="s">
        <v>2004</v>
      </c>
      <c r="E911" s="20" t="s">
        <v>39</v>
      </c>
      <c r="F911" s="21">
        <v>2000</v>
      </c>
      <c r="G911" s="40">
        <v>2023</v>
      </c>
      <c r="H911" s="23">
        <v>155024001516</v>
      </c>
      <c r="I911" s="23">
        <v>197510925757</v>
      </c>
      <c r="J911" s="23">
        <v>16158680829</v>
      </c>
      <c r="K911" s="23">
        <f t="shared" si="327"/>
        <v>18873229203</v>
      </c>
      <c r="L911" s="23">
        <v>16158680829</v>
      </c>
      <c r="M911" s="23">
        <f t="shared" si="324"/>
        <v>181352244928</v>
      </c>
      <c r="N911" s="23">
        <v>65445578051</v>
      </c>
      <c r="O911" s="25">
        <f t="shared" si="243"/>
        <v>138865320687</v>
      </c>
      <c r="P911" s="23">
        <v>40024902926</v>
      </c>
      <c r="Q911" s="23">
        <f>981603204+7311018028</f>
        <v>8292621232</v>
      </c>
      <c r="R911" s="25">
        <f t="shared" si="244"/>
        <v>57152956819</v>
      </c>
      <c r="S911" s="26">
        <f t="shared" si="245"/>
        <v>8.1811579623094946E-2</v>
      </c>
      <c r="T911" s="27">
        <f t="shared" si="246"/>
        <v>9.5938525648565491</v>
      </c>
      <c r="U911" s="26">
        <f t="shared" si="247"/>
        <v>26.009059740046084</v>
      </c>
      <c r="V911" s="26">
        <f t="shared" si="248"/>
        <v>3.4676407172863177</v>
      </c>
      <c r="W911" s="143"/>
      <c r="X911" s="143"/>
      <c r="Y911" s="143"/>
      <c r="Z911" s="30"/>
      <c r="AA911" s="31">
        <f t="shared" si="249"/>
        <v>23</v>
      </c>
      <c r="AB911" s="32">
        <v>3.2500000000000001E-2</v>
      </c>
      <c r="AC911" s="32">
        <v>5.0500000000000003E-2</v>
      </c>
      <c r="AD911" s="33">
        <f t="shared" si="289"/>
        <v>0.70307665337890035</v>
      </c>
      <c r="AE911" s="34">
        <f t="shared" si="290"/>
        <v>0.20264652586988077</v>
      </c>
      <c r="AF911" s="33">
        <f t="shared" si="291"/>
        <v>0.28936605202952648</v>
      </c>
      <c r="AG911" s="33">
        <f t="shared" si="292"/>
        <v>0</v>
      </c>
      <c r="AH911" s="35">
        <f t="shared" si="293"/>
        <v>4.050180750742026</v>
      </c>
      <c r="AI911" s="36">
        <f t="shared" si="260"/>
        <v>6.1324858427119766</v>
      </c>
      <c r="AJ911" s="23"/>
      <c r="AK911" s="101">
        <v>162</v>
      </c>
      <c r="AL911" s="44"/>
      <c r="AM911" s="44"/>
      <c r="AN911" s="44"/>
      <c r="AO911" s="44"/>
      <c r="AP911" s="44"/>
      <c r="AQ911" s="44"/>
      <c r="AR911" s="44"/>
    </row>
    <row r="912" spans="1:44" ht="16.8">
      <c r="A912" s="145"/>
      <c r="B912" s="145">
        <v>355</v>
      </c>
      <c r="C912" s="145" t="s">
        <v>2007</v>
      </c>
      <c r="D912" s="146" t="s">
        <v>2008</v>
      </c>
      <c r="E912" s="147" t="s">
        <v>178</v>
      </c>
      <c r="F912" s="148"/>
      <c r="G912" s="148"/>
      <c r="H912" s="149"/>
      <c r="I912" s="149"/>
      <c r="J912" s="149"/>
      <c r="K912" s="149"/>
      <c r="L912" s="149"/>
      <c r="M912" s="149">
        <f t="shared" si="324"/>
        <v>0</v>
      </c>
      <c r="N912" s="149"/>
      <c r="O912" s="149">
        <f t="shared" si="243"/>
        <v>0</v>
      </c>
      <c r="P912" s="149"/>
      <c r="Q912" s="149"/>
      <c r="R912" s="149">
        <f t="shared" si="244"/>
        <v>0</v>
      </c>
      <c r="S912" s="150" t="e">
        <f t="shared" si="245"/>
        <v>#DIV/0!</v>
      </c>
      <c r="T912" s="151" t="e">
        <f t="shared" si="246"/>
        <v>#DIV/0!</v>
      </c>
      <c r="U912" s="150" t="e">
        <f t="shared" si="247"/>
        <v>#NUM!</v>
      </c>
      <c r="V912" s="150" t="e">
        <f t="shared" si="248"/>
        <v>#DIV/0!</v>
      </c>
      <c r="W912" s="152"/>
      <c r="X912" s="152"/>
      <c r="Y912" s="152"/>
      <c r="Z912" s="153">
        <f t="shared" ref="Z912:Z913" si="328">W912*Y912</f>
        <v>0</v>
      </c>
      <c r="AA912" s="148">
        <f t="shared" si="249"/>
        <v>0</v>
      </c>
      <c r="AB912" s="149"/>
      <c r="AC912" s="149"/>
      <c r="AD912" s="150" t="e">
        <f t="shared" si="289"/>
        <v>#DIV/0!</v>
      </c>
      <c r="AE912" s="154" t="e">
        <f t="shared" si="290"/>
        <v>#DIV/0!</v>
      </c>
      <c r="AF912" s="150" t="e">
        <f t="shared" si="291"/>
        <v>#DIV/0!</v>
      </c>
      <c r="AG912" s="150" t="e">
        <f t="shared" si="292"/>
        <v>#DIV/0!</v>
      </c>
      <c r="AH912" s="155" t="e">
        <f t="shared" si="293"/>
        <v>#DIV/0!</v>
      </c>
      <c r="AI912" s="156" t="e">
        <f t="shared" si="260"/>
        <v>#DIV/0!</v>
      </c>
      <c r="AJ912" s="149"/>
      <c r="AK912" s="149"/>
      <c r="AL912" s="157"/>
      <c r="AM912" s="157"/>
      <c r="AN912" s="157"/>
      <c r="AO912" s="157"/>
      <c r="AP912" s="157"/>
      <c r="AQ912" s="157"/>
      <c r="AR912" s="157"/>
    </row>
    <row r="913" spans="1:44" ht="16.8">
      <c r="A913" s="17" t="s">
        <v>2009</v>
      </c>
      <c r="B913" s="18">
        <v>356</v>
      </c>
      <c r="C913" s="18" t="s">
        <v>2010</v>
      </c>
      <c r="D913" s="19" t="s">
        <v>2011</v>
      </c>
      <c r="E913" s="20" t="s">
        <v>39</v>
      </c>
      <c r="F913" s="21">
        <v>2003</v>
      </c>
      <c r="G913" s="40">
        <v>2021</v>
      </c>
      <c r="H913" s="23">
        <v>934694039962</v>
      </c>
      <c r="I913" s="23">
        <v>1264003731853</v>
      </c>
      <c r="J913" s="23">
        <v>713275937372</v>
      </c>
      <c r="K913" s="23">
        <f>(J913+462858459940)/2</f>
        <v>588067198656</v>
      </c>
      <c r="L913" s="23">
        <v>682158762122</v>
      </c>
      <c r="M913" s="23">
        <f t="shared" si="324"/>
        <v>550727794481</v>
      </c>
      <c r="N913" s="23">
        <v>892683910944</v>
      </c>
      <c r="O913" s="25">
        <f t="shared" si="243"/>
        <v>252535277840</v>
      </c>
      <c r="P913" s="23">
        <v>97228793439</v>
      </c>
      <c r="Q913" s="23">
        <f>13758285266+40758912077</f>
        <v>54517197343</v>
      </c>
      <c r="R913" s="25">
        <f t="shared" si="244"/>
        <v>838166713601</v>
      </c>
      <c r="S913" s="26">
        <f t="shared" si="245"/>
        <v>0.56429891731913961</v>
      </c>
      <c r="T913" s="27">
        <f t="shared" si="246"/>
        <v>1.3702001526073422</v>
      </c>
      <c r="U913" s="26">
        <f t="shared" si="247"/>
        <v>27.865305364064202</v>
      </c>
      <c r="V913" s="26">
        <f t="shared" si="248"/>
        <v>1.517996434734308</v>
      </c>
      <c r="W913" s="143"/>
      <c r="X913" s="143"/>
      <c r="Y913" s="143"/>
      <c r="Z913" s="30">
        <f t="shared" si="328"/>
        <v>0</v>
      </c>
      <c r="AA913" s="31">
        <f t="shared" si="249"/>
        <v>18</v>
      </c>
      <c r="AB913" s="32">
        <v>1.84E-2</v>
      </c>
      <c r="AC913" s="32">
        <v>2.58E-2</v>
      </c>
      <c r="AD913" s="33">
        <f t="shared" si="289"/>
        <v>0.19978997804839482</v>
      </c>
      <c r="AE913" s="34">
        <f t="shared" si="290"/>
        <v>7.6921286693089785E-2</v>
      </c>
      <c r="AF913" s="33">
        <f t="shared" si="291"/>
        <v>0.66310461945572519</v>
      </c>
      <c r="AG913" s="33">
        <f t="shared" si="292"/>
        <v>0</v>
      </c>
      <c r="AH913" s="35">
        <f t="shared" si="293"/>
        <v>1.2515267432587343</v>
      </c>
      <c r="AI913" s="36">
        <f t="shared" si="260"/>
        <v>3.7872097624910266</v>
      </c>
      <c r="AJ913" s="23"/>
      <c r="AK913" s="101">
        <v>163</v>
      </c>
      <c r="AL913" s="44"/>
      <c r="AM913" s="44"/>
      <c r="AN913" s="44"/>
      <c r="AO913" s="44"/>
      <c r="AP913" s="44"/>
      <c r="AQ913" s="44"/>
      <c r="AR913" s="44"/>
    </row>
    <row r="914" spans="1:44" ht="16.8">
      <c r="A914" s="17" t="s">
        <v>2012</v>
      </c>
      <c r="B914" s="18"/>
      <c r="C914" s="18" t="s">
        <v>2010</v>
      </c>
      <c r="D914" s="19" t="s">
        <v>2011</v>
      </c>
      <c r="E914" s="20" t="s">
        <v>39</v>
      </c>
      <c r="F914" s="21">
        <v>2003</v>
      </c>
      <c r="G914" s="40">
        <v>2022</v>
      </c>
      <c r="H914" s="23">
        <v>805371004069</v>
      </c>
      <c r="I914" s="23">
        <v>1151088306843</v>
      </c>
      <c r="J914" s="23">
        <v>577422743999</v>
      </c>
      <c r="K914" s="23">
        <f t="shared" ref="K914:K915" si="329">(J914+J913)/2</f>
        <v>645349340685.5</v>
      </c>
      <c r="L914" s="23">
        <v>572396262311</v>
      </c>
      <c r="M914" s="23">
        <f t="shared" si="324"/>
        <v>573665562844</v>
      </c>
      <c r="N914" s="23">
        <v>1194676996607</v>
      </c>
      <c r="O914" s="25">
        <f t="shared" si="243"/>
        <v>232974741758</v>
      </c>
      <c r="P914" s="23">
        <v>67264592035</v>
      </c>
      <c r="Q914" s="23">
        <f>17534173266+38324996105</f>
        <v>55859169371</v>
      </c>
      <c r="R914" s="25">
        <f t="shared" si="244"/>
        <v>1138817827236</v>
      </c>
      <c r="S914" s="26">
        <f t="shared" si="245"/>
        <v>0.50163201256266099</v>
      </c>
      <c r="T914" s="27">
        <f t="shared" si="246"/>
        <v>1.407016532248804</v>
      </c>
      <c r="U914" s="26">
        <f t="shared" si="247"/>
        <v>27.771728964569807</v>
      </c>
      <c r="V914" s="26">
        <f t="shared" si="248"/>
        <v>1.8512097577073461</v>
      </c>
      <c r="W914" s="143"/>
      <c r="X914" s="143"/>
      <c r="Y914" s="143"/>
      <c r="Z914" s="30"/>
      <c r="AA914" s="31">
        <f t="shared" si="249"/>
        <v>19</v>
      </c>
      <c r="AB914" s="32">
        <v>3.15E-2</v>
      </c>
      <c r="AC914" s="32">
        <v>8.0199999999999994E-2</v>
      </c>
      <c r="AD914" s="33">
        <f t="shared" si="289"/>
        <v>0.2023951945068069</v>
      </c>
      <c r="AE914" s="34">
        <f t="shared" si="290"/>
        <v>5.8435648798728E-2</v>
      </c>
      <c r="AF914" s="33">
        <f t="shared" si="291"/>
        <v>0.98934010576421083</v>
      </c>
      <c r="AG914" s="33">
        <f t="shared" si="292"/>
        <v>0</v>
      </c>
      <c r="AH914" s="35">
        <f t="shared" si="293"/>
        <v>2.0689815373969216</v>
      </c>
      <c r="AI914" s="36">
        <f t="shared" si="260"/>
        <v>5.6584880281452046</v>
      </c>
      <c r="AJ914" s="23"/>
      <c r="AK914" s="101">
        <v>164</v>
      </c>
      <c r="AL914" s="44"/>
      <c r="AM914" s="44"/>
      <c r="AN914" s="44"/>
      <c r="AO914" s="44"/>
      <c r="AP914" s="44"/>
      <c r="AQ914" s="44"/>
      <c r="AR914" s="44"/>
    </row>
    <row r="915" spans="1:44" ht="16.8">
      <c r="A915" s="17" t="s">
        <v>2013</v>
      </c>
      <c r="B915" s="18"/>
      <c r="C915" s="18" t="s">
        <v>2010</v>
      </c>
      <c r="D915" s="19" t="s">
        <v>2011</v>
      </c>
      <c r="E915" s="20" t="s">
        <v>39</v>
      </c>
      <c r="F915" s="21">
        <v>2003</v>
      </c>
      <c r="G915" s="40">
        <v>2023</v>
      </c>
      <c r="H915" s="23">
        <v>486479505465</v>
      </c>
      <c r="I915" s="23">
        <v>799286442521</v>
      </c>
      <c r="J915" s="23">
        <v>306291048536</v>
      </c>
      <c r="K915" s="23">
        <f t="shared" si="329"/>
        <v>441856896267.5</v>
      </c>
      <c r="L915" s="23">
        <v>301264566848</v>
      </c>
      <c r="M915" s="23">
        <f t="shared" si="324"/>
        <v>492995393985</v>
      </c>
      <c r="N915" s="23">
        <v>772692545591</v>
      </c>
      <c r="O915" s="25">
        <f t="shared" si="243"/>
        <v>185214938617</v>
      </c>
      <c r="P915" s="23">
        <v>-36578907073</v>
      </c>
      <c r="Q915" s="23">
        <f>10146000074+36462930752</f>
        <v>46608930826</v>
      </c>
      <c r="R915" s="25">
        <f t="shared" si="244"/>
        <v>726083614765</v>
      </c>
      <c r="S915" s="26">
        <f t="shared" si="245"/>
        <v>0.38320560970600059</v>
      </c>
      <c r="T915" s="27">
        <f t="shared" si="246"/>
        <v>1.6147916449479049</v>
      </c>
      <c r="U915" s="26">
        <f t="shared" si="247"/>
        <v>27.406985219744303</v>
      </c>
      <c r="V915" s="26">
        <f t="shared" si="248"/>
        <v>1.7487393590960549</v>
      </c>
      <c r="W915" s="143"/>
      <c r="X915" s="143"/>
      <c r="Y915" s="143"/>
      <c r="Z915" s="30"/>
      <c r="AA915" s="31">
        <f t="shared" si="249"/>
        <v>20</v>
      </c>
      <c r="AB915" s="32">
        <v>3.2500000000000001E-2</v>
      </c>
      <c r="AC915" s="32">
        <v>5.0500000000000003E-2</v>
      </c>
      <c r="AD915" s="33">
        <f t="shared" si="289"/>
        <v>0.23172535997585592</v>
      </c>
      <c r="AE915" s="34">
        <f t="shared" si="290"/>
        <v>-4.5764453301156735E-2</v>
      </c>
      <c r="AF915" s="33">
        <f t="shared" si="291"/>
        <v>0.90841477615319777</v>
      </c>
      <c r="AG915" s="33">
        <f t="shared" si="292"/>
        <v>0</v>
      </c>
      <c r="AH915" s="35">
        <f t="shared" si="293"/>
        <v>2.5227395618784509</v>
      </c>
      <c r="AI915" s="36">
        <f t="shared" si="260"/>
        <v>5.734508520533411</v>
      </c>
      <c r="AJ915" s="23"/>
      <c r="AK915" s="101">
        <v>165</v>
      </c>
      <c r="AL915" s="44"/>
      <c r="AM915" s="44"/>
      <c r="AN915" s="44"/>
      <c r="AO915" s="44"/>
      <c r="AP915" s="44"/>
      <c r="AQ915" s="44"/>
      <c r="AR915" s="44"/>
    </row>
    <row r="916" spans="1:44" ht="16.8">
      <c r="A916" s="45"/>
      <c r="B916" s="45">
        <v>357</v>
      </c>
      <c r="C916" s="45" t="s">
        <v>2014</v>
      </c>
      <c r="D916" s="46" t="s">
        <v>2015</v>
      </c>
      <c r="E916" s="47" t="s">
        <v>39</v>
      </c>
      <c r="F916" s="48"/>
      <c r="G916" s="48"/>
      <c r="H916" s="49"/>
      <c r="I916" s="49"/>
      <c r="J916" s="49"/>
      <c r="K916" s="49"/>
      <c r="L916" s="49"/>
      <c r="M916" s="49">
        <f t="shared" si="324"/>
        <v>0</v>
      </c>
      <c r="N916" s="49"/>
      <c r="O916" s="49">
        <f t="shared" si="243"/>
        <v>0</v>
      </c>
      <c r="P916" s="49"/>
      <c r="Q916" s="49"/>
      <c r="R916" s="49">
        <f t="shared" si="244"/>
        <v>0</v>
      </c>
      <c r="S916" s="50" t="e">
        <f t="shared" si="245"/>
        <v>#DIV/0!</v>
      </c>
      <c r="T916" s="51" t="e">
        <f t="shared" si="246"/>
        <v>#DIV/0!</v>
      </c>
      <c r="U916" s="50" t="e">
        <f t="shared" si="247"/>
        <v>#NUM!</v>
      </c>
      <c r="V916" s="50" t="e">
        <f t="shared" si="248"/>
        <v>#DIV/0!</v>
      </c>
      <c r="W916" s="52"/>
      <c r="X916" s="52"/>
      <c r="Y916" s="52"/>
      <c r="Z916" s="55">
        <f t="shared" ref="Z916:Z917" si="330">W916*Y916</f>
        <v>0</v>
      </c>
      <c r="AA916" s="48">
        <f t="shared" si="249"/>
        <v>0</v>
      </c>
      <c r="AB916" s="49"/>
      <c r="AC916" s="49"/>
      <c r="AD916" s="50" t="e">
        <f t="shared" si="289"/>
        <v>#DIV/0!</v>
      </c>
      <c r="AE916" s="56" t="e">
        <f t="shared" si="290"/>
        <v>#DIV/0!</v>
      </c>
      <c r="AF916" s="50" t="e">
        <f t="shared" si="291"/>
        <v>#DIV/0!</v>
      </c>
      <c r="AG916" s="50" t="e">
        <f t="shared" si="292"/>
        <v>#DIV/0!</v>
      </c>
      <c r="AH916" s="57" t="e">
        <f t="shared" si="293"/>
        <v>#DIV/0!</v>
      </c>
      <c r="AI916" s="58" t="e">
        <f t="shared" si="260"/>
        <v>#DIV/0!</v>
      </c>
      <c r="AJ916" s="49"/>
      <c r="AK916" s="49">
        <v>166</v>
      </c>
      <c r="AL916" s="59"/>
      <c r="AM916" s="59"/>
      <c r="AN916" s="59"/>
      <c r="AO916" s="59"/>
      <c r="AP916" s="59"/>
      <c r="AQ916" s="59"/>
      <c r="AR916" s="59"/>
    </row>
    <row r="917" spans="1:44" ht="16.8">
      <c r="A917" s="17" t="s">
        <v>2016</v>
      </c>
      <c r="B917" s="18">
        <v>358</v>
      </c>
      <c r="C917" s="18" t="s">
        <v>2017</v>
      </c>
      <c r="D917" s="19" t="s">
        <v>2018</v>
      </c>
      <c r="E917" s="20" t="s">
        <v>39</v>
      </c>
      <c r="F917" s="21">
        <v>1974</v>
      </c>
      <c r="G917" s="40">
        <v>2021</v>
      </c>
      <c r="H917" s="23">
        <v>916484634949</v>
      </c>
      <c r="I917" s="23">
        <v>1010851070950</v>
      </c>
      <c r="J917" s="23">
        <v>725212744388</v>
      </c>
      <c r="K917" s="23">
        <f>(J917+2318574000739)/2</f>
        <v>1521893372563.5</v>
      </c>
      <c r="L917" s="23">
        <v>725212744388</v>
      </c>
      <c r="M917" s="23">
        <f t="shared" si="324"/>
        <v>285638326562</v>
      </c>
      <c r="N917" s="23">
        <v>11028902229337</v>
      </c>
      <c r="O917" s="25">
        <f t="shared" si="243"/>
        <v>191271890561</v>
      </c>
      <c r="P917" s="23">
        <v>61126147115</v>
      </c>
      <c r="Q917" s="23">
        <f>490760833156+40196289326</f>
        <v>530957122482</v>
      </c>
      <c r="R917" s="25">
        <f t="shared" si="244"/>
        <v>10497945106855</v>
      </c>
      <c r="S917" s="26">
        <f t="shared" si="245"/>
        <v>0.71742788352239018</v>
      </c>
      <c r="T917" s="27">
        <f t="shared" si="246"/>
        <v>1.2637459035864194</v>
      </c>
      <c r="U917" s="26">
        <f t="shared" si="247"/>
        <v>27.641813736461099</v>
      </c>
      <c r="V917" s="26">
        <f t="shared" si="248"/>
        <v>7.2468297898950382</v>
      </c>
      <c r="W917" s="143"/>
      <c r="X917" s="143"/>
      <c r="Y917" s="143"/>
      <c r="Z917" s="30">
        <f t="shared" si="330"/>
        <v>0</v>
      </c>
      <c r="AA917" s="31">
        <f t="shared" si="249"/>
        <v>47</v>
      </c>
      <c r="AB917" s="32">
        <v>1.84E-2</v>
      </c>
      <c r="AC917" s="32">
        <v>2.58E-2</v>
      </c>
      <c r="AD917" s="33">
        <f t="shared" si="289"/>
        <v>0.18921866539770518</v>
      </c>
      <c r="AE917" s="34">
        <f t="shared" si="290"/>
        <v>6.0469983038701748E-2</v>
      </c>
      <c r="AF917" s="33">
        <f t="shared" si="291"/>
        <v>10.385253979094081</v>
      </c>
      <c r="AG917" s="33">
        <f t="shared" si="292"/>
        <v>0</v>
      </c>
      <c r="AH917" s="35">
        <f t="shared" si="293"/>
        <v>15.20781634724881</v>
      </c>
      <c r="AI917" s="36">
        <f t="shared" si="260"/>
        <v>49.790874852990704</v>
      </c>
      <c r="AJ917" s="23"/>
      <c r="AK917" s="101">
        <v>167</v>
      </c>
      <c r="AL917" s="44"/>
      <c r="AM917" s="44"/>
      <c r="AN917" s="44"/>
      <c r="AO917" s="44"/>
      <c r="AP917" s="44"/>
      <c r="AQ917" s="44"/>
      <c r="AR917" s="44"/>
    </row>
    <row r="918" spans="1:44" ht="16.8">
      <c r="A918" s="17" t="s">
        <v>2019</v>
      </c>
      <c r="B918" s="18"/>
      <c r="C918" s="18" t="s">
        <v>2017</v>
      </c>
      <c r="D918" s="19" t="s">
        <v>2018</v>
      </c>
      <c r="E918" s="20" t="s">
        <v>39</v>
      </c>
      <c r="F918" s="21">
        <v>1974</v>
      </c>
      <c r="G918" s="40">
        <v>2022</v>
      </c>
      <c r="H918" s="23">
        <v>2174861096271</v>
      </c>
      <c r="I918" s="23">
        <v>2268814172508</v>
      </c>
      <c r="J918" s="23">
        <v>1818286491001</v>
      </c>
      <c r="K918" s="23">
        <f t="shared" ref="K918:K919" si="331">(J918+J917)/2</f>
        <v>1271749617694.5</v>
      </c>
      <c r="L918" s="23">
        <v>1818286491001</v>
      </c>
      <c r="M918" s="23">
        <f t="shared" si="324"/>
        <v>450527681507</v>
      </c>
      <c r="N918" s="23">
        <v>24839013750432</v>
      </c>
      <c r="O918" s="25">
        <f t="shared" si="243"/>
        <v>356574605270</v>
      </c>
      <c r="P918" s="23">
        <v>194715276139</v>
      </c>
      <c r="Q918" s="23">
        <f>656372541241+67173209253</f>
        <v>723545750494</v>
      </c>
      <c r="R918" s="25">
        <f t="shared" si="244"/>
        <v>24115467999938</v>
      </c>
      <c r="S918" s="26">
        <f t="shared" si="245"/>
        <v>0.80142592241965049</v>
      </c>
      <c r="T918" s="27">
        <f t="shared" si="246"/>
        <v>1.1961047431385243</v>
      </c>
      <c r="U918" s="26">
        <f t="shared" si="247"/>
        <v>28.450278419962522</v>
      </c>
      <c r="V918" s="26">
        <f t="shared" si="248"/>
        <v>19.531371116479338</v>
      </c>
      <c r="W918" s="143"/>
      <c r="X918" s="143"/>
      <c r="Y918" s="143"/>
      <c r="Z918" s="30"/>
      <c r="AA918" s="31">
        <f t="shared" si="249"/>
        <v>48</v>
      </c>
      <c r="AB918" s="32">
        <v>3.15E-2</v>
      </c>
      <c r="AC918" s="32">
        <v>8.0199999999999994E-2</v>
      </c>
      <c r="AD918" s="33">
        <f t="shared" si="289"/>
        <v>0.15716342466066058</v>
      </c>
      <c r="AE918" s="34">
        <f t="shared" si="290"/>
        <v>8.5822487578944021E-2</v>
      </c>
      <c r="AF918" s="33">
        <f t="shared" si="291"/>
        <v>10.629106734325536</v>
      </c>
      <c r="AG918" s="33">
        <f t="shared" si="292"/>
        <v>0</v>
      </c>
      <c r="AH918" s="35">
        <f t="shared" si="293"/>
        <v>13.660671117210835</v>
      </c>
      <c r="AI918" s="36">
        <f t="shared" si="260"/>
        <v>49.045470932688417</v>
      </c>
      <c r="AJ918" s="23"/>
      <c r="AK918" s="101">
        <v>168</v>
      </c>
      <c r="AL918" s="44"/>
      <c r="AM918" s="44"/>
      <c r="AN918" s="44"/>
      <c r="AO918" s="44"/>
      <c r="AP918" s="44"/>
      <c r="AQ918" s="44"/>
      <c r="AR918" s="44"/>
    </row>
    <row r="919" spans="1:44" ht="16.8">
      <c r="A919" s="17" t="s">
        <v>2020</v>
      </c>
      <c r="B919" s="18"/>
      <c r="C919" s="18" t="s">
        <v>2017</v>
      </c>
      <c r="D919" s="19" t="s">
        <v>2018</v>
      </c>
      <c r="E919" s="20" t="s">
        <v>39</v>
      </c>
      <c r="F919" s="21">
        <v>1974</v>
      </c>
      <c r="G919" s="40">
        <v>2023</v>
      </c>
      <c r="H919" s="23">
        <v>3854864569726</v>
      </c>
      <c r="I919" s="23">
        <v>3943428231100</v>
      </c>
      <c r="J919" s="23">
        <v>3247654388290</v>
      </c>
      <c r="K919" s="23">
        <f t="shared" si="331"/>
        <v>2532970439645.5</v>
      </c>
      <c r="L919" s="23">
        <v>3247654388290</v>
      </c>
      <c r="M919" s="23">
        <f t="shared" si="324"/>
        <v>695773842810</v>
      </c>
      <c r="N919" s="23">
        <v>37113183010928</v>
      </c>
      <c r="O919" s="25">
        <f t="shared" si="243"/>
        <v>607210181436</v>
      </c>
      <c r="P919" s="23">
        <v>331623553324</v>
      </c>
      <c r="Q919" s="23">
        <f>926669325973+85197648803</f>
        <v>1011866974776</v>
      </c>
      <c r="R919" s="25">
        <f t="shared" si="244"/>
        <v>36101316036152</v>
      </c>
      <c r="S919" s="26">
        <f t="shared" si="245"/>
        <v>0.82356117519199346</v>
      </c>
      <c r="T919" s="27">
        <f t="shared" si="246"/>
        <v>1.1869688423821836</v>
      </c>
      <c r="U919" s="26">
        <f t="shared" si="247"/>
        <v>29.003071570328878</v>
      </c>
      <c r="V919" s="26">
        <f t="shared" si="248"/>
        <v>14.652039530363469</v>
      </c>
      <c r="W919" s="143"/>
      <c r="X919" s="143"/>
      <c r="Y919" s="143"/>
      <c r="Z919" s="30"/>
      <c r="AA919" s="31">
        <f t="shared" si="249"/>
        <v>49</v>
      </c>
      <c r="AB919" s="32">
        <v>3.2500000000000001E-2</v>
      </c>
      <c r="AC919" s="32">
        <v>5.0500000000000003E-2</v>
      </c>
      <c r="AD919" s="33">
        <f t="shared" si="289"/>
        <v>0.15398027955655774</v>
      </c>
      <c r="AE919" s="34">
        <f t="shared" si="290"/>
        <v>8.4095242486889446E-2</v>
      </c>
      <c r="AF919" s="33">
        <f t="shared" si="291"/>
        <v>9.1548048856164215</v>
      </c>
      <c r="AG919" s="33">
        <f t="shared" si="292"/>
        <v>0</v>
      </c>
      <c r="AH919" s="35">
        <f t="shared" si="293"/>
        <v>11.427688594188542</v>
      </c>
      <c r="AI919" s="36">
        <f t="shared" si="260"/>
        <v>41.941054391672246</v>
      </c>
      <c r="AJ919" s="23"/>
      <c r="AK919" s="101">
        <v>169</v>
      </c>
      <c r="AL919" s="44"/>
      <c r="AM919" s="44"/>
      <c r="AN919" s="44"/>
      <c r="AO919" s="44"/>
      <c r="AP919" s="44"/>
      <c r="AQ919" s="44"/>
      <c r="AR919" s="44"/>
    </row>
    <row r="920" spans="1:44" ht="16.8">
      <c r="A920" s="17" t="s">
        <v>2021</v>
      </c>
      <c r="B920" s="18">
        <v>359</v>
      </c>
      <c r="C920" s="18" t="s">
        <v>2022</v>
      </c>
      <c r="D920" s="19" t="s">
        <v>2023</v>
      </c>
      <c r="E920" s="20" t="s">
        <v>39</v>
      </c>
      <c r="F920" s="21">
        <v>1995</v>
      </c>
      <c r="G920" s="40">
        <v>2021</v>
      </c>
      <c r="H920" s="23">
        <v>148425629737</v>
      </c>
      <c r="I920" s="23">
        <v>331662123576</v>
      </c>
      <c r="J920" s="23">
        <v>134513396658</v>
      </c>
      <c r="K920" s="23">
        <f>(J920+123403551743)/2</f>
        <v>128958474200.5</v>
      </c>
      <c r="L920" s="23">
        <v>106660653246</v>
      </c>
      <c r="M920" s="23">
        <f t="shared" si="324"/>
        <v>197148726918</v>
      </c>
      <c r="N920" s="23">
        <v>1568477252740</v>
      </c>
      <c r="O920" s="25">
        <f t="shared" si="243"/>
        <v>41764976491</v>
      </c>
      <c r="P920" s="23">
        <v>13763654588</v>
      </c>
      <c r="Q920" s="23">
        <f>60531153237+45545980986</f>
        <v>106077134223</v>
      </c>
      <c r="R920" s="25">
        <f t="shared" si="244"/>
        <v>1462400118517</v>
      </c>
      <c r="S920" s="26">
        <f t="shared" si="245"/>
        <v>0.40557358557458673</v>
      </c>
      <c r="T920" s="27">
        <f t="shared" si="246"/>
        <v>1.3915687296108536</v>
      </c>
      <c r="U920" s="26">
        <f t="shared" si="247"/>
        <v>26.527382587582274</v>
      </c>
      <c r="V920" s="26">
        <f t="shared" si="248"/>
        <v>12.162653617484555</v>
      </c>
      <c r="W920" s="143"/>
      <c r="X920" s="143"/>
      <c r="Y920" s="143"/>
      <c r="Z920" s="30">
        <f>W920*Y920</f>
        <v>0</v>
      </c>
      <c r="AA920" s="31">
        <f t="shared" si="249"/>
        <v>26</v>
      </c>
      <c r="AB920" s="32">
        <v>1.84E-2</v>
      </c>
      <c r="AC920" s="32">
        <v>2.58E-2</v>
      </c>
      <c r="AD920" s="33">
        <f t="shared" si="289"/>
        <v>0.12592627714219409</v>
      </c>
      <c r="AE920" s="34">
        <f t="shared" si="290"/>
        <v>4.1499024487932142E-2</v>
      </c>
      <c r="AF920" s="33">
        <f t="shared" si="291"/>
        <v>4.4093069861258751</v>
      </c>
      <c r="AG920" s="33">
        <f t="shared" si="292"/>
        <v>0</v>
      </c>
      <c r="AH920" s="35">
        <f t="shared" si="293"/>
        <v>11.660379499060973</v>
      </c>
      <c r="AI920" s="36">
        <f t="shared" si="260"/>
        <v>26.420302720130099</v>
      </c>
      <c r="AJ920" s="23"/>
      <c r="AK920" s="101">
        <v>170</v>
      </c>
      <c r="AL920" s="44"/>
      <c r="AM920" s="44"/>
      <c r="AN920" s="44"/>
      <c r="AO920" s="44"/>
      <c r="AP920" s="44"/>
      <c r="AQ920" s="44"/>
      <c r="AR920" s="44"/>
    </row>
    <row r="921" spans="1:44" ht="16.8">
      <c r="A921" s="17" t="s">
        <v>2024</v>
      </c>
      <c r="B921" s="18"/>
      <c r="C921" s="18" t="s">
        <v>2022</v>
      </c>
      <c r="D921" s="19" t="s">
        <v>2023</v>
      </c>
      <c r="E921" s="20" t="s">
        <v>39</v>
      </c>
      <c r="F921" s="21">
        <v>1995</v>
      </c>
      <c r="G921" s="40">
        <v>2022</v>
      </c>
      <c r="H921" s="23">
        <v>215251745681</v>
      </c>
      <c r="I921" s="23">
        <v>390686606903</v>
      </c>
      <c r="J921" s="23">
        <v>203680062986</v>
      </c>
      <c r="K921" s="23">
        <f t="shared" ref="K921:K922" si="332">(J921+J920)/2</f>
        <v>169096729822</v>
      </c>
      <c r="L921" s="23">
        <v>178830501398</v>
      </c>
      <c r="M921" s="23">
        <f t="shared" si="324"/>
        <v>187006543917</v>
      </c>
      <c r="N921" s="23">
        <v>3074239633926</v>
      </c>
      <c r="O921" s="25">
        <f t="shared" si="243"/>
        <v>36421244283</v>
      </c>
      <c r="P921" s="23">
        <v>4458730646</v>
      </c>
      <c r="Q921" s="24">
        <f>74281808136+43081922315</f>
        <v>117363730451</v>
      </c>
      <c r="R921" s="25">
        <f t="shared" si="244"/>
        <v>2956875903475</v>
      </c>
      <c r="S921" s="26">
        <f t="shared" si="245"/>
        <v>0.52133873899744365</v>
      </c>
      <c r="T921" s="27">
        <f t="shared" si="246"/>
        <v>1.2036634913970405</v>
      </c>
      <c r="U921" s="26">
        <f t="shared" si="247"/>
        <v>26.691171558673265</v>
      </c>
      <c r="V921" s="26">
        <f t="shared" si="248"/>
        <v>18.180361247447568</v>
      </c>
      <c r="W921" s="143"/>
      <c r="X921" s="143"/>
      <c r="Y921" s="143"/>
      <c r="Z921" s="30"/>
      <c r="AA921" s="31">
        <f t="shared" si="249"/>
        <v>27</v>
      </c>
      <c r="AB921" s="32">
        <v>3.15E-2</v>
      </c>
      <c r="AC921" s="32">
        <v>8.0199999999999994E-2</v>
      </c>
      <c r="AD921" s="33">
        <f t="shared" si="289"/>
        <v>9.322368271519145E-2</v>
      </c>
      <c r="AE921" s="34">
        <f t="shared" si="290"/>
        <v>1.1412550538511338E-2</v>
      </c>
      <c r="AF921" s="33">
        <f t="shared" si="291"/>
        <v>7.5684086713756624</v>
      </c>
      <c r="AG921" s="33">
        <f t="shared" si="292"/>
        <v>0</v>
      </c>
      <c r="AH921" s="35">
        <f t="shared" si="293"/>
        <v>15.093473503772968</v>
      </c>
      <c r="AI921" s="36">
        <f t="shared" si="260"/>
        <v>40.197068109324796</v>
      </c>
      <c r="AJ921" s="23"/>
      <c r="AK921" s="101">
        <v>171</v>
      </c>
      <c r="AL921" s="44"/>
      <c r="AM921" s="44"/>
      <c r="AN921" s="44"/>
      <c r="AO921" s="44"/>
      <c r="AP921" s="44"/>
      <c r="AQ921" s="44"/>
      <c r="AR921" s="44"/>
    </row>
    <row r="922" spans="1:44" ht="16.8">
      <c r="A922" s="17" t="s">
        <v>2025</v>
      </c>
      <c r="B922" s="18"/>
      <c r="C922" s="18" t="s">
        <v>2022</v>
      </c>
      <c r="D922" s="19" t="s">
        <v>2023</v>
      </c>
      <c r="E922" s="20" t="s">
        <v>39</v>
      </c>
      <c r="F922" s="21">
        <v>1995</v>
      </c>
      <c r="G922" s="40">
        <v>2023</v>
      </c>
      <c r="H922" s="23">
        <v>171003476242</v>
      </c>
      <c r="I922" s="23">
        <v>343070627074</v>
      </c>
      <c r="J922" s="23">
        <v>148832364444</v>
      </c>
      <c r="K922" s="23">
        <f t="shared" si="332"/>
        <v>176256213715</v>
      </c>
      <c r="L922" s="23">
        <v>131742984680</v>
      </c>
      <c r="M922" s="23">
        <f t="shared" si="324"/>
        <v>194238262630</v>
      </c>
      <c r="N922" s="23">
        <v>2540104817221</v>
      </c>
      <c r="O922" s="25">
        <f t="shared" si="243"/>
        <v>39260491562</v>
      </c>
      <c r="P922" s="23">
        <v>11888052149</v>
      </c>
      <c r="Q922" s="23">
        <f>75103316122+49617007899</f>
        <v>124720324021</v>
      </c>
      <c r="R922" s="25">
        <f t="shared" si="244"/>
        <v>2415384493200</v>
      </c>
      <c r="S922" s="26">
        <f t="shared" si="245"/>
        <v>0.43382427027743475</v>
      </c>
      <c r="T922" s="27">
        <f t="shared" si="246"/>
        <v>1.2980082139277673</v>
      </c>
      <c r="U922" s="26">
        <f t="shared" si="247"/>
        <v>26.561202172752566</v>
      </c>
      <c r="V922" s="26">
        <f t="shared" si="248"/>
        <v>14.411434148518921</v>
      </c>
      <c r="W922" s="143"/>
      <c r="X922" s="143"/>
      <c r="Y922" s="143"/>
      <c r="Z922" s="30"/>
      <c r="AA922" s="31">
        <f t="shared" si="249"/>
        <v>28</v>
      </c>
      <c r="AB922" s="32">
        <v>3.2500000000000001E-2</v>
      </c>
      <c r="AC922" s="32">
        <v>5.0500000000000003E-2</v>
      </c>
      <c r="AD922" s="33">
        <f t="shared" si="289"/>
        <v>0.11443851050976611</v>
      </c>
      <c r="AE922" s="34">
        <f t="shared" si="290"/>
        <v>3.4651908997256585E-2</v>
      </c>
      <c r="AF922" s="33">
        <f t="shared" si="291"/>
        <v>7.0404875923085184</v>
      </c>
      <c r="AG922" s="33">
        <f t="shared" si="292"/>
        <v>0</v>
      </c>
      <c r="AH922" s="35">
        <f t="shared" si="293"/>
        <v>17.066884791558529</v>
      </c>
      <c r="AI922" s="36">
        <f t="shared" si="260"/>
        <v>40.486332731384522</v>
      </c>
      <c r="AJ922" s="23"/>
      <c r="AK922" s="101">
        <v>172</v>
      </c>
      <c r="AL922" s="44"/>
      <c r="AM922" s="44"/>
      <c r="AN922" s="44"/>
      <c r="AO922" s="44"/>
      <c r="AP922" s="44"/>
      <c r="AQ922" s="44"/>
      <c r="AR922" s="44"/>
    </row>
    <row r="923" spans="1:44" ht="16.8">
      <c r="A923" s="17" t="s">
        <v>2026</v>
      </c>
      <c r="B923" s="18">
        <v>360</v>
      </c>
      <c r="C923" s="18" t="s">
        <v>2027</v>
      </c>
      <c r="D923" s="19" t="s">
        <v>2028</v>
      </c>
      <c r="E923" s="20" t="s">
        <v>39</v>
      </c>
      <c r="F923" s="21">
        <v>1993</v>
      </c>
      <c r="G923" s="40">
        <v>2021</v>
      </c>
      <c r="H923" s="23">
        <v>132246079390</v>
      </c>
      <c r="I923" s="23">
        <v>134416486886</v>
      </c>
      <c r="J923" s="23">
        <v>39842772187</v>
      </c>
      <c r="K923" s="23">
        <f>(J923+52389332329)/2</f>
        <v>46116052258</v>
      </c>
      <c r="L923" s="23">
        <v>37560760825</v>
      </c>
      <c r="M923" s="23">
        <f t="shared" si="324"/>
        <v>94573714699</v>
      </c>
      <c r="N923" s="23">
        <v>516494067426</v>
      </c>
      <c r="O923" s="25">
        <f t="shared" si="243"/>
        <v>94685318565</v>
      </c>
      <c r="P923" s="23">
        <v>3083245386</v>
      </c>
      <c r="Q923" s="23">
        <f>6587079723+11765601893</f>
        <v>18352681616</v>
      </c>
      <c r="R923" s="25">
        <f t="shared" si="244"/>
        <v>498141385810</v>
      </c>
      <c r="S923" s="26">
        <f t="shared" si="245"/>
        <v>0.29641283677344626</v>
      </c>
      <c r="T923" s="27">
        <f t="shared" si="246"/>
        <v>3.5208573118672977</v>
      </c>
      <c r="U923" s="26">
        <f t="shared" si="247"/>
        <v>25.624208927794815</v>
      </c>
      <c r="V923" s="26">
        <f t="shared" si="248"/>
        <v>11.199876011425088</v>
      </c>
      <c r="W923" s="143"/>
      <c r="X923" s="143"/>
      <c r="Y923" s="143"/>
      <c r="Z923" s="30">
        <f>W923*Y923</f>
        <v>0</v>
      </c>
      <c r="AA923" s="31">
        <f t="shared" si="249"/>
        <v>28</v>
      </c>
      <c r="AB923" s="32">
        <v>1.84E-2</v>
      </c>
      <c r="AC923" s="32">
        <v>2.58E-2</v>
      </c>
      <c r="AD923" s="33">
        <f t="shared" si="289"/>
        <v>0.70441744728311184</v>
      </c>
      <c r="AE923" s="34">
        <f t="shared" si="290"/>
        <v>2.2938000072974172E-2</v>
      </c>
      <c r="AF923" s="33">
        <f t="shared" si="291"/>
        <v>3.705954510122548</v>
      </c>
      <c r="AG923" s="33">
        <f t="shared" si="292"/>
        <v>0</v>
      </c>
      <c r="AH923" s="35">
        <f t="shared" si="293"/>
        <v>12.963306493882044</v>
      </c>
      <c r="AI923" s="36">
        <f t="shared" si="260"/>
        <v>26.070370514128349</v>
      </c>
      <c r="AJ923" s="23"/>
      <c r="AK923" s="101">
        <v>173</v>
      </c>
      <c r="AL923" s="44"/>
      <c r="AM923" s="44"/>
      <c r="AN923" s="44"/>
      <c r="AO923" s="44"/>
      <c r="AP923" s="44"/>
      <c r="AQ923" s="44"/>
      <c r="AR923" s="44"/>
    </row>
    <row r="924" spans="1:44" ht="16.8">
      <c r="A924" s="17" t="s">
        <v>2029</v>
      </c>
      <c r="B924" s="18"/>
      <c r="C924" s="18" t="s">
        <v>2027</v>
      </c>
      <c r="D924" s="19" t="s">
        <v>2028</v>
      </c>
      <c r="E924" s="20" t="s">
        <v>39</v>
      </c>
      <c r="F924" s="21">
        <v>1993</v>
      </c>
      <c r="G924" s="40">
        <v>2022</v>
      </c>
      <c r="H924" s="23">
        <v>139712918558</v>
      </c>
      <c r="I924" s="23">
        <v>141496217217</v>
      </c>
      <c r="J924" s="23">
        <v>45827565500</v>
      </c>
      <c r="K924" s="23">
        <f t="shared" ref="K924:K925" si="333">(J924+J923)/2</f>
        <v>42835168843.5</v>
      </c>
      <c r="L924" s="23">
        <v>43737054138</v>
      </c>
      <c r="M924" s="23">
        <f t="shared" si="324"/>
        <v>95668651717</v>
      </c>
      <c r="N924" s="23">
        <v>641533943358</v>
      </c>
      <c r="O924" s="25">
        <f t="shared" si="243"/>
        <v>95975864420</v>
      </c>
      <c r="P924" s="23">
        <v>5741241018</v>
      </c>
      <c r="Q924" s="23">
        <f>10512123895+13282151899</f>
        <v>23794275794</v>
      </c>
      <c r="R924" s="25">
        <f t="shared" si="244"/>
        <v>617739667564</v>
      </c>
      <c r="S924" s="26">
        <f t="shared" si="245"/>
        <v>0.32387837923411333</v>
      </c>
      <c r="T924" s="27">
        <f t="shared" si="246"/>
        <v>3.1943833738133138</v>
      </c>
      <c r="U924" s="26">
        <f t="shared" si="247"/>
        <v>25.675538820223593</v>
      </c>
      <c r="V924" s="26">
        <f t="shared" si="248"/>
        <v>14.976804356762777</v>
      </c>
      <c r="W924" s="143"/>
      <c r="X924" s="143"/>
      <c r="Y924" s="143"/>
      <c r="Z924" s="30"/>
      <c r="AA924" s="31">
        <f t="shared" si="249"/>
        <v>29</v>
      </c>
      <c r="AB924" s="32">
        <v>3.15E-2</v>
      </c>
      <c r="AC924" s="32">
        <v>8.0199999999999994E-2</v>
      </c>
      <c r="AD924" s="33">
        <f t="shared" si="289"/>
        <v>0.6782927933176508</v>
      </c>
      <c r="AE924" s="34">
        <f t="shared" si="290"/>
        <v>4.0575226185694958E-2</v>
      </c>
      <c r="AF924" s="33">
        <f t="shared" si="291"/>
        <v>4.365768072913415</v>
      </c>
      <c r="AG924" s="33">
        <f t="shared" si="292"/>
        <v>0</v>
      </c>
      <c r="AH924" s="35">
        <f t="shared" si="293"/>
        <v>13.998865886908176</v>
      </c>
      <c r="AI924" s="36">
        <f t="shared" si="260"/>
        <v>29.276657196163598</v>
      </c>
      <c r="AJ924" s="23"/>
      <c r="AK924" s="101">
        <v>174</v>
      </c>
      <c r="AL924" s="44"/>
      <c r="AM924" s="44"/>
      <c r="AN924" s="44"/>
      <c r="AO924" s="44"/>
      <c r="AP924" s="44"/>
      <c r="AQ924" s="44"/>
      <c r="AR924" s="44"/>
    </row>
    <row r="925" spans="1:44" ht="16.8">
      <c r="A925" s="17" t="s">
        <v>2030</v>
      </c>
      <c r="B925" s="18"/>
      <c r="C925" s="18" t="s">
        <v>2027</v>
      </c>
      <c r="D925" s="19" t="s">
        <v>2028</v>
      </c>
      <c r="E925" s="20" t="s">
        <v>39</v>
      </c>
      <c r="F925" s="21">
        <v>1993</v>
      </c>
      <c r="G925" s="40">
        <v>2023</v>
      </c>
      <c r="H925" s="23">
        <v>136793794858</v>
      </c>
      <c r="I925" s="23">
        <v>139919646044</v>
      </c>
      <c r="J925" s="23">
        <v>47302358583</v>
      </c>
      <c r="K925" s="23">
        <f t="shared" si="333"/>
        <v>46564962041.5</v>
      </c>
      <c r="L925" s="23">
        <v>45267847221</v>
      </c>
      <c r="M925" s="23">
        <f t="shared" si="324"/>
        <v>92617287461</v>
      </c>
      <c r="N925" s="23">
        <v>545862803459</v>
      </c>
      <c r="O925" s="25">
        <f t="shared" si="243"/>
        <v>91525947637</v>
      </c>
      <c r="P925" s="23">
        <v>3520635744</v>
      </c>
      <c r="Q925" s="23">
        <f>10881975318+10830620008</f>
        <v>21712595326</v>
      </c>
      <c r="R925" s="25">
        <f t="shared" si="244"/>
        <v>524150208133</v>
      </c>
      <c r="S925" s="26">
        <f t="shared" si="245"/>
        <v>0.33806802633080568</v>
      </c>
      <c r="T925" s="27">
        <f t="shared" si="246"/>
        <v>3.0218754205422127</v>
      </c>
      <c r="U925" s="26">
        <f t="shared" si="247"/>
        <v>25.66433413795087</v>
      </c>
      <c r="V925" s="26">
        <f t="shared" si="248"/>
        <v>11.722608148429538</v>
      </c>
      <c r="W925" s="143"/>
      <c r="X925" s="143"/>
      <c r="Y925" s="143"/>
      <c r="Z925" s="30"/>
      <c r="AA925" s="31">
        <f t="shared" si="249"/>
        <v>30</v>
      </c>
      <c r="AB925" s="32">
        <v>3.2500000000000001E-2</v>
      </c>
      <c r="AC925" s="32">
        <v>5.0500000000000003E-2</v>
      </c>
      <c r="AD925" s="33">
        <f t="shared" si="289"/>
        <v>0.65413221248585907</v>
      </c>
      <c r="AE925" s="34">
        <f t="shared" si="290"/>
        <v>2.5161839981305265E-2</v>
      </c>
      <c r="AF925" s="33">
        <f t="shared" si="291"/>
        <v>3.7460801463732438</v>
      </c>
      <c r="AG925" s="33">
        <f t="shared" si="292"/>
        <v>0</v>
      </c>
      <c r="AH925" s="35">
        <f t="shared" si="293"/>
        <v>11.539864391776391</v>
      </c>
      <c r="AI925" s="36">
        <f t="shared" si="260"/>
        <v>24.722114105764952</v>
      </c>
      <c r="AJ925" s="23"/>
      <c r="AK925" s="101">
        <v>175</v>
      </c>
      <c r="AL925" s="44"/>
      <c r="AM925" s="44"/>
      <c r="AN925" s="44"/>
      <c r="AO925" s="44"/>
      <c r="AP925" s="44"/>
      <c r="AQ925" s="44"/>
      <c r="AR925" s="44"/>
    </row>
    <row r="926" spans="1:44" ht="16.8">
      <c r="A926" s="17" t="s">
        <v>2031</v>
      </c>
      <c r="B926" s="18">
        <v>361</v>
      </c>
      <c r="C926" s="18" t="s">
        <v>2032</v>
      </c>
      <c r="D926" s="19" t="s">
        <v>2033</v>
      </c>
      <c r="E926" s="20" t="s">
        <v>39</v>
      </c>
      <c r="F926" s="21">
        <v>1979</v>
      </c>
      <c r="G926" s="40">
        <v>2021</v>
      </c>
      <c r="H926" s="23">
        <v>2025771365606</v>
      </c>
      <c r="I926" s="23">
        <v>4367375088565</v>
      </c>
      <c r="J926" s="23">
        <v>2905123800308</v>
      </c>
      <c r="K926" s="23">
        <f>(J926+2406975057430)/2</f>
        <v>2656049428869</v>
      </c>
      <c r="L926" s="23">
        <v>2446996860366</v>
      </c>
      <c r="M926" s="23">
        <f t="shared" si="324"/>
        <v>1462251288257</v>
      </c>
      <c r="N926" s="23">
        <v>5446378397894</v>
      </c>
      <c r="O926" s="25">
        <f t="shared" si="243"/>
        <v>-421225494760</v>
      </c>
      <c r="P926" s="23">
        <v>232286347757</v>
      </c>
      <c r="Q926" s="23">
        <f>86014703288+242448803553</f>
        <v>328463506841</v>
      </c>
      <c r="R926" s="25">
        <f t="shared" si="244"/>
        <v>5117914891053</v>
      </c>
      <c r="S926" s="26">
        <f t="shared" si="245"/>
        <v>0.66518761072627364</v>
      </c>
      <c r="T926" s="27">
        <f t="shared" si="246"/>
        <v>0.82786022263347048</v>
      </c>
      <c r="U926" s="26">
        <f t="shared" si="247"/>
        <v>29.105183278331548</v>
      </c>
      <c r="V926" s="26">
        <f t="shared" si="248"/>
        <v>2.0505561149188325</v>
      </c>
      <c r="W926" s="143"/>
      <c r="X926" s="143"/>
      <c r="Y926" s="143"/>
      <c r="Z926" s="30">
        <f>W926*Y926</f>
        <v>0</v>
      </c>
      <c r="AA926" s="31">
        <f t="shared" si="249"/>
        <v>42</v>
      </c>
      <c r="AB926" s="32">
        <v>1.84E-2</v>
      </c>
      <c r="AC926" s="32">
        <v>2.58E-2</v>
      </c>
      <c r="AD926" s="33">
        <f t="shared" si="289"/>
        <v>-9.6448206581313617E-2</v>
      </c>
      <c r="AE926" s="34">
        <f t="shared" si="290"/>
        <v>5.3186718119355061E-2</v>
      </c>
      <c r="AF926" s="33">
        <f t="shared" si="291"/>
        <v>1.1718514639269526</v>
      </c>
      <c r="AG926" s="33">
        <f t="shared" si="292"/>
        <v>0</v>
      </c>
      <c r="AH926" s="35">
        <f t="shared" si="293"/>
        <v>1.8747491577868651</v>
      </c>
      <c r="AI926" s="36">
        <f t="shared" si="260"/>
        <v>5.7005825462153297</v>
      </c>
      <c r="AJ926" s="23"/>
      <c r="AK926" s="101">
        <v>176</v>
      </c>
      <c r="AL926" s="44"/>
      <c r="AM926" s="44"/>
      <c r="AN926" s="44"/>
      <c r="AO926" s="44"/>
      <c r="AP926" s="44"/>
      <c r="AQ926" s="44"/>
      <c r="AR926" s="44"/>
    </row>
    <row r="927" spans="1:44" ht="16.8">
      <c r="A927" s="17" t="s">
        <v>2034</v>
      </c>
      <c r="B927" s="18"/>
      <c r="C927" s="18" t="s">
        <v>2032</v>
      </c>
      <c r="D927" s="19" t="s">
        <v>2033</v>
      </c>
      <c r="E927" s="20" t="s">
        <v>39</v>
      </c>
      <c r="F927" s="21">
        <v>1979</v>
      </c>
      <c r="G927" s="40">
        <v>2022</v>
      </c>
      <c r="H927" s="23">
        <v>2607502163527</v>
      </c>
      <c r="I927" s="23">
        <v>5291843839200</v>
      </c>
      <c r="J927" s="23">
        <v>3641015759091</v>
      </c>
      <c r="K927" s="23">
        <f t="shared" ref="K927:K928" si="334">(J927+J926)/2</f>
        <v>3273069779699.5</v>
      </c>
      <c r="L927" s="23">
        <v>2924505714868</v>
      </c>
      <c r="M927" s="23">
        <f t="shared" si="324"/>
        <v>1650828080109</v>
      </c>
      <c r="N927" s="23">
        <v>6772345206702</v>
      </c>
      <c r="O927" s="25">
        <f t="shared" si="243"/>
        <v>-317003551341</v>
      </c>
      <c r="P927" s="23">
        <v>292996521233</v>
      </c>
      <c r="Q927" s="23">
        <f>78285365057+367997249407</f>
        <v>446282614464</v>
      </c>
      <c r="R927" s="25">
        <f t="shared" si="244"/>
        <v>6326062592238</v>
      </c>
      <c r="S927" s="26">
        <f t="shared" si="245"/>
        <v>0.68804293356499246</v>
      </c>
      <c r="T927" s="27">
        <f t="shared" si="246"/>
        <v>0.89160440011131648</v>
      </c>
      <c r="U927" s="26">
        <f t="shared" si="247"/>
        <v>29.297187852902326</v>
      </c>
      <c r="V927" s="26">
        <f t="shared" si="248"/>
        <v>2.06911115940943</v>
      </c>
      <c r="W927" s="143"/>
      <c r="X927" s="143"/>
      <c r="Y927" s="143"/>
      <c r="Z927" s="30"/>
      <c r="AA927" s="31">
        <f t="shared" si="249"/>
        <v>43</v>
      </c>
      <c r="AB927" s="32">
        <v>3.15E-2</v>
      </c>
      <c r="AC927" s="32">
        <v>8.0199999999999994E-2</v>
      </c>
      <c r="AD927" s="33">
        <f t="shared" si="289"/>
        <v>-5.9904177253447322E-2</v>
      </c>
      <c r="AE927" s="34">
        <f t="shared" si="290"/>
        <v>5.5367567550386E-2</v>
      </c>
      <c r="AF927" s="33">
        <f t="shared" si="291"/>
        <v>1.1954363704720261</v>
      </c>
      <c r="AG927" s="33">
        <f t="shared" si="292"/>
        <v>0</v>
      </c>
      <c r="AH927" s="35">
        <f t="shared" si="293"/>
        <v>1.860015351428403</v>
      </c>
      <c r="AI927" s="36">
        <f t="shared" si="260"/>
        <v>5.8105849558524927</v>
      </c>
      <c r="AJ927" s="23"/>
      <c r="AK927" s="101">
        <v>177</v>
      </c>
      <c r="AL927" s="44"/>
      <c r="AM927" s="44"/>
      <c r="AN927" s="44"/>
      <c r="AO927" s="44"/>
      <c r="AP927" s="44"/>
      <c r="AQ927" s="44"/>
      <c r="AR927" s="44"/>
    </row>
    <row r="928" spans="1:44" ht="16.8">
      <c r="A928" s="17" t="s">
        <v>2035</v>
      </c>
      <c r="B928" s="18"/>
      <c r="C928" s="18" t="s">
        <v>2032</v>
      </c>
      <c r="D928" s="19" t="s">
        <v>2033</v>
      </c>
      <c r="E928" s="20" t="s">
        <v>39</v>
      </c>
      <c r="F928" s="21">
        <v>1979</v>
      </c>
      <c r="G928" s="40">
        <v>2023</v>
      </c>
      <c r="H928" s="23">
        <v>2259844812960</v>
      </c>
      <c r="I928" s="23">
        <v>5230414452595</v>
      </c>
      <c r="J928" s="23">
        <v>3375513882258</v>
      </c>
      <c r="K928" s="23">
        <f t="shared" si="334"/>
        <v>3508264820674.5</v>
      </c>
      <c r="L928" s="23">
        <v>2545131868439</v>
      </c>
      <c r="M928" s="23">
        <f t="shared" si="324"/>
        <v>1854900570337</v>
      </c>
      <c r="N928" s="23">
        <v>7095204710246</v>
      </c>
      <c r="O928" s="25">
        <f t="shared" si="243"/>
        <v>-285287055479</v>
      </c>
      <c r="P928" s="23">
        <v>219442316421</v>
      </c>
      <c r="Q928" s="23">
        <f>101008832542+360078891979</f>
        <v>461087724521</v>
      </c>
      <c r="R928" s="25">
        <f t="shared" si="244"/>
        <v>6634116985725</v>
      </c>
      <c r="S928" s="26">
        <f t="shared" si="245"/>
        <v>0.64536260230454279</v>
      </c>
      <c r="T928" s="27">
        <f t="shared" si="246"/>
        <v>0.88790873313217578</v>
      </c>
      <c r="U928" s="26">
        <f t="shared" si="247"/>
        <v>29.285511636103692</v>
      </c>
      <c r="V928" s="26">
        <f t="shared" si="248"/>
        <v>2.0224256357254906</v>
      </c>
      <c r="W928" s="143"/>
      <c r="X928" s="143"/>
      <c r="Y928" s="143"/>
      <c r="Z928" s="30"/>
      <c r="AA928" s="31">
        <f t="shared" si="249"/>
        <v>44</v>
      </c>
      <c r="AB928" s="32">
        <v>3.2500000000000001E-2</v>
      </c>
      <c r="AC928" s="32">
        <v>5.0500000000000003E-2</v>
      </c>
      <c r="AD928" s="33">
        <f t="shared" si="289"/>
        <v>-5.4543871822138046E-2</v>
      </c>
      <c r="AE928" s="34">
        <f t="shared" si="290"/>
        <v>4.1955053162589559E-2</v>
      </c>
      <c r="AF928" s="33">
        <f t="shared" si="291"/>
        <v>1.2683730985091577</v>
      </c>
      <c r="AG928" s="33">
        <f t="shared" si="292"/>
        <v>0</v>
      </c>
      <c r="AH928" s="35">
        <f t="shared" si="293"/>
        <v>2.1019628292862382</v>
      </c>
      <c r="AI928" s="36">
        <f t="shared" si="260"/>
        <v>6.2808784826075179</v>
      </c>
      <c r="AJ928" s="23"/>
      <c r="AK928" s="101">
        <v>178</v>
      </c>
      <c r="AL928" s="44"/>
      <c r="AM928" s="44"/>
      <c r="AN928" s="44"/>
      <c r="AO928" s="44"/>
      <c r="AP928" s="44"/>
      <c r="AQ928" s="44"/>
      <c r="AR928" s="44"/>
    </row>
    <row r="929" spans="1:44" ht="16.8">
      <c r="A929" s="17" t="s">
        <v>2036</v>
      </c>
      <c r="B929" s="18">
        <v>362</v>
      </c>
      <c r="C929" s="18" t="s">
        <v>2037</v>
      </c>
      <c r="D929" s="19" t="s">
        <v>2038</v>
      </c>
      <c r="E929" s="20" t="s">
        <v>39</v>
      </c>
      <c r="F929" s="21">
        <v>1975</v>
      </c>
      <c r="G929" s="40">
        <v>2021</v>
      </c>
      <c r="H929" s="23">
        <v>15036780906</v>
      </c>
      <c r="I929" s="23">
        <v>47654845843</v>
      </c>
      <c r="J929" s="23">
        <v>22229849296</v>
      </c>
      <c r="K929" s="23">
        <f>(J929+21825142379)/2</f>
        <v>22027495837.5</v>
      </c>
      <c r="L929" s="23">
        <v>22179849296</v>
      </c>
      <c r="M929" s="23">
        <f t="shared" si="324"/>
        <v>25424996547</v>
      </c>
      <c r="N929" s="23">
        <v>29821770824</v>
      </c>
      <c r="O929" s="25">
        <f t="shared" si="243"/>
        <v>-7143068390</v>
      </c>
      <c r="P929" s="23">
        <v>1580160020</v>
      </c>
      <c r="Q929" s="23">
        <f>106646597+5256225150</f>
        <v>5362871747</v>
      </c>
      <c r="R929" s="25">
        <f t="shared" si="244"/>
        <v>24458899077</v>
      </c>
      <c r="S929" s="26">
        <f t="shared" si="245"/>
        <v>0.46647615584020052</v>
      </c>
      <c r="T929" s="27">
        <f t="shared" si="246"/>
        <v>0.67794783928995361</v>
      </c>
      <c r="U929" s="26">
        <f t="shared" si="247"/>
        <v>24.587250158476085</v>
      </c>
      <c r="V929" s="26">
        <f t="shared" si="248"/>
        <v>1.3538429898704549</v>
      </c>
      <c r="W929" s="143"/>
      <c r="X929" s="143"/>
      <c r="Y929" s="143"/>
      <c r="Z929" s="30">
        <f>W929*Y929</f>
        <v>0</v>
      </c>
      <c r="AA929" s="31">
        <f t="shared" si="249"/>
        <v>46</v>
      </c>
      <c r="AB929" s="32">
        <v>1.84E-2</v>
      </c>
      <c r="AC929" s="32">
        <v>2.58E-2</v>
      </c>
      <c r="AD929" s="33">
        <f t="shared" si="289"/>
        <v>-0.14989175316048667</v>
      </c>
      <c r="AE929" s="34">
        <f t="shared" si="290"/>
        <v>3.3158433146670413E-2</v>
      </c>
      <c r="AF929" s="33">
        <f t="shared" si="291"/>
        <v>0.51325103762963398</v>
      </c>
      <c r="AG929" s="33">
        <f t="shared" si="292"/>
        <v>0</v>
      </c>
      <c r="AH929" s="35">
        <f t="shared" si="293"/>
        <v>1.3415192530957047</v>
      </c>
      <c r="AI929" s="36">
        <f t="shared" si="260"/>
        <v>2.9017993798862514</v>
      </c>
      <c r="AJ929" s="23"/>
      <c r="AK929" s="101">
        <v>179</v>
      </c>
      <c r="AL929" s="44"/>
      <c r="AM929" s="44"/>
      <c r="AN929" s="44"/>
      <c r="AO929" s="44"/>
      <c r="AP929" s="44"/>
      <c r="AQ929" s="44"/>
      <c r="AR929" s="44"/>
    </row>
    <row r="930" spans="1:44" ht="16.8">
      <c r="A930" s="17" t="s">
        <v>2039</v>
      </c>
      <c r="B930" s="18"/>
      <c r="C930" s="18" t="s">
        <v>2037</v>
      </c>
      <c r="D930" s="19" t="s">
        <v>2038</v>
      </c>
      <c r="E930" s="20" t="s">
        <v>39</v>
      </c>
      <c r="F930" s="21">
        <v>1975</v>
      </c>
      <c r="G930" s="40">
        <v>2022</v>
      </c>
      <c r="H930" s="23">
        <v>17200277112</v>
      </c>
      <c r="I930" s="23">
        <v>48165044670</v>
      </c>
      <c r="J930" s="23">
        <v>22707689874</v>
      </c>
      <c r="K930" s="23">
        <f t="shared" ref="K930:K931" si="335">(J930+J929)/2</f>
        <v>22468769585</v>
      </c>
      <c r="L930" s="23">
        <v>22657689874</v>
      </c>
      <c r="M930" s="23">
        <f t="shared" si="324"/>
        <v>25457354796</v>
      </c>
      <c r="N930" s="23">
        <v>35637720688</v>
      </c>
      <c r="O930" s="25">
        <f t="shared" si="243"/>
        <v>-5457412762</v>
      </c>
      <c r="P930" s="23">
        <v>1599547749</v>
      </c>
      <c r="Q930" s="23">
        <f>59727750+6672302983</f>
        <v>6732030733</v>
      </c>
      <c r="R930" s="25">
        <f t="shared" si="244"/>
        <v>28905689955</v>
      </c>
      <c r="S930" s="26">
        <f t="shared" si="245"/>
        <v>0.47145580429916373</v>
      </c>
      <c r="T930" s="27">
        <f t="shared" si="246"/>
        <v>0.75913639950282608</v>
      </c>
      <c r="U930" s="26">
        <f t="shared" si="247"/>
        <v>24.597899380592505</v>
      </c>
      <c r="V930" s="26">
        <f t="shared" si="248"/>
        <v>1.5861002336234515</v>
      </c>
      <c r="W930" s="143"/>
      <c r="X930" s="143"/>
      <c r="Y930" s="143"/>
      <c r="Z930" s="30"/>
      <c r="AA930" s="31">
        <f t="shared" si="249"/>
        <v>47</v>
      </c>
      <c r="AB930" s="32">
        <v>3.15E-2</v>
      </c>
      <c r="AC930" s="32">
        <v>8.0199999999999994E-2</v>
      </c>
      <c r="AD930" s="33">
        <f t="shared" si="289"/>
        <v>-0.11330650265957699</v>
      </c>
      <c r="AE930" s="34">
        <f t="shared" si="290"/>
        <v>3.3209722111942556E-2</v>
      </c>
      <c r="AF930" s="33">
        <f t="shared" si="291"/>
        <v>0.60013834001495592</v>
      </c>
      <c r="AG930" s="33">
        <f t="shared" si="292"/>
        <v>0</v>
      </c>
      <c r="AH930" s="35">
        <f t="shared" si="293"/>
        <v>1.5694119871173999</v>
      </c>
      <c r="AI930" s="36">
        <f t="shared" si="260"/>
        <v>3.4603943169319815</v>
      </c>
      <c r="AJ930" s="23"/>
      <c r="AK930" s="101">
        <v>180</v>
      </c>
      <c r="AL930" s="44"/>
      <c r="AM930" s="44"/>
      <c r="AN930" s="44"/>
      <c r="AO930" s="44"/>
      <c r="AP930" s="44"/>
      <c r="AQ930" s="44"/>
      <c r="AR930" s="44"/>
    </row>
    <row r="931" spans="1:44" ht="16.8">
      <c r="A931" s="17" t="s">
        <v>2040</v>
      </c>
      <c r="B931" s="18"/>
      <c r="C931" s="18" t="s">
        <v>2037</v>
      </c>
      <c r="D931" s="19" t="s">
        <v>2038</v>
      </c>
      <c r="E931" s="20" t="s">
        <v>39</v>
      </c>
      <c r="F931" s="21">
        <v>1975</v>
      </c>
      <c r="G931" s="40">
        <v>2023</v>
      </c>
      <c r="H931" s="23">
        <v>17692501235</v>
      </c>
      <c r="I931" s="23">
        <v>49924506637</v>
      </c>
      <c r="J931" s="23">
        <v>24486799657</v>
      </c>
      <c r="K931" s="23">
        <f t="shared" si="335"/>
        <v>23597244765.5</v>
      </c>
      <c r="L931" s="23">
        <v>24436799657</v>
      </c>
      <c r="M931" s="23">
        <f t="shared" si="324"/>
        <v>25437706980</v>
      </c>
      <c r="N931" s="23">
        <v>42426279791</v>
      </c>
      <c r="O931" s="25">
        <f t="shared" si="243"/>
        <v>-6744298422</v>
      </c>
      <c r="P931" s="23">
        <v>1657140184</v>
      </c>
      <c r="Q931" s="23">
        <f>185834000+6505278838</f>
        <v>6691112838</v>
      </c>
      <c r="R931" s="25">
        <f t="shared" si="244"/>
        <v>35735166953</v>
      </c>
      <c r="S931" s="26">
        <f t="shared" si="245"/>
        <v>0.49047654762105086</v>
      </c>
      <c r="T931" s="27">
        <f t="shared" si="246"/>
        <v>0.72401056944181008</v>
      </c>
      <c r="U931" s="26">
        <f t="shared" si="247"/>
        <v>24.633777834116337</v>
      </c>
      <c r="V931" s="26">
        <f t="shared" si="248"/>
        <v>1.7979336237181687</v>
      </c>
      <c r="W931" s="143"/>
      <c r="X931" s="143"/>
      <c r="Y931" s="143"/>
      <c r="Z931" s="30"/>
      <c r="AA931" s="31">
        <f t="shared" si="249"/>
        <v>48</v>
      </c>
      <c r="AB931" s="32">
        <v>3.2500000000000001E-2</v>
      </c>
      <c r="AC931" s="32">
        <v>5.0500000000000003E-2</v>
      </c>
      <c r="AD931" s="33">
        <f t="shared" si="289"/>
        <v>-0.13508993631199295</v>
      </c>
      <c r="AE931" s="34">
        <f t="shared" si="290"/>
        <v>3.319292058405364E-2</v>
      </c>
      <c r="AF931" s="33">
        <f t="shared" si="291"/>
        <v>0.71578407800460842</v>
      </c>
      <c r="AG931" s="33">
        <f t="shared" si="292"/>
        <v>0</v>
      </c>
      <c r="AH931" s="35">
        <f t="shared" si="293"/>
        <v>1.7326184060509382</v>
      </c>
      <c r="AI931" s="36">
        <f t="shared" si="260"/>
        <v>3.9790680287094293</v>
      </c>
      <c r="AJ931" s="23"/>
      <c r="AK931" s="101">
        <v>181</v>
      </c>
      <c r="AL931" s="44"/>
      <c r="AM931" s="44"/>
      <c r="AN931" s="44"/>
      <c r="AO931" s="44"/>
      <c r="AP931" s="44"/>
      <c r="AQ931" s="44"/>
      <c r="AR931" s="44"/>
    </row>
    <row r="932" spans="1:44" ht="16.8">
      <c r="A932" s="17" t="s">
        <v>2041</v>
      </c>
      <c r="B932" s="18">
        <v>363</v>
      </c>
      <c r="C932" s="18" t="s">
        <v>2042</v>
      </c>
      <c r="D932" s="19" t="s">
        <v>2043</v>
      </c>
      <c r="E932" s="20" t="s">
        <v>39</v>
      </c>
      <c r="F932" s="21">
        <v>1977</v>
      </c>
      <c r="G932" s="40">
        <v>2021</v>
      </c>
      <c r="H932" s="23">
        <v>788335935873</v>
      </c>
      <c r="I932" s="23">
        <v>1244133660387</v>
      </c>
      <c r="J932" s="23">
        <v>914659524906</v>
      </c>
      <c r="K932" s="23">
        <f>(J932+657715356202)/2</f>
        <v>786187440554</v>
      </c>
      <c r="L932" s="23">
        <v>726027185355</v>
      </c>
      <c r="M932" s="23">
        <f t="shared" si="324"/>
        <v>329474135481</v>
      </c>
      <c r="N932" s="23">
        <v>1378760811268</v>
      </c>
      <c r="O932" s="25">
        <f t="shared" si="243"/>
        <v>62308750518</v>
      </c>
      <c r="P932" s="23">
        <v>8239092183</v>
      </c>
      <c r="Q932" s="23">
        <f>155434062205+41116613477</f>
        <v>196550675682</v>
      </c>
      <c r="R932" s="25">
        <f t="shared" si="244"/>
        <v>1182210135586</v>
      </c>
      <c r="S932" s="26">
        <f t="shared" si="245"/>
        <v>0.73517786233794702</v>
      </c>
      <c r="T932" s="27">
        <f t="shared" si="246"/>
        <v>1.0858215116112124</v>
      </c>
      <c r="U932" s="26">
        <f t="shared" si="247"/>
        <v>27.849460548514834</v>
      </c>
      <c r="V932" s="26">
        <f t="shared" si="248"/>
        <v>1.7537303957646961</v>
      </c>
      <c r="W932" s="143"/>
      <c r="X932" s="143"/>
      <c r="Y932" s="143"/>
      <c r="Z932" s="30">
        <f>W932*Y932</f>
        <v>0</v>
      </c>
      <c r="AA932" s="31">
        <f t="shared" si="249"/>
        <v>44</v>
      </c>
      <c r="AB932" s="32">
        <v>1.84E-2</v>
      </c>
      <c r="AC932" s="32">
        <v>2.58E-2</v>
      </c>
      <c r="AD932" s="33">
        <f t="shared" si="289"/>
        <v>5.008203901389361E-2</v>
      </c>
      <c r="AE932" s="34">
        <f t="shared" si="290"/>
        <v>6.6223529234287811E-3</v>
      </c>
      <c r="AF932" s="33">
        <f t="shared" si="291"/>
        <v>0.95022759469289009</v>
      </c>
      <c r="AG932" s="33">
        <f t="shared" si="292"/>
        <v>0</v>
      </c>
      <c r="AH932" s="35">
        <f t="shared" si="293"/>
        <v>1.5074033273853416</v>
      </c>
      <c r="AI932" s="36">
        <f t="shared" si="260"/>
        <v>4.7125241307813512</v>
      </c>
      <c r="AJ932" s="23"/>
      <c r="AK932" s="101">
        <v>182</v>
      </c>
      <c r="AL932" s="44"/>
      <c r="AM932" s="44"/>
      <c r="AN932" s="44"/>
      <c r="AO932" s="44"/>
      <c r="AP932" s="44"/>
      <c r="AQ932" s="44"/>
      <c r="AR932" s="44"/>
    </row>
    <row r="933" spans="1:44" ht="16.8">
      <c r="A933" s="17" t="s">
        <v>2044</v>
      </c>
      <c r="B933" s="18"/>
      <c r="C933" s="18" t="s">
        <v>2042</v>
      </c>
      <c r="D933" s="19" t="s">
        <v>2043</v>
      </c>
      <c r="E933" s="20" t="s">
        <v>39</v>
      </c>
      <c r="F933" s="21">
        <v>1977</v>
      </c>
      <c r="G933" s="40">
        <v>2022</v>
      </c>
      <c r="H933" s="23">
        <v>1308259441711</v>
      </c>
      <c r="I933" s="23">
        <v>1935861440157</v>
      </c>
      <c r="J933" s="23">
        <v>1441883423825</v>
      </c>
      <c r="K933" s="23">
        <f t="shared" ref="K933:K934" si="336">(J933+J932)/2</f>
        <v>1178271474365.5</v>
      </c>
      <c r="L933" s="23">
        <v>1229652122598</v>
      </c>
      <c r="M933" s="23">
        <f t="shared" si="324"/>
        <v>493978016332</v>
      </c>
      <c r="N933" s="23">
        <v>2119358886033</v>
      </c>
      <c r="O933" s="25">
        <f t="shared" si="243"/>
        <v>78607319113</v>
      </c>
      <c r="P933" s="23">
        <v>14695880851</v>
      </c>
      <c r="Q933" s="23">
        <f>221220747975+63914776620</f>
        <v>285135524595</v>
      </c>
      <c r="R933" s="25">
        <f t="shared" si="244"/>
        <v>1834223361438</v>
      </c>
      <c r="S933" s="26">
        <f t="shared" si="245"/>
        <v>0.74482780322751918</v>
      </c>
      <c r="T933" s="27">
        <f t="shared" si="246"/>
        <v>1.0639264696643789</v>
      </c>
      <c r="U933" s="26">
        <f t="shared" si="247"/>
        <v>28.291573532054827</v>
      </c>
      <c r="V933" s="26">
        <f t="shared" si="248"/>
        <v>1.7987016847490738</v>
      </c>
      <c r="W933" s="143"/>
      <c r="X933" s="143"/>
      <c r="Y933" s="143"/>
      <c r="Z933" s="30"/>
      <c r="AA933" s="31">
        <f t="shared" si="249"/>
        <v>45</v>
      </c>
      <c r="AB933" s="32">
        <v>3.15E-2</v>
      </c>
      <c r="AC933" s="32">
        <v>8.0199999999999994E-2</v>
      </c>
      <c r="AD933" s="33">
        <f t="shared" si="289"/>
        <v>4.0605860255486508E-2</v>
      </c>
      <c r="AE933" s="34">
        <f t="shared" si="290"/>
        <v>7.5913908641148161E-3</v>
      </c>
      <c r="AF933" s="33">
        <f t="shared" si="291"/>
        <v>0.94749723476554337</v>
      </c>
      <c r="AG933" s="33">
        <f t="shared" si="292"/>
        <v>0</v>
      </c>
      <c r="AH933" s="35">
        <f t="shared" si="293"/>
        <v>1.4698545326298338</v>
      </c>
      <c r="AI933" s="36">
        <f t="shared" si="260"/>
        <v>4.6559503868724708</v>
      </c>
      <c r="AJ933" s="23"/>
      <c r="AK933" s="101">
        <v>183</v>
      </c>
      <c r="AL933" s="44"/>
      <c r="AM933" s="44"/>
      <c r="AN933" s="44"/>
      <c r="AO933" s="44"/>
      <c r="AP933" s="44"/>
      <c r="AQ933" s="44"/>
      <c r="AR933" s="44"/>
    </row>
    <row r="934" spans="1:44" ht="16.8">
      <c r="A934" s="17" t="s">
        <v>2045</v>
      </c>
      <c r="B934" s="18"/>
      <c r="C934" s="18" t="s">
        <v>2042</v>
      </c>
      <c r="D934" s="19" t="s">
        <v>2043</v>
      </c>
      <c r="E934" s="20" t="s">
        <v>39</v>
      </c>
      <c r="F934" s="21">
        <v>1977</v>
      </c>
      <c r="G934" s="40">
        <v>2023</v>
      </c>
      <c r="H934" s="23">
        <v>1442379817752</v>
      </c>
      <c r="I934" s="23">
        <v>1968987502644</v>
      </c>
      <c r="J934" s="23">
        <v>1455025808961</v>
      </c>
      <c r="K934" s="23">
        <f t="shared" si="336"/>
        <v>1448454616393</v>
      </c>
      <c r="L934" s="23">
        <v>1385582925214</v>
      </c>
      <c r="M934" s="23">
        <f t="shared" si="324"/>
        <v>513961693683</v>
      </c>
      <c r="N934" s="23">
        <v>2522488165265</v>
      </c>
      <c r="O934" s="25">
        <f t="shared" si="243"/>
        <v>56796892538</v>
      </c>
      <c r="P934" s="23">
        <v>19983677351</v>
      </c>
      <c r="Q934" s="23">
        <f>242693738951+80396361653</f>
        <v>323090100604</v>
      </c>
      <c r="R934" s="25">
        <f t="shared" si="244"/>
        <v>2199398064661</v>
      </c>
      <c r="S934" s="26">
        <f t="shared" si="245"/>
        <v>0.73897158159061915</v>
      </c>
      <c r="T934" s="27">
        <f t="shared" si="246"/>
        <v>1.0409913340475294</v>
      </c>
      <c r="U934" s="26">
        <f t="shared" si="247"/>
        <v>28.308540568508004</v>
      </c>
      <c r="V934" s="26">
        <f t="shared" si="248"/>
        <v>1.7415030728036214</v>
      </c>
      <c r="W934" s="143"/>
      <c r="X934" s="143"/>
      <c r="Y934" s="143"/>
      <c r="Z934" s="30"/>
      <c r="AA934" s="31">
        <f t="shared" si="249"/>
        <v>46</v>
      </c>
      <c r="AB934" s="32">
        <v>3.2500000000000001E-2</v>
      </c>
      <c r="AC934" s="32">
        <v>5.0500000000000003E-2</v>
      </c>
      <c r="AD934" s="33">
        <f t="shared" si="289"/>
        <v>2.8845735415654938E-2</v>
      </c>
      <c r="AE934" s="34">
        <f t="shared" si="290"/>
        <v>1.0149214926029482E-2</v>
      </c>
      <c r="AF934" s="33">
        <f t="shared" si="291"/>
        <v>1.1170198194288179</v>
      </c>
      <c r="AG934" s="33">
        <f t="shared" si="292"/>
        <v>0</v>
      </c>
      <c r="AH934" s="35">
        <f t="shared" si="293"/>
        <v>1.7336380906303304</v>
      </c>
      <c r="AI934" s="36">
        <f t="shared" si="260"/>
        <v>5.4686272781406569</v>
      </c>
      <c r="AJ934" s="23"/>
      <c r="AK934" s="101">
        <v>184</v>
      </c>
      <c r="AL934" s="44"/>
      <c r="AM934" s="44"/>
      <c r="AN934" s="44"/>
      <c r="AO934" s="44"/>
      <c r="AP934" s="44"/>
      <c r="AQ934" s="44"/>
      <c r="AR934" s="44"/>
    </row>
    <row r="935" spans="1:44" ht="16.8">
      <c r="A935" s="18"/>
      <c r="B935" s="18">
        <v>364</v>
      </c>
      <c r="C935" s="18" t="s">
        <v>2046</v>
      </c>
      <c r="D935" s="19" t="s">
        <v>2047</v>
      </c>
      <c r="E935" s="20" t="s">
        <v>39</v>
      </c>
      <c r="F935" s="21">
        <v>1960</v>
      </c>
      <c r="G935" s="40">
        <v>2021</v>
      </c>
      <c r="H935" s="23">
        <v>69350690428</v>
      </c>
      <c r="I935" s="23">
        <v>102594672589</v>
      </c>
      <c r="J935" s="23">
        <v>23251584864</v>
      </c>
      <c r="K935" s="23">
        <f>(J935+19190121814)/2</f>
        <v>21220853339</v>
      </c>
      <c r="L935" s="23">
        <v>21452067866</v>
      </c>
      <c r="M935" s="23">
        <f t="shared" si="324"/>
        <v>79343087725</v>
      </c>
      <c r="N935" s="23">
        <v>182297057260</v>
      </c>
      <c r="O935" s="25">
        <f t="shared" si="243"/>
        <v>47898622562</v>
      </c>
      <c r="P935" s="23">
        <v>4599994194</v>
      </c>
      <c r="Q935" s="23">
        <f>12605168588+7492519730</f>
        <v>20097688318</v>
      </c>
      <c r="R935" s="25">
        <f t="shared" si="244"/>
        <v>162199368942</v>
      </c>
      <c r="S935" s="26">
        <f t="shared" si="245"/>
        <v>0.22663540198765633</v>
      </c>
      <c r="T935" s="27">
        <f t="shared" si="246"/>
        <v>3.2328207640027049</v>
      </c>
      <c r="U935" s="26">
        <f t="shared" si="247"/>
        <v>25.354051844251156</v>
      </c>
      <c r="V935" s="26">
        <f t="shared" si="248"/>
        <v>8.5904677982469142</v>
      </c>
      <c r="W935" s="143"/>
      <c r="X935" s="143"/>
      <c r="Y935" s="143"/>
      <c r="Z935" s="30">
        <f>W935*Y935</f>
        <v>0</v>
      </c>
      <c r="AA935" s="31">
        <f t="shared" si="249"/>
        <v>61</v>
      </c>
      <c r="AB935" s="32">
        <v>1.84E-2</v>
      </c>
      <c r="AC935" s="32">
        <v>2.58E-2</v>
      </c>
      <c r="AD935" s="33">
        <f t="shared" si="289"/>
        <v>0.46687241504132054</v>
      </c>
      <c r="AE935" s="34">
        <f t="shared" si="290"/>
        <v>4.4836579501821058E-2</v>
      </c>
      <c r="AF935" s="33">
        <f t="shared" si="291"/>
        <v>1.5809726260522294</v>
      </c>
      <c r="AG935" s="33">
        <f t="shared" si="292"/>
        <v>0</v>
      </c>
      <c r="AH935" s="35">
        <f t="shared" si="293"/>
        <v>7.8401992090546555</v>
      </c>
      <c r="AI935" s="36">
        <f t="shared" si="260"/>
        <v>13.680426984379146</v>
      </c>
      <c r="AJ935" s="23"/>
      <c r="AK935" s="101">
        <v>185</v>
      </c>
      <c r="AL935" s="44"/>
      <c r="AM935" s="44"/>
      <c r="AN935" s="44"/>
      <c r="AO935" s="44"/>
      <c r="AP935" s="44"/>
      <c r="AQ935" s="44"/>
      <c r="AR935" s="44"/>
    </row>
    <row r="936" spans="1:44" ht="16.8">
      <c r="A936" s="18"/>
      <c r="B936" s="18"/>
      <c r="C936" s="18" t="s">
        <v>2046</v>
      </c>
      <c r="D936" s="19" t="s">
        <v>2047</v>
      </c>
      <c r="E936" s="20" t="s">
        <v>39</v>
      </c>
      <c r="F936" s="21">
        <v>1960</v>
      </c>
      <c r="G936" s="40">
        <v>2022</v>
      </c>
      <c r="H936" s="23">
        <v>74486945695</v>
      </c>
      <c r="I936" s="23">
        <v>102513589108</v>
      </c>
      <c r="J936" s="23">
        <v>23653742630</v>
      </c>
      <c r="K936" s="23">
        <f t="shared" ref="K936:K937" si="337">(J936+J935)/2</f>
        <v>23452663747</v>
      </c>
      <c r="L936" s="23">
        <v>22854254624</v>
      </c>
      <c r="M936" s="23">
        <f t="shared" si="324"/>
        <v>78859846478</v>
      </c>
      <c r="N936" s="23">
        <v>184976277899</v>
      </c>
      <c r="O936" s="25">
        <f t="shared" si="243"/>
        <v>51632691071</v>
      </c>
      <c r="P936" s="23">
        <v>3449498173</v>
      </c>
      <c r="Q936" s="23">
        <f>13129423131+8241932304</f>
        <v>21371355435</v>
      </c>
      <c r="R936" s="25">
        <f t="shared" si="244"/>
        <v>163604922464</v>
      </c>
      <c r="S936" s="26">
        <f t="shared" si="245"/>
        <v>0.2307376303553311</v>
      </c>
      <c r="T936" s="27">
        <f t="shared" si="246"/>
        <v>3.2592157093051211</v>
      </c>
      <c r="U936" s="26">
        <f t="shared" si="247"/>
        <v>25.35326120340078</v>
      </c>
      <c r="V936" s="26">
        <f t="shared" si="248"/>
        <v>7.8872182663115042</v>
      </c>
      <c r="W936" s="143"/>
      <c r="X936" s="143"/>
      <c r="Y936" s="143"/>
      <c r="Z936" s="30"/>
      <c r="AA936" s="31">
        <f t="shared" si="249"/>
        <v>62</v>
      </c>
      <c r="AB936" s="32">
        <v>3.15E-2</v>
      </c>
      <c r="AC936" s="32">
        <v>8.0199999999999994E-2</v>
      </c>
      <c r="AD936" s="33">
        <f t="shared" si="289"/>
        <v>0.50366679696097638</v>
      </c>
      <c r="AE936" s="34">
        <f t="shared" si="290"/>
        <v>3.364917961623496E-2</v>
      </c>
      <c r="AF936" s="33">
        <f t="shared" si="291"/>
        <v>1.5959340014096972</v>
      </c>
      <c r="AG936" s="33">
        <f t="shared" si="292"/>
        <v>0</v>
      </c>
      <c r="AH936" s="35">
        <f t="shared" si="293"/>
        <v>7.8201695517053151</v>
      </c>
      <c r="AI936" s="36">
        <f t="shared" si="260"/>
        <v>13.738260764173216</v>
      </c>
      <c r="AJ936" s="23"/>
      <c r="AK936" s="101">
        <v>186</v>
      </c>
      <c r="AL936" s="44"/>
      <c r="AM936" s="44"/>
      <c r="AN936" s="44"/>
      <c r="AO936" s="44"/>
      <c r="AP936" s="44"/>
      <c r="AQ936" s="44"/>
      <c r="AR936" s="44"/>
    </row>
    <row r="937" spans="1:44" ht="16.8">
      <c r="A937" s="18"/>
      <c r="B937" s="18"/>
      <c r="C937" s="18" t="s">
        <v>2046</v>
      </c>
      <c r="D937" s="19" t="s">
        <v>2047</v>
      </c>
      <c r="E937" s="20" t="s">
        <v>39</v>
      </c>
      <c r="F937" s="21">
        <v>1960</v>
      </c>
      <c r="G937" s="40">
        <v>2023</v>
      </c>
      <c r="H937" s="23">
        <v>85810415919</v>
      </c>
      <c r="I937" s="23">
        <v>108919067372</v>
      </c>
      <c r="J937" s="23">
        <v>29552246439</v>
      </c>
      <c r="K937" s="23">
        <f t="shared" si="337"/>
        <v>26602994534.5</v>
      </c>
      <c r="L937" s="23">
        <v>29381314003</v>
      </c>
      <c r="M937" s="23">
        <f t="shared" si="324"/>
        <v>79366820933</v>
      </c>
      <c r="N937" s="23">
        <v>160833648267</v>
      </c>
      <c r="O937" s="25">
        <f t="shared" si="243"/>
        <v>56429101916</v>
      </c>
      <c r="P937" s="23">
        <v>4231511987</v>
      </c>
      <c r="Q937" s="23">
        <f>10880993523+6045329901</f>
        <v>16926323424</v>
      </c>
      <c r="R937" s="25">
        <f t="shared" si="244"/>
        <v>143907324843</v>
      </c>
      <c r="S937" s="26">
        <f t="shared" si="245"/>
        <v>0.2713229845979846</v>
      </c>
      <c r="T937" s="27">
        <f t="shared" si="246"/>
        <v>2.9205778853266491</v>
      </c>
      <c r="U937" s="26">
        <f t="shared" si="247"/>
        <v>25.413870942210721</v>
      </c>
      <c r="V937" s="26">
        <f t="shared" si="248"/>
        <v>6.0456971510640818</v>
      </c>
      <c r="W937" s="143"/>
      <c r="X937" s="143"/>
      <c r="Y937" s="143"/>
      <c r="Z937" s="30"/>
      <c r="AA937" s="31">
        <f t="shared" si="249"/>
        <v>63</v>
      </c>
      <c r="AB937" s="32">
        <v>3.2500000000000001E-2</v>
      </c>
      <c r="AC937" s="32">
        <v>5.0500000000000003E-2</v>
      </c>
      <c r="AD937" s="33">
        <f t="shared" si="289"/>
        <v>0.51808285984742397</v>
      </c>
      <c r="AE937" s="34">
        <f t="shared" si="290"/>
        <v>3.885005710292927E-2</v>
      </c>
      <c r="AF937" s="33">
        <f t="shared" si="291"/>
        <v>1.3212317027238381</v>
      </c>
      <c r="AG937" s="33">
        <f t="shared" si="292"/>
        <v>0</v>
      </c>
      <c r="AH937" s="35">
        <f t="shared" si="293"/>
        <v>5.4423493184852569</v>
      </c>
      <c r="AI937" s="36">
        <f t="shared" si="260"/>
        <v>10.478503449234932</v>
      </c>
      <c r="AJ937" s="23"/>
      <c r="AK937" s="101">
        <v>187</v>
      </c>
      <c r="AL937" s="44"/>
      <c r="AM937" s="44"/>
      <c r="AN937" s="44"/>
      <c r="AO937" s="44"/>
      <c r="AP937" s="44"/>
      <c r="AQ937" s="44"/>
      <c r="AR937" s="44"/>
    </row>
    <row r="938" spans="1:44" ht="16.8">
      <c r="A938" s="45"/>
      <c r="B938" s="45">
        <v>365</v>
      </c>
      <c r="C938" s="45" t="s">
        <v>2048</v>
      </c>
      <c r="D938" s="46" t="s">
        <v>2049</v>
      </c>
      <c r="E938" s="47" t="s">
        <v>39</v>
      </c>
      <c r="F938" s="48"/>
      <c r="G938" s="48"/>
      <c r="H938" s="49"/>
      <c r="I938" s="49"/>
      <c r="J938" s="49"/>
      <c r="K938" s="49"/>
      <c r="L938" s="49"/>
      <c r="M938" s="49">
        <f t="shared" si="324"/>
        <v>0</v>
      </c>
      <c r="N938" s="49"/>
      <c r="O938" s="49">
        <f t="shared" si="243"/>
        <v>0</v>
      </c>
      <c r="P938" s="49"/>
      <c r="Q938" s="49"/>
      <c r="R938" s="49">
        <f t="shared" si="244"/>
        <v>0</v>
      </c>
      <c r="S938" s="50" t="e">
        <f t="shared" si="245"/>
        <v>#DIV/0!</v>
      </c>
      <c r="T938" s="51" t="e">
        <f t="shared" si="246"/>
        <v>#DIV/0!</v>
      </c>
      <c r="U938" s="50" t="e">
        <f t="shared" si="247"/>
        <v>#NUM!</v>
      </c>
      <c r="V938" s="50" t="e">
        <f t="shared" si="248"/>
        <v>#DIV/0!</v>
      </c>
      <c r="W938" s="52"/>
      <c r="X938" s="52"/>
      <c r="Y938" s="52"/>
      <c r="Z938" s="55">
        <f t="shared" ref="Z938:Z941" si="338">W938*Y938</f>
        <v>0</v>
      </c>
      <c r="AA938" s="48">
        <f t="shared" si="249"/>
        <v>0</v>
      </c>
      <c r="AB938" s="49"/>
      <c r="AC938" s="49"/>
      <c r="AD938" s="50" t="e">
        <f t="shared" si="289"/>
        <v>#DIV/0!</v>
      </c>
      <c r="AE938" s="56" t="e">
        <f t="shared" si="290"/>
        <v>#DIV/0!</v>
      </c>
      <c r="AF938" s="50" t="e">
        <f t="shared" si="291"/>
        <v>#DIV/0!</v>
      </c>
      <c r="AG938" s="50" t="e">
        <f t="shared" si="292"/>
        <v>#DIV/0!</v>
      </c>
      <c r="AH938" s="57" t="e">
        <f t="shared" si="293"/>
        <v>#DIV/0!</v>
      </c>
      <c r="AI938" s="58" t="e">
        <f t="shared" si="260"/>
        <v>#DIV/0!</v>
      </c>
      <c r="AJ938" s="49"/>
      <c r="AK938" s="49">
        <v>188</v>
      </c>
      <c r="AL938" s="59"/>
      <c r="AM938" s="59"/>
      <c r="AN938" s="59"/>
      <c r="AO938" s="59"/>
      <c r="AP938" s="59"/>
      <c r="AQ938" s="59"/>
      <c r="AR938" s="59"/>
    </row>
    <row r="939" spans="1:44" ht="16.8">
      <c r="A939" s="145"/>
      <c r="B939" s="145">
        <v>366</v>
      </c>
      <c r="C939" s="145" t="s">
        <v>2050</v>
      </c>
      <c r="D939" s="146" t="s">
        <v>2051</v>
      </c>
      <c r="E939" s="147" t="s">
        <v>178</v>
      </c>
      <c r="F939" s="148"/>
      <c r="G939" s="148"/>
      <c r="H939" s="149"/>
      <c r="I939" s="149"/>
      <c r="J939" s="149"/>
      <c r="K939" s="149"/>
      <c r="L939" s="149"/>
      <c r="M939" s="149">
        <f t="shared" si="324"/>
        <v>0</v>
      </c>
      <c r="N939" s="149"/>
      <c r="O939" s="149">
        <f t="shared" si="243"/>
        <v>0</v>
      </c>
      <c r="P939" s="149"/>
      <c r="Q939" s="149"/>
      <c r="R939" s="149">
        <f t="shared" si="244"/>
        <v>0</v>
      </c>
      <c r="S939" s="150" t="e">
        <f t="shared" si="245"/>
        <v>#DIV/0!</v>
      </c>
      <c r="T939" s="151" t="e">
        <f t="shared" si="246"/>
        <v>#DIV/0!</v>
      </c>
      <c r="U939" s="150" t="e">
        <f t="shared" si="247"/>
        <v>#NUM!</v>
      </c>
      <c r="V939" s="150" t="e">
        <f t="shared" si="248"/>
        <v>#DIV/0!</v>
      </c>
      <c r="W939" s="152"/>
      <c r="X939" s="152"/>
      <c r="Y939" s="152"/>
      <c r="Z939" s="153">
        <f t="shared" si="338"/>
        <v>0</v>
      </c>
      <c r="AA939" s="148">
        <f t="shared" si="249"/>
        <v>0</v>
      </c>
      <c r="AB939" s="149"/>
      <c r="AC939" s="149"/>
      <c r="AD939" s="150" t="e">
        <f t="shared" si="289"/>
        <v>#DIV/0!</v>
      </c>
      <c r="AE939" s="154" t="e">
        <f t="shared" si="290"/>
        <v>#DIV/0!</v>
      </c>
      <c r="AF939" s="150" t="e">
        <f t="shared" si="291"/>
        <v>#DIV/0!</v>
      </c>
      <c r="AG939" s="150" t="e">
        <f t="shared" si="292"/>
        <v>#DIV/0!</v>
      </c>
      <c r="AH939" s="155" t="e">
        <f t="shared" si="293"/>
        <v>#DIV/0!</v>
      </c>
      <c r="AI939" s="156" t="e">
        <f t="shared" si="260"/>
        <v>#DIV/0!</v>
      </c>
      <c r="AJ939" s="149"/>
      <c r="AK939" s="149"/>
      <c r="AL939" s="157"/>
      <c r="AM939" s="157"/>
      <c r="AN939" s="157"/>
      <c r="AO939" s="157"/>
      <c r="AP939" s="157"/>
      <c r="AQ939" s="157"/>
      <c r="AR939" s="157"/>
    </row>
    <row r="940" spans="1:44" ht="16.8">
      <c r="A940" s="45"/>
      <c r="B940" s="45">
        <v>367</v>
      </c>
      <c r="C940" s="45" t="s">
        <v>2052</v>
      </c>
      <c r="D940" s="46" t="s">
        <v>2053</v>
      </c>
      <c r="E940" s="47" t="s">
        <v>178</v>
      </c>
      <c r="F940" s="48"/>
      <c r="G940" s="48"/>
      <c r="H940" s="49"/>
      <c r="I940" s="49"/>
      <c r="J940" s="49"/>
      <c r="K940" s="49"/>
      <c r="L940" s="49"/>
      <c r="M940" s="49"/>
      <c r="N940" s="49"/>
      <c r="O940" s="49">
        <f t="shared" si="243"/>
        <v>0</v>
      </c>
      <c r="P940" s="49"/>
      <c r="Q940" s="49"/>
      <c r="R940" s="49">
        <f t="shared" si="244"/>
        <v>0</v>
      </c>
      <c r="S940" s="50" t="e">
        <f t="shared" si="245"/>
        <v>#DIV/0!</v>
      </c>
      <c r="T940" s="51" t="e">
        <f t="shared" si="246"/>
        <v>#DIV/0!</v>
      </c>
      <c r="U940" s="50" t="e">
        <f t="shared" si="247"/>
        <v>#NUM!</v>
      </c>
      <c r="V940" s="50" t="e">
        <f t="shared" si="248"/>
        <v>#DIV/0!</v>
      </c>
      <c r="W940" s="52"/>
      <c r="X940" s="52"/>
      <c r="Y940" s="52"/>
      <c r="Z940" s="55">
        <f t="shared" si="338"/>
        <v>0</v>
      </c>
      <c r="AA940" s="48">
        <f t="shared" si="249"/>
        <v>0</v>
      </c>
      <c r="AB940" s="49"/>
      <c r="AC940" s="49"/>
      <c r="AD940" s="50" t="e">
        <f t="shared" si="289"/>
        <v>#DIV/0!</v>
      </c>
      <c r="AE940" s="56" t="e">
        <f t="shared" si="290"/>
        <v>#DIV/0!</v>
      </c>
      <c r="AF940" s="50" t="e">
        <f t="shared" si="291"/>
        <v>#DIV/0!</v>
      </c>
      <c r="AG940" s="50" t="e">
        <f t="shared" si="292"/>
        <v>#DIV/0!</v>
      </c>
      <c r="AH940" s="57" t="e">
        <f t="shared" si="293"/>
        <v>#DIV/0!</v>
      </c>
      <c r="AI940" s="58" t="e">
        <f t="shared" si="260"/>
        <v>#DIV/0!</v>
      </c>
      <c r="AJ940" s="49"/>
      <c r="AK940" s="49"/>
      <c r="AL940" s="59"/>
      <c r="AM940" s="59"/>
      <c r="AN940" s="59"/>
      <c r="AO940" s="59"/>
      <c r="AP940" s="59"/>
      <c r="AQ940" s="59"/>
      <c r="AR940" s="59"/>
    </row>
    <row r="941" spans="1:44" ht="16.8">
      <c r="A941" s="64" t="s">
        <v>2054</v>
      </c>
      <c r="B941" s="62">
        <v>368</v>
      </c>
      <c r="C941" s="62" t="s">
        <v>2055</v>
      </c>
      <c r="D941" s="19" t="s">
        <v>2056</v>
      </c>
      <c r="E941" s="20" t="s">
        <v>39</v>
      </c>
      <c r="F941" s="21">
        <v>1973</v>
      </c>
      <c r="G941" s="40">
        <v>2021</v>
      </c>
      <c r="H941" s="23">
        <v>151943445335</v>
      </c>
      <c r="I941" s="23">
        <v>178406796544</v>
      </c>
      <c r="J941" s="23">
        <v>56549461626</v>
      </c>
      <c r="K941" s="23">
        <f>(J941+78033736720)/2</f>
        <v>67291599173</v>
      </c>
      <c r="L941" s="23">
        <v>54394461626</v>
      </c>
      <c r="M941" s="23">
        <v>121857334918</v>
      </c>
      <c r="N941" s="23">
        <v>241454522279</v>
      </c>
      <c r="O941" s="25">
        <f t="shared" si="243"/>
        <v>97548983709</v>
      </c>
      <c r="P941" s="23">
        <v>12691345927</v>
      </c>
      <c r="Q941" s="23">
        <f>8502784565+16494186804</f>
        <v>24996971369</v>
      </c>
      <c r="R941" s="25">
        <f t="shared" si="244"/>
        <v>216457550910</v>
      </c>
      <c r="S941" s="26">
        <f t="shared" si="245"/>
        <v>0.31696921149555729</v>
      </c>
      <c r="T941" s="27">
        <f t="shared" si="246"/>
        <v>2.7933624268536299</v>
      </c>
      <c r="U941" s="26">
        <f t="shared" si="247"/>
        <v>25.907332153586371</v>
      </c>
      <c r="V941" s="26">
        <f t="shared" si="248"/>
        <v>3.5881822582079597</v>
      </c>
      <c r="W941" s="143"/>
      <c r="X941" s="143"/>
      <c r="Y941" s="143"/>
      <c r="Z941" s="30">
        <f t="shared" si="338"/>
        <v>0</v>
      </c>
      <c r="AA941" s="31">
        <f t="shared" si="249"/>
        <v>48</v>
      </c>
      <c r="AB941" s="32">
        <v>1.84E-2</v>
      </c>
      <c r="AC941" s="32">
        <v>2.58E-2</v>
      </c>
      <c r="AD941" s="33">
        <f t="shared" si="289"/>
        <v>0.5467784052999447</v>
      </c>
      <c r="AE941" s="34">
        <f t="shared" si="290"/>
        <v>7.1137121302830897E-2</v>
      </c>
      <c r="AF941" s="33">
        <f t="shared" si="291"/>
        <v>1.2132808564645441</v>
      </c>
      <c r="AG941" s="33">
        <f t="shared" si="292"/>
        <v>0</v>
      </c>
      <c r="AH941" s="35">
        <f t="shared" si="293"/>
        <v>4.2697934752394771</v>
      </c>
      <c r="AI941" s="36">
        <f t="shared" si="260"/>
        <v>9.0293463577563688</v>
      </c>
      <c r="AJ941" s="23"/>
      <c r="AK941" s="101">
        <v>189</v>
      </c>
      <c r="AL941" s="44"/>
      <c r="AM941" s="44"/>
      <c r="AN941" s="44"/>
      <c r="AO941" s="44"/>
      <c r="AP941" s="44"/>
      <c r="AQ941" s="44"/>
      <c r="AR941" s="44"/>
    </row>
    <row r="942" spans="1:44" ht="16.8">
      <c r="A942" s="64" t="s">
        <v>2057</v>
      </c>
      <c r="B942" s="62"/>
      <c r="C942" s="62" t="s">
        <v>2055</v>
      </c>
      <c r="D942" s="19" t="s">
        <v>2056</v>
      </c>
      <c r="E942" s="20" t="s">
        <v>39</v>
      </c>
      <c r="F942" s="21">
        <v>1973</v>
      </c>
      <c r="G942" s="40">
        <v>2022</v>
      </c>
      <c r="H942" s="23">
        <v>160840706180</v>
      </c>
      <c r="I942" s="23">
        <v>183338853396</v>
      </c>
      <c r="J942" s="23">
        <v>60829743133</v>
      </c>
      <c r="K942" s="23">
        <f t="shared" ref="K942:K943" si="339">SUM(J941:J942)/2</f>
        <v>58689602379.5</v>
      </c>
      <c r="L942" s="23">
        <v>58754743133</v>
      </c>
      <c r="M942" s="23">
        <v>122509110263</v>
      </c>
      <c r="N942" s="23">
        <v>317276018725</v>
      </c>
      <c r="O942" s="25">
        <f t="shared" si="243"/>
        <v>102085963047</v>
      </c>
      <c r="P942" s="23">
        <v>11506605654</v>
      </c>
      <c r="Q942" s="23">
        <f>10215064485+15720905743</f>
        <v>25935970228</v>
      </c>
      <c r="R942" s="25">
        <f t="shared" si="244"/>
        <v>291340048497</v>
      </c>
      <c r="S942" s="26">
        <f t="shared" si="245"/>
        <v>0.33178860894047218</v>
      </c>
      <c r="T942" s="27">
        <f t="shared" si="246"/>
        <v>2.7374931384843846</v>
      </c>
      <c r="U942" s="26">
        <f t="shared" si="247"/>
        <v>25.934601935484267</v>
      </c>
      <c r="V942" s="26">
        <f t="shared" si="248"/>
        <v>5.4060004815405431</v>
      </c>
      <c r="W942" s="143"/>
      <c r="X942" s="143"/>
      <c r="Y942" s="143"/>
      <c r="Z942" s="30"/>
      <c r="AA942" s="31">
        <f t="shared" si="249"/>
        <v>49</v>
      </c>
      <c r="AB942" s="32">
        <v>3.15E-2</v>
      </c>
      <c r="AC942" s="32">
        <v>8.0199999999999994E-2</v>
      </c>
      <c r="AD942" s="33">
        <f t="shared" si="289"/>
        <v>0.55681576030423274</v>
      </c>
      <c r="AE942" s="34">
        <f t="shared" si="290"/>
        <v>6.2761413856704334E-2</v>
      </c>
      <c r="AF942" s="33">
        <f t="shared" si="291"/>
        <v>1.5890796909683103</v>
      </c>
      <c r="AG942" s="33">
        <f t="shared" si="292"/>
        <v>0</v>
      </c>
      <c r="AH942" s="35">
        <f t="shared" si="293"/>
        <v>5.215804019282114</v>
      </c>
      <c r="AI942" s="36">
        <f t="shared" si="260"/>
        <v>11.215811891242002</v>
      </c>
      <c r="AJ942" s="23"/>
      <c r="AK942" s="101">
        <v>190</v>
      </c>
      <c r="AL942" s="44"/>
      <c r="AM942" s="44"/>
      <c r="AN942" s="44"/>
      <c r="AO942" s="44"/>
      <c r="AP942" s="44"/>
      <c r="AQ942" s="44"/>
      <c r="AR942" s="44"/>
    </row>
    <row r="943" spans="1:44" ht="16.8">
      <c r="A943" s="64" t="s">
        <v>2058</v>
      </c>
      <c r="B943" s="62"/>
      <c r="C943" s="62" t="s">
        <v>2055</v>
      </c>
      <c r="D943" s="19" t="s">
        <v>2056</v>
      </c>
      <c r="E943" s="20" t="s">
        <v>39</v>
      </c>
      <c r="F943" s="21">
        <v>1973</v>
      </c>
      <c r="G943" s="40">
        <v>2023</v>
      </c>
      <c r="H943" s="23">
        <v>169617549112</v>
      </c>
      <c r="I943" s="23">
        <v>186974980404</v>
      </c>
      <c r="J943" s="23">
        <v>67134163256</v>
      </c>
      <c r="K943" s="23">
        <f t="shared" si="339"/>
        <v>63981953194.5</v>
      </c>
      <c r="L943" s="23">
        <v>65099163256</v>
      </c>
      <c r="M943" s="23">
        <v>119840817148</v>
      </c>
      <c r="N943" s="23">
        <v>229915349313</v>
      </c>
      <c r="O943" s="25">
        <f t="shared" si="243"/>
        <v>104518385856</v>
      </c>
      <c r="P943" s="23">
        <v>7573602042</v>
      </c>
      <c r="Q943" s="23">
        <f>7372143771+16064839193</f>
        <v>23436982964</v>
      </c>
      <c r="R943" s="25">
        <f t="shared" si="244"/>
        <v>206478366349</v>
      </c>
      <c r="S943" s="26">
        <f t="shared" si="245"/>
        <v>0.35905426015257269</v>
      </c>
      <c r="T943" s="27">
        <f t="shared" si="246"/>
        <v>2.605525795239263</v>
      </c>
      <c r="U943" s="26">
        <f t="shared" si="247"/>
        <v>25.954240650218683</v>
      </c>
      <c r="V943" s="26">
        <f t="shared" si="248"/>
        <v>3.5934406162011934</v>
      </c>
      <c r="W943" s="143"/>
      <c r="X943" s="143"/>
      <c r="Y943" s="143"/>
      <c r="Z943" s="30"/>
      <c r="AA943" s="31">
        <f t="shared" si="249"/>
        <v>50</v>
      </c>
      <c r="AB943" s="32">
        <v>3.2500000000000001E-2</v>
      </c>
      <c r="AC943" s="32">
        <v>5.0500000000000003E-2</v>
      </c>
      <c r="AD943" s="33">
        <f t="shared" si="289"/>
        <v>0.55899664024654716</v>
      </c>
      <c r="AE943" s="34">
        <f t="shared" si="290"/>
        <v>4.0505965159806888E-2</v>
      </c>
      <c r="AF943" s="33">
        <f t="shared" si="291"/>
        <v>1.1043101376604436</v>
      </c>
      <c r="AG943" s="33">
        <f t="shared" si="292"/>
        <v>0</v>
      </c>
      <c r="AH943" s="35">
        <f t="shared" si="293"/>
        <v>3.4247146037446399</v>
      </c>
      <c r="AI943" s="36">
        <f t="shared" si="260"/>
        <v>7.7964423775436895</v>
      </c>
      <c r="AJ943" s="23"/>
      <c r="AK943" s="101">
        <v>191</v>
      </c>
      <c r="AL943" s="44"/>
      <c r="AM943" s="44"/>
      <c r="AN943" s="44"/>
      <c r="AO943" s="44"/>
      <c r="AP943" s="44"/>
      <c r="AQ943" s="44"/>
      <c r="AR943" s="44"/>
    </row>
    <row r="944" spans="1:44" ht="16.8">
      <c r="A944" s="64" t="s">
        <v>2059</v>
      </c>
      <c r="B944" s="62">
        <v>369</v>
      </c>
      <c r="C944" s="62" t="s">
        <v>2060</v>
      </c>
      <c r="D944" s="19" t="s">
        <v>2061</v>
      </c>
      <c r="E944" s="20" t="s">
        <v>39</v>
      </c>
      <c r="F944" s="21">
        <v>1994</v>
      </c>
      <c r="G944" s="40">
        <v>2021</v>
      </c>
      <c r="H944" s="23">
        <v>542593076679</v>
      </c>
      <c r="I944" s="23">
        <v>684903163338</v>
      </c>
      <c r="J944" s="23">
        <v>276228528843</v>
      </c>
      <c r="K944" s="23">
        <f>(J943:J944+107390906091)/2</f>
        <v>191809717467</v>
      </c>
      <c r="L944" s="23">
        <v>265218528843</v>
      </c>
      <c r="M944" s="23">
        <v>408674634495</v>
      </c>
      <c r="N944" s="23">
        <v>252043185052</v>
      </c>
      <c r="O944" s="25">
        <f t="shared" si="243"/>
        <v>277374547836</v>
      </c>
      <c r="P944" s="23">
        <v>722956563</v>
      </c>
      <c r="Q944" s="23">
        <f>4206629170+392683922</f>
        <v>4599313092</v>
      </c>
      <c r="R944" s="25">
        <f t="shared" si="244"/>
        <v>247443871960</v>
      </c>
      <c r="S944" s="26">
        <f t="shared" si="245"/>
        <v>0.4033103417083812</v>
      </c>
      <c r="T944" s="27">
        <f t="shared" si="246"/>
        <v>2.0458339733880204</v>
      </c>
      <c r="U944" s="26">
        <f t="shared" si="247"/>
        <v>27.252543297825543</v>
      </c>
      <c r="V944" s="26">
        <f t="shared" si="248"/>
        <v>1.3140271951829703</v>
      </c>
      <c r="W944" s="143"/>
      <c r="X944" s="143"/>
      <c r="Y944" s="143"/>
      <c r="Z944" s="30">
        <f>W944*Y944</f>
        <v>0</v>
      </c>
      <c r="AA944" s="31">
        <f t="shared" si="249"/>
        <v>27</v>
      </c>
      <c r="AB944" s="32">
        <v>1.84E-2</v>
      </c>
      <c r="AC944" s="32">
        <v>2.58E-2</v>
      </c>
      <c r="AD944" s="33">
        <f t="shared" si="289"/>
        <v>0.40498359868008893</v>
      </c>
      <c r="AE944" s="34">
        <f t="shared" si="290"/>
        <v>1.0555602626750034E-3</v>
      </c>
      <c r="AF944" s="33">
        <f t="shared" si="291"/>
        <v>0.36128300350379072</v>
      </c>
      <c r="AG944" s="33">
        <f t="shared" si="292"/>
        <v>0</v>
      </c>
      <c r="AH944" s="35">
        <f t="shared" si="293"/>
        <v>0.9124444390581169</v>
      </c>
      <c r="AI944" s="36">
        <f t="shared" si="260"/>
        <v>2.592136453404478</v>
      </c>
      <c r="AJ944" s="23"/>
      <c r="AK944" s="101">
        <v>192</v>
      </c>
      <c r="AL944" s="44"/>
      <c r="AM944" s="44"/>
      <c r="AN944" s="44"/>
      <c r="AO944" s="44"/>
      <c r="AP944" s="44"/>
      <c r="AQ944" s="44"/>
      <c r="AR944" s="44"/>
    </row>
    <row r="945" spans="1:44" ht="16.8">
      <c r="A945" s="64" t="s">
        <v>2062</v>
      </c>
      <c r="B945" s="62"/>
      <c r="C945" s="62" t="s">
        <v>2060</v>
      </c>
      <c r="D945" s="19" t="s">
        <v>2061</v>
      </c>
      <c r="E945" s="20" t="s">
        <v>39</v>
      </c>
      <c r="F945" s="21">
        <v>1994</v>
      </c>
      <c r="G945" s="40">
        <v>2022</v>
      </c>
      <c r="H945" s="23">
        <v>714010125435</v>
      </c>
      <c r="I945" s="23">
        <v>786522903524</v>
      </c>
      <c r="J945" s="23">
        <v>379651899524</v>
      </c>
      <c r="K945" s="23">
        <f t="shared" ref="K945:K946" si="340">SUM(J944:J945)/2</f>
        <v>327940214183.5</v>
      </c>
      <c r="L945" s="23">
        <v>379651899524</v>
      </c>
      <c r="M945" s="23">
        <v>406871004000</v>
      </c>
      <c r="N945" s="23">
        <v>462548615697</v>
      </c>
      <c r="O945" s="25">
        <f t="shared" si="243"/>
        <v>334358225911</v>
      </c>
      <c r="P945" s="23">
        <v>-1803630495</v>
      </c>
      <c r="Q945" s="23">
        <f>6565910564+6312104910</f>
        <v>12878015474</v>
      </c>
      <c r="R945" s="25">
        <f t="shared" si="244"/>
        <v>449670600223</v>
      </c>
      <c r="S945" s="26">
        <f t="shared" si="245"/>
        <v>0.48269655953180424</v>
      </c>
      <c r="T945" s="27">
        <f t="shared" si="246"/>
        <v>1.8806968339423868</v>
      </c>
      <c r="U945" s="26">
        <f t="shared" si="247"/>
        <v>27.390887679839558</v>
      </c>
      <c r="V945" s="26">
        <f t="shared" si="248"/>
        <v>1.4104662852911947</v>
      </c>
      <c r="W945" s="143"/>
      <c r="X945" s="143"/>
      <c r="Y945" s="143"/>
      <c r="Z945" s="30"/>
      <c r="AA945" s="31">
        <f t="shared" si="249"/>
        <v>28</v>
      </c>
      <c r="AB945" s="32">
        <v>3.15E-2</v>
      </c>
      <c r="AC945" s="32">
        <v>8.0199999999999994E-2</v>
      </c>
      <c r="AD945" s="33">
        <f t="shared" si="289"/>
        <v>0.42510933173454291</v>
      </c>
      <c r="AE945" s="34">
        <f t="shared" si="290"/>
        <v>-2.2931697054451561E-3</v>
      </c>
      <c r="AF945" s="33">
        <f t="shared" si="291"/>
        <v>0.57171965140272452</v>
      </c>
      <c r="AG945" s="33">
        <f t="shared" si="292"/>
        <v>0</v>
      </c>
      <c r="AH945" s="35">
        <f t="shared" si="293"/>
        <v>1.2183492727862926</v>
      </c>
      <c r="AI945" s="36">
        <f t="shared" si="260"/>
        <v>3.6119448829091119</v>
      </c>
      <c r="AJ945" s="23"/>
      <c r="AK945" s="101">
        <v>193</v>
      </c>
      <c r="AL945" s="44"/>
      <c r="AM945" s="44"/>
      <c r="AN945" s="44"/>
      <c r="AO945" s="44"/>
      <c r="AP945" s="44"/>
      <c r="AQ945" s="44"/>
      <c r="AR945" s="44"/>
    </row>
    <row r="946" spans="1:44" ht="16.8">
      <c r="A946" s="64" t="s">
        <v>2063</v>
      </c>
      <c r="B946" s="62"/>
      <c r="C946" s="62" t="s">
        <v>2060</v>
      </c>
      <c r="D946" s="19" t="s">
        <v>2061</v>
      </c>
      <c r="E946" s="20" t="s">
        <v>39</v>
      </c>
      <c r="F946" s="21">
        <v>1994</v>
      </c>
      <c r="G946" s="40">
        <v>2023</v>
      </c>
      <c r="H946" s="23">
        <v>646564587310</v>
      </c>
      <c r="I946" s="23">
        <v>657061059752</v>
      </c>
      <c r="J946" s="23">
        <v>230881370750</v>
      </c>
      <c r="K946" s="23">
        <f t="shared" si="340"/>
        <v>305266635137</v>
      </c>
      <c r="L946" s="23">
        <v>230881370750</v>
      </c>
      <c r="M946" s="23">
        <v>426179689002</v>
      </c>
      <c r="N946" s="23">
        <v>857764962485</v>
      </c>
      <c r="O946" s="25">
        <f t="shared" si="243"/>
        <v>415683216560</v>
      </c>
      <c r="P946" s="23">
        <v>19308685002</v>
      </c>
      <c r="Q946" s="23">
        <f>52089379873+2192818048</f>
        <v>54282197921</v>
      </c>
      <c r="R946" s="25">
        <f t="shared" si="244"/>
        <v>803482764564</v>
      </c>
      <c r="S946" s="26">
        <f t="shared" si="245"/>
        <v>0.3513849547516078</v>
      </c>
      <c r="T946" s="27">
        <f t="shared" si="246"/>
        <v>2.800419042946972</v>
      </c>
      <c r="U946" s="26">
        <f t="shared" si="247"/>
        <v>27.211042788330282</v>
      </c>
      <c r="V946" s="26">
        <f t="shared" si="248"/>
        <v>2.80988769735692</v>
      </c>
      <c r="W946" s="143"/>
      <c r="X946" s="143"/>
      <c r="Y946" s="143"/>
      <c r="Z946" s="30"/>
      <c r="AA946" s="31">
        <f t="shared" si="249"/>
        <v>29</v>
      </c>
      <c r="AB946" s="32">
        <v>3.2500000000000001E-2</v>
      </c>
      <c r="AC946" s="32">
        <v>5.0500000000000003E-2</v>
      </c>
      <c r="AD946" s="33">
        <f t="shared" si="289"/>
        <v>0.63264016393985478</v>
      </c>
      <c r="AE946" s="34">
        <f t="shared" si="290"/>
        <v>2.9386439380972958E-2</v>
      </c>
      <c r="AF946" s="33">
        <f t="shared" si="291"/>
        <v>1.2228433760285005</v>
      </c>
      <c r="AG946" s="33">
        <f t="shared" si="292"/>
        <v>0</v>
      </c>
      <c r="AH946" s="35">
        <f t="shared" si="293"/>
        <v>3.7151761517121016</v>
      </c>
      <c r="AI946" s="36">
        <f t="shared" si="260"/>
        <v>8.5508685044673403</v>
      </c>
      <c r="AJ946" s="23"/>
      <c r="AK946" s="101">
        <v>194</v>
      </c>
      <c r="AL946" s="44"/>
      <c r="AM946" s="44"/>
      <c r="AN946" s="44"/>
      <c r="AO946" s="44"/>
      <c r="AP946" s="44"/>
      <c r="AQ946" s="44"/>
      <c r="AR946" s="44"/>
    </row>
    <row r="947" spans="1:44" ht="16.8">
      <c r="A947" s="64" t="s">
        <v>2064</v>
      </c>
      <c r="B947" s="62">
        <v>370</v>
      </c>
      <c r="C947" s="62" t="s">
        <v>2065</v>
      </c>
      <c r="D947" s="19" t="s">
        <v>2066</v>
      </c>
      <c r="E947" s="20" t="s">
        <v>178</v>
      </c>
      <c r="F947" s="21">
        <v>2003</v>
      </c>
      <c r="G947" s="40">
        <v>2021</v>
      </c>
      <c r="H947" s="23">
        <v>21947547992</v>
      </c>
      <c r="I947" s="23">
        <v>80085904467</v>
      </c>
      <c r="J947" s="23">
        <v>11241347966</v>
      </c>
      <c r="K947" s="23">
        <f>(J947+11267697139)/2</f>
        <v>11254522552.5</v>
      </c>
      <c r="L947" s="23">
        <v>11241347966</v>
      </c>
      <c r="M947" s="23">
        <v>68844556501</v>
      </c>
      <c r="N947" s="23">
        <v>5836397901</v>
      </c>
      <c r="O947" s="25">
        <f t="shared" si="243"/>
        <v>10706200026</v>
      </c>
      <c r="P947" s="23">
        <v>782044216</v>
      </c>
      <c r="Q947" s="23">
        <f>233900700+1416433248</f>
        <v>1650333948</v>
      </c>
      <c r="R947" s="25">
        <f t="shared" si="244"/>
        <v>4186063953</v>
      </c>
      <c r="S947" s="26">
        <f t="shared" si="245"/>
        <v>0.14036612361207809</v>
      </c>
      <c r="T947" s="27">
        <f t="shared" si="246"/>
        <v>1.9523946824154379</v>
      </c>
      <c r="U947" s="26">
        <f t="shared" si="247"/>
        <v>25.106365701340692</v>
      </c>
      <c r="V947" s="26">
        <f t="shared" si="248"/>
        <v>0.5185824519675909</v>
      </c>
      <c r="W947" s="143"/>
      <c r="X947" s="143"/>
      <c r="Y947" s="143"/>
      <c r="Z947" s="30">
        <f>W947*Y947</f>
        <v>0</v>
      </c>
      <c r="AA947" s="31">
        <f t="shared" si="249"/>
        <v>18</v>
      </c>
      <c r="AB947" s="32">
        <v>1.84E-2</v>
      </c>
      <c r="AC947" s="32">
        <v>2.58E-2</v>
      </c>
      <c r="AD947" s="33">
        <f t="shared" si="289"/>
        <v>0.13368394971941125</v>
      </c>
      <c r="AE947" s="34">
        <f t="shared" si="290"/>
        <v>9.7650669141440133E-3</v>
      </c>
      <c r="AF947" s="33">
        <f t="shared" si="291"/>
        <v>5.2269671933653436E-2</v>
      </c>
      <c r="AG947" s="33">
        <f t="shared" si="292"/>
        <v>0</v>
      </c>
      <c r="AH947" s="35">
        <f t="shared" si="293"/>
        <v>0.51919021799275922</v>
      </c>
      <c r="AI947" s="36">
        <f t="shared" si="260"/>
        <v>0.86577196871691064</v>
      </c>
      <c r="AJ947" s="23"/>
      <c r="AK947" s="23"/>
      <c r="AL947" s="44"/>
      <c r="AM947" s="44"/>
      <c r="AN947" s="44"/>
      <c r="AO947" s="44"/>
      <c r="AP947" s="44"/>
      <c r="AQ947" s="44"/>
      <c r="AR947" s="44"/>
    </row>
    <row r="948" spans="1:44" ht="16.8">
      <c r="A948" s="64" t="s">
        <v>2067</v>
      </c>
      <c r="B948" s="62"/>
      <c r="C948" s="62" t="s">
        <v>2065</v>
      </c>
      <c r="D948" s="19" t="s">
        <v>2066</v>
      </c>
      <c r="E948" s="20" t="s">
        <v>178</v>
      </c>
      <c r="F948" s="21">
        <v>2003</v>
      </c>
      <c r="G948" s="40">
        <v>2022</v>
      </c>
      <c r="H948" s="23">
        <v>20415327254</v>
      </c>
      <c r="I948" s="23">
        <v>76060858067</v>
      </c>
      <c r="J948" s="23">
        <v>9513990815</v>
      </c>
      <c r="K948" s="23">
        <f>SUM(J947:J948)/2</f>
        <v>10377669390.5</v>
      </c>
      <c r="L948" s="23">
        <v>8113990815</v>
      </c>
      <c r="M948" s="23">
        <v>66546867252</v>
      </c>
      <c r="N948" s="23">
        <v>5209036950</v>
      </c>
      <c r="O948" s="25">
        <f t="shared" si="243"/>
        <v>12301336439</v>
      </c>
      <c r="P948" s="23">
        <v>-2297689249</v>
      </c>
      <c r="Q948" s="23">
        <f>213901332+1761927498</f>
        <v>1975828830</v>
      </c>
      <c r="R948" s="25">
        <f t="shared" si="244"/>
        <v>3233208120</v>
      </c>
      <c r="S948" s="26">
        <f t="shared" si="245"/>
        <v>0.12508392696042656</v>
      </c>
      <c r="T948" s="27">
        <f t="shared" si="246"/>
        <v>2.5160648710938922</v>
      </c>
      <c r="U948" s="26">
        <f t="shared" si="247"/>
        <v>25.054799620831744</v>
      </c>
      <c r="V948" s="26">
        <f t="shared" si="248"/>
        <v>0.50194670440826472</v>
      </c>
      <c r="W948" s="143"/>
      <c r="X948" s="143"/>
      <c r="Y948" s="143"/>
      <c r="Z948" s="30"/>
      <c r="AA948" s="31">
        <f t="shared" si="249"/>
        <v>19</v>
      </c>
      <c r="AB948" s="32">
        <v>3.15E-2</v>
      </c>
      <c r="AC948" s="32">
        <v>8.0199999999999994E-2</v>
      </c>
      <c r="AD948" s="33">
        <f t="shared" si="289"/>
        <v>0.16173018227278055</v>
      </c>
      <c r="AE948" s="34">
        <f t="shared" si="290"/>
        <v>-3.0208563345104866E-2</v>
      </c>
      <c r="AF948" s="33">
        <f t="shared" si="291"/>
        <v>4.2508173088869866E-2</v>
      </c>
      <c r="AG948" s="33">
        <f t="shared" si="292"/>
        <v>0</v>
      </c>
      <c r="AH948" s="35">
        <f t="shared" si="293"/>
        <v>0.54751334653248773</v>
      </c>
      <c r="AI948" s="36">
        <f t="shared" si="260"/>
        <v>0.83957454776994811</v>
      </c>
      <c r="AJ948" s="23"/>
      <c r="AK948" s="23"/>
      <c r="AL948" s="44"/>
      <c r="AM948" s="44"/>
      <c r="AN948" s="44"/>
      <c r="AO948" s="44"/>
      <c r="AP948" s="44"/>
      <c r="AQ948" s="44"/>
      <c r="AR948" s="44"/>
    </row>
    <row r="949" spans="1:44" ht="16.8">
      <c r="A949" s="64" t="s">
        <v>2068</v>
      </c>
      <c r="B949" s="62"/>
      <c r="C949" s="62" t="s">
        <v>2065</v>
      </c>
      <c r="D949" s="19" t="s">
        <v>2066</v>
      </c>
      <c r="E949" s="20" t="s">
        <v>178</v>
      </c>
      <c r="F949" s="21">
        <v>2003</v>
      </c>
      <c r="G949" s="40">
        <v>2023</v>
      </c>
      <c r="H949" s="23">
        <v>22600997285</v>
      </c>
      <c r="I949" s="23">
        <v>75885350250</v>
      </c>
      <c r="J949" s="23">
        <v>9914022001</v>
      </c>
      <c r="K949" s="23">
        <f>(J949+9039047501)/2</f>
        <v>9476534751</v>
      </c>
      <c r="L949" s="23">
        <v>8514022001</v>
      </c>
      <c r="M949" s="23">
        <v>65971328249</v>
      </c>
      <c r="N949" s="23">
        <v>3735242200</v>
      </c>
      <c r="O949" s="25">
        <f t="shared" si="243"/>
        <v>14086975284</v>
      </c>
      <c r="P949" s="23">
        <v>-1050482317</v>
      </c>
      <c r="Q949" s="23">
        <f>232984084+1252089207</f>
        <v>1485073291</v>
      </c>
      <c r="R949" s="25">
        <f t="shared" si="244"/>
        <v>2250168909</v>
      </c>
      <c r="S949" s="26">
        <f t="shared" si="245"/>
        <v>0.13064474194740902</v>
      </c>
      <c r="T949" s="27">
        <f t="shared" si="246"/>
        <v>2.6545617667355614</v>
      </c>
      <c r="U949" s="26">
        <f t="shared" si="247"/>
        <v>25.052489488884436</v>
      </c>
      <c r="V949" s="26">
        <f t="shared" si="248"/>
        <v>0.39415696751450663</v>
      </c>
      <c r="W949" s="143"/>
      <c r="X949" s="143"/>
      <c r="Y949" s="143"/>
      <c r="Z949" s="30"/>
      <c r="AA949" s="31">
        <f t="shared" si="249"/>
        <v>20</v>
      </c>
      <c r="AB949" s="32">
        <v>3.2500000000000001E-2</v>
      </c>
      <c r="AC949" s="32">
        <v>5.0500000000000003E-2</v>
      </c>
      <c r="AD949" s="33">
        <f t="shared" si="289"/>
        <v>0.18563497747050328</v>
      </c>
      <c r="AE949" s="34">
        <f t="shared" si="290"/>
        <v>-1.3843018626641971E-2</v>
      </c>
      <c r="AF949" s="33">
        <f t="shared" si="291"/>
        <v>2.9652217477905099E-2</v>
      </c>
      <c r="AG949" s="33">
        <f t="shared" si="292"/>
        <v>0</v>
      </c>
      <c r="AH949" s="35">
        <f t="shared" si="293"/>
        <v>0.37676355767853215</v>
      </c>
      <c r="AI949" s="36">
        <f t="shared" si="260"/>
        <v>0.67799762224292415</v>
      </c>
      <c r="AJ949" s="23"/>
      <c r="AK949" s="23"/>
      <c r="AL949" s="44"/>
      <c r="AM949" s="44"/>
      <c r="AN949" s="44"/>
      <c r="AO949" s="44"/>
      <c r="AP949" s="44"/>
      <c r="AQ949" s="44"/>
      <c r="AR949" s="44"/>
    </row>
    <row r="950" spans="1:44" ht="16.8">
      <c r="A950" s="64" t="s">
        <v>2069</v>
      </c>
      <c r="B950" s="62">
        <v>371</v>
      </c>
      <c r="C950" s="62" t="s">
        <v>2070</v>
      </c>
      <c r="D950" s="19" t="s">
        <v>2071</v>
      </c>
      <c r="E950" s="20" t="s">
        <v>414</v>
      </c>
      <c r="F950" s="21">
        <v>1999</v>
      </c>
      <c r="G950" s="40">
        <v>2021</v>
      </c>
      <c r="H950" s="23">
        <v>3614355908113</v>
      </c>
      <c r="I950" s="23">
        <v>4465745204205</v>
      </c>
      <c r="J950" s="23">
        <v>3089533383397</v>
      </c>
      <c r="K950" s="23">
        <f>(J950+2168751588374)/2</f>
        <v>2629142485885.5</v>
      </c>
      <c r="L950" s="23">
        <v>3039343389632</v>
      </c>
      <c r="M950" s="23">
        <v>1376211820808</v>
      </c>
      <c r="N950" s="23">
        <v>3629140570492</v>
      </c>
      <c r="O950" s="25">
        <f t="shared" si="243"/>
        <v>575012518481</v>
      </c>
      <c r="P950" s="23">
        <v>271756448849</v>
      </c>
      <c r="Q950" s="23">
        <f>85343775106-135128791645</f>
        <v>-49785016539</v>
      </c>
      <c r="R950" s="25">
        <f t="shared" si="244"/>
        <v>3678925587031</v>
      </c>
      <c r="S950" s="26">
        <f t="shared" si="245"/>
        <v>0.69182930107339258</v>
      </c>
      <c r="T950" s="27">
        <f t="shared" si="246"/>
        <v>1.189189717898451</v>
      </c>
      <c r="U950" s="26">
        <f t="shared" si="247"/>
        <v>29.127457215368988</v>
      </c>
      <c r="V950" s="26">
        <f t="shared" si="248"/>
        <v>1.3803514225550613</v>
      </c>
      <c r="W950" s="143"/>
      <c r="X950" s="143"/>
      <c r="Y950" s="143"/>
      <c r="Z950" s="30">
        <f t="shared" ref="Z950:Z952" si="341">X950*Y950</f>
        <v>0</v>
      </c>
      <c r="AA950" s="31">
        <f t="shared" si="249"/>
        <v>22</v>
      </c>
      <c r="AB950" s="32">
        <v>1.84E-2</v>
      </c>
      <c r="AC950" s="32">
        <v>2.58E-2</v>
      </c>
      <c r="AD950" s="33">
        <f t="shared" si="289"/>
        <v>0.12876070894944056</v>
      </c>
      <c r="AE950" s="34">
        <f t="shared" si="290"/>
        <v>6.0853549950210063E-2</v>
      </c>
      <c r="AF950" s="33">
        <f t="shared" si="291"/>
        <v>0.82381000679727068</v>
      </c>
      <c r="AG950" s="33">
        <f t="shared" si="292"/>
        <v>0</v>
      </c>
      <c r="AH950" s="35">
        <f t="shared" si="293"/>
        <v>1.1746565322759814</v>
      </c>
      <c r="AI950" s="36">
        <f t="shared" si="260"/>
        <v>4.1329373753765974</v>
      </c>
      <c r="AJ950" s="23"/>
      <c r="AK950" s="101">
        <v>195</v>
      </c>
      <c r="AL950" s="44"/>
      <c r="AM950" s="44"/>
      <c r="AN950" s="44"/>
      <c r="AO950" s="44"/>
      <c r="AP950" s="44"/>
      <c r="AQ950" s="44"/>
      <c r="AR950" s="44"/>
    </row>
    <row r="951" spans="1:44" ht="16.8">
      <c r="A951" s="64" t="s">
        <v>2072</v>
      </c>
      <c r="B951" s="62"/>
      <c r="C951" s="62" t="s">
        <v>2070</v>
      </c>
      <c r="D951" s="19" t="s">
        <v>2073</v>
      </c>
      <c r="E951" s="20" t="s">
        <v>414</v>
      </c>
      <c r="F951" s="21">
        <v>1999</v>
      </c>
      <c r="G951" s="40">
        <v>2022</v>
      </c>
      <c r="H951" s="23">
        <v>2098129113741</v>
      </c>
      <c r="I951" s="23">
        <v>2988754675229</v>
      </c>
      <c r="J951" s="23">
        <v>1632445126016</v>
      </c>
      <c r="K951" s="23">
        <f t="shared" ref="K951:K952" si="342">SUM(J950:J951)/2</f>
        <v>2360989254706.5</v>
      </c>
      <c r="L951" s="23">
        <v>1595899189785</v>
      </c>
      <c r="M951" s="23">
        <v>1356309549213</v>
      </c>
      <c r="N951" s="23">
        <v>1322050620541</v>
      </c>
      <c r="O951" s="25">
        <f t="shared" si="243"/>
        <v>502229923956</v>
      </c>
      <c r="P951" s="23">
        <v>52886514290</v>
      </c>
      <c r="Q951" s="23">
        <f>19952772095-149244822412</f>
        <v>-129292050317</v>
      </c>
      <c r="R951" s="25">
        <f t="shared" si="244"/>
        <v>1451342670858</v>
      </c>
      <c r="S951" s="26">
        <f t="shared" si="245"/>
        <v>0.54619575823529953</v>
      </c>
      <c r="T951" s="27">
        <f t="shared" si="246"/>
        <v>1.3147002813026434</v>
      </c>
      <c r="U951" s="26">
        <f t="shared" si="247"/>
        <v>28.725877919993422</v>
      </c>
      <c r="V951" s="26">
        <f t="shared" si="248"/>
        <v>0.55995622085342656</v>
      </c>
      <c r="W951" s="143"/>
      <c r="X951" s="143"/>
      <c r="Y951" s="143"/>
      <c r="Z951" s="30">
        <f t="shared" si="341"/>
        <v>0</v>
      </c>
      <c r="AA951" s="31">
        <f t="shared" si="249"/>
        <v>23</v>
      </c>
      <c r="AB951" s="32">
        <v>3.15E-2</v>
      </c>
      <c r="AC951" s="32">
        <v>8.0199999999999994E-2</v>
      </c>
      <c r="AD951" s="33">
        <f t="shared" si="289"/>
        <v>0.16803986226053125</v>
      </c>
      <c r="AE951" s="34">
        <f t="shared" si="290"/>
        <v>1.7695167398089576E-2</v>
      </c>
      <c r="AF951" s="33">
        <f t="shared" si="291"/>
        <v>0.48560113778719471</v>
      </c>
      <c r="AG951" s="33">
        <f t="shared" si="292"/>
        <v>0</v>
      </c>
      <c r="AH951" s="35">
        <f t="shared" si="293"/>
        <v>0.8098591489978465</v>
      </c>
      <c r="AI951" s="36">
        <f t="shared" si="260"/>
        <v>2.6387639727655516</v>
      </c>
      <c r="AJ951" s="23"/>
      <c r="AK951" s="101">
        <v>196</v>
      </c>
      <c r="AL951" s="44"/>
      <c r="AM951" s="44"/>
      <c r="AN951" s="44"/>
      <c r="AO951" s="44"/>
      <c r="AP951" s="44"/>
      <c r="AQ951" s="44"/>
      <c r="AR951" s="44"/>
    </row>
    <row r="952" spans="1:44" ht="16.8">
      <c r="A952" s="64" t="s">
        <v>2074</v>
      </c>
      <c r="B952" s="62"/>
      <c r="C952" s="62" t="s">
        <v>2070</v>
      </c>
      <c r="D952" s="19" t="s">
        <v>2075</v>
      </c>
      <c r="E952" s="20" t="s">
        <v>414</v>
      </c>
      <c r="F952" s="21">
        <v>1999</v>
      </c>
      <c r="G952" s="40">
        <v>2023</v>
      </c>
      <c r="H952" s="23">
        <v>1609922985563</v>
      </c>
      <c r="I952" s="23">
        <v>2461045530310</v>
      </c>
      <c r="J952" s="23">
        <v>1127315847579</v>
      </c>
      <c r="K952" s="23">
        <f t="shared" si="342"/>
        <v>1379880486797.5</v>
      </c>
      <c r="L952" s="23">
        <v>1086718507736</v>
      </c>
      <c r="M952" s="23">
        <v>1333729682731</v>
      </c>
      <c r="N952" s="23">
        <v>1061339545659</v>
      </c>
      <c r="O952" s="25">
        <f t="shared" si="243"/>
        <v>523204477827</v>
      </c>
      <c r="P952" s="23">
        <v>53146020662</v>
      </c>
      <c r="Q952" s="23">
        <f>-1731306963-136607451639</f>
        <v>-138338758602</v>
      </c>
      <c r="R952" s="25">
        <f t="shared" si="244"/>
        <v>1199678304261</v>
      </c>
      <c r="S952" s="26">
        <f t="shared" si="245"/>
        <v>0.45806379187019763</v>
      </c>
      <c r="T952" s="27">
        <f t="shared" si="246"/>
        <v>1.4814535448715334</v>
      </c>
      <c r="U952" s="26">
        <f t="shared" si="247"/>
        <v>28.531607387901804</v>
      </c>
      <c r="V952" s="26">
        <f t="shared" si="248"/>
        <v>0.76915323885926767</v>
      </c>
      <c r="W952" s="143"/>
      <c r="X952" s="143"/>
      <c r="Y952" s="143"/>
      <c r="Z952" s="30">
        <f t="shared" si="341"/>
        <v>0</v>
      </c>
      <c r="AA952" s="31">
        <f t="shared" si="249"/>
        <v>24</v>
      </c>
      <c r="AB952" s="32">
        <v>3.2500000000000001E-2</v>
      </c>
      <c r="AC952" s="32">
        <v>5.0500000000000003E-2</v>
      </c>
      <c r="AD952" s="33">
        <f t="shared" si="289"/>
        <v>0.21259439184820597</v>
      </c>
      <c r="AE952" s="34">
        <f t="shared" si="290"/>
        <v>2.1594895343242829E-2</v>
      </c>
      <c r="AF952" s="33">
        <f t="shared" si="291"/>
        <v>0.48746692797263497</v>
      </c>
      <c r="AG952" s="33">
        <f t="shared" si="292"/>
        <v>0</v>
      </c>
      <c r="AH952" s="35">
        <f t="shared" si="293"/>
        <v>0.94147487408991071</v>
      </c>
      <c r="AI952" s="36">
        <f t="shared" si="260"/>
        <v>2.8354618600979928</v>
      </c>
      <c r="AJ952" s="23"/>
      <c r="AK952" s="101">
        <v>197</v>
      </c>
      <c r="AL952" s="44"/>
      <c r="AM952" s="44"/>
      <c r="AN952" s="44"/>
      <c r="AO952" s="44"/>
      <c r="AP952" s="44"/>
      <c r="AQ952" s="44"/>
      <c r="AR952" s="44"/>
    </row>
    <row r="953" spans="1:44" ht="16.8">
      <c r="A953" s="64" t="s">
        <v>2076</v>
      </c>
      <c r="B953" s="62">
        <v>372</v>
      </c>
      <c r="C953" s="62" t="s">
        <v>2077</v>
      </c>
      <c r="D953" s="19" t="s">
        <v>2073</v>
      </c>
      <c r="E953" s="20" t="s">
        <v>39</v>
      </c>
      <c r="F953" s="21">
        <v>1979</v>
      </c>
      <c r="G953" s="40">
        <v>2021</v>
      </c>
      <c r="H953" s="23">
        <v>210531115419</v>
      </c>
      <c r="I953" s="23">
        <v>336759611354</v>
      </c>
      <c r="J953" s="23">
        <v>212479572535</v>
      </c>
      <c r="K953" s="23">
        <f>(J953+199823778498)/2</f>
        <v>206151675516.5</v>
      </c>
      <c r="L953" s="23">
        <v>212479572535</v>
      </c>
      <c r="M953" s="23">
        <v>124280038819</v>
      </c>
      <c r="N953" s="23">
        <v>314886319469</v>
      </c>
      <c r="O953" s="25">
        <f t="shared" si="243"/>
        <v>-1948457116</v>
      </c>
      <c r="P953" s="23">
        <v>18730805947</v>
      </c>
      <c r="Q953" s="23">
        <f>18930195747+38374512988</f>
        <v>57304708735</v>
      </c>
      <c r="R953" s="25">
        <f t="shared" si="244"/>
        <v>257581610734</v>
      </c>
      <c r="S953" s="26">
        <f t="shared" si="245"/>
        <v>0.63095325380822631</v>
      </c>
      <c r="T953" s="27">
        <f t="shared" si="246"/>
        <v>0.99082990852836428</v>
      </c>
      <c r="U953" s="26">
        <f t="shared" si="247"/>
        <v>26.542635193341091</v>
      </c>
      <c r="V953" s="26">
        <f t="shared" si="248"/>
        <v>1.5274497220557253</v>
      </c>
      <c r="W953" s="143"/>
      <c r="X953" s="143"/>
      <c r="Y953" s="143"/>
      <c r="Z953" s="30">
        <f>W953*Y953</f>
        <v>0</v>
      </c>
      <c r="AA953" s="31">
        <f t="shared" si="249"/>
        <v>42</v>
      </c>
      <c r="AB953" s="32">
        <v>1.84E-2</v>
      </c>
      <c r="AC953" s="32">
        <v>2.58E-2</v>
      </c>
      <c r="AD953" s="33">
        <f t="shared" si="289"/>
        <v>-5.7858990517476033E-3</v>
      </c>
      <c r="AE953" s="34">
        <f t="shared" si="290"/>
        <v>5.5620701876004576E-2</v>
      </c>
      <c r="AF953" s="33">
        <f t="shared" si="291"/>
        <v>0.76488272954808556</v>
      </c>
      <c r="AG953" s="33">
        <f t="shared" si="292"/>
        <v>0</v>
      </c>
      <c r="AH953" s="35">
        <f t="shared" si="293"/>
        <v>1.4819604337124284</v>
      </c>
      <c r="AI953" s="36">
        <f t="shared" si="260"/>
        <v>4.0769993449854196</v>
      </c>
      <c r="AJ953" s="23"/>
      <c r="AK953" s="101">
        <v>198</v>
      </c>
      <c r="AL953" s="44"/>
      <c r="AM953" s="44"/>
      <c r="AN953" s="44"/>
      <c r="AO953" s="44"/>
      <c r="AP953" s="44"/>
      <c r="AQ953" s="44"/>
      <c r="AR953" s="44"/>
    </row>
    <row r="954" spans="1:44" ht="16.8">
      <c r="A954" s="64" t="s">
        <v>2078</v>
      </c>
      <c r="B954" s="62"/>
      <c r="C954" s="62" t="s">
        <v>2077</v>
      </c>
      <c r="D954" s="19" t="s">
        <v>2075</v>
      </c>
      <c r="E954" s="20" t="s">
        <v>39</v>
      </c>
      <c r="F954" s="21">
        <v>1979</v>
      </c>
      <c r="G954" s="40">
        <v>2022</v>
      </c>
      <c r="H954" s="23">
        <v>153815229889</v>
      </c>
      <c r="I954" s="23">
        <v>269461370892</v>
      </c>
      <c r="J954" s="23">
        <v>127412651562</v>
      </c>
      <c r="K954" s="23">
        <f>(J954+2032993501970)/2</f>
        <v>1080203076766</v>
      </c>
      <c r="L954" s="23">
        <v>127412651562</v>
      </c>
      <c r="M954" s="23">
        <v>142048719330</v>
      </c>
      <c r="N954" s="23">
        <v>251241254893</v>
      </c>
      <c r="O954" s="25">
        <f t="shared" si="243"/>
        <v>26402578327</v>
      </c>
      <c r="P954" s="23">
        <v>19885723033</v>
      </c>
      <c r="Q954" s="23">
        <f>22034324598+54790103937</f>
        <v>76824428535</v>
      </c>
      <c r="R954" s="25">
        <f t="shared" si="244"/>
        <v>174416826358</v>
      </c>
      <c r="S954" s="26">
        <f t="shared" si="245"/>
        <v>0.47284199267681648</v>
      </c>
      <c r="T954" s="27">
        <f t="shared" si="246"/>
        <v>1.2072210098708471</v>
      </c>
      <c r="U954" s="26">
        <f t="shared" si="247"/>
        <v>26.319690880814054</v>
      </c>
      <c r="V954" s="26">
        <f t="shared" si="248"/>
        <v>0.23258705728295698</v>
      </c>
      <c r="W954" s="143"/>
      <c r="X954" s="143"/>
      <c r="Y954" s="143"/>
      <c r="Z954" s="30"/>
      <c r="AA954" s="31">
        <f t="shared" si="249"/>
        <v>43</v>
      </c>
      <c r="AB954" s="32">
        <v>3.15E-2</v>
      </c>
      <c r="AC954" s="32">
        <v>8.0199999999999994E-2</v>
      </c>
      <c r="AD954" s="33">
        <f t="shared" si="289"/>
        <v>9.7982795231833592E-2</v>
      </c>
      <c r="AE954" s="34">
        <f t="shared" si="290"/>
        <v>7.3798047442466957E-2</v>
      </c>
      <c r="AF954" s="33">
        <f t="shared" si="291"/>
        <v>0.6472795183243768</v>
      </c>
      <c r="AG954" s="33">
        <f t="shared" si="292"/>
        <v>0</v>
      </c>
      <c r="AH954" s="35">
        <f t="shared" si="293"/>
        <v>1.9718705467073969</v>
      </c>
      <c r="AI954" s="36">
        <f t="shared" si="260"/>
        <v>4.3287895778754946</v>
      </c>
      <c r="AJ954" s="23"/>
      <c r="AK954" s="101">
        <v>199</v>
      </c>
      <c r="AL954" s="44"/>
      <c r="AM954" s="44"/>
      <c r="AN954" s="44"/>
      <c r="AO954" s="44"/>
      <c r="AP954" s="44"/>
      <c r="AQ954" s="44"/>
      <c r="AR954" s="44"/>
    </row>
    <row r="955" spans="1:44" ht="16.8">
      <c r="A955" s="64" t="s">
        <v>2079</v>
      </c>
      <c r="B955" s="62"/>
      <c r="C955" s="62" t="s">
        <v>2077</v>
      </c>
      <c r="D955" s="19" t="s">
        <v>2080</v>
      </c>
      <c r="E955" s="20" t="s">
        <v>39</v>
      </c>
      <c r="F955" s="21">
        <v>1979</v>
      </c>
      <c r="G955" s="40">
        <v>2023</v>
      </c>
      <c r="H955" s="23">
        <v>178379172634</v>
      </c>
      <c r="I955" s="23">
        <v>283949490227</v>
      </c>
      <c r="J955" s="23">
        <v>134520751240</v>
      </c>
      <c r="K955" s="23">
        <f>SUM(J954:J955)/2</f>
        <v>130966701401</v>
      </c>
      <c r="L955" s="23">
        <v>134520751240</v>
      </c>
      <c r="M955" s="23">
        <v>149428738987</v>
      </c>
      <c r="N955" s="23">
        <v>200933522638</v>
      </c>
      <c r="O955" s="25">
        <f t="shared" si="243"/>
        <v>43858421394</v>
      </c>
      <c r="P955" s="23">
        <v>14827664157</v>
      </c>
      <c r="Q955" s="23">
        <f>12555986085+42460505645</f>
        <v>55016491730</v>
      </c>
      <c r="R955" s="25">
        <f t="shared" si="244"/>
        <v>145917030908</v>
      </c>
      <c r="S955" s="26">
        <f t="shared" si="245"/>
        <v>0.47374887390168935</v>
      </c>
      <c r="T955" s="27">
        <f t="shared" si="246"/>
        <v>1.3260346154010967</v>
      </c>
      <c r="U955" s="26">
        <f t="shared" si="247"/>
        <v>26.372062207976818</v>
      </c>
      <c r="V955" s="26">
        <f t="shared" si="248"/>
        <v>1.5342336677074297</v>
      </c>
      <c r="W955" s="143"/>
      <c r="X955" s="143"/>
      <c r="Y955" s="143"/>
      <c r="Z955" s="30"/>
      <c r="AA955" s="31">
        <f t="shared" si="249"/>
        <v>44</v>
      </c>
      <c r="AB955" s="32">
        <v>3.2500000000000001E-2</v>
      </c>
      <c r="AC955" s="32">
        <v>5.0500000000000003E-2</v>
      </c>
      <c r="AD955" s="33">
        <f t="shared" si="289"/>
        <v>0.15445853189923994</v>
      </c>
      <c r="AE955" s="34">
        <f t="shared" si="290"/>
        <v>5.2219372343814394E-2</v>
      </c>
      <c r="AF955" s="33">
        <f t="shared" si="291"/>
        <v>0.51388375725326496</v>
      </c>
      <c r="AG955" s="33">
        <f t="shared" si="292"/>
        <v>0</v>
      </c>
      <c r="AH955" s="35">
        <f t="shared" si="293"/>
        <v>1.4936990820064053</v>
      </c>
      <c r="AI955" s="36">
        <f t="shared" si="260"/>
        <v>3.4479728405026075</v>
      </c>
      <c r="AJ955" s="23"/>
      <c r="AK955" s="101">
        <v>200</v>
      </c>
      <c r="AL955" s="44"/>
      <c r="AM955" s="44"/>
      <c r="AN955" s="44"/>
      <c r="AO955" s="44"/>
      <c r="AP955" s="44"/>
      <c r="AQ955" s="44"/>
      <c r="AR955" s="44"/>
    </row>
    <row r="956" spans="1:44" ht="16.8">
      <c r="A956" s="64" t="s">
        <v>2081</v>
      </c>
      <c r="B956" s="62">
        <v>373</v>
      </c>
      <c r="C956" s="62" t="s">
        <v>2082</v>
      </c>
      <c r="D956" s="19" t="s">
        <v>2075</v>
      </c>
      <c r="E956" s="20" t="s">
        <v>39</v>
      </c>
      <c r="F956" s="21">
        <v>1976</v>
      </c>
      <c r="G956" s="40">
        <v>2021</v>
      </c>
      <c r="H956" s="23">
        <v>211934817411</v>
      </c>
      <c r="I956" s="23">
        <v>354131990685</v>
      </c>
      <c r="J956" s="23">
        <v>136435552714</v>
      </c>
      <c r="K956" s="23">
        <f>(J956+1500600961580/2)</f>
        <v>886736033504</v>
      </c>
      <c r="L956" s="23">
        <v>136435552714</v>
      </c>
      <c r="M956" s="23">
        <v>217696437971</v>
      </c>
      <c r="N956" s="23">
        <v>291923781679</v>
      </c>
      <c r="O956" s="25">
        <f t="shared" si="243"/>
        <v>75499264697</v>
      </c>
      <c r="P956" s="23">
        <v>35270538053</v>
      </c>
      <c r="Q956" s="23">
        <v>57651453701</v>
      </c>
      <c r="R956" s="25">
        <f t="shared" si="244"/>
        <v>234272327978</v>
      </c>
      <c r="S956" s="26">
        <f t="shared" si="245"/>
        <v>0.38526751692241007</v>
      </c>
      <c r="T956" s="27">
        <f t="shared" si="246"/>
        <v>1.5533694348368541</v>
      </c>
      <c r="U956" s="26">
        <f t="shared" si="247"/>
        <v>26.59293553562939</v>
      </c>
      <c r="V956" s="26">
        <f t="shared" si="248"/>
        <v>0.32921159245716292</v>
      </c>
      <c r="W956" s="143"/>
      <c r="X956" s="143"/>
      <c r="Y956" s="143"/>
      <c r="Z956" s="30">
        <f>W956*Y956</f>
        <v>0</v>
      </c>
      <c r="AA956" s="31">
        <f t="shared" si="249"/>
        <v>45</v>
      </c>
      <c r="AB956" s="32">
        <v>1.84E-2</v>
      </c>
      <c r="AC956" s="32">
        <v>2.58E-2</v>
      </c>
      <c r="AD956" s="33">
        <f t="shared" si="289"/>
        <v>0.21319526810035219</v>
      </c>
      <c r="AE956" s="34">
        <f t="shared" si="290"/>
        <v>9.959715298461444E-2</v>
      </c>
      <c r="AF956" s="33">
        <f t="shared" si="291"/>
        <v>0.66153957885828218</v>
      </c>
      <c r="AG956" s="33">
        <f t="shared" si="292"/>
        <v>0</v>
      </c>
      <c r="AH956" s="35">
        <f t="shared" si="293"/>
        <v>2.1396459784271826</v>
      </c>
      <c r="AI956" s="36">
        <f t="shared" si="260"/>
        <v>4.7179969245583973</v>
      </c>
      <c r="AJ956" s="23" t="s">
        <v>136</v>
      </c>
      <c r="AK956" s="101">
        <v>201</v>
      </c>
      <c r="AL956" s="44"/>
      <c r="AM956" s="44"/>
      <c r="AN956" s="44"/>
      <c r="AO956" s="44"/>
      <c r="AP956" s="44"/>
      <c r="AQ956" s="44"/>
      <c r="AR956" s="44"/>
    </row>
    <row r="957" spans="1:44" ht="16.8">
      <c r="A957" s="64" t="s">
        <v>2083</v>
      </c>
      <c r="B957" s="62"/>
      <c r="C957" s="62" t="s">
        <v>2082</v>
      </c>
      <c r="D957" s="19" t="s">
        <v>2080</v>
      </c>
      <c r="E957" s="20" t="s">
        <v>39</v>
      </c>
      <c r="F957" s="21">
        <v>1976</v>
      </c>
      <c r="G957" s="40">
        <v>2022</v>
      </c>
      <c r="H957" s="23">
        <v>263762769050</v>
      </c>
      <c r="I957" s="23">
        <v>405959590910</v>
      </c>
      <c r="J957" s="23">
        <v>150620572982</v>
      </c>
      <c r="K957" s="23">
        <f t="shared" ref="K957:K958" si="343">SUM(J956:J957)/2</f>
        <v>143528062848</v>
      </c>
      <c r="L957" s="23">
        <v>150620572982</v>
      </c>
      <c r="M957" s="23">
        <v>255339017928</v>
      </c>
      <c r="N957" s="23">
        <v>299704889470</v>
      </c>
      <c r="O957" s="25">
        <f t="shared" si="243"/>
        <v>113142196068</v>
      </c>
      <c r="P957" s="23">
        <v>41519214762</v>
      </c>
      <c r="Q957" s="23">
        <v>60844821237</v>
      </c>
      <c r="R957" s="25">
        <f t="shared" si="244"/>
        <v>238860068233</v>
      </c>
      <c r="S957" s="26">
        <f t="shared" si="245"/>
        <v>0.37102356085335625</v>
      </c>
      <c r="T957" s="27">
        <f t="shared" si="246"/>
        <v>1.7511735869011806</v>
      </c>
      <c r="U957" s="26">
        <f t="shared" si="247"/>
        <v>26.729519461816402</v>
      </c>
      <c r="V957" s="26">
        <f t="shared" si="248"/>
        <v>2.0881274610902771</v>
      </c>
      <c r="W957" s="143"/>
      <c r="X957" s="143"/>
      <c r="Y957" s="143"/>
      <c r="Z957" s="30"/>
      <c r="AA957" s="31">
        <f t="shared" si="249"/>
        <v>46</v>
      </c>
      <c r="AB957" s="32">
        <v>3.15E-2</v>
      </c>
      <c r="AC957" s="32">
        <v>8.0199999999999994E-2</v>
      </c>
      <c r="AD957" s="33">
        <f t="shared" si="289"/>
        <v>0.27870309903106411</v>
      </c>
      <c r="AE957" s="34">
        <f t="shared" si="290"/>
        <v>0.10227425510241162</v>
      </c>
      <c r="AF957" s="33">
        <f t="shared" si="291"/>
        <v>0.58838385292873774</v>
      </c>
      <c r="AG957" s="33">
        <f t="shared" si="292"/>
        <v>0</v>
      </c>
      <c r="AH957" s="35">
        <f t="shared" si="293"/>
        <v>1.9898004869880319</v>
      </c>
      <c r="AI957" s="36">
        <f t="shared" si="260"/>
        <v>4.4090948776335193</v>
      </c>
      <c r="AJ957" s="23" t="s">
        <v>136</v>
      </c>
      <c r="AK957" s="101">
        <v>202</v>
      </c>
      <c r="AL957" s="44"/>
      <c r="AM957" s="44"/>
      <c r="AN957" s="44"/>
      <c r="AO957" s="44"/>
      <c r="AP957" s="44"/>
      <c r="AQ957" s="44"/>
      <c r="AR957" s="44"/>
    </row>
    <row r="958" spans="1:44" ht="16.8">
      <c r="A958" s="64" t="s">
        <v>2084</v>
      </c>
      <c r="B958" s="62"/>
      <c r="C958" s="62" t="s">
        <v>2082</v>
      </c>
      <c r="D958" s="19" t="s">
        <v>2085</v>
      </c>
      <c r="E958" s="20" t="s">
        <v>39</v>
      </c>
      <c r="F958" s="21">
        <v>1976</v>
      </c>
      <c r="G958" s="40">
        <v>2023</v>
      </c>
      <c r="H958" s="23">
        <v>228587858533</v>
      </c>
      <c r="I958" s="23">
        <v>373910469174</v>
      </c>
      <c r="J958" s="23">
        <v>114931151967</v>
      </c>
      <c r="K958" s="23">
        <f t="shared" si="343"/>
        <v>132775862474.5</v>
      </c>
      <c r="L958" s="23">
        <v>114931151967</v>
      </c>
      <c r="M958" s="23">
        <v>258979317207</v>
      </c>
      <c r="N958" s="23">
        <v>202012905877</v>
      </c>
      <c r="O958" s="25">
        <f t="shared" si="243"/>
        <v>113656706566</v>
      </c>
      <c r="P958" s="23">
        <v>32757796650</v>
      </c>
      <c r="Q958" s="23">
        <v>48409379016</v>
      </c>
      <c r="R958" s="25">
        <f t="shared" si="244"/>
        <v>153603526861</v>
      </c>
      <c r="S958" s="26">
        <f t="shared" si="245"/>
        <v>0.30737612728761693</v>
      </c>
      <c r="T958" s="27">
        <f t="shared" si="246"/>
        <v>1.9889112274680243</v>
      </c>
      <c r="U958" s="26">
        <f t="shared" si="247"/>
        <v>26.64728221846795</v>
      </c>
      <c r="V958" s="26">
        <f t="shared" si="248"/>
        <v>1.5214580580547701</v>
      </c>
      <c r="W958" s="143"/>
      <c r="X958" s="143"/>
      <c r="Y958" s="143"/>
      <c r="Z958" s="30"/>
      <c r="AA958" s="31">
        <f t="shared" si="249"/>
        <v>47</v>
      </c>
      <c r="AB958" s="32">
        <v>3.2500000000000001E-2</v>
      </c>
      <c r="AC958" s="32">
        <v>5.0500000000000003E-2</v>
      </c>
      <c r="AD958" s="33">
        <f t="shared" si="289"/>
        <v>0.30396770333036494</v>
      </c>
      <c r="AE958" s="34">
        <f t="shared" si="290"/>
        <v>8.7608663973396506E-2</v>
      </c>
      <c r="AF958" s="33">
        <f t="shared" si="291"/>
        <v>0.41080295825982954</v>
      </c>
      <c r="AG958" s="33">
        <f t="shared" si="292"/>
        <v>0</v>
      </c>
      <c r="AH958" s="35">
        <f t="shared" si="293"/>
        <v>1.7576862532014266</v>
      </c>
      <c r="AI958" s="36">
        <f t="shared" si="260"/>
        <v>3.6007493890180573</v>
      </c>
      <c r="AJ958" s="23" t="s">
        <v>136</v>
      </c>
      <c r="AK958" s="101">
        <v>203</v>
      </c>
      <c r="AL958" s="44"/>
      <c r="AM958" s="44"/>
      <c r="AN958" s="44"/>
      <c r="AO958" s="44"/>
      <c r="AP958" s="44"/>
      <c r="AQ958" s="44"/>
      <c r="AR958" s="44"/>
    </row>
    <row r="959" spans="1:44" ht="16.8">
      <c r="A959" s="64" t="s">
        <v>2086</v>
      </c>
      <c r="B959" s="62">
        <v>374</v>
      </c>
      <c r="C959" s="62" t="s">
        <v>2087</v>
      </c>
      <c r="D959" s="19" t="s">
        <v>2088</v>
      </c>
      <c r="E959" s="20" t="s">
        <v>39</v>
      </c>
      <c r="F959" s="21">
        <v>2012</v>
      </c>
      <c r="G959" s="40">
        <v>2021</v>
      </c>
      <c r="H959" s="23">
        <v>3814446100842</v>
      </c>
      <c r="I959" s="23">
        <v>3908744320123</v>
      </c>
      <c r="J959" s="23">
        <v>1439648078278</v>
      </c>
      <c r="K959" s="23">
        <f>(J959+1496735465710)/2</f>
        <v>1468191771994</v>
      </c>
      <c r="L959" s="23">
        <v>1182675572716</v>
      </c>
      <c r="M959" s="23">
        <v>2469096241845</v>
      </c>
      <c r="N959" s="23">
        <v>431645279589</v>
      </c>
      <c r="O959" s="25">
        <f t="shared" si="243"/>
        <v>2631770528126</v>
      </c>
      <c r="P959" s="23">
        <v>546634717235</v>
      </c>
      <c r="Q959" s="23">
        <f>12924114845+44822730850</f>
        <v>57746845695</v>
      </c>
      <c r="R959" s="25">
        <f t="shared" si="244"/>
        <v>373898433894</v>
      </c>
      <c r="S959" s="26">
        <f t="shared" si="245"/>
        <v>0.36831472216445643</v>
      </c>
      <c r="T959" s="27">
        <f t="shared" si="246"/>
        <v>3.225268356631541</v>
      </c>
      <c r="U959" s="26">
        <f t="shared" si="247"/>
        <v>28.994237292598889</v>
      </c>
      <c r="V959" s="26">
        <f t="shared" si="248"/>
        <v>0.29399788762115742</v>
      </c>
      <c r="W959" s="143"/>
      <c r="X959" s="143"/>
      <c r="Y959" s="143"/>
      <c r="Z959" s="30">
        <f>W959*Y959</f>
        <v>0</v>
      </c>
      <c r="AA959" s="31">
        <f t="shared" si="249"/>
        <v>9</v>
      </c>
      <c r="AB959" s="32">
        <v>1.84E-2</v>
      </c>
      <c r="AC959" s="32">
        <v>2.58E-2</v>
      </c>
      <c r="AD959" s="33">
        <f t="shared" si="289"/>
        <v>0.6733033200910884</v>
      </c>
      <c r="AE959" s="34">
        <f t="shared" si="290"/>
        <v>0.13984918747967598</v>
      </c>
      <c r="AF959" s="33">
        <f t="shared" si="291"/>
        <v>9.5656917739309746E-2</v>
      </c>
      <c r="AG959" s="33">
        <f t="shared" si="292"/>
        <v>0</v>
      </c>
      <c r="AH959" s="35">
        <f t="shared" si="293"/>
        <v>0.29982694111279057</v>
      </c>
      <c r="AI959" s="36">
        <f t="shared" si="260"/>
        <v>1.6192476162333651</v>
      </c>
      <c r="AJ959" s="23"/>
      <c r="AK959" s="101">
        <v>204</v>
      </c>
      <c r="AL959" s="44"/>
      <c r="AM959" s="44"/>
      <c r="AN959" s="44"/>
      <c r="AO959" s="44"/>
      <c r="AP959" s="44"/>
      <c r="AQ959" s="44"/>
      <c r="AR959" s="44"/>
    </row>
    <row r="960" spans="1:44" ht="16.8">
      <c r="A960" s="64" t="s">
        <v>2089</v>
      </c>
      <c r="B960" s="62"/>
      <c r="C960" s="62" t="s">
        <v>2087</v>
      </c>
      <c r="D960" s="19" t="s">
        <v>2088</v>
      </c>
      <c r="E960" s="20" t="s">
        <v>39</v>
      </c>
      <c r="F960" s="21">
        <v>2012</v>
      </c>
      <c r="G960" s="40">
        <v>2022</v>
      </c>
      <c r="H960" s="23">
        <v>1718051737378</v>
      </c>
      <c r="I960" s="23">
        <v>1737803403508</v>
      </c>
      <c r="J960" s="23">
        <v>219614930163</v>
      </c>
      <c r="K960" s="23">
        <f>(J960+1451823083236)/2</f>
        <v>835719006699.5</v>
      </c>
      <c r="L960" s="23">
        <v>219614930163</v>
      </c>
      <c r="M960" s="23">
        <v>1518188473345</v>
      </c>
      <c r="N960" s="23">
        <v>152632314168</v>
      </c>
      <c r="O960" s="25">
        <f t="shared" si="243"/>
        <v>1498436807215</v>
      </c>
      <c r="P960" s="23">
        <v>-886874414636</v>
      </c>
      <c r="Q960" s="23">
        <f>3027741973+570310568745</f>
        <v>573338310718</v>
      </c>
      <c r="R960" s="25">
        <f t="shared" si="244"/>
        <v>-420705996550</v>
      </c>
      <c r="S960" s="26">
        <f t="shared" si="245"/>
        <v>0.12637501441168572</v>
      </c>
      <c r="T960" s="27">
        <f t="shared" si="246"/>
        <v>7.8230188453164269</v>
      </c>
      <c r="U960" s="26">
        <f t="shared" si="247"/>
        <v>28.183643019864963</v>
      </c>
      <c r="V960" s="26">
        <f t="shared" si="248"/>
        <v>0.18263592540606427</v>
      </c>
      <c r="W960" s="143"/>
      <c r="X960" s="143"/>
      <c r="Y960" s="143"/>
      <c r="Z960" s="30"/>
      <c r="AA960" s="31">
        <f t="shared" si="249"/>
        <v>10</v>
      </c>
      <c r="AB960" s="32">
        <v>3.15E-2</v>
      </c>
      <c r="AC960" s="32">
        <v>8.0199999999999994E-2</v>
      </c>
      <c r="AD960" s="33">
        <f t="shared" si="289"/>
        <v>0.86225910490806679</v>
      </c>
      <c r="AE960" s="34">
        <f t="shared" si="290"/>
        <v>-0.51034220145139519</v>
      </c>
      <c r="AF960" s="33">
        <f t="shared" si="291"/>
        <v>-0.24209067360597056</v>
      </c>
      <c r="AG960" s="33">
        <f t="shared" si="292"/>
        <v>0</v>
      </c>
      <c r="AH960" s="35">
        <f t="shared" si="293"/>
        <v>0.69499971634312407</v>
      </c>
      <c r="AI960" s="36">
        <f t="shared" si="260"/>
        <v>0.21633233730114809</v>
      </c>
      <c r="AJ960" s="23"/>
      <c r="AK960" s="101">
        <v>205</v>
      </c>
      <c r="AL960" s="44"/>
      <c r="AM960" s="44"/>
      <c r="AN960" s="44"/>
      <c r="AO960" s="44"/>
      <c r="AP960" s="44"/>
      <c r="AQ960" s="44"/>
      <c r="AR960" s="44"/>
    </row>
    <row r="961" spans="1:44" ht="16.8">
      <c r="A961" s="64" t="s">
        <v>2090</v>
      </c>
      <c r="B961" s="62"/>
      <c r="C961" s="62" t="s">
        <v>2087</v>
      </c>
      <c r="D961" s="19" t="s">
        <v>2088</v>
      </c>
      <c r="E961" s="20" t="s">
        <v>39</v>
      </c>
      <c r="F961" s="21">
        <v>2012</v>
      </c>
      <c r="G961" s="40">
        <v>2023</v>
      </c>
      <c r="H961" s="23">
        <v>1956972548561</v>
      </c>
      <c r="I961" s="23">
        <v>1977474261593</v>
      </c>
      <c r="J961" s="23">
        <v>206660871734</v>
      </c>
      <c r="K961" s="23">
        <f>SUM(J960:J961)/2</f>
        <v>213137900948.5</v>
      </c>
      <c r="L961" s="23">
        <v>189959883338</v>
      </c>
      <c r="M961" s="23">
        <v>1770813389859</v>
      </c>
      <c r="N961" s="23">
        <v>65244187759</v>
      </c>
      <c r="O961" s="25">
        <f t="shared" si="243"/>
        <v>1767012665223</v>
      </c>
      <c r="P961" s="23">
        <v>278641736646</v>
      </c>
      <c r="Q961" s="23">
        <f>277820441+53431147861</f>
        <v>53708968302</v>
      </c>
      <c r="R961" s="25">
        <f t="shared" si="244"/>
        <v>11535219457</v>
      </c>
      <c r="S961" s="26">
        <f t="shared" si="245"/>
        <v>0.10450749005831285</v>
      </c>
      <c r="T961" s="27">
        <f t="shared" si="246"/>
        <v>10.302030692864312</v>
      </c>
      <c r="U961" s="26">
        <f t="shared" si="247"/>
        <v>28.312841520874187</v>
      </c>
      <c r="V961" s="26">
        <f t="shared" si="248"/>
        <v>0.30611255655916775</v>
      </c>
      <c r="W961" s="143"/>
      <c r="X961" s="143"/>
      <c r="Y961" s="143"/>
      <c r="Z961" s="30"/>
      <c r="AA961" s="31">
        <f t="shared" si="249"/>
        <v>11</v>
      </c>
      <c r="AB961" s="32">
        <v>3.2500000000000001E-2</v>
      </c>
      <c r="AC961" s="32">
        <v>5.0500000000000003E-2</v>
      </c>
      <c r="AD961" s="33">
        <f t="shared" si="289"/>
        <v>0.89357050028026264</v>
      </c>
      <c r="AE961" s="34">
        <f t="shared" si="290"/>
        <v>0.14090789551998201</v>
      </c>
      <c r="AF961" s="33">
        <f t="shared" si="291"/>
        <v>5.8333095307685767E-3</v>
      </c>
      <c r="AG961" s="33">
        <f t="shared" si="292"/>
        <v>0</v>
      </c>
      <c r="AH961" s="35">
        <f t="shared" si="293"/>
        <v>0.31570653511506491</v>
      </c>
      <c r="AI961" s="36">
        <f t="shared" si="260"/>
        <v>1.6045121106308911</v>
      </c>
      <c r="AJ961" s="23"/>
      <c r="AK961" s="101">
        <v>206</v>
      </c>
      <c r="AL961" s="44"/>
      <c r="AM961" s="44"/>
      <c r="AN961" s="44"/>
      <c r="AO961" s="44"/>
      <c r="AP961" s="44"/>
      <c r="AQ961" s="44"/>
      <c r="AR961" s="44"/>
    </row>
    <row r="962" spans="1:44" ht="16.8">
      <c r="A962" s="64" t="s">
        <v>2091</v>
      </c>
      <c r="B962" s="62">
        <v>375</v>
      </c>
      <c r="C962" s="62" t="s">
        <v>2092</v>
      </c>
      <c r="D962" s="19" t="s">
        <v>2093</v>
      </c>
      <c r="E962" s="20" t="s">
        <v>39</v>
      </c>
      <c r="F962" s="21">
        <v>1964</v>
      </c>
      <c r="G962" s="40">
        <v>2021</v>
      </c>
      <c r="H962" s="23">
        <v>768051681938</v>
      </c>
      <c r="I962" s="23">
        <v>2358563003379</v>
      </c>
      <c r="J962" s="23">
        <v>1806896308230</v>
      </c>
      <c r="K962" s="23">
        <f>(J962+2154707218810)/2</f>
        <v>1980801763520</v>
      </c>
      <c r="L962" s="23">
        <v>1073085883300</v>
      </c>
      <c r="M962" s="23">
        <v>551666695149</v>
      </c>
      <c r="N962" s="23">
        <v>5339563379588</v>
      </c>
      <c r="O962" s="25">
        <f t="shared" si="243"/>
        <v>-305034201362</v>
      </c>
      <c r="P962" s="23">
        <v>101657855888</v>
      </c>
      <c r="Q962" s="23">
        <f>8340224812+231650857814</f>
        <v>239991082626</v>
      </c>
      <c r="R962" s="25">
        <f t="shared" si="244"/>
        <v>5099572296962</v>
      </c>
      <c r="S962" s="26">
        <f t="shared" si="245"/>
        <v>0.76610050511321781</v>
      </c>
      <c r="T962" s="27">
        <f t="shared" si="246"/>
        <v>0.71574111065188406</v>
      </c>
      <c r="U962" s="26">
        <f t="shared" si="247"/>
        <v>28.489073652639775</v>
      </c>
      <c r="V962" s="26">
        <f t="shared" si="248"/>
        <v>2.6956576260813123</v>
      </c>
      <c r="W962" s="143"/>
      <c r="X962" s="143"/>
      <c r="Y962" s="143"/>
      <c r="Z962" s="30">
        <f>W962*Y962</f>
        <v>0</v>
      </c>
      <c r="AA962" s="31">
        <f t="shared" si="249"/>
        <v>57</v>
      </c>
      <c r="AB962" s="32">
        <v>1.84E-2</v>
      </c>
      <c r="AC962" s="32">
        <v>2.58E-2</v>
      </c>
      <c r="AD962" s="33">
        <f t="shared" si="289"/>
        <v>-0.1293305291929841</v>
      </c>
      <c r="AE962" s="34">
        <f t="shared" si="290"/>
        <v>4.31016070982033E-2</v>
      </c>
      <c r="AF962" s="33">
        <f t="shared" si="291"/>
        <v>2.1621522467943777</v>
      </c>
      <c r="AG962" s="33">
        <f t="shared" si="292"/>
        <v>0</v>
      </c>
      <c r="AH962" s="35">
        <f t="shared" si="293"/>
        <v>2.9551022686069524</v>
      </c>
      <c r="AI962" s="36">
        <f t="shared" si="260"/>
        <v>9.9953502979343032</v>
      </c>
      <c r="AJ962" s="23"/>
      <c r="AK962" s="101">
        <v>207</v>
      </c>
      <c r="AL962" s="44"/>
      <c r="AM962" s="44"/>
      <c r="AN962" s="44"/>
      <c r="AO962" s="44"/>
      <c r="AP962" s="44"/>
      <c r="AQ962" s="44"/>
      <c r="AR962" s="44"/>
    </row>
    <row r="963" spans="1:44" ht="16.8">
      <c r="A963" s="64" t="s">
        <v>2094</v>
      </c>
      <c r="B963" s="62"/>
      <c r="C963" s="62" t="s">
        <v>2092</v>
      </c>
      <c r="D963" s="19" t="s">
        <v>2093</v>
      </c>
      <c r="E963" s="20" t="s">
        <v>39</v>
      </c>
      <c r="F963" s="21">
        <v>1964</v>
      </c>
      <c r="G963" s="40">
        <v>2022</v>
      </c>
      <c r="H963" s="23">
        <v>1612784015815</v>
      </c>
      <c r="I963" s="23">
        <v>2704949853373</v>
      </c>
      <c r="J963" s="23">
        <v>2040608358535</v>
      </c>
      <c r="K963" s="23">
        <f>(J963+1806959758462)/2</f>
        <v>1923784058498.5</v>
      </c>
      <c r="L963" s="23">
        <v>1381381587782</v>
      </c>
      <c r="M963" s="23">
        <v>664341494838</v>
      </c>
      <c r="N963" s="23">
        <v>6754206823380</v>
      </c>
      <c r="O963" s="25">
        <f t="shared" si="243"/>
        <v>231402428033</v>
      </c>
      <c r="P963" s="23">
        <v>176314601424</v>
      </c>
      <c r="Q963" s="23">
        <f>9133390633+206622824744</f>
        <v>215756215377</v>
      </c>
      <c r="R963" s="25">
        <f t="shared" si="244"/>
        <v>6538450608003</v>
      </c>
      <c r="S963" s="26">
        <f t="shared" si="245"/>
        <v>0.75439785177178642</v>
      </c>
      <c r="T963" s="27">
        <f t="shared" si="246"/>
        <v>1.1675152109161588</v>
      </c>
      <c r="U963" s="26">
        <f t="shared" si="247"/>
        <v>28.626104489560884</v>
      </c>
      <c r="V963" s="26">
        <f t="shared" si="248"/>
        <v>3.5108965549135549</v>
      </c>
      <c r="W963" s="143"/>
      <c r="X963" s="143"/>
      <c r="Y963" s="143"/>
      <c r="Z963" s="30"/>
      <c r="AA963" s="31">
        <f t="shared" si="249"/>
        <v>58</v>
      </c>
      <c r="AB963" s="32">
        <v>3.15E-2</v>
      </c>
      <c r="AC963" s="32">
        <v>8.0199999999999994E-2</v>
      </c>
      <c r="AD963" s="33">
        <f t="shared" si="289"/>
        <v>8.5547770042556384E-2</v>
      </c>
      <c r="AE963" s="34">
        <f t="shared" si="290"/>
        <v>6.5182207057975741E-2</v>
      </c>
      <c r="AF963" s="33">
        <f t="shared" si="291"/>
        <v>2.4172169402141512</v>
      </c>
      <c r="AG963" s="33">
        <f t="shared" si="292"/>
        <v>0</v>
      </c>
      <c r="AH963" s="35">
        <f t="shared" si="293"/>
        <v>3.3098986364188967</v>
      </c>
      <c r="AI963" s="36">
        <f t="shared" si="260"/>
        <v>11.480626953057829</v>
      </c>
      <c r="AJ963" s="23"/>
      <c r="AK963" s="101">
        <v>208</v>
      </c>
      <c r="AL963" s="44"/>
      <c r="AM963" s="44"/>
      <c r="AN963" s="44"/>
      <c r="AO963" s="44"/>
      <c r="AP963" s="44"/>
      <c r="AQ963" s="44"/>
      <c r="AR963" s="44"/>
    </row>
    <row r="964" spans="1:44" ht="16.8">
      <c r="A964" s="64" t="s">
        <v>2095</v>
      </c>
      <c r="B964" s="62"/>
      <c r="C964" s="62" t="s">
        <v>2092</v>
      </c>
      <c r="D964" s="19" t="s">
        <v>2093</v>
      </c>
      <c r="E964" s="20" t="s">
        <v>39</v>
      </c>
      <c r="F964" s="21">
        <v>1964</v>
      </c>
      <c r="G964" s="40">
        <v>2023</v>
      </c>
      <c r="H964" s="23">
        <v>1155290867706</v>
      </c>
      <c r="I964" s="23">
        <v>2125611619893</v>
      </c>
      <c r="J964" s="23">
        <v>1418125338704</v>
      </c>
      <c r="K964" s="23">
        <f>SUM(J963:J964)/2</f>
        <v>1729366848619.5</v>
      </c>
      <c r="L964" s="23">
        <v>915732478404</v>
      </c>
      <c r="M964" s="23">
        <v>707486281189</v>
      </c>
      <c r="N964" s="23">
        <v>6536409932341</v>
      </c>
      <c r="O964" s="25">
        <f t="shared" si="243"/>
        <v>239558389302</v>
      </c>
      <c r="P964" s="23">
        <v>138186124464</v>
      </c>
      <c r="Q964" s="23">
        <f>9773691842+217987396005</f>
        <v>227761087847</v>
      </c>
      <c r="R964" s="25">
        <f t="shared" si="244"/>
        <v>6308648844494</v>
      </c>
      <c r="S964" s="26">
        <f t="shared" si="245"/>
        <v>0.66716107751395626</v>
      </c>
      <c r="T964" s="27">
        <f t="shared" si="246"/>
        <v>1.2616030281240198</v>
      </c>
      <c r="U964" s="26">
        <f t="shared" si="247"/>
        <v>28.385080698018491</v>
      </c>
      <c r="V964" s="26">
        <f t="shared" si="248"/>
        <v>3.7796549283680405</v>
      </c>
      <c r="W964" s="143"/>
      <c r="X964" s="143"/>
      <c r="Y964" s="143"/>
      <c r="Z964" s="30"/>
      <c r="AA964" s="31">
        <f t="shared" si="249"/>
        <v>59</v>
      </c>
      <c r="AB964" s="32">
        <v>3.2500000000000001E-2</v>
      </c>
      <c r="AC964" s="32">
        <v>5.0500000000000003E-2</v>
      </c>
      <c r="AD964" s="33">
        <f t="shared" si="289"/>
        <v>0.11270092196525487</v>
      </c>
      <c r="AE964" s="34">
        <f t="shared" si="290"/>
        <v>6.5010053186929831E-2</v>
      </c>
      <c r="AF964" s="33">
        <f t="shared" si="291"/>
        <v>2.9679216962558606</v>
      </c>
      <c r="AG964" s="33">
        <f t="shared" si="292"/>
        <v>0</v>
      </c>
      <c r="AH964" s="35">
        <f t="shared" si="293"/>
        <v>4.609190565845549</v>
      </c>
      <c r="AI964" s="36">
        <f t="shared" si="260"/>
        <v>14.629587344309897</v>
      </c>
      <c r="AJ964" s="23"/>
      <c r="AK964" s="101">
        <v>209</v>
      </c>
      <c r="AL964" s="44"/>
      <c r="AM964" s="44"/>
      <c r="AN964" s="44"/>
      <c r="AO964" s="44"/>
      <c r="AP964" s="44"/>
      <c r="AQ964" s="44"/>
      <c r="AR964" s="44"/>
    </row>
    <row r="965" spans="1:44" ht="16.8">
      <c r="A965" s="64" t="s">
        <v>2096</v>
      </c>
      <c r="B965" s="62">
        <v>376</v>
      </c>
      <c r="C965" s="62" t="s">
        <v>2097</v>
      </c>
      <c r="D965" s="19" t="s">
        <v>2098</v>
      </c>
      <c r="E965" s="20" t="s">
        <v>39</v>
      </c>
      <c r="F965" s="21">
        <v>1978</v>
      </c>
      <c r="G965" s="40">
        <v>2021</v>
      </c>
      <c r="H965" s="23">
        <v>160859753106</v>
      </c>
      <c r="I965" s="23">
        <v>161922574026</v>
      </c>
      <c r="J965" s="23">
        <v>46400838456</v>
      </c>
      <c r="K965" s="23">
        <f>(J965+20326685099)/2</f>
        <v>33363761777.5</v>
      </c>
      <c r="L965" s="23">
        <v>46400838456</v>
      </c>
      <c r="M965" s="23">
        <v>115521735570</v>
      </c>
      <c r="N965" s="23">
        <v>232328092170</v>
      </c>
      <c r="O965" s="25">
        <f t="shared" si="243"/>
        <v>114458914650</v>
      </c>
      <c r="P965" s="23">
        <v>8941563</v>
      </c>
      <c r="Q965" s="23">
        <f>26557729161+9920178859</f>
        <v>36477908020</v>
      </c>
      <c r="R965" s="25">
        <f t="shared" si="244"/>
        <v>195850184150</v>
      </c>
      <c r="S965" s="26">
        <f t="shared" si="245"/>
        <v>0.28656188758801099</v>
      </c>
      <c r="T965" s="27">
        <f t="shared" si="246"/>
        <v>3.4667423792037004</v>
      </c>
      <c r="U965" s="26">
        <f t="shared" si="247"/>
        <v>25.81038411981886</v>
      </c>
      <c r="V965" s="26">
        <f t="shared" si="248"/>
        <v>6.9634861236384449</v>
      </c>
      <c r="W965" s="143"/>
      <c r="X965" s="143"/>
      <c r="Y965" s="143"/>
      <c r="Z965" s="30">
        <f>W965*Y965</f>
        <v>0</v>
      </c>
      <c r="AA965" s="31">
        <f t="shared" si="249"/>
        <v>43</v>
      </c>
      <c r="AB965" s="32">
        <v>1.84E-2</v>
      </c>
      <c r="AC965" s="32">
        <v>2.58E-2</v>
      </c>
      <c r="AD965" s="33">
        <f t="shared" si="289"/>
        <v>0.7068743523779536</v>
      </c>
      <c r="AE965" s="34">
        <f t="shared" si="290"/>
        <v>5.5221225661619286E-5</v>
      </c>
      <c r="AF965" s="33">
        <f t="shared" si="291"/>
        <v>1.2095298344167393</v>
      </c>
      <c r="AG965" s="33">
        <f t="shared" si="292"/>
        <v>0</v>
      </c>
      <c r="AH965" s="35">
        <f t="shared" si="293"/>
        <v>5.0069804749392004</v>
      </c>
      <c r="AI965" s="36">
        <f t="shared" si="260"/>
        <v>9.8467554610839105</v>
      </c>
      <c r="AJ965" s="23"/>
      <c r="AK965" s="101">
        <v>210</v>
      </c>
      <c r="AL965" s="44"/>
      <c r="AM965" s="44"/>
      <c r="AN965" s="44"/>
      <c r="AO965" s="44"/>
      <c r="AP965" s="44"/>
      <c r="AQ965" s="44"/>
      <c r="AR965" s="44"/>
    </row>
    <row r="966" spans="1:44" ht="16.8">
      <c r="A966" s="64" t="s">
        <v>2099</v>
      </c>
      <c r="B966" s="62"/>
      <c r="C966" s="62" t="s">
        <v>2097</v>
      </c>
      <c r="D966" s="19" t="s">
        <v>2098</v>
      </c>
      <c r="E966" s="20" t="s">
        <v>39</v>
      </c>
      <c r="F966" s="21">
        <v>1978</v>
      </c>
      <c r="G966" s="40">
        <v>2022</v>
      </c>
      <c r="H966" s="23">
        <v>196201897007</v>
      </c>
      <c r="I966" s="23">
        <v>196879651565</v>
      </c>
      <c r="J966" s="23">
        <v>81340220556</v>
      </c>
      <c r="K966" s="23">
        <f t="shared" ref="K966:K967" si="344">SUM(J965:J966)/2</f>
        <v>63870529506</v>
      </c>
      <c r="L966" s="23">
        <v>81340220556</v>
      </c>
      <c r="M966" s="23">
        <v>115539431009</v>
      </c>
      <c r="N966" s="23">
        <v>252542711891</v>
      </c>
      <c r="O966" s="25">
        <f t="shared" si="243"/>
        <v>114861676451</v>
      </c>
      <c r="P966" s="23">
        <v>17695439</v>
      </c>
      <c r="Q966" s="23">
        <f>29830122152+10026905195</f>
        <v>39857027347</v>
      </c>
      <c r="R966" s="25">
        <f t="shared" si="244"/>
        <v>212685684544</v>
      </c>
      <c r="S966" s="26">
        <f t="shared" si="245"/>
        <v>0.41314691441916462</v>
      </c>
      <c r="T966" s="27">
        <f t="shared" si="246"/>
        <v>2.4121141504887071</v>
      </c>
      <c r="U966" s="26">
        <f t="shared" si="247"/>
        <v>26.005858473244022</v>
      </c>
      <c r="V966" s="26">
        <f t="shared" si="248"/>
        <v>3.9539786791226792</v>
      </c>
      <c r="W966" s="143"/>
      <c r="X966" s="143"/>
      <c r="Y966" s="143"/>
      <c r="Z966" s="30"/>
      <c r="AA966" s="31">
        <f t="shared" si="249"/>
        <v>44</v>
      </c>
      <c r="AB966" s="32">
        <v>3.15E-2</v>
      </c>
      <c r="AC966" s="32">
        <v>8.0199999999999994E-2</v>
      </c>
      <c r="AD966" s="33">
        <f t="shared" si="289"/>
        <v>0.58341060408204914</v>
      </c>
      <c r="AE966" s="34">
        <f t="shared" si="290"/>
        <v>8.9879471338650928E-5</v>
      </c>
      <c r="AF966" s="33">
        <f t="shared" si="291"/>
        <v>1.0802827151173702</v>
      </c>
      <c r="AG966" s="33">
        <f t="shared" si="292"/>
        <v>0</v>
      </c>
      <c r="AH966" s="35">
        <f t="shared" si="293"/>
        <v>3.1047704341683318</v>
      </c>
      <c r="AI966" s="36">
        <f t="shared" si="260"/>
        <v>7.3699219502139863</v>
      </c>
      <c r="AJ966" s="23"/>
      <c r="AK966" s="101">
        <v>211</v>
      </c>
      <c r="AL966" s="44"/>
      <c r="AM966" s="44"/>
      <c r="AN966" s="44"/>
      <c r="AO966" s="44"/>
      <c r="AP966" s="44"/>
      <c r="AQ966" s="44"/>
      <c r="AR966" s="44"/>
    </row>
    <row r="967" spans="1:44" ht="16.8">
      <c r="A967" s="64" t="s">
        <v>2100</v>
      </c>
      <c r="B967" s="62"/>
      <c r="C967" s="62" t="s">
        <v>2097</v>
      </c>
      <c r="D967" s="19" t="s">
        <v>2098</v>
      </c>
      <c r="E967" s="20" t="s">
        <v>39</v>
      </c>
      <c r="F967" s="21">
        <v>1978</v>
      </c>
      <c r="G967" s="40">
        <v>2023</v>
      </c>
      <c r="H967" s="23">
        <v>134903287752</v>
      </c>
      <c r="I967" s="23">
        <v>135388467688</v>
      </c>
      <c r="J967" s="23">
        <v>24516146728</v>
      </c>
      <c r="K967" s="23">
        <f t="shared" si="344"/>
        <v>52928183642</v>
      </c>
      <c r="L967" s="23">
        <v>24516146728</v>
      </c>
      <c r="M967" s="23">
        <v>110872320960</v>
      </c>
      <c r="N967" s="23">
        <v>111051710760</v>
      </c>
      <c r="O967" s="25">
        <f t="shared" si="243"/>
        <v>110387141024</v>
      </c>
      <c r="P967" s="23">
        <v>-4667110049</v>
      </c>
      <c r="Q967" s="23">
        <f>12014971262+10491495586</f>
        <v>22506466848</v>
      </c>
      <c r="R967" s="25">
        <f t="shared" si="244"/>
        <v>88545243912</v>
      </c>
      <c r="S967" s="26">
        <f t="shared" si="245"/>
        <v>0.18108002215149496</v>
      </c>
      <c r="T967" s="27">
        <f t="shared" si="246"/>
        <v>5.5026301338752539</v>
      </c>
      <c r="U967" s="26">
        <f t="shared" si="247"/>
        <v>25.631414021625886</v>
      </c>
      <c r="V967" s="26">
        <f t="shared" si="248"/>
        <v>2.0981583556908108</v>
      </c>
      <c r="W967" s="143"/>
      <c r="X967" s="143"/>
      <c r="Y967" s="143"/>
      <c r="Z967" s="30"/>
      <c r="AA967" s="31">
        <f t="shared" si="249"/>
        <v>45</v>
      </c>
      <c r="AB967" s="32">
        <v>3.2500000000000001E-2</v>
      </c>
      <c r="AC967" s="32">
        <v>5.0500000000000003E-2</v>
      </c>
      <c r="AD967" s="33">
        <f t="shared" si="289"/>
        <v>0.81533636438211965</v>
      </c>
      <c r="AE967" s="34">
        <f t="shared" si="290"/>
        <v>-3.4471991069100962E-2</v>
      </c>
      <c r="AF967" s="33">
        <f t="shared" si="291"/>
        <v>0.65400876030335708</v>
      </c>
      <c r="AG967" s="33">
        <f t="shared" si="292"/>
        <v>0</v>
      </c>
      <c r="AH967" s="35">
        <f t="shared" si="293"/>
        <v>4.5297375640670055</v>
      </c>
      <c r="AI967" s="36">
        <f t="shared" si="260"/>
        <v>7.618109322829886</v>
      </c>
      <c r="AJ967" s="23"/>
      <c r="AK967" s="101">
        <v>212</v>
      </c>
      <c r="AL967" s="44"/>
      <c r="AM967" s="44"/>
      <c r="AN967" s="44"/>
      <c r="AO967" s="44"/>
      <c r="AP967" s="44"/>
      <c r="AQ967" s="44"/>
      <c r="AR967" s="44"/>
    </row>
    <row r="968" spans="1:44" ht="16.8">
      <c r="A968" s="64" t="s">
        <v>2101</v>
      </c>
      <c r="B968" s="62">
        <v>377</v>
      </c>
      <c r="C968" s="62" t="s">
        <v>2102</v>
      </c>
      <c r="D968" s="19" t="s">
        <v>2103</v>
      </c>
      <c r="E968" s="20" t="s">
        <v>39</v>
      </c>
      <c r="F968" s="21">
        <v>1997</v>
      </c>
      <c r="G968" s="40">
        <v>2021</v>
      </c>
      <c r="H968" s="23">
        <v>3330894857</v>
      </c>
      <c r="I968" s="23">
        <v>261677137918</v>
      </c>
      <c r="J968" s="23">
        <v>98462791589</v>
      </c>
      <c r="K968" s="23">
        <f>(J968+20733924141)/2</f>
        <v>59598357865</v>
      </c>
      <c r="L968" s="23">
        <v>98462791589</v>
      </c>
      <c r="M968" s="23">
        <v>163214346329</v>
      </c>
      <c r="N968" s="23">
        <v>828017552</v>
      </c>
      <c r="O968" s="25">
        <f t="shared" si="243"/>
        <v>-95131896732</v>
      </c>
      <c r="P968" s="23">
        <v>17533263</v>
      </c>
      <c r="Q968" s="23">
        <f>44035608+391367067</f>
        <v>435402675</v>
      </c>
      <c r="R968" s="25">
        <f t="shared" si="244"/>
        <v>392614877</v>
      </c>
      <c r="S968" s="26">
        <f t="shared" si="245"/>
        <v>0.37627586564270138</v>
      </c>
      <c r="T968" s="27">
        <f t="shared" si="246"/>
        <v>3.3828970347537034E-2</v>
      </c>
      <c r="U968" s="26">
        <f t="shared" si="247"/>
        <v>26.290377282781048</v>
      </c>
      <c r="V968" s="26">
        <f t="shared" si="248"/>
        <v>1.3893294742710777E-2</v>
      </c>
      <c r="W968" s="143"/>
      <c r="X968" s="143"/>
      <c r="Y968" s="143"/>
      <c r="Z968" s="30">
        <f>W968*Y968</f>
        <v>0</v>
      </c>
      <c r="AA968" s="31">
        <f t="shared" si="249"/>
        <v>24</v>
      </c>
      <c r="AB968" s="32">
        <v>1.84E-2</v>
      </c>
      <c r="AC968" s="32">
        <v>2.58E-2</v>
      </c>
      <c r="AD968" s="33">
        <f t="shared" si="289"/>
        <v>-0.36354684054138059</v>
      </c>
      <c r="AE968" s="34">
        <f t="shared" si="290"/>
        <v>6.7003419326201443E-5</v>
      </c>
      <c r="AF968" s="33">
        <f t="shared" si="291"/>
        <v>1.5003789789348394E-3</v>
      </c>
      <c r="AG968" s="33">
        <f t="shared" si="292"/>
        <v>0</v>
      </c>
      <c r="AH968" s="35">
        <f t="shared" si="293"/>
        <v>8.40944623484049E-3</v>
      </c>
      <c r="AI968" s="36">
        <f t="shared" si="260"/>
        <v>-0.4228017069972746</v>
      </c>
      <c r="AJ968" s="23"/>
      <c r="AK968" s="101">
        <v>213</v>
      </c>
      <c r="AL968" s="44"/>
      <c r="AM968" s="44"/>
      <c r="AN968" s="44"/>
      <c r="AO968" s="44"/>
      <c r="AP968" s="44"/>
      <c r="AQ968" s="44"/>
      <c r="AR968" s="44"/>
    </row>
    <row r="969" spans="1:44" ht="16.8">
      <c r="A969" s="64" t="s">
        <v>2104</v>
      </c>
      <c r="B969" s="62"/>
      <c r="C969" s="62" t="s">
        <v>2102</v>
      </c>
      <c r="D969" s="19" t="s">
        <v>2103</v>
      </c>
      <c r="E969" s="20" t="s">
        <v>39</v>
      </c>
      <c r="F969" s="21">
        <v>1997</v>
      </c>
      <c r="G969" s="40">
        <v>2022</v>
      </c>
      <c r="H969" s="23">
        <v>471324394572</v>
      </c>
      <c r="I969" s="23">
        <v>474376628692</v>
      </c>
      <c r="J969" s="23">
        <v>310918720346</v>
      </c>
      <c r="K969" s="23">
        <f t="shared" ref="K969:K970" si="345">SUM(J968:J969)/2</f>
        <v>204690755967.5</v>
      </c>
      <c r="L969" s="23">
        <v>109534498074</v>
      </c>
      <c r="M969" s="23">
        <v>163457908346</v>
      </c>
      <c r="N969" s="23">
        <v>286529778</v>
      </c>
      <c r="O969" s="25">
        <f t="shared" si="243"/>
        <v>361789896498</v>
      </c>
      <c r="P969" s="23">
        <v>243562017</v>
      </c>
      <c r="Q969" s="23">
        <f>32689376+1217745773</f>
        <v>1250435149</v>
      </c>
      <c r="R969" s="25">
        <f t="shared" si="244"/>
        <v>-963905371</v>
      </c>
      <c r="S969" s="26">
        <f t="shared" si="245"/>
        <v>0.65542588217994013</v>
      </c>
      <c r="T969" s="27">
        <f t="shared" si="246"/>
        <v>4.3029767138164976</v>
      </c>
      <c r="U969" s="26">
        <f t="shared" si="247"/>
        <v>26.88526741843323</v>
      </c>
      <c r="V969" s="26">
        <f t="shared" si="248"/>
        <v>1.3998178698675287E-3</v>
      </c>
      <c r="W969" s="143"/>
      <c r="X969" s="143"/>
      <c r="Y969" s="143"/>
      <c r="Z969" s="30"/>
      <c r="AA969" s="31">
        <f t="shared" si="249"/>
        <v>25</v>
      </c>
      <c r="AB969" s="32">
        <v>3.15E-2</v>
      </c>
      <c r="AC969" s="32">
        <v>8.0199999999999994E-2</v>
      </c>
      <c r="AD969" s="33">
        <f t="shared" si="289"/>
        <v>0.76266382999424798</v>
      </c>
      <c r="AE969" s="34">
        <f t="shared" si="290"/>
        <v>5.1343595419440081E-4</v>
      </c>
      <c r="AF969" s="33">
        <f t="shared" si="291"/>
        <v>-2.0319411048090185E-3</v>
      </c>
      <c r="AG969" s="33">
        <f t="shared" si="292"/>
        <v>0</v>
      </c>
      <c r="AH969" s="35">
        <f t="shared" si="293"/>
        <v>9.215584628713921E-4</v>
      </c>
      <c r="AI969" s="36">
        <f t="shared" si="260"/>
        <v>0.91013155914597133</v>
      </c>
      <c r="AJ969" s="23"/>
      <c r="AK969" s="101">
        <v>214</v>
      </c>
      <c r="AL969" s="44"/>
      <c r="AM969" s="44"/>
      <c r="AN969" s="44"/>
      <c r="AO969" s="44"/>
      <c r="AP969" s="44"/>
      <c r="AQ969" s="44"/>
      <c r="AR969" s="44"/>
    </row>
    <row r="970" spans="1:44" ht="16.8">
      <c r="A970" s="64" t="s">
        <v>2105</v>
      </c>
      <c r="B970" s="62"/>
      <c r="C970" s="62" t="s">
        <v>2102</v>
      </c>
      <c r="D970" s="19" t="s">
        <v>2103</v>
      </c>
      <c r="E970" s="20" t="s">
        <v>39</v>
      </c>
      <c r="F970" s="21">
        <v>1997</v>
      </c>
      <c r="G970" s="40">
        <v>2023</v>
      </c>
      <c r="H970" s="23">
        <v>496961727955</v>
      </c>
      <c r="I970" s="23">
        <v>496961727955</v>
      </c>
      <c r="J970" s="23">
        <v>332838157580</v>
      </c>
      <c r="K970" s="23">
        <f t="shared" si="345"/>
        <v>321878438963</v>
      </c>
      <c r="L970" s="23">
        <v>111453935308</v>
      </c>
      <c r="M970" s="23">
        <v>164123570375</v>
      </c>
      <c r="N970" s="23">
        <v>1710000000</v>
      </c>
      <c r="O970" s="25">
        <f t="shared" si="243"/>
        <v>385507792647</v>
      </c>
      <c r="P970" s="23">
        <v>665662029</v>
      </c>
      <c r="Q970" s="23">
        <f>1434620170</f>
        <v>1434620170</v>
      </c>
      <c r="R970" s="25">
        <f t="shared" si="244"/>
        <v>275379830</v>
      </c>
      <c r="S970" s="26">
        <f t="shared" si="245"/>
        <v>0.669746056602046</v>
      </c>
      <c r="T970" s="27">
        <f t="shared" si="246"/>
        <v>4.4588979884977542</v>
      </c>
      <c r="U970" s="26">
        <f t="shared" si="247"/>
        <v>26.931778853951155</v>
      </c>
      <c r="V970" s="26">
        <f t="shared" si="248"/>
        <v>5.3125645989496205E-3</v>
      </c>
      <c r="W970" s="143"/>
      <c r="X970" s="143"/>
      <c r="Y970" s="143"/>
      <c r="Z970" s="30"/>
      <c r="AA970" s="31">
        <f t="shared" si="249"/>
        <v>26</v>
      </c>
      <c r="AB970" s="32">
        <v>3.2500000000000001E-2</v>
      </c>
      <c r="AC970" s="32">
        <v>5.0500000000000003E-2</v>
      </c>
      <c r="AD970" s="33">
        <f t="shared" si="289"/>
        <v>0.77572933882326611</v>
      </c>
      <c r="AE970" s="34">
        <f t="shared" si="290"/>
        <v>1.3394633662016642E-3</v>
      </c>
      <c r="AF970" s="33">
        <f t="shared" si="291"/>
        <v>5.5412683615132575E-4</v>
      </c>
      <c r="AG970" s="33">
        <f t="shared" si="292"/>
        <v>0</v>
      </c>
      <c r="AH970" s="35">
        <f t="shared" si="293"/>
        <v>5.1376320925252969E-3</v>
      </c>
      <c r="AI970" s="36">
        <f t="shared" si="260"/>
        <v>0.93971670595242629</v>
      </c>
      <c r="AJ970" s="23" t="s">
        <v>2106</v>
      </c>
      <c r="AK970" s="101">
        <v>215</v>
      </c>
      <c r="AL970" s="44"/>
      <c r="AM970" s="44"/>
      <c r="AN970" s="44"/>
      <c r="AO970" s="44"/>
      <c r="AP970" s="44"/>
      <c r="AQ970" s="44"/>
      <c r="AR970" s="44"/>
    </row>
    <row r="971" spans="1:44" ht="16.8">
      <c r="A971" s="64" t="s">
        <v>2107</v>
      </c>
      <c r="B971" s="62">
        <v>378</v>
      </c>
      <c r="C971" s="62" t="s">
        <v>2108</v>
      </c>
      <c r="D971" s="19" t="s">
        <v>2109</v>
      </c>
      <c r="E971" s="20" t="s">
        <v>39</v>
      </c>
      <c r="F971" s="21">
        <v>2003</v>
      </c>
      <c r="G971" s="40">
        <v>2021</v>
      </c>
      <c r="H971" s="23">
        <v>512489961775</v>
      </c>
      <c r="I971" s="23">
        <v>562392795956</v>
      </c>
      <c r="J971" s="23">
        <v>474000771129</v>
      </c>
      <c r="K971" s="23">
        <f>(J971+596615503320)/2</f>
        <v>535308137224.5</v>
      </c>
      <c r="L971" s="23">
        <v>447104815285</v>
      </c>
      <c r="M971" s="23">
        <v>88392024827</v>
      </c>
      <c r="N971" s="23">
        <v>468237135888</v>
      </c>
      <c r="O971" s="25">
        <f t="shared" si="243"/>
        <v>65385146490</v>
      </c>
      <c r="P971" s="23">
        <v>6141906167</v>
      </c>
      <c r="Q971" s="23">
        <v>15935320820</v>
      </c>
      <c r="R971" s="25">
        <f t="shared" si="244"/>
        <v>452301815068</v>
      </c>
      <c r="S971" s="26">
        <f t="shared" si="245"/>
        <v>0.84282866803664469</v>
      </c>
      <c r="T971" s="27">
        <f t="shared" si="246"/>
        <v>1.1462412039743326</v>
      </c>
      <c r="U971" s="26">
        <f t="shared" si="247"/>
        <v>27.055466367894251</v>
      </c>
      <c r="V971" s="26">
        <f t="shared" si="248"/>
        <v>0.87470580648324525</v>
      </c>
      <c r="W971" s="143"/>
      <c r="X971" s="143"/>
      <c r="Y971" s="143"/>
      <c r="Z971" s="30">
        <f>W971*Y971</f>
        <v>0</v>
      </c>
      <c r="AA971" s="31">
        <f t="shared" si="249"/>
        <v>18</v>
      </c>
      <c r="AB971" s="32">
        <v>1.84E-2</v>
      </c>
      <c r="AC971" s="32">
        <v>2.58E-2</v>
      </c>
      <c r="AD971" s="33">
        <f t="shared" si="289"/>
        <v>0.11626241829583384</v>
      </c>
      <c r="AE971" s="34">
        <f t="shared" si="290"/>
        <v>1.0921025680208972E-2</v>
      </c>
      <c r="AF971" s="33">
        <f t="shared" si="291"/>
        <v>0.80424539275817253</v>
      </c>
      <c r="AG971" s="33">
        <f t="shared" si="292"/>
        <v>0</v>
      </c>
      <c r="AH971" s="35">
        <f t="shared" si="293"/>
        <v>0.98784045176282753</v>
      </c>
      <c r="AI971" s="36">
        <f t="shared" si="260"/>
        <v>3.7966545857720897</v>
      </c>
      <c r="AJ971" s="23" t="s">
        <v>2106</v>
      </c>
      <c r="AK971" s="101">
        <v>216</v>
      </c>
      <c r="AL971" s="44"/>
      <c r="AM971" s="44"/>
      <c r="AN971" s="44"/>
      <c r="AO971" s="44"/>
      <c r="AP971" s="44"/>
      <c r="AQ971" s="44"/>
      <c r="AR971" s="44"/>
    </row>
    <row r="972" spans="1:44" ht="16.8">
      <c r="A972" s="64" t="s">
        <v>2110</v>
      </c>
      <c r="B972" s="62"/>
      <c r="C972" s="62" t="s">
        <v>2108</v>
      </c>
      <c r="D972" s="19" t="s">
        <v>2111</v>
      </c>
      <c r="E972" s="20" t="s">
        <v>39</v>
      </c>
      <c r="F972" s="21">
        <v>2003</v>
      </c>
      <c r="G972" s="40">
        <v>2022</v>
      </c>
      <c r="H972" s="23">
        <v>377769457239</v>
      </c>
      <c r="I972" s="23">
        <v>433764811567</v>
      </c>
      <c r="J972" s="23">
        <v>345007739621</v>
      </c>
      <c r="K972" s="23">
        <f t="shared" ref="K972:K973" si="346">SUM(J971:J972)/2</f>
        <v>409504255375</v>
      </c>
      <c r="L972" s="23">
        <v>319045297749</v>
      </c>
      <c r="M972" s="23">
        <v>88757071946</v>
      </c>
      <c r="N972" s="23">
        <v>337355469452</v>
      </c>
      <c r="O972" s="25">
        <f t="shared" si="243"/>
        <v>58724159490</v>
      </c>
      <c r="P972" s="23">
        <v>6183047119</v>
      </c>
      <c r="Q972" s="23">
        <v>12039804965</v>
      </c>
      <c r="R972" s="25">
        <f t="shared" si="244"/>
        <v>325315664487</v>
      </c>
      <c r="S972" s="26">
        <f t="shared" si="245"/>
        <v>0.79537973210560797</v>
      </c>
      <c r="T972" s="27">
        <f t="shared" si="246"/>
        <v>1.1840621375846121</v>
      </c>
      <c r="U972" s="26">
        <f t="shared" si="247"/>
        <v>26.795768315329358</v>
      </c>
      <c r="V972" s="26">
        <f t="shared" si="248"/>
        <v>0.82381431944600825</v>
      </c>
      <c r="W972" s="143"/>
      <c r="X972" s="143"/>
      <c r="Y972" s="143"/>
      <c r="Z972" s="30"/>
      <c r="AA972" s="31">
        <f t="shared" si="249"/>
        <v>19</v>
      </c>
      <c r="AB972" s="32">
        <v>3.15E-2</v>
      </c>
      <c r="AC972" s="32">
        <v>8.0199999999999994E-2</v>
      </c>
      <c r="AD972" s="33">
        <f t="shared" si="289"/>
        <v>0.13538248821488225</v>
      </c>
      <c r="AE972" s="34">
        <f t="shared" si="290"/>
        <v>1.4254376920671346E-2</v>
      </c>
      <c r="AF972" s="33">
        <f t="shared" si="291"/>
        <v>0.74998168549398625</v>
      </c>
      <c r="AG972" s="33">
        <f t="shared" si="292"/>
        <v>0</v>
      </c>
      <c r="AH972" s="35">
        <f t="shared" si="293"/>
        <v>0.97782000433553684</v>
      </c>
      <c r="AI972" s="36">
        <f t="shared" si="260"/>
        <v>3.6351746800124896</v>
      </c>
      <c r="AJ972" s="23" t="s">
        <v>2106</v>
      </c>
      <c r="AK972" s="101">
        <v>217</v>
      </c>
      <c r="AL972" s="44"/>
      <c r="AM972" s="44"/>
      <c r="AN972" s="44"/>
      <c r="AO972" s="44"/>
      <c r="AP972" s="44"/>
      <c r="AQ972" s="44"/>
      <c r="AR972" s="44"/>
    </row>
    <row r="973" spans="1:44" ht="16.8">
      <c r="A973" s="64" t="s">
        <v>2112</v>
      </c>
      <c r="B973" s="62"/>
      <c r="C973" s="62" t="s">
        <v>2108</v>
      </c>
      <c r="D973" s="19" t="s">
        <v>2113</v>
      </c>
      <c r="E973" s="20" t="s">
        <v>39</v>
      </c>
      <c r="F973" s="21">
        <v>2003</v>
      </c>
      <c r="G973" s="40">
        <v>2023</v>
      </c>
      <c r="H973" s="23">
        <v>540645307913</v>
      </c>
      <c r="I973" s="23">
        <v>598049114139</v>
      </c>
      <c r="J973" s="23">
        <v>437402667055</v>
      </c>
      <c r="K973" s="23">
        <f t="shared" si="346"/>
        <v>391205203338</v>
      </c>
      <c r="L973" s="23">
        <v>412373739155</v>
      </c>
      <c r="M973" s="23">
        <v>160646447084</v>
      </c>
      <c r="N973" s="23">
        <v>371646017566</v>
      </c>
      <c r="O973" s="25">
        <f t="shared" si="243"/>
        <v>128271568758</v>
      </c>
      <c r="P973" s="23">
        <v>9367847865</v>
      </c>
      <c r="Q973" s="23">
        <v>15717312552</v>
      </c>
      <c r="R973" s="25">
        <f t="shared" si="244"/>
        <v>355928705014</v>
      </c>
      <c r="S973" s="26">
        <f t="shared" si="245"/>
        <v>0.73138251811428623</v>
      </c>
      <c r="T973" s="27">
        <f t="shared" si="246"/>
        <v>1.3110565891534287</v>
      </c>
      <c r="U973" s="26">
        <f t="shared" si="247"/>
        <v>27.116938718191729</v>
      </c>
      <c r="V973" s="26">
        <f t="shared" si="248"/>
        <v>0.95000274637170168</v>
      </c>
      <c r="W973" s="143"/>
      <c r="X973" s="143"/>
      <c r="Y973" s="143"/>
      <c r="Z973" s="30"/>
      <c r="AA973" s="31">
        <f t="shared" si="249"/>
        <v>20</v>
      </c>
      <c r="AB973" s="32">
        <v>3.2500000000000001E-2</v>
      </c>
      <c r="AC973" s="32">
        <v>5.0500000000000003E-2</v>
      </c>
      <c r="AD973" s="33">
        <f t="shared" si="289"/>
        <v>0.21448333544088624</v>
      </c>
      <c r="AE973" s="34">
        <f t="shared" si="290"/>
        <v>1.5664010937440669E-2</v>
      </c>
      <c r="AF973" s="33">
        <f t="shared" si="291"/>
        <v>0.59514962333223054</v>
      </c>
      <c r="AG973" s="33">
        <f t="shared" si="292"/>
        <v>0</v>
      </c>
      <c r="AH973" s="35">
        <f t="shared" si="293"/>
        <v>0.84966564120028187</v>
      </c>
      <c r="AI973" s="36">
        <f t="shared" si="260"/>
        <v>3.0929690160381229</v>
      </c>
      <c r="AJ973" s="23" t="s">
        <v>2106</v>
      </c>
      <c r="AK973" s="101">
        <v>218</v>
      </c>
      <c r="AL973" s="44"/>
      <c r="AM973" s="44"/>
      <c r="AN973" s="44"/>
      <c r="AO973" s="44"/>
      <c r="AP973" s="44"/>
      <c r="AQ973" s="44"/>
      <c r="AR973" s="44"/>
    </row>
    <row r="974" spans="1:44" ht="16.8">
      <c r="A974" s="64" t="s">
        <v>2114</v>
      </c>
      <c r="B974" s="62">
        <v>379</v>
      </c>
      <c r="C974" s="62" t="s">
        <v>2115</v>
      </c>
      <c r="D974" s="19" t="s">
        <v>2116</v>
      </c>
      <c r="E974" s="20" t="s">
        <v>39</v>
      </c>
      <c r="F974" s="21">
        <v>1969</v>
      </c>
      <c r="G974" s="40">
        <v>2021</v>
      </c>
      <c r="H974" s="23">
        <v>242841896581</v>
      </c>
      <c r="I974" s="23">
        <v>335579886720</v>
      </c>
      <c r="J974" s="23">
        <v>214662225317</v>
      </c>
      <c r="K974" s="23">
        <f>(J974+320436811283)/2</f>
        <v>267549518300</v>
      </c>
      <c r="L974" s="23">
        <v>188845815222</v>
      </c>
      <c r="M974" s="23">
        <v>120917661403</v>
      </c>
      <c r="N974" s="23">
        <v>125499975935</v>
      </c>
      <c r="O974" s="25">
        <f t="shared" si="243"/>
        <v>53996081359</v>
      </c>
      <c r="P974" s="23">
        <v>3713924322</v>
      </c>
      <c r="Q974" s="23">
        <f>853998641-1886364828</f>
        <v>-1032366187</v>
      </c>
      <c r="R974" s="25">
        <f t="shared" si="244"/>
        <v>126532342122</v>
      </c>
      <c r="S974" s="26">
        <f t="shared" si="245"/>
        <v>0.63967548059907753</v>
      </c>
      <c r="T974" s="27">
        <f t="shared" si="246"/>
        <v>1.2859268091036291</v>
      </c>
      <c r="U974" s="26">
        <f t="shared" si="247"/>
        <v>26.539125877443091</v>
      </c>
      <c r="V974" s="26">
        <f t="shared" si="248"/>
        <v>0.46907195622112247</v>
      </c>
      <c r="W974" s="143"/>
      <c r="X974" s="143"/>
      <c r="Y974" s="143"/>
      <c r="Z974" s="30">
        <f>W974*Y974</f>
        <v>0</v>
      </c>
      <c r="AA974" s="31">
        <f t="shared" si="249"/>
        <v>52</v>
      </c>
      <c r="AB974" s="32">
        <v>1.84E-2</v>
      </c>
      <c r="AC974" s="32">
        <v>2.58E-2</v>
      </c>
      <c r="AD974" s="33">
        <f t="shared" si="289"/>
        <v>0.16090380709870453</v>
      </c>
      <c r="AE974" s="34">
        <f t="shared" si="290"/>
        <v>1.1067183907534993E-2</v>
      </c>
      <c r="AF974" s="33">
        <f t="shared" si="291"/>
        <v>0.37705579842326969</v>
      </c>
      <c r="AG974" s="33">
        <f t="shared" si="292"/>
        <v>0</v>
      </c>
      <c r="AH974" s="35">
        <f t="shared" si="293"/>
        <v>0.58463931299356153</v>
      </c>
      <c r="AI974" s="36">
        <f t="shared" si="260"/>
        <v>2.0375020737793457</v>
      </c>
      <c r="AJ974" s="23"/>
      <c r="AK974" s="101">
        <v>219</v>
      </c>
      <c r="AL974" s="44"/>
      <c r="AM974" s="44"/>
      <c r="AN974" s="44"/>
      <c r="AO974" s="44"/>
      <c r="AP974" s="44"/>
      <c r="AQ974" s="44"/>
      <c r="AR974" s="44"/>
    </row>
    <row r="975" spans="1:44" ht="16.8">
      <c r="A975" s="64" t="s">
        <v>2117</v>
      </c>
      <c r="B975" s="62"/>
      <c r="C975" s="62" t="s">
        <v>2115</v>
      </c>
      <c r="D975" s="19" t="s">
        <v>2118</v>
      </c>
      <c r="E975" s="20" t="s">
        <v>39</v>
      </c>
      <c r="F975" s="21">
        <v>1969</v>
      </c>
      <c r="G975" s="40">
        <v>2022</v>
      </c>
      <c r="H975" s="23">
        <v>225557449066</v>
      </c>
      <c r="I975" s="23">
        <v>317114172544</v>
      </c>
      <c r="J975" s="23">
        <v>195267626353</v>
      </c>
      <c r="K975" s="23">
        <f t="shared" ref="K975:K976" si="347">SUM(J974:J975)/2</f>
        <v>204964925835</v>
      </c>
      <c r="L975" s="23">
        <v>174960379061</v>
      </c>
      <c r="M975" s="23">
        <v>121846546191</v>
      </c>
      <c r="N975" s="23">
        <v>61220235368</v>
      </c>
      <c r="O975" s="25">
        <f t="shared" si="243"/>
        <v>50597070005</v>
      </c>
      <c r="P975" s="23">
        <v>928884788</v>
      </c>
      <c r="Q975" s="23">
        <v>3684109591</v>
      </c>
      <c r="R975" s="25">
        <f t="shared" si="244"/>
        <v>57536125777</v>
      </c>
      <c r="S975" s="26">
        <f t="shared" si="245"/>
        <v>0.61576442574765833</v>
      </c>
      <c r="T975" s="27">
        <f t="shared" si="246"/>
        <v>1.2891915888417189</v>
      </c>
      <c r="U975" s="26">
        <f t="shared" si="247"/>
        <v>26.482527711733518</v>
      </c>
      <c r="V975" s="26">
        <f t="shared" si="248"/>
        <v>0.29868639777560407</v>
      </c>
      <c r="W975" s="143"/>
      <c r="X975" s="143"/>
      <c r="Y975" s="143"/>
      <c r="Z975" s="30"/>
      <c r="AA975" s="31">
        <f t="shared" si="249"/>
        <v>53</v>
      </c>
      <c r="AB975" s="32">
        <v>3.15E-2</v>
      </c>
      <c r="AC975" s="32">
        <v>8.0199999999999994E-2</v>
      </c>
      <c r="AD975" s="33">
        <f t="shared" si="289"/>
        <v>0.15955474206369502</v>
      </c>
      <c r="AE975" s="34">
        <f t="shared" si="290"/>
        <v>2.9291809336308237E-3</v>
      </c>
      <c r="AF975" s="33">
        <f t="shared" si="291"/>
        <v>0.18143662680045242</v>
      </c>
      <c r="AG975" s="33">
        <f t="shared" si="292"/>
        <v>0</v>
      </c>
      <c r="AH975" s="35">
        <f t="shared" si="293"/>
        <v>0.31351963718413606</v>
      </c>
      <c r="AI975" s="36">
        <f t="shared" si="260"/>
        <v>1.1078270494091462</v>
      </c>
      <c r="AJ975" s="23" t="s">
        <v>2106</v>
      </c>
      <c r="AK975" s="101">
        <v>220</v>
      </c>
      <c r="AL975" s="44"/>
      <c r="AM975" s="44"/>
      <c r="AN975" s="44"/>
      <c r="AO975" s="44"/>
      <c r="AP975" s="44"/>
      <c r="AQ975" s="44"/>
      <c r="AR975" s="44"/>
    </row>
    <row r="976" spans="1:44" ht="16.8">
      <c r="A976" s="64" t="s">
        <v>2119</v>
      </c>
      <c r="B976" s="62"/>
      <c r="C976" s="62" t="s">
        <v>2115</v>
      </c>
      <c r="D976" s="19" t="s">
        <v>2120</v>
      </c>
      <c r="E976" s="20" t="s">
        <v>39</v>
      </c>
      <c r="F976" s="21">
        <v>1969</v>
      </c>
      <c r="G976" s="40">
        <v>2023</v>
      </c>
      <c r="H976" s="23">
        <v>232978999994</v>
      </c>
      <c r="I976" s="23">
        <v>323444750092</v>
      </c>
      <c r="J976" s="23">
        <v>201539195943</v>
      </c>
      <c r="K976" s="23">
        <f t="shared" si="347"/>
        <v>198403411148</v>
      </c>
      <c r="L976" s="23">
        <v>181539195943</v>
      </c>
      <c r="M976" s="23">
        <v>121905554149</v>
      </c>
      <c r="N976" s="23">
        <v>107609657162</v>
      </c>
      <c r="O976" s="25">
        <f t="shared" si="243"/>
        <v>51439804051</v>
      </c>
      <c r="P976" s="23">
        <v>59007958</v>
      </c>
      <c r="Q976" s="23">
        <v>9477887809</v>
      </c>
      <c r="R976" s="25">
        <f t="shared" si="244"/>
        <v>98131769353</v>
      </c>
      <c r="S976" s="26">
        <f t="shared" si="245"/>
        <v>0.62310238730316259</v>
      </c>
      <c r="T976" s="27">
        <f t="shared" si="246"/>
        <v>1.2833537065304133</v>
      </c>
      <c r="U976" s="26">
        <f t="shared" si="247"/>
        <v>26.502294148332354</v>
      </c>
      <c r="V976" s="26">
        <f t="shared" si="248"/>
        <v>0.54237805962785612</v>
      </c>
      <c r="W976" s="143"/>
      <c r="X976" s="143"/>
      <c r="Y976" s="143"/>
      <c r="Z976" s="30"/>
      <c r="AA976" s="31">
        <f t="shared" si="249"/>
        <v>54</v>
      </c>
      <c r="AB976" s="32">
        <v>3.2500000000000001E-2</v>
      </c>
      <c r="AC976" s="32">
        <v>5.0500000000000003E-2</v>
      </c>
      <c r="AD976" s="33">
        <f t="shared" si="289"/>
        <v>0.15903737512007401</v>
      </c>
      <c r="AE976" s="34">
        <f t="shared" si="290"/>
        <v>1.82435973943667E-4</v>
      </c>
      <c r="AF976" s="33">
        <f t="shared" si="291"/>
        <v>0.30339577107090959</v>
      </c>
      <c r="AG976" s="33">
        <f t="shared" si="292"/>
        <v>0</v>
      </c>
      <c r="AH976" s="35">
        <f t="shared" si="293"/>
        <v>0.53393910131721734</v>
      </c>
      <c r="AI976" s="36">
        <f t="shared" si="260"/>
        <v>1.7262454063588288</v>
      </c>
      <c r="AJ976" s="23" t="s">
        <v>2106</v>
      </c>
      <c r="AK976" s="101">
        <v>221</v>
      </c>
      <c r="AL976" s="44"/>
      <c r="AM976" s="44"/>
      <c r="AN976" s="44"/>
      <c r="AO976" s="44"/>
      <c r="AP976" s="44"/>
      <c r="AQ976" s="44"/>
      <c r="AR976" s="44"/>
    </row>
    <row r="977" spans="1:44" ht="16.8">
      <c r="A977" s="45"/>
      <c r="B977" s="45">
        <v>380</v>
      </c>
      <c r="C977" s="45" t="s">
        <v>2121</v>
      </c>
      <c r="D977" s="46" t="s">
        <v>2122</v>
      </c>
      <c r="E977" s="47" t="s">
        <v>39</v>
      </c>
      <c r="F977" s="48"/>
      <c r="G977" s="48"/>
      <c r="H977" s="49"/>
      <c r="I977" s="49"/>
      <c r="J977" s="49"/>
      <c r="K977" s="49"/>
      <c r="L977" s="49"/>
      <c r="M977" s="49"/>
      <c r="N977" s="49"/>
      <c r="O977" s="49">
        <f t="shared" si="243"/>
        <v>0</v>
      </c>
      <c r="P977" s="49"/>
      <c r="Q977" s="49"/>
      <c r="R977" s="49">
        <f t="shared" si="244"/>
        <v>0</v>
      </c>
      <c r="S977" s="50" t="e">
        <f t="shared" si="245"/>
        <v>#DIV/0!</v>
      </c>
      <c r="T977" s="51" t="e">
        <f t="shared" si="246"/>
        <v>#DIV/0!</v>
      </c>
      <c r="U977" s="50" t="e">
        <f t="shared" si="247"/>
        <v>#NUM!</v>
      </c>
      <c r="V977" s="50" t="e">
        <f t="shared" si="248"/>
        <v>#DIV/0!</v>
      </c>
      <c r="W977" s="52"/>
      <c r="X977" s="52"/>
      <c r="Y977" s="52"/>
      <c r="Z977" s="55">
        <f t="shared" ref="Z977:Z978" si="348">W977*Y977</f>
        <v>0</v>
      </c>
      <c r="AA977" s="48">
        <f t="shared" si="249"/>
        <v>0</v>
      </c>
      <c r="AB977" s="49"/>
      <c r="AC977" s="49"/>
      <c r="AD977" s="50" t="e">
        <f t="shared" si="289"/>
        <v>#DIV/0!</v>
      </c>
      <c r="AE977" s="56" t="e">
        <f t="shared" si="290"/>
        <v>#DIV/0!</v>
      </c>
      <c r="AF977" s="50" t="e">
        <f t="shared" si="291"/>
        <v>#DIV/0!</v>
      </c>
      <c r="AG977" s="50" t="e">
        <f t="shared" si="292"/>
        <v>#DIV/0!</v>
      </c>
      <c r="AH977" s="57" t="e">
        <f t="shared" si="293"/>
        <v>#DIV/0!</v>
      </c>
      <c r="AI977" s="58" t="e">
        <f t="shared" si="260"/>
        <v>#DIV/0!</v>
      </c>
      <c r="AJ977" s="49"/>
      <c r="AK977" s="49">
        <v>222</v>
      </c>
      <c r="AL977" s="59"/>
      <c r="AM977" s="59"/>
      <c r="AN977" s="59"/>
      <c r="AO977" s="59"/>
      <c r="AP977" s="59"/>
      <c r="AQ977" s="59"/>
      <c r="AR977" s="59"/>
    </row>
    <row r="978" spans="1:44" ht="16.8">
      <c r="A978" s="64" t="s">
        <v>2123</v>
      </c>
      <c r="B978" s="62">
        <v>381</v>
      </c>
      <c r="C978" s="62" t="s">
        <v>2124</v>
      </c>
      <c r="D978" s="19" t="s">
        <v>2125</v>
      </c>
      <c r="E978" s="20" t="s">
        <v>39</v>
      </c>
      <c r="F978" s="21">
        <v>1996</v>
      </c>
      <c r="G978" s="40">
        <v>2021</v>
      </c>
      <c r="H978" s="23">
        <v>348984588026</v>
      </c>
      <c r="I978" s="23">
        <v>434041199276</v>
      </c>
      <c r="J978" s="23">
        <v>291825066904</v>
      </c>
      <c r="K978" s="23">
        <f>(J978+289803053070)/2</f>
        <v>290814059987</v>
      </c>
      <c r="L978" s="23">
        <v>284833043033</v>
      </c>
      <c r="M978" s="23">
        <v>142216132372</v>
      </c>
      <c r="N978" s="23">
        <v>1026871148582</v>
      </c>
      <c r="O978" s="25">
        <f t="shared" si="243"/>
        <v>64151544993</v>
      </c>
      <c r="P978" s="23">
        <v>28112069423</v>
      </c>
      <c r="Q978" s="23">
        <f>23459225188+17832407486</f>
        <v>41291632674</v>
      </c>
      <c r="R978" s="25">
        <f t="shared" si="244"/>
        <v>985579515908</v>
      </c>
      <c r="S978" s="26">
        <f t="shared" si="245"/>
        <v>0.67234416315957368</v>
      </c>
      <c r="T978" s="27">
        <f t="shared" si="246"/>
        <v>1.2252250803133384</v>
      </c>
      <c r="U978" s="26">
        <f t="shared" si="247"/>
        <v>26.796405295748698</v>
      </c>
      <c r="V978" s="26">
        <f t="shared" si="248"/>
        <v>3.5310230482938247</v>
      </c>
      <c r="W978" s="143"/>
      <c r="X978" s="143"/>
      <c r="Y978" s="143"/>
      <c r="Z978" s="30">
        <f t="shared" si="348"/>
        <v>0</v>
      </c>
      <c r="AA978" s="31">
        <f t="shared" si="249"/>
        <v>25</v>
      </c>
      <c r="AB978" s="32">
        <v>1.84E-2</v>
      </c>
      <c r="AC978" s="32">
        <v>2.58E-2</v>
      </c>
      <c r="AD978" s="33">
        <f t="shared" si="289"/>
        <v>0.14780058920675648</v>
      </c>
      <c r="AE978" s="34">
        <f t="shared" si="290"/>
        <v>6.4768205114842048E-2</v>
      </c>
      <c r="AF978" s="33">
        <f t="shared" si="291"/>
        <v>2.2707049873421932</v>
      </c>
      <c r="AG978" s="33">
        <f t="shared" si="292"/>
        <v>0</v>
      </c>
      <c r="AH978" s="35">
        <f t="shared" si="293"/>
        <v>3.5187900733688648</v>
      </c>
      <c r="AI978" s="36">
        <f t="shared" si="260"/>
        <v>11.280152725806989</v>
      </c>
      <c r="AJ978" s="23"/>
      <c r="AK978" s="101">
        <v>223</v>
      </c>
      <c r="AL978" s="44"/>
      <c r="AM978" s="44"/>
      <c r="AN978" s="44"/>
      <c r="AO978" s="44"/>
      <c r="AP978" s="44"/>
      <c r="AQ978" s="44"/>
      <c r="AR978" s="44"/>
    </row>
    <row r="979" spans="1:44" ht="16.8">
      <c r="A979" s="64" t="s">
        <v>2126</v>
      </c>
      <c r="B979" s="62"/>
      <c r="C979" s="62" t="s">
        <v>2124</v>
      </c>
      <c r="D979" s="19" t="s">
        <v>2125</v>
      </c>
      <c r="E979" s="20" t="s">
        <v>39</v>
      </c>
      <c r="F979" s="21">
        <v>1996</v>
      </c>
      <c r="G979" s="40">
        <v>2022</v>
      </c>
      <c r="H979" s="23">
        <v>371253831671</v>
      </c>
      <c r="I979" s="23">
        <v>459482356348</v>
      </c>
      <c r="J979" s="23">
        <v>309295748754</v>
      </c>
      <c r="K979" s="23">
        <f>(J979+291756457391)/2</f>
        <v>300526103072.5</v>
      </c>
      <c r="L979" s="23">
        <v>305248306342</v>
      </c>
      <c r="M979" s="23">
        <v>150186597594</v>
      </c>
      <c r="N979" s="23">
        <v>995451464436</v>
      </c>
      <c r="O979" s="25">
        <f t="shared" si="243"/>
        <v>66005525329</v>
      </c>
      <c r="P979" s="23">
        <v>27261706297</v>
      </c>
      <c r="Q979" s="23">
        <f>29101657865+18524153559</f>
        <v>47625811424</v>
      </c>
      <c r="R979" s="25">
        <f t="shared" si="244"/>
        <v>947825653012</v>
      </c>
      <c r="S979" s="26">
        <f t="shared" si="245"/>
        <v>0.67313955472045905</v>
      </c>
      <c r="T979" s="27">
        <f t="shared" si="246"/>
        <v>1.2162355169795682</v>
      </c>
      <c r="U979" s="26">
        <f t="shared" si="247"/>
        <v>26.853366380503317</v>
      </c>
      <c r="V979" s="26">
        <f t="shared" si="248"/>
        <v>3.3123627340812178</v>
      </c>
      <c r="W979" s="143"/>
      <c r="X979" s="143"/>
      <c r="Y979" s="143"/>
      <c r="Z979" s="30"/>
      <c r="AA979" s="31">
        <f t="shared" si="249"/>
        <v>26</v>
      </c>
      <c r="AB979" s="32">
        <v>3.15E-2</v>
      </c>
      <c r="AC979" s="32">
        <v>8.0199999999999994E-2</v>
      </c>
      <c r="AD979" s="33">
        <f t="shared" si="289"/>
        <v>0.14365192573141836</v>
      </c>
      <c r="AE979" s="34">
        <f t="shared" si="290"/>
        <v>5.9331345198275015E-2</v>
      </c>
      <c r="AF979" s="33">
        <f t="shared" si="291"/>
        <v>2.0628118575550731</v>
      </c>
      <c r="AG979" s="33">
        <f t="shared" si="292"/>
        <v>0</v>
      </c>
      <c r="AH979" s="35">
        <f t="shared" si="293"/>
        <v>3.2184453502713275</v>
      </c>
      <c r="AI979" s="36">
        <f t="shared" si="260"/>
        <v>10.281170674358355</v>
      </c>
      <c r="AJ979" s="23"/>
      <c r="AK979" s="101">
        <v>224</v>
      </c>
      <c r="AL979" s="44"/>
      <c r="AM979" s="44"/>
      <c r="AN979" s="44"/>
      <c r="AO979" s="44"/>
      <c r="AP979" s="44"/>
      <c r="AQ979" s="44"/>
      <c r="AR979" s="44"/>
    </row>
    <row r="980" spans="1:44" ht="16.8">
      <c r="A980" s="64" t="s">
        <v>2127</v>
      </c>
      <c r="B980" s="62"/>
      <c r="C980" s="62" t="s">
        <v>2124</v>
      </c>
      <c r="D980" s="19" t="s">
        <v>2125</v>
      </c>
      <c r="E980" s="20" t="s">
        <v>39</v>
      </c>
      <c r="F980" s="21">
        <v>1996</v>
      </c>
      <c r="G980" s="40">
        <v>2023</v>
      </c>
      <c r="H980" s="23">
        <v>309869208799</v>
      </c>
      <c r="I980" s="23">
        <v>388165250942</v>
      </c>
      <c r="J980" s="23">
        <v>230358901014</v>
      </c>
      <c r="K980" s="23">
        <f>SUM(J979:J980)/2</f>
        <v>269827324884</v>
      </c>
      <c r="L980" s="23">
        <v>229315263109</v>
      </c>
      <c r="M980" s="23">
        <v>157806349928</v>
      </c>
      <c r="N980" s="23">
        <v>874808591051</v>
      </c>
      <c r="O980" s="25">
        <f t="shared" si="243"/>
        <v>80553945690</v>
      </c>
      <c r="P980" s="23">
        <v>28069439843</v>
      </c>
      <c r="Q980" s="23">
        <f>22492516597+18989251169</f>
        <v>41481767766</v>
      </c>
      <c r="R980" s="25">
        <f t="shared" si="244"/>
        <v>833326823285</v>
      </c>
      <c r="S980" s="26">
        <f t="shared" si="245"/>
        <v>0.5934557522987044</v>
      </c>
      <c r="T980" s="27">
        <f t="shared" si="246"/>
        <v>1.351280349148458</v>
      </c>
      <c r="U980" s="26">
        <f t="shared" si="247"/>
        <v>26.684696990387803</v>
      </c>
      <c r="V980" s="26">
        <f t="shared" si="248"/>
        <v>3.2421052664962091</v>
      </c>
      <c r="W980" s="143"/>
      <c r="X980" s="143"/>
      <c r="Y980" s="143"/>
      <c r="Z980" s="30"/>
      <c r="AA980" s="31">
        <f t="shared" si="249"/>
        <v>27</v>
      </c>
      <c r="AB980" s="32">
        <v>3.2500000000000001E-2</v>
      </c>
      <c r="AC980" s="32">
        <v>5.0500000000000003E-2</v>
      </c>
      <c r="AD980" s="33">
        <f t="shared" si="289"/>
        <v>0.20752487631108546</v>
      </c>
      <c r="AE980" s="34">
        <f t="shared" si="290"/>
        <v>7.231311863924203E-2</v>
      </c>
      <c r="AF980" s="33">
        <f t="shared" si="291"/>
        <v>2.1468351977996001</v>
      </c>
      <c r="AG980" s="33">
        <f t="shared" si="292"/>
        <v>0</v>
      </c>
      <c r="AH980" s="35">
        <f t="shared" si="293"/>
        <v>3.7975897054563292</v>
      </c>
      <c r="AI980" s="36">
        <f t="shared" si="260"/>
        <v>11.23241407586325</v>
      </c>
      <c r="AJ980" s="23"/>
      <c r="AK980" s="101">
        <v>225</v>
      </c>
      <c r="AL980" s="44"/>
      <c r="AM980" s="44"/>
      <c r="AN980" s="44"/>
      <c r="AO980" s="44"/>
      <c r="AP980" s="44"/>
      <c r="AQ980" s="44"/>
      <c r="AR980" s="44"/>
    </row>
    <row r="981" spans="1:44" ht="16.8">
      <c r="A981" s="64" t="s">
        <v>2128</v>
      </c>
      <c r="B981" s="62">
        <v>382</v>
      </c>
      <c r="C981" s="62" t="s">
        <v>2129</v>
      </c>
      <c r="D981" s="19" t="s">
        <v>2130</v>
      </c>
      <c r="E981" s="20" t="s">
        <v>178</v>
      </c>
      <c r="F981" s="21">
        <v>1979</v>
      </c>
      <c r="G981" s="40">
        <v>2021</v>
      </c>
      <c r="H981" s="23">
        <v>27726327494</v>
      </c>
      <c r="I981" s="23">
        <v>27754798994</v>
      </c>
      <c r="J981" s="23">
        <v>6685101280</v>
      </c>
      <c r="K981" s="23">
        <f>(J981+3024185150)/2</f>
        <v>4854643215</v>
      </c>
      <c r="L981" s="23">
        <v>4666272130</v>
      </c>
      <c r="M981" s="23">
        <v>21069697714</v>
      </c>
      <c r="N981" s="23">
        <v>70603269709</v>
      </c>
      <c r="O981" s="25">
        <f t="shared" si="243"/>
        <v>23060055364</v>
      </c>
      <c r="P981" s="23">
        <v>1398023418</v>
      </c>
      <c r="Q981" s="23">
        <f>985446954+10387897020</f>
        <v>11373343974</v>
      </c>
      <c r="R981" s="25">
        <f t="shared" si="244"/>
        <v>59229925735</v>
      </c>
      <c r="S981" s="26">
        <f t="shared" si="245"/>
        <v>0.24086289659115087</v>
      </c>
      <c r="T981" s="27">
        <f t="shared" si="246"/>
        <v>5.9418582374877484</v>
      </c>
      <c r="U981" s="26">
        <f t="shared" si="247"/>
        <v>24.046674598907746</v>
      </c>
      <c r="V981" s="26">
        <f t="shared" si="248"/>
        <v>14.543451821721568</v>
      </c>
      <c r="W981" s="143"/>
      <c r="X981" s="143"/>
      <c r="Y981" s="143"/>
      <c r="Z981" s="30">
        <f>W981*Y981</f>
        <v>0</v>
      </c>
      <c r="AA981" s="31">
        <f t="shared" si="249"/>
        <v>42</v>
      </c>
      <c r="AB981" s="32">
        <v>1.84E-2</v>
      </c>
      <c r="AC981" s="32">
        <v>2.58E-2</v>
      </c>
      <c r="AD981" s="33">
        <f t="shared" si="289"/>
        <v>0.83084930173643468</v>
      </c>
      <c r="AE981" s="34">
        <f t="shared" si="290"/>
        <v>5.0370511359214783E-2</v>
      </c>
      <c r="AF981" s="33">
        <f t="shared" si="291"/>
        <v>2.1340426838545743</v>
      </c>
      <c r="AG981" s="33">
        <f t="shared" si="292"/>
        <v>0</v>
      </c>
      <c r="AH981" s="35">
        <f t="shared" si="293"/>
        <v>10.56128647148933</v>
      </c>
      <c r="AI981" s="36">
        <f t="shared" si="260"/>
        <v>18.671165206196047</v>
      </c>
      <c r="AJ981" s="23"/>
      <c r="AK981" s="23"/>
      <c r="AL981" s="44"/>
      <c r="AM981" s="44"/>
      <c r="AN981" s="44"/>
      <c r="AO981" s="44"/>
      <c r="AP981" s="44"/>
      <c r="AQ981" s="44"/>
      <c r="AR981" s="44"/>
    </row>
    <row r="982" spans="1:44" ht="16.8">
      <c r="A982" s="64" t="s">
        <v>2131</v>
      </c>
      <c r="B982" s="62"/>
      <c r="C982" s="62" t="s">
        <v>2129</v>
      </c>
      <c r="D982" s="19" t="s">
        <v>2130</v>
      </c>
      <c r="E982" s="20" t="s">
        <v>178</v>
      </c>
      <c r="F982" s="21">
        <v>1979</v>
      </c>
      <c r="G982" s="40">
        <v>2022</v>
      </c>
      <c r="H982" s="23">
        <v>25776623106</v>
      </c>
      <c r="I982" s="23">
        <v>27869293827</v>
      </c>
      <c r="J982" s="23">
        <v>4637706523</v>
      </c>
      <c r="K982" s="23">
        <f t="shared" ref="K982:K983" si="349">SUM(J981:J982)/2</f>
        <v>5661403901.5</v>
      </c>
      <c r="L982" s="23">
        <v>2834881373</v>
      </c>
      <c r="M982" s="23">
        <v>23231587304</v>
      </c>
      <c r="N982" s="23">
        <v>64643473664</v>
      </c>
      <c r="O982" s="25">
        <f t="shared" si="243"/>
        <v>22941741733</v>
      </c>
      <c r="P982" s="23">
        <v>2161889590</v>
      </c>
      <c r="Q982" s="23">
        <f>2068646530+12936946559</f>
        <v>15005593089</v>
      </c>
      <c r="R982" s="25">
        <f t="shared" si="244"/>
        <v>49637880575</v>
      </c>
      <c r="S982" s="26">
        <f t="shared" si="245"/>
        <v>0.16640918682004607</v>
      </c>
      <c r="T982" s="27">
        <f t="shared" si="246"/>
        <v>9.0926637535883934</v>
      </c>
      <c r="U982" s="26">
        <f t="shared" si="247"/>
        <v>24.050791340013763</v>
      </c>
      <c r="V982" s="26">
        <f t="shared" si="248"/>
        <v>11.418276241847465</v>
      </c>
      <c r="W982" s="143"/>
      <c r="X982" s="143"/>
      <c r="Y982" s="143"/>
      <c r="Z982" s="30"/>
      <c r="AA982" s="31">
        <f t="shared" si="249"/>
        <v>43</v>
      </c>
      <c r="AB982" s="32">
        <v>3.15E-2</v>
      </c>
      <c r="AC982" s="32">
        <v>8.0199999999999994E-2</v>
      </c>
      <c r="AD982" s="33">
        <f t="shared" si="289"/>
        <v>0.82319063681383464</v>
      </c>
      <c r="AE982" s="34">
        <f t="shared" si="290"/>
        <v>7.7572456748277688E-2</v>
      </c>
      <c r="AF982" s="33">
        <f t="shared" si="291"/>
        <v>1.7810957422577538</v>
      </c>
      <c r="AG982" s="33">
        <f t="shared" si="292"/>
        <v>0</v>
      </c>
      <c r="AH982" s="35">
        <f t="shared" si="293"/>
        <v>13.93867277789367</v>
      </c>
      <c r="AI982" s="36">
        <f t="shared" si="260"/>
        <v>20.912718930968445</v>
      </c>
      <c r="AJ982" s="23"/>
      <c r="AK982" s="23"/>
      <c r="AL982" s="44"/>
      <c r="AM982" s="44"/>
      <c r="AN982" s="44"/>
      <c r="AO982" s="44"/>
      <c r="AP982" s="44"/>
      <c r="AQ982" s="44"/>
      <c r="AR982" s="44"/>
    </row>
    <row r="983" spans="1:44" ht="16.8">
      <c r="A983" s="64" t="s">
        <v>2132</v>
      </c>
      <c r="B983" s="62"/>
      <c r="C983" s="62" t="s">
        <v>2129</v>
      </c>
      <c r="D983" s="19" t="s">
        <v>2130</v>
      </c>
      <c r="E983" s="20" t="s">
        <v>178</v>
      </c>
      <c r="F983" s="21">
        <v>1979</v>
      </c>
      <c r="G983" s="40">
        <v>2023</v>
      </c>
      <c r="H983" s="23">
        <v>27248522580</v>
      </c>
      <c r="I983" s="23">
        <v>29131655579</v>
      </c>
      <c r="J983" s="23">
        <v>3969688870</v>
      </c>
      <c r="K983" s="23">
        <f t="shared" si="349"/>
        <v>4303697696.5</v>
      </c>
      <c r="L983" s="23">
        <v>3186088870</v>
      </c>
      <c r="M983" s="23">
        <v>25161966709</v>
      </c>
      <c r="N983" s="23">
        <v>52078388012</v>
      </c>
      <c r="O983" s="25">
        <f t="shared" si="243"/>
        <v>24062433710</v>
      </c>
      <c r="P983" s="23">
        <v>1930379405</v>
      </c>
      <c r="Q983" s="23">
        <f>1707560347+14500562457</f>
        <v>16208122804</v>
      </c>
      <c r="R983" s="25">
        <f t="shared" si="244"/>
        <v>35870265208</v>
      </c>
      <c r="S983" s="26">
        <f t="shared" si="245"/>
        <v>0.13626719083077485</v>
      </c>
      <c r="T983" s="27">
        <f t="shared" si="246"/>
        <v>8.5523422891841676</v>
      </c>
      <c r="U983" s="26">
        <f t="shared" si="247"/>
        <v>24.095091240459983</v>
      </c>
      <c r="V983" s="26">
        <f t="shared" si="248"/>
        <v>12.10084715159082</v>
      </c>
      <c r="W983" s="143"/>
      <c r="X983" s="143"/>
      <c r="Y983" s="143"/>
      <c r="Z983" s="30"/>
      <c r="AA983" s="31">
        <f t="shared" si="249"/>
        <v>44</v>
      </c>
      <c r="AB983" s="32">
        <v>3.2500000000000001E-2</v>
      </c>
      <c r="AC983" s="32">
        <v>5.0500000000000003E-2</v>
      </c>
      <c r="AD983" s="33">
        <f t="shared" si="289"/>
        <v>0.82598922827255217</v>
      </c>
      <c r="AE983" s="34">
        <f t="shared" si="290"/>
        <v>6.6263978707462937E-2</v>
      </c>
      <c r="AF983" s="33">
        <f t="shared" si="291"/>
        <v>1.231315711210647</v>
      </c>
      <c r="AG983" s="33">
        <f t="shared" si="292"/>
        <v>0</v>
      </c>
      <c r="AH983" s="35">
        <f t="shared" si="293"/>
        <v>13.119010007451793</v>
      </c>
      <c r="AI983" s="36">
        <f t="shared" si="260"/>
        <v>18.266308498564438</v>
      </c>
      <c r="AJ983" s="23"/>
      <c r="AK983" s="23"/>
      <c r="AL983" s="44"/>
      <c r="AM983" s="44"/>
      <c r="AN983" s="44"/>
      <c r="AO983" s="44"/>
      <c r="AP983" s="44"/>
      <c r="AQ983" s="44"/>
      <c r="AR983" s="44"/>
    </row>
    <row r="984" spans="1:44" ht="16.8">
      <c r="A984" s="64" t="s">
        <v>2133</v>
      </c>
      <c r="B984" s="62">
        <v>383</v>
      </c>
      <c r="C984" s="62" t="s">
        <v>2134</v>
      </c>
      <c r="D984" s="19" t="s">
        <v>2135</v>
      </c>
      <c r="E984" s="20" t="s">
        <v>39</v>
      </c>
      <c r="F984" s="21">
        <v>1973</v>
      </c>
      <c r="G984" s="40">
        <v>2021</v>
      </c>
      <c r="H984" s="23">
        <v>769560018908</v>
      </c>
      <c r="I984" s="23">
        <v>834290709776</v>
      </c>
      <c r="J984" s="23">
        <v>588331491803</v>
      </c>
      <c r="K984" s="23">
        <f>(J984+626713928450)/2</f>
        <v>607522710126.5</v>
      </c>
      <c r="L984" s="23">
        <v>587944251803</v>
      </c>
      <c r="M984" s="23">
        <v>245959214973</v>
      </c>
      <c r="N984" s="23">
        <v>307821852487</v>
      </c>
      <c r="O984" s="25">
        <f t="shared" si="243"/>
        <v>181615767105</v>
      </c>
      <c r="P984" s="23">
        <v>6933497834</v>
      </c>
      <c r="Q984" s="23">
        <v>2792351102</v>
      </c>
      <c r="R984" s="25">
        <f t="shared" si="244"/>
        <v>305029501385</v>
      </c>
      <c r="S984" s="26">
        <f t="shared" si="245"/>
        <v>0.70518763412930974</v>
      </c>
      <c r="T984" s="27">
        <f t="shared" si="246"/>
        <v>1.3088996389505534</v>
      </c>
      <c r="U984" s="26">
        <f t="shared" si="247"/>
        <v>27.44984775144065</v>
      </c>
      <c r="V984" s="26">
        <f t="shared" si="248"/>
        <v>0.50668369652042222</v>
      </c>
      <c r="W984" s="143"/>
      <c r="X984" s="143"/>
      <c r="Y984" s="143"/>
      <c r="Z984" s="30">
        <f>W984*Y984</f>
        <v>0</v>
      </c>
      <c r="AA984" s="31">
        <f t="shared" si="249"/>
        <v>48</v>
      </c>
      <c r="AB984" s="32">
        <v>1.84E-2</v>
      </c>
      <c r="AC984" s="32">
        <v>2.58E-2</v>
      </c>
      <c r="AD984" s="33">
        <f t="shared" si="289"/>
        <v>0.21768882833870018</v>
      </c>
      <c r="AE984" s="34">
        <f t="shared" si="290"/>
        <v>8.3106496965087689E-3</v>
      </c>
      <c r="AF984" s="33">
        <f t="shared" si="291"/>
        <v>0.36561536381832399</v>
      </c>
      <c r="AG984" s="33">
        <f t="shared" si="292"/>
        <v>0</v>
      </c>
      <c r="AH984" s="35">
        <f t="shared" si="293"/>
        <v>0.52321158526403122</v>
      </c>
      <c r="AI984" s="36">
        <f t="shared" si="260"/>
        <v>2.0026037894460527</v>
      </c>
      <c r="AJ984" s="23" t="s">
        <v>2106</v>
      </c>
      <c r="AK984" s="101">
        <v>226</v>
      </c>
      <c r="AL984" s="44"/>
      <c r="AM984" s="44"/>
      <c r="AN984" s="44"/>
      <c r="AO984" s="44"/>
      <c r="AP984" s="44"/>
      <c r="AQ984" s="44"/>
      <c r="AR984" s="44"/>
    </row>
    <row r="985" spans="1:44" ht="16.8">
      <c r="A985" s="64" t="s">
        <v>2136</v>
      </c>
      <c r="B985" s="62"/>
      <c r="C985" s="62" t="s">
        <v>2134</v>
      </c>
      <c r="D985" s="19" t="s">
        <v>2137</v>
      </c>
      <c r="E985" s="20" t="s">
        <v>39</v>
      </c>
      <c r="F985" s="21">
        <v>1973</v>
      </c>
      <c r="G985" s="40">
        <v>2022</v>
      </c>
      <c r="H985" s="23">
        <v>614866268389</v>
      </c>
      <c r="I985" s="23">
        <v>678052574331</v>
      </c>
      <c r="J985" s="23">
        <v>427229562651</v>
      </c>
      <c r="K985" s="23">
        <f>SUM(J984:J985)/2</f>
        <v>507780527227</v>
      </c>
      <c r="L985" s="23">
        <v>426963926651</v>
      </c>
      <c r="M985" s="23">
        <v>250823011680</v>
      </c>
      <c r="N985" s="23">
        <v>429289093699</v>
      </c>
      <c r="O985" s="25">
        <f t="shared" si="243"/>
        <v>187902341738</v>
      </c>
      <c r="P985" s="23">
        <v>4071879707</v>
      </c>
      <c r="Q985" s="23">
        <f>118911636+12107888899</f>
        <v>12226800535</v>
      </c>
      <c r="R985" s="25">
        <f t="shared" si="244"/>
        <v>417062293164</v>
      </c>
      <c r="S985" s="26">
        <f t="shared" si="245"/>
        <v>0.63008323959617096</v>
      </c>
      <c r="T985" s="27">
        <f t="shared" si="246"/>
        <v>1.4400895017334596</v>
      </c>
      <c r="U985" s="26">
        <f t="shared" si="247"/>
        <v>27.242490665141545</v>
      </c>
      <c r="V985" s="26">
        <f t="shared" si="248"/>
        <v>0.84542252150423458</v>
      </c>
      <c r="W985" s="143"/>
      <c r="X985" s="143"/>
      <c r="Y985" s="143"/>
      <c r="Z985" s="30"/>
      <c r="AA985" s="31">
        <f t="shared" si="249"/>
        <v>49</v>
      </c>
      <c r="AB985" s="32">
        <v>3.15E-2</v>
      </c>
      <c r="AC985" s="32">
        <v>8.0199999999999994E-2</v>
      </c>
      <c r="AD985" s="33">
        <f t="shared" si="289"/>
        <v>0.27712060812304073</v>
      </c>
      <c r="AE985" s="34">
        <f t="shared" si="290"/>
        <v>6.0052566145295102E-3</v>
      </c>
      <c r="AF985" s="33">
        <f t="shared" si="291"/>
        <v>0.61508842964794308</v>
      </c>
      <c r="AG985" s="33">
        <f t="shared" si="292"/>
        <v>0</v>
      </c>
      <c r="AH985" s="35">
        <f t="shared" si="293"/>
        <v>1.0048206660494663</v>
      </c>
      <c r="AI985" s="36">
        <f t="shared" si="260"/>
        <v>3.3755645728956685</v>
      </c>
      <c r="AJ985" s="23"/>
      <c r="AK985" s="101">
        <v>227</v>
      </c>
      <c r="AL985" s="44"/>
      <c r="AM985" s="44"/>
      <c r="AN985" s="44"/>
      <c r="AO985" s="44"/>
      <c r="AP985" s="44"/>
      <c r="AQ985" s="44"/>
      <c r="AR985" s="44"/>
    </row>
    <row r="986" spans="1:44" ht="16.8">
      <c r="A986" s="64" t="s">
        <v>2138</v>
      </c>
      <c r="B986" s="62"/>
      <c r="C986" s="62" t="s">
        <v>2134</v>
      </c>
      <c r="D986" s="19" t="s">
        <v>2139</v>
      </c>
      <c r="E986" s="20" t="s">
        <v>39</v>
      </c>
      <c r="F986" s="21">
        <v>1973</v>
      </c>
      <c r="G986" s="40">
        <v>2023</v>
      </c>
      <c r="H986" s="23">
        <v>625806028203</v>
      </c>
      <c r="I986" s="23">
        <v>709554270195</v>
      </c>
      <c r="J986" s="23">
        <v>461735160616</v>
      </c>
      <c r="K986" s="23">
        <f>(J986+432893053366)/2</f>
        <v>447314106991</v>
      </c>
      <c r="L986" s="23">
        <v>461492024616</v>
      </c>
      <c r="M986" s="23">
        <v>247819109579</v>
      </c>
      <c r="N986" s="23">
        <v>222687685088</v>
      </c>
      <c r="O986" s="25">
        <f t="shared" si="243"/>
        <v>164314003587</v>
      </c>
      <c r="P986" s="23">
        <v>2620614329</v>
      </c>
      <c r="Q986" s="23">
        <f>59727273+1277782848</f>
        <v>1337510121</v>
      </c>
      <c r="R986" s="25">
        <f t="shared" si="244"/>
        <v>221350174967</v>
      </c>
      <c r="S986" s="26">
        <f t="shared" si="245"/>
        <v>0.6507397390323727</v>
      </c>
      <c r="T986" s="27">
        <f t="shared" si="246"/>
        <v>1.356049497764827</v>
      </c>
      <c r="U986" s="26">
        <f t="shared" si="247"/>
        <v>27.287902821382339</v>
      </c>
      <c r="V986" s="26">
        <f t="shared" si="248"/>
        <v>0.49783291339944369</v>
      </c>
      <c r="W986" s="143"/>
      <c r="X986" s="143"/>
      <c r="Y986" s="143"/>
      <c r="Z986" s="30"/>
      <c r="AA986" s="31">
        <f t="shared" si="249"/>
        <v>50</v>
      </c>
      <c r="AB986" s="32">
        <v>3.2500000000000001E-2</v>
      </c>
      <c r="AC986" s="32">
        <v>5.0500000000000003E-2</v>
      </c>
      <c r="AD986" s="33">
        <f t="shared" si="289"/>
        <v>0.23157355327005946</v>
      </c>
      <c r="AE986" s="34">
        <f t="shared" si="290"/>
        <v>3.6933247238154195E-3</v>
      </c>
      <c r="AF986" s="33">
        <f t="shared" si="291"/>
        <v>0.31195665259849464</v>
      </c>
      <c r="AG986" s="33">
        <f t="shared" si="292"/>
        <v>0</v>
      </c>
      <c r="AH986" s="35">
        <f t="shared" si="293"/>
        <v>0.48228444372941576</v>
      </c>
      <c r="AI986" s="36">
        <f t="shared" si="260"/>
        <v>1.7948003158418611</v>
      </c>
      <c r="AJ986" s="23"/>
      <c r="AK986" s="101">
        <v>228</v>
      </c>
      <c r="AL986" s="44"/>
      <c r="AM986" s="44"/>
      <c r="AN986" s="44"/>
      <c r="AO986" s="44"/>
      <c r="AP986" s="44"/>
      <c r="AQ986" s="44"/>
      <c r="AR986" s="44"/>
    </row>
    <row r="987" spans="1:44" ht="16.8">
      <c r="A987" s="64" t="s">
        <v>2140</v>
      </c>
      <c r="B987" s="62">
        <v>384</v>
      </c>
      <c r="C987" s="62" t="s">
        <v>2141</v>
      </c>
      <c r="D987" s="19" t="s">
        <v>2142</v>
      </c>
      <c r="E987" s="20" t="s">
        <v>39</v>
      </c>
      <c r="F987" s="21">
        <v>1970</v>
      </c>
      <c r="G987" s="40">
        <v>2021</v>
      </c>
      <c r="H987" s="23">
        <v>1694900315931</v>
      </c>
      <c r="I987" s="23">
        <v>2189381390103</v>
      </c>
      <c r="J987" s="23">
        <v>1537563363558</v>
      </c>
      <c r="K987" s="23">
        <f>(J987+1359886760038)/2</f>
        <v>1448725061798</v>
      </c>
      <c r="L987" s="23">
        <v>1489732136793</v>
      </c>
      <c r="M987" s="23">
        <v>651818026545</v>
      </c>
      <c r="N987" s="23">
        <v>885140560725</v>
      </c>
      <c r="O987" s="25">
        <f t="shared" si="243"/>
        <v>205168179138</v>
      </c>
      <c r="P987" s="23">
        <v>61401110352</v>
      </c>
      <c r="Q987" s="23">
        <f>137763825+55991823286</f>
        <v>56129587111</v>
      </c>
      <c r="R987" s="25">
        <f t="shared" si="244"/>
        <v>829010973614</v>
      </c>
      <c r="S987" s="26">
        <f t="shared" si="245"/>
        <v>0.70228210146870074</v>
      </c>
      <c r="T987" s="27">
        <f t="shared" si="246"/>
        <v>1.1377215232663724</v>
      </c>
      <c r="U987" s="26">
        <f t="shared" si="247"/>
        <v>28.414640149582112</v>
      </c>
      <c r="V987" s="26">
        <f t="shared" si="248"/>
        <v>0.61097898011542628</v>
      </c>
      <c r="W987" s="143"/>
      <c r="X987" s="143"/>
      <c r="Y987" s="143"/>
      <c r="Z987" s="30">
        <f>W987*Y987</f>
        <v>0</v>
      </c>
      <c r="AA987" s="31">
        <f t="shared" si="249"/>
        <v>51</v>
      </c>
      <c r="AB987" s="32">
        <v>1.84E-2</v>
      </c>
      <c r="AC987" s="32">
        <v>2.58E-2</v>
      </c>
      <c r="AD987" s="33">
        <f t="shared" si="289"/>
        <v>9.3710570513412375E-2</v>
      </c>
      <c r="AE987" s="34">
        <f t="shared" si="290"/>
        <v>2.8044958557499829E-2</v>
      </c>
      <c r="AF987" s="33">
        <f t="shared" si="291"/>
        <v>0.3786507811574113</v>
      </c>
      <c r="AG987" s="33">
        <f t="shared" si="292"/>
        <v>0</v>
      </c>
      <c r="AH987" s="35">
        <f t="shared" si="293"/>
        <v>0.57567745284769245</v>
      </c>
      <c r="AI987" s="36">
        <f t="shared" si="260"/>
        <v>1.9769406572637442</v>
      </c>
      <c r="AJ987" s="23"/>
      <c r="AK987" s="101">
        <v>229</v>
      </c>
      <c r="AL987" s="44"/>
      <c r="AM987" s="44"/>
      <c r="AN987" s="44"/>
      <c r="AO987" s="44"/>
      <c r="AP987" s="44"/>
      <c r="AQ987" s="44"/>
      <c r="AR987" s="44"/>
    </row>
    <row r="988" spans="1:44" ht="16.8">
      <c r="A988" s="64" t="s">
        <v>2143</v>
      </c>
      <c r="B988" s="62"/>
      <c r="C988" s="62" t="s">
        <v>2141</v>
      </c>
      <c r="D988" s="19" t="s">
        <v>2144</v>
      </c>
      <c r="E988" s="20" t="s">
        <v>39</v>
      </c>
      <c r="F988" s="21">
        <v>1970</v>
      </c>
      <c r="G988" s="40">
        <v>2022</v>
      </c>
      <c r="H988" s="23">
        <v>1704156777323</v>
      </c>
      <c r="I988" s="23">
        <v>2294360858759</v>
      </c>
      <c r="J988" s="23">
        <v>1619126715136</v>
      </c>
      <c r="K988" s="23">
        <f>(J988+1552280505863)/2</f>
        <v>1585703610499.5</v>
      </c>
      <c r="L988" s="23">
        <v>1471135680179</v>
      </c>
      <c r="M988" s="23">
        <v>675234143623</v>
      </c>
      <c r="N988" s="23">
        <v>969624192867</v>
      </c>
      <c r="O988" s="25">
        <f t="shared" si="243"/>
        <v>233021097144</v>
      </c>
      <c r="P988" s="23">
        <v>29365675406</v>
      </c>
      <c r="Q988" s="23">
        <f>99227185+149125455</f>
        <v>248352640</v>
      </c>
      <c r="R988" s="25">
        <f t="shared" si="244"/>
        <v>969375840227</v>
      </c>
      <c r="S988" s="26">
        <f t="shared" si="245"/>
        <v>0.705698368656695</v>
      </c>
      <c r="T988" s="27">
        <f t="shared" si="246"/>
        <v>1.1583953813938135</v>
      </c>
      <c r="U988" s="26">
        <f t="shared" si="247"/>
        <v>28.461475427739234</v>
      </c>
      <c r="V988" s="26">
        <f t="shared" si="248"/>
        <v>0.61147883276974213</v>
      </c>
      <c r="W988" s="143"/>
      <c r="X988" s="143"/>
      <c r="Y988" s="143"/>
      <c r="Z988" s="30"/>
      <c r="AA988" s="31">
        <f t="shared" si="249"/>
        <v>52</v>
      </c>
      <c r="AB988" s="32">
        <v>3.15E-2</v>
      </c>
      <c r="AC988" s="32">
        <v>8.0199999999999994E-2</v>
      </c>
      <c r="AD988" s="33">
        <f t="shared" si="289"/>
        <v>0.1015625315670871</v>
      </c>
      <c r="AE988" s="34">
        <f t="shared" si="290"/>
        <v>1.2799065715357279E-2</v>
      </c>
      <c r="AF988" s="33">
        <f t="shared" si="291"/>
        <v>0.42250365130066203</v>
      </c>
      <c r="AG988" s="33">
        <f t="shared" si="292"/>
        <v>0</v>
      </c>
      <c r="AH988" s="35">
        <f t="shared" si="293"/>
        <v>0.59885627468357572</v>
      </c>
      <c r="AI988" s="36">
        <f t="shared" si="260"/>
        <v>2.1329120538577651</v>
      </c>
      <c r="AJ988" s="23"/>
      <c r="AK988" s="101">
        <v>230</v>
      </c>
      <c r="AL988" s="44"/>
      <c r="AM988" s="44"/>
      <c r="AN988" s="44"/>
      <c r="AO988" s="44"/>
      <c r="AP988" s="44"/>
      <c r="AQ988" s="44"/>
      <c r="AR988" s="44"/>
    </row>
    <row r="989" spans="1:44" ht="16.8">
      <c r="A989" s="64" t="s">
        <v>2145</v>
      </c>
      <c r="B989" s="62"/>
      <c r="C989" s="62" t="s">
        <v>2141</v>
      </c>
      <c r="D989" s="19" t="s">
        <v>2146</v>
      </c>
      <c r="E989" s="20" t="s">
        <v>39</v>
      </c>
      <c r="F989" s="21">
        <v>1970</v>
      </c>
      <c r="G989" s="40">
        <v>2023</v>
      </c>
      <c r="H989" s="23">
        <v>2211930804071</v>
      </c>
      <c r="I989" s="23">
        <v>2773706351987</v>
      </c>
      <c r="J989" s="23">
        <v>1882230375807</v>
      </c>
      <c r="K989" s="23">
        <f>SUM(J988:J989)/2</f>
        <v>1750678545471.5</v>
      </c>
      <c r="L989" s="23">
        <v>1765101580934</v>
      </c>
      <c r="M989" s="23">
        <v>891475976180</v>
      </c>
      <c r="N989" s="23">
        <v>1088148710818</v>
      </c>
      <c r="O989" s="25">
        <f t="shared" si="243"/>
        <v>446829223137</v>
      </c>
      <c r="P989" s="23">
        <v>15337728962</v>
      </c>
      <c r="Q989" s="23">
        <f>11274545+75741736100</f>
        <v>75753010645</v>
      </c>
      <c r="R989" s="25">
        <f t="shared" si="244"/>
        <v>1012395700173</v>
      </c>
      <c r="S989" s="26">
        <f t="shared" si="245"/>
        <v>0.67859756475613453</v>
      </c>
      <c r="T989" s="27">
        <f t="shared" si="246"/>
        <v>1.2531464636163099</v>
      </c>
      <c r="U989" s="26">
        <f t="shared" si="247"/>
        <v>28.651205574967374</v>
      </c>
      <c r="V989" s="26">
        <f t="shared" si="248"/>
        <v>0.62155826015731253</v>
      </c>
      <c r="W989" s="143"/>
      <c r="X989" s="143"/>
      <c r="Y989" s="143"/>
      <c r="Z989" s="30"/>
      <c r="AA989" s="31">
        <f t="shared" si="249"/>
        <v>53</v>
      </c>
      <c r="AB989" s="32">
        <v>3.2500000000000001E-2</v>
      </c>
      <c r="AC989" s="32">
        <v>5.0500000000000003E-2</v>
      </c>
      <c r="AD989" s="33">
        <f t="shared" si="289"/>
        <v>0.16109463888161951</v>
      </c>
      <c r="AE989" s="34">
        <f t="shared" si="290"/>
        <v>5.5296873625474132E-3</v>
      </c>
      <c r="AF989" s="33">
        <f t="shared" si="291"/>
        <v>0.36499743364965442</v>
      </c>
      <c r="AG989" s="33">
        <f t="shared" si="292"/>
        <v>0</v>
      </c>
      <c r="AH989" s="35">
        <f t="shared" si="293"/>
        <v>0.57811664544594332</v>
      </c>
      <c r="AI989" s="36">
        <f t="shared" si="260"/>
        <v>1.9836633054553126</v>
      </c>
      <c r="AJ989" s="23"/>
      <c r="AK989" s="101">
        <v>231</v>
      </c>
      <c r="AL989" s="44"/>
      <c r="AM989" s="44"/>
      <c r="AN989" s="44"/>
      <c r="AO989" s="44"/>
      <c r="AP989" s="44"/>
      <c r="AQ989" s="44"/>
      <c r="AR989" s="44"/>
    </row>
    <row r="990" spans="1:44" ht="16.8">
      <c r="A990" s="64" t="s">
        <v>2147</v>
      </c>
      <c r="B990" s="62">
        <v>385</v>
      </c>
      <c r="C990" s="62" t="s">
        <v>2148</v>
      </c>
      <c r="D990" s="19" t="s">
        <v>2149</v>
      </c>
      <c r="E990" s="20" t="s">
        <v>39</v>
      </c>
      <c r="F990" s="21">
        <v>1993</v>
      </c>
      <c r="G990" s="40">
        <v>2021</v>
      </c>
      <c r="H990" s="23">
        <v>1489493222613</v>
      </c>
      <c r="I990" s="23">
        <v>1519857019192</v>
      </c>
      <c r="J990" s="23">
        <v>737097158185</v>
      </c>
      <c r="K990" s="23">
        <f>(J990+603837468758)/2</f>
        <v>670467313471.5</v>
      </c>
      <c r="L990" s="23">
        <v>591419940370</v>
      </c>
      <c r="M990" s="23">
        <v>782759861007</v>
      </c>
      <c r="N990" s="23">
        <v>200866646704</v>
      </c>
      <c r="O990" s="25">
        <f t="shared" si="243"/>
        <v>898073282243</v>
      </c>
      <c r="P990" s="23">
        <v>61261912234</v>
      </c>
      <c r="Q990" s="23">
        <v>33761016549</v>
      </c>
      <c r="R990" s="25">
        <f t="shared" si="244"/>
        <v>167105630155</v>
      </c>
      <c r="S990" s="26">
        <f t="shared" si="245"/>
        <v>0.48497796100376744</v>
      </c>
      <c r="T990" s="27">
        <f t="shared" si="246"/>
        <v>2.5185035554958692</v>
      </c>
      <c r="U990" s="26">
        <f t="shared" si="247"/>
        <v>28.049637380041165</v>
      </c>
      <c r="V990" s="26">
        <f t="shared" si="248"/>
        <v>0.29959200496138483</v>
      </c>
      <c r="W990" s="143"/>
      <c r="X990" s="143"/>
      <c r="Y990" s="143"/>
      <c r="Z990" s="30">
        <f>W990*Y990</f>
        <v>0</v>
      </c>
      <c r="AA990" s="31">
        <f t="shared" si="249"/>
        <v>28</v>
      </c>
      <c r="AB990" s="32">
        <v>1.84E-2</v>
      </c>
      <c r="AC990" s="32">
        <v>2.58E-2</v>
      </c>
      <c r="AD990" s="33">
        <f t="shared" si="289"/>
        <v>0.5908932688421189</v>
      </c>
      <c r="AE990" s="34">
        <f t="shared" si="290"/>
        <v>4.0307681222914379E-2</v>
      </c>
      <c r="AF990" s="33">
        <f t="shared" si="291"/>
        <v>0.10994825700370038</v>
      </c>
      <c r="AG990" s="33">
        <f t="shared" si="292"/>
        <v>0</v>
      </c>
      <c r="AH990" s="35">
        <f t="shared" si="293"/>
        <v>0.27251040717428132</v>
      </c>
      <c r="AI990" s="36">
        <f t="shared" si="260"/>
        <v>1.4008423316091152</v>
      </c>
      <c r="AJ990" s="23" t="s">
        <v>2106</v>
      </c>
      <c r="AK990" s="101">
        <v>232</v>
      </c>
      <c r="AL990" s="44"/>
      <c r="AM990" s="44"/>
      <c r="AN990" s="44"/>
      <c r="AO990" s="44"/>
      <c r="AP990" s="44"/>
      <c r="AQ990" s="44"/>
      <c r="AR990" s="44"/>
    </row>
    <row r="991" spans="1:44" ht="16.8">
      <c r="A991" s="64" t="s">
        <v>2150</v>
      </c>
      <c r="B991" s="62"/>
      <c r="C991" s="62" t="s">
        <v>2148</v>
      </c>
      <c r="D991" s="19" t="s">
        <v>2149</v>
      </c>
      <c r="E991" s="20" t="s">
        <v>39</v>
      </c>
      <c r="F991" s="21">
        <v>1993</v>
      </c>
      <c r="G991" s="40">
        <v>2022</v>
      </c>
      <c r="H991" s="23">
        <v>3494118345865</v>
      </c>
      <c r="I991" s="23">
        <v>3713348374521</v>
      </c>
      <c r="J991" s="23">
        <v>2514257768176</v>
      </c>
      <c r="K991" s="23">
        <f t="shared" ref="K991:K992" si="350">SUM(J990:J991)/2</f>
        <v>1625677463180.5</v>
      </c>
      <c r="L991" s="23">
        <v>2371497710817</v>
      </c>
      <c r="M991" s="23">
        <v>1199090606345</v>
      </c>
      <c r="N991" s="23">
        <v>514209618219</v>
      </c>
      <c r="O991" s="25">
        <f t="shared" si="243"/>
        <v>1122620635048</v>
      </c>
      <c r="P991" s="23">
        <v>73438575338</v>
      </c>
      <c r="Q991" s="23">
        <f>23842562721+32049793740</f>
        <v>55892356461</v>
      </c>
      <c r="R991" s="25">
        <f t="shared" si="244"/>
        <v>458317261758</v>
      </c>
      <c r="S991" s="26">
        <f t="shared" si="245"/>
        <v>0.67708642297810917</v>
      </c>
      <c r="T991" s="27">
        <f t="shared" si="246"/>
        <v>1.4733804422106096</v>
      </c>
      <c r="U991" s="26">
        <f t="shared" si="247"/>
        <v>28.94295511234051</v>
      </c>
      <c r="V991" s="26">
        <f t="shared" si="248"/>
        <v>0.31630482052263464</v>
      </c>
      <c r="W991" s="143"/>
      <c r="X991" s="143"/>
      <c r="Y991" s="143"/>
      <c r="Z991" s="30"/>
      <c r="AA991" s="31">
        <f t="shared" si="249"/>
        <v>29</v>
      </c>
      <c r="AB991" s="32">
        <v>3.15E-2</v>
      </c>
      <c r="AC991" s="32">
        <v>8.0199999999999994E-2</v>
      </c>
      <c r="AD991" s="33">
        <f t="shared" si="289"/>
        <v>0.30232031089536848</v>
      </c>
      <c r="AE991" s="34">
        <f t="shared" si="290"/>
        <v>1.9776915045702691E-2</v>
      </c>
      <c r="AF991" s="33">
        <f t="shared" si="291"/>
        <v>0.12342425636730629</v>
      </c>
      <c r="AG991" s="33">
        <f t="shared" si="292"/>
        <v>0</v>
      </c>
      <c r="AH991" s="35">
        <f t="shared" si="293"/>
        <v>0.20451746226165182</v>
      </c>
      <c r="AI991" s="36">
        <f t="shared" si="260"/>
        <v>1.0022895624121886</v>
      </c>
      <c r="AJ991" s="23"/>
      <c r="AK991" s="101">
        <v>233</v>
      </c>
      <c r="AL991" s="44"/>
      <c r="AM991" s="44"/>
      <c r="AN991" s="44"/>
      <c r="AO991" s="44"/>
      <c r="AP991" s="44"/>
      <c r="AQ991" s="44"/>
      <c r="AR991" s="44"/>
    </row>
    <row r="992" spans="1:44" ht="16.8">
      <c r="A992" s="64" t="s">
        <v>2151</v>
      </c>
      <c r="B992" s="62"/>
      <c r="C992" s="62" t="s">
        <v>2148</v>
      </c>
      <c r="D992" s="19" t="s">
        <v>2149</v>
      </c>
      <c r="E992" s="20" t="s">
        <v>39</v>
      </c>
      <c r="F992" s="21">
        <v>1993</v>
      </c>
      <c r="G992" s="40">
        <v>2023</v>
      </c>
      <c r="H992" s="23">
        <v>3163538282717</v>
      </c>
      <c r="I992" s="23">
        <v>3368738802171</v>
      </c>
      <c r="J992" s="23">
        <v>2028499775991</v>
      </c>
      <c r="K992" s="23">
        <f t="shared" si="350"/>
        <v>2271378772083.5</v>
      </c>
      <c r="L992" s="23">
        <v>2010158621928</v>
      </c>
      <c r="M992" s="23">
        <v>1340239026180</v>
      </c>
      <c r="N992" s="23">
        <v>806322344212</v>
      </c>
      <c r="O992" s="25">
        <f t="shared" si="243"/>
        <v>1153379660789</v>
      </c>
      <c r="P992" s="23">
        <v>141148419835</v>
      </c>
      <c r="Q992" s="23">
        <f>38160588565+36988560954</f>
        <v>75149149519</v>
      </c>
      <c r="R992" s="25">
        <f t="shared" si="244"/>
        <v>731173194693</v>
      </c>
      <c r="S992" s="26">
        <f t="shared" si="245"/>
        <v>0.60215406866324084</v>
      </c>
      <c r="T992" s="27">
        <f t="shared" si="246"/>
        <v>1.5737754464783287</v>
      </c>
      <c r="U992" s="26">
        <f t="shared" si="247"/>
        <v>28.845559547567323</v>
      </c>
      <c r="V992" s="26">
        <f t="shared" si="248"/>
        <v>0.35499246278170205</v>
      </c>
      <c r="W992" s="143"/>
      <c r="X992" s="143"/>
      <c r="Y992" s="143"/>
      <c r="Z992" s="30"/>
      <c r="AA992" s="31">
        <f t="shared" si="249"/>
        <v>30</v>
      </c>
      <c r="AB992" s="32">
        <v>3.2500000000000001E-2</v>
      </c>
      <c r="AC992" s="32">
        <v>5.0500000000000003E-2</v>
      </c>
      <c r="AD992" s="33">
        <f t="shared" si="289"/>
        <v>0.34237728969835801</v>
      </c>
      <c r="AE992" s="34">
        <f t="shared" si="290"/>
        <v>4.189948468074646E-2</v>
      </c>
      <c r="AF992" s="33">
        <f t="shared" si="291"/>
        <v>0.2170465677605494</v>
      </c>
      <c r="AG992" s="33">
        <f t="shared" si="292"/>
        <v>0</v>
      </c>
      <c r="AH992" s="35">
        <f t="shared" si="293"/>
        <v>0.39749688600191269</v>
      </c>
      <c r="AI992" s="36">
        <f t="shared" si="260"/>
        <v>1.5832625858028004</v>
      </c>
      <c r="AJ992" s="23"/>
      <c r="AK992" s="101">
        <v>234</v>
      </c>
      <c r="AL992" s="44"/>
      <c r="AM992" s="44"/>
      <c r="AN992" s="44"/>
      <c r="AO992" s="44"/>
      <c r="AP992" s="44"/>
      <c r="AQ992" s="44"/>
      <c r="AR992" s="44"/>
    </row>
    <row r="993" spans="1:44" ht="16.8">
      <c r="A993" s="64" t="s">
        <v>2152</v>
      </c>
      <c r="B993" s="62">
        <v>386</v>
      </c>
      <c r="C993" s="62" t="s">
        <v>2153</v>
      </c>
      <c r="D993" s="19" t="s">
        <v>2154</v>
      </c>
      <c r="E993" s="20" t="s">
        <v>39</v>
      </c>
      <c r="F993" s="21">
        <v>1999</v>
      </c>
      <c r="G993" s="40">
        <v>2021</v>
      </c>
      <c r="H993" s="23">
        <v>593337478546</v>
      </c>
      <c r="I993" s="23">
        <v>648608137625</v>
      </c>
      <c r="J993" s="23">
        <v>534014960743</v>
      </c>
      <c r="K993" s="23">
        <f>(J993+592282686555)/2</f>
        <v>563148823649</v>
      </c>
      <c r="L993" s="23">
        <v>534014960743</v>
      </c>
      <c r="M993" s="23">
        <v>114593176882</v>
      </c>
      <c r="N993" s="23">
        <v>938638903649</v>
      </c>
      <c r="O993" s="25">
        <f t="shared" si="243"/>
        <v>59322517803</v>
      </c>
      <c r="P993" s="23">
        <v>8884450265</v>
      </c>
      <c r="Q993" s="23">
        <v>22015034002</v>
      </c>
      <c r="R993" s="25">
        <f t="shared" si="244"/>
        <v>916623869647</v>
      </c>
      <c r="S993" s="26">
        <f t="shared" si="245"/>
        <v>0.82332448479353904</v>
      </c>
      <c r="T993" s="27">
        <f t="shared" si="246"/>
        <v>1.1110877450333261</v>
      </c>
      <c r="U993" s="26">
        <f t="shared" si="247"/>
        <v>27.198094577187113</v>
      </c>
      <c r="V993" s="26">
        <f t="shared" si="248"/>
        <v>1.666768825986283</v>
      </c>
      <c r="W993" s="143"/>
      <c r="X993" s="143"/>
      <c r="Y993" s="143"/>
      <c r="Z993" s="30">
        <f>W993*Y993</f>
        <v>0</v>
      </c>
      <c r="AA993" s="31">
        <f t="shared" si="249"/>
        <v>22</v>
      </c>
      <c r="AB993" s="32">
        <v>1.84E-2</v>
      </c>
      <c r="AC993" s="32">
        <v>2.58E-2</v>
      </c>
      <c r="AD993" s="33">
        <f t="shared" si="289"/>
        <v>9.1461260446439194E-2</v>
      </c>
      <c r="AE993" s="34">
        <f t="shared" si="290"/>
        <v>1.3697716309160222E-2</v>
      </c>
      <c r="AF993" s="33">
        <f t="shared" si="291"/>
        <v>1.4132167274425351</v>
      </c>
      <c r="AG993" s="33">
        <f t="shared" si="292"/>
        <v>0</v>
      </c>
      <c r="AH993" s="35">
        <f t="shared" si="293"/>
        <v>1.7577015114764347</v>
      </c>
      <c r="AI993" s="36">
        <f t="shared" si="260"/>
        <v>6.5502470274053515</v>
      </c>
      <c r="AJ993" s="23" t="s">
        <v>2106</v>
      </c>
      <c r="AK993" s="101">
        <v>235</v>
      </c>
      <c r="AL993" s="44"/>
      <c r="AM993" s="44"/>
      <c r="AN993" s="44"/>
      <c r="AO993" s="44"/>
      <c r="AP993" s="44"/>
      <c r="AQ993" s="44"/>
      <c r="AR993" s="44"/>
    </row>
    <row r="994" spans="1:44" ht="16.8">
      <c r="A994" s="64" t="s">
        <v>2155</v>
      </c>
      <c r="B994" s="62"/>
      <c r="C994" s="62" t="s">
        <v>2153</v>
      </c>
      <c r="D994" s="19" t="s">
        <v>2154</v>
      </c>
      <c r="E994" s="20" t="s">
        <v>39</v>
      </c>
      <c r="F994" s="21">
        <v>1999</v>
      </c>
      <c r="G994" s="40">
        <v>2022</v>
      </c>
      <c r="H994" s="23">
        <v>664578246108</v>
      </c>
      <c r="I994" s="23">
        <v>714094614687</v>
      </c>
      <c r="J994" s="23">
        <v>580148828065</v>
      </c>
      <c r="K994" s="23">
        <f t="shared" ref="K994:K995" si="351">SUM(J993:J994)/2</f>
        <v>557081894404</v>
      </c>
      <c r="L994" s="23">
        <v>580148828065</v>
      </c>
      <c r="M994" s="23">
        <v>133945786622</v>
      </c>
      <c r="N994" s="23">
        <v>786499293295</v>
      </c>
      <c r="O994" s="25">
        <f t="shared" si="243"/>
        <v>84429418043</v>
      </c>
      <c r="P994" s="23">
        <v>8912609740</v>
      </c>
      <c r="Q994" s="23">
        <v>24943638883</v>
      </c>
      <c r="R994" s="25">
        <f t="shared" si="244"/>
        <v>761555654412</v>
      </c>
      <c r="S994" s="26">
        <f t="shared" si="245"/>
        <v>0.81242571521042661</v>
      </c>
      <c r="T994" s="27">
        <f t="shared" si="246"/>
        <v>1.1455306189699663</v>
      </c>
      <c r="U994" s="26">
        <f t="shared" si="247"/>
        <v>27.294281304074076</v>
      </c>
      <c r="V994" s="26">
        <f t="shared" si="248"/>
        <v>1.411819879977332</v>
      </c>
      <c r="W994" s="143"/>
      <c r="X994" s="143"/>
      <c r="Y994" s="143"/>
      <c r="Z994" s="30"/>
      <c r="AA994" s="31">
        <f t="shared" si="249"/>
        <v>23</v>
      </c>
      <c r="AB994" s="32">
        <v>3.15E-2</v>
      </c>
      <c r="AC994" s="32">
        <v>8.0199999999999994E-2</v>
      </c>
      <c r="AD994" s="33">
        <f t="shared" si="289"/>
        <v>0.11823281720169095</v>
      </c>
      <c r="AE994" s="34">
        <f t="shared" si="290"/>
        <v>1.2480992793800232E-2</v>
      </c>
      <c r="AF994" s="33">
        <f t="shared" si="291"/>
        <v>1.0664632371521285</v>
      </c>
      <c r="AG994" s="33">
        <f t="shared" si="292"/>
        <v>0</v>
      </c>
      <c r="AH994" s="35">
        <f t="shared" si="293"/>
        <v>1.3556853952773658</v>
      </c>
      <c r="AI994" s="36">
        <f t="shared" si="260"/>
        <v>5.0343668484327395</v>
      </c>
      <c r="AJ994" s="23" t="s">
        <v>2106</v>
      </c>
      <c r="AK994" s="101">
        <v>236</v>
      </c>
      <c r="AL994" s="44"/>
      <c r="AM994" s="44"/>
      <c r="AN994" s="44"/>
      <c r="AO994" s="44"/>
      <c r="AP994" s="44"/>
      <c r="AQ994" s="44"/>
      <c r="AR994" s="44"/>
    </row>
    <row r="995" spans="1:44" ht="16.8">
      <c r="A995" s="64" t="s">
        <v>2156</v>
      </c>
      <c r="B995" s="62"/>
      <c r="C995" s="62" t="s">
        <v>2153</v>
      </c>
      <c r="D995" s="19" t="s">
        <v>2154</v>
      </c>
      <c r="E995" s="20" t="s">
        <v>39</v>
      </c>
      <c r="F995" s="21">
        <v>1999</v>
      </c>
      <c r="G995" s="40">
        <v>2023</v>
      </c>
      <c r="H995" s="23">
        <v>804042192693</v>
      </c>
      <c r="I995" s="23">
        <v>871122263351</v>
      </c>
      <c r="J995" s="23">
        <v>730253007275</v>
      </c>
      <c r="K995" s="23">
        <f t="shared" si="351"/>
        <v>655200917670</v>
      </c>
      <c r="L995" s="23">
        <v>730253007275</v>
      </c>
      <c r="M995" s="23">
        <v>140869256076</v>
      </c>
      <c r="N995" s="23">
        <v>1283261244544</v>
      </c>
      <c r="O995" s="25">
        <f t="shared" si="243"/>
        <v>73789185418</v>
      </c>
      <c r="P995" s="23">
        <v>15783351454</v>
      </c>
      <c r="Q995" s="23">
        <v>38121480939</v>
      </c>
      <c r="R995" s="25">
        <f t="shared" si="244"/>
        <v>1245139763605</v>
      </c>
      <c r="S995" s="26">
        <f t="shared" si="245"/>
        <v>0.83828991405395892</v>
      </c>
      <c r="T995" s="27">
        <f t="shared" si="246"/>
        <v>1.1010460548370085</v>
      </c>
      <c r="U995" s="26">
        <f t="shared" si="247"/>
        <v>27.493048175188896</v>
      </c>
      <c r="V995" s="26">
        <f t="shared" si="248"/>
        <v>1.9585766898915278</v>
      </c>
      <c r="W995" s="143"/>
      <c r="X995" s="143"/>
      <c r="Y995" s="143"/>
      <c r="Z995" s="30"/>
      <c r="AA995" s="31">
        <f t="shared" si="249"/>
        <v>24</v>
      </c>
      <c r="AB995" s="32">
        <v>3.2500000000000001E-2</v>
      </c>
      <c r="AC995" s="32">
        <v>5.0500000000000003E-2</v>
      </c>
      <c r="AD995" s="33">
        <f t="shared" si="289"/>
        <v>8.4705888624807463E-2</v>
      </c>
      <c r="AE995" s="34">
        <f t="shared" si="290"/>
        <v>1.811841129313491E-2</v>
      </c>
      <c r="AF995" s="33">
        <f t="shared" si="291"/>
        <v>1.4293513275797174</v>
      </c>
      <c r="AG995" s="33">
        <f t="shared" si="292"/>
        <v>0</v>
      </c>
      <c r="AH995" s="35">
        <f t="shared" si="293"/>
        <v>1.7572830673201831</v>
      </c>
      <c r="AI995" s="36">
        <f t="shared" si="260"/>
        <v>6.6011552904934083</v>
      </c>
      <c r="AJ995" s="23" t="s">
        <v>2106</v>
      </c>
      <c r="AK995" s="101">
        <v>237</v>
      </c>
      <c r="AL995" s="44"/>
      <c r="AM995" s="44"/>
      <c r="AN995" s="44"/>
      <c r="AO995" s="44"/>
      <c r="AP995" s="44"/>
      <c r="AQ995" s="44"/>
      <c r="AR995" s="44"/>
    </row>
    <row r="996" spans="1:44" ht="16.8">
      <c r="A996" s="64" t="s">
        <v>2157</v>
      </c>
      <c r="B996" s="62">
        <v>387</v>
      </c>
      <c r="C996" s="62" t="s">
        <v>2158</v>
      </c>
      <c r="D996" s="19" t="s">
        <v>2159</v>
      </c>
      <c r="E996" s="20" t="s">
        <v>39</v>
      </c>
      <c r="F996" s="21">
        <v>1993</v>
      </c>
      <c r="G996" s="40">
        <v>2021</v>
      </c>
      <c r="H996" s="23">
        <v>245199366708</v>
      </c>
      <c r="I996" s="23">
        <v>763804630784</v>
      </c>
      <c r="J996" s="23">
        <v>250917166610</v>
      </c>
      <c r="K996" s="23">
        <f>(J996+202189783036)/2</f>
        <v>226553474823</v>
      </c>
      <c r="L996" s="23">
        <v>192749678177</v>
      </c>
      <c r="M996" s="23">
        <v>512887464174</v>
      </c>
      <c r="N996" s="23">
        <v>124563547379</v>
      </c>
      <c r="O996" s="25">
        <f t="shared" si="243"/>
        <v>52449688531</v>
      </c>
      <c r="P996" s="23">
        <v>10491151145</v>
      </c>
      <c r="Q996" s="23">
        <f>2331000+17639734072</f>
        <v>17642065072</v>
      </c>
      <c r="R996" s="25">
        <f t="shared" si="244"/>
        <v>106921482307</v>
      </c>
      <c r="S996" s="26">
        <f t="shared" si="245"/>
        <v>0.32850961685378688</v>
      </c>
      <c r="T996" s="27">
        <f t="shared" si="246"/>
        <v>1.2721129758921621</v>
      </c>
      <c r="U996" s="26">
        <f t="shared" si="247"/>
        <v>27.361577874542178</v>
      </c>
      <c r="V996" s="26">
        <f t="shared" si="248"/>
        <v>0.5498196285725393</v>
      </c>
      <c r="W996" s="143"/>
      <c r="X996" s="143"/>
      <c r="Y996" s="143"/>
      <c r="Z996" s="30">
        <f>W996*Y996</f>
        <v>0</v>
      </c>
      <c r="AA996" s="31">
        <f t="shared" si="249"/>
        <v>28</v>
      </c>
      <c r="AB996" s="32">
        <v>1.84E-2</v>
      </c>
      <c r="AC996" s="32">
        <v>2.58E-2</v>
      </c>
      <c r="AD996" s="33">
        <f t="shared" si="289"/>
        <v>6.8668984733914903E-2</v>
      </c>
      <c r="AE996" s="34">
        <f t="shared" si="290"/>
        <v>1.3735385623718278E-2</v>
      </c>
      <c r="AF996" s="33">
        <f t="shared" si="291"/>
        <v>0.13998538107480635</v>
      </c>
      <c r="AG996" s="33">
        <f t="shared" si="292"/>
        <v>0</v>
      </c>
      <c r="AH996" s="35">
        <f t="shared" si="293"/>
        <v>0.49643294263962756</v>
      </c>
      <c r="AI996" s="36">
        <f t="shared" si="260"/>
        <v>1.0600170217403919</v>
      </c>
      <c r="AJ996" s="23"/>
      <c r="AK996" s="101">
        <v>238</v>
      </c>
      <c r="AL996" s="44"/>
      <c r="AM996" s="44"/>
      <c r="AN996" s="44"/>
      <c r="AO996" s="44"/>
      <c r="AP996" s="44"/>
      <c r="AQ996" s="44"/>
      <c r="AR996" s="44"/>
    </row>
    <row r="997" spans="1:44" ht="16.8">
      <c r="A997" s="64" t="s">
        <v>2160</v>
      </c>
      <c r="B997" s="62"/>
      <c r="C997" s="62" t="s">
        <v>2158</v>
      </c>
      <c r="D997" s="19" t="s">
        <v>2159</v>
      </c>
      <c r="E997" s="20" t="s">
        <v>39</v>
      </c>
      <c r="F997" s="21">
        <v>1993</v>
      </c>
      <c r="G997" s="40">
        <v>2022</v>
      </c>
      <c r="H997" s="23">
        <v>224235511541</v>
      </c>
      <c r="I997" s="23">
        <v>840676220915</v>
      </c>
      <c r="J997" s="23">
        <v>318705104991</v>
      </c>
      <c r="K997" s="23">
        <f t="shared" ref="K997:K998" si="352">SUM(J996:J997)/2</f>
        <v>284811135800.5</v>
      </c>
      <c r="L997" s="23">
        <v>215938260260</v>
      </c>
      <c r="M997" s="23">
        <v>521971115924</v>
      </c>
      <c r="N997" s="23">
        <v>325139450897</v>
      </c>
      <c r="O997" s="25">
        <f t="shared" si="243"/>
        <v>8297251281</v>
      </c>
      <c r="P997" s="23">
        <v>12988882403</v>
      </c>
      <c r="Q997" s="23">
        <v>19500855585</v>
      </c>
      <c r="R997" s="25">
        <f t="shared" si="244"/>
        <v>305638595312</v>
      </c>
      <c r="S997" s="26">
        <f t="shared" si="245"/>
        <v>0.37910564978764161</v>
      </c>
      <c r="T997" s="27">
        <f t="shared" si="246"/>
        <v>1.0384241832411252</v>
      </c>
      <c r="U997" s="26">
        <f t="shared" si="247"/>
        <v>27.457472429823834</v>
      </c>
      <c r="V997" s="26">
        <f t="shared" si="248"/>
        <v>1.1415966934830404</v>
      </c>
      <c r="W997" s="143"/>
      <c r="X997" s="143"/>
      <c r="Y997" s="143"/>
      <c r="Z997" s="30"/>
      <c r="AA997" s="31">
        <f t="shared" si="249"/>
        <v>29</v>
      </c>
      <c r="AB997" s="32">
        <v>3.15E-2</v>
      </c>
      <c r="AC997" s="32">
        <v>8.0199999999999994E-2</v>
      </c>
      <c r="AD997" s="33">
        <f t="shared" si="289"/>
        <v>9.8697347142389646E-3</v>
      </c>
      <c r="AE997" s="34">
        <f t="shared" si="290"/>
        <v>1.5450517190628727E-2</v>
      </c>
      <c r="AF997" s="33">
        <f t="shared" si="291"/>
        <v>0.36356279350846876</v>
      </c>
      <c r="AG997" s="33">
        <f t="shared" si="292"/>
        <v>0</v>
      </c>
      <c r="AH997" s="35">
        <f t="shared" si="293"/>
        <v>1.0201890268001252</v>
      </c>
      <c r="AI997" s="36">
        <f t="shared" si="260"/>
        <v>2.2534206511020392</v>
      </c>
      <c r="AJ997" s="23" t="s">
        <v>2106</v>
      </c>
      <c r="AK997" s="101">
        <v>239</v>
      </c>
      <c r="AL997" s="44"/>
      <c r="AM997" s="44"/>
      <c r="AN997" s="44"/>
      <c r="AO997" s="44"/>
      <c r="AP997" s="44"/>
      <c r="AQ997" s="44"/>
      <c r="AR997" s="44"/>
    </row>
    <row r="998" spans="1:44" ht="16.8">
      <c r="A998" s="64" t="s">
        <v>2161</v>
      </c>
      <c r="B998" s="62"/>
      <c r="C998" s="62" t="s">
        <v>2158</v>
      </c>
      <c r="D998" s="19" t="s">
        <v>2159</v>
      </c>
      <c r="E998" s="20" t="s">
        <v>39</v>
      </c>
      <c r="F998" s="21">
        <v>1993</v>
      </c>
      <c r="G998" s="40">
        <v>2023</v>
      </c>
      <c r="H998" s="23">
        <v>418104514649</v>
      </c>
      <c r="I998" s="23">
        <v>1489039778365</v>
      </c>
      <c r="J998" s="23">
        <v>445075279771</v>
      </c>
      <c r="K998" s="23">
        <f t="shared" si="352"/>
        <v>381890192381</v>
      </c>
      <c r="L998" s="23">
        <v>376222485920</v>
      </c>
      <c r="M998" s="23">
        <v>1043964498594</v>
      </c>
      <c r="N998" s="23">
        <v>373424320568</v>
      </c>
      <c r="O998" s="25">
        <f t="shared" si="243"/>
        <v>41882028729</v>
      </c>
      <c r="P998" s="23">
        <v>42466970398</v>
      </c>
      <c r="Q998" s="23">
        <f>1649014162+21532334283</f>
        <v>23181348445</v>
      </c>
      <c r="R998" s="25">
        <f t="shared" si="244"/>
        <v>350242972123</v>
      </c>
      <c r="S998" s="26">
        <f t="shared" si="245"/>
        <v>0.29890086634200125</v>
      </c>
      <c r="T998" s="27">
        <f t="shared" si="246"/>
        <v>1.1113225027647757</v>
      </c>
      <c r="U998" s="26">
        <f t="shared" si="247"/>
        <v>28.029152584092255</v>
      </c>
      <c r="V998" s="26">
        <f t="shared" si="248"/>
        <v>0.97783165951391116</v>
      </c>
      <c r="W998" s="143"/>
      <c r="X998" s="143"/>
      <c r="Y998" s="143"/>
      <c r="Z998" s="30"/>
      <c r="AA998" s="31">
        <f t="shared" si="249"/>
        <v>30</v>
      </c>
      <c r="AB998" s="32">
        <v>3.2500000000000001E-2</v>
      </c>
      <c r="AC998" s="32">
        <v>5.0500000000000003E-2</v>
      </c>
      <c r="AD998" s="33">
        <f t="shared" si="289"/>
        <v>2.8126870307647142E-2</v>
      </c>
      <c r="AE998" s="34">
        <f t="shared" si="290"/>
        <v>2.8519701766886115E-2</v>
      </c>
      <c r="AF998" s="33">
        <f t="shared" si="291"/>
        <v>0.23521397964772631</v>
      </c>
      <c r="AG998" s="33">
        <f t="shared" si="292"/>
        <v>0</v>
      </c>
      <c r="AH998" s="35">
        <f t="shared" si="293"/>
        <v>0.83901384224289921</v>
      </c>
      <c r="AI998" s="36">
        <f t="shared" si="260"/>
        <v>1.6888998019232131</v>
      </c>
      <c r="AJ998" s="23"/>
      <c r="AK998" s="101">
        <v>240</v>
      </c>
      <c r="AL998" s="44"/>
      <c r="AM998" s="44"/>
      <c r="AN998" s="44"/>
      <c r="AO998" s="44"/>
      <c r="AP998" s="44"/>
      <c r="AQ998" s="44"/>
      <c r="AR998" s="44"/>
    </row>
    <row r="999" spans="1:44" ht="16.8">
      <c r="A999" s="64" t="s">
        <v>2162</v>
      </c>
      <c r="B999" s="62">
        <v>388</v>
      </c>
      <c r="C999" s="62" t="s">
        <v>2163</v>
      </c>
      <c r="D999" s="19" t="s">
        <v>2164</v>
      </c>
      <c r="E999" s="20" t="s">
        <v>39</v>
      </c>
      <c r="F999" s="21">
        <v>1977</v>
      </c>
      <c r="G999" s="40">
        <v>2021</v>
      </c>
      <c r="H999" s="23">
        <v>1135953236638</v>
      </c>
      <c r="I999" s="23">
        <v>1187926618579</v>
      </c>
      <c r="J999" s="23">
        <v>1178360054675</v>
      </c>
      <c r="K999" s="23">
        <f>(J999+1105077945869)/2</f>
        <v>1141719000272</v>
      </c>
      <c r="L999" s="23">
        <v>1085833039425</v>
      </c>
      <c r="M999" s="23">
        <v>9566563904</v>
      </c>
      <c r="N999" s="23">
        <v>209881535293</v>
      </c>
      <c r="O999" s="25">
        <f t="shared" si="243"/>
        <v>50120197213</v>
      </c>
      <c r="P999" s="23">
        <v>1691182045</v>
      </c>
      <c r="Q999" s="23">
        <v>16491399799</v>
      </c>
      <c r="R999" s="25">
        <f t="shared" si="244"/>
        <v>193390135494</v>
      </c>
      <c r="S999" s="26">
        <f t="shared" si="245"/>
        <v>0.99194683934648797</v>
      </c>
      <c r="T999" s="27">
        <f t="shared" si="246"/>
        <v>1.0461582908174731</v>
      </c>
      <c r="U999" s="26">
        <f t="shared" si="247"/>
        <v>27.803230566088331</v>
      </c>
      <c r="V999" s="26">
        <f t="shared" si="248"/>
        <v>0.18382941445574472</v>
      </c>
      <c r="W999" s="143"/>
      <c r="X999" s="143"/>
      <c r="Y999" s="143"/>
      <c r="Z999" s="30">
        <f>W999*Y999</f>
        <v>0</v>
      </c>
      <c r="AA999" s="31">
        <f t="shared" si="249"/>
        <v>44</v>
      </c>
      <c r="AB999" s="32">
        <v>1.84E-2</v>
      </c>
      <c r="AC999" s="32">
        <v>2.58E-2</v>
      </c>
      <c r="AD999" s="33">
        <f t="shared" si="289"/>
        <v>4.219132430330913E-2</v>
      </c>
      <c r="AE999" s="34">
        <f t="shared" si="290"/>
        <v>1.4236418466849368E-3</v>
      </c>
      <c r="AF999" s="33">
        <f t="shared" si="291"/>
        <v>0.16279636508636672</v>
      </c>
      <c r="AG999" s="33">
        <f t="shared" si="292"/>
        <v>0</v>
      </c>
      <c r="AH999" s="35">
        <f t="shared" si="293"/>
        <v>0.17811324684702318</v>
      </c>
      <c r="AI999" s="36">
        <f t="shared" si="260"/>
        <v>0.76796393938136309</v>
      </c>
      <c r="AJ999" s="23" t="s">
        <v>2106</v>
      </c>
      <c r="AK999" s="101">
        <v>241</v>
      </c>
      <c r="AL999" s="44"/>
      <c r="AM999" s="44"/>
      <c r="AN999" s="44"/>
      <c r="AO999" s="44"/>
      <c r="AP999" s="44"/>
      <c r="AQ999" s="44"/>
      <c r="AR999" s="44"/>
    </row>
    <row r="1000" spans="1:44" ht="16.8">
      <c r="A1000" s="64" t="s">
        <v>2165</v>
      </c>
      <c r="B1000" s="62"/>
      <c r="C1000" s="62" t="s">
        <v>2163</v>
      </c>
      <c r="D1000" s="19" t="s">
        <v>2164</v>
      </c>
      <c r="E1000" s="20" t="s">
        <v>39</v>
      </c>
      <c r="F1000" s="21">
        <v>1977</v>
      </c>
      <c r="G1000" s="40">
        <v>2022</v>
      </c>
      <c r="H1000" s="23">
        <v>1069530617586</v>
      </c>
      <c r="I1000" s="23">
        <v>1185953435842</v>
      </c>
      <c r="J1000" s="23">
        <v>1174534231570</v>
      </c>
      <c r="K1000" s="23">
        <f t="shared" ref="K1000:K1001" si="353">SUM(J999:J1000)/2</f>
        <v>1176447143122.5</v>
      </c>
      <c r="L1000" s="23">
        <v>1005264924449</v>
      </c>
      <c r="M1000" s="23">
        <v>11419204272</v>
      </c>
      <c r="N1000" s="23">
        <v>394024950197</v>
      </c>
      <c r="O1000" s="25">
        <f t="shared" si="243"/>
        <v>64265693137</v>
      </c>
      <c r="P1000" s="23">
        <v>1852640368</v>
      </c>
      <c r="Q1000" s="23">
        <v>33752926951</v>
      </c>
      <c r="R1000" s="25">
        <f t="shared" si="244"/>
        <v>360272023246</v>
      </c>
      <c r="S1000" s="26">
        <f t="shared" si="245"/>
        <v>0.99037128783737394</v>
      </c>
      <c r="T1000" s="27">
        <f t="shared" si="246"/>
        <v>1.0639291111964588</v>
      </c>
      <c r="U1000" s="26">
        <f t="shared" si="247"/>
        <v>27.801568154217307</v>
      </c>
      <c r="V1000" s="26">
        <f t="shared" si="248"/>
        <v>0.33492788222613018</v>
      </c>
      <c r="W1000" s="143"/>
      <c r="X1000" s="143"/>
      <c r="Y1000" s="143"/>
      <c r="Z1000" s="30"/>
      <c r="AA1000" s="31">
        <f t="shared" si="249"/>
        <v>45</v>
      </c>
      <c r="AB1000" s="32">
        <v>3.15E-2</v>
      </c>
      <c r="AC1000" s="32">
        <v>8.0199999999999994E-2</v>
      </c>
      <c r="AD1000" s="33">
        <f t="shared" si="289"/>
        <v>5.4189052617713292E-2</v>
      </c>
      <c r="AE1000" s="34">
        <f t="shared" si="290"/>
        <v>1.5621527051647415E-3</v>
      </c>
      <c r="AF1000" s="33">
        <f t="shared" si="291"/>
        <v>0.30378260423877018</v>
      </c>
      <c r="AG1000" s="33">
        <f t="shared" si="292"/>
        <v>0</v>
      </c>
      <c r="AH1000" s="35">
        <f t="shared" si="293"/>
        <v>0.33547336433975772</v>
      </c>
      <c r="AI1000" s="36">
        <f t="shared" si="260"/>
        <v>1.4051698352561859</v>
      </c>
      <c r="AJ1000" s="23" t="s">
        <v>2106</v>
      </c>
      <c r="AK1000" s="101">
        <v>242</v>
      </c>
      <c r="AL1000" s="44"/>
      <c r="AM1000" s="44"/>
      <c r="AN1000" s="44"/>
      <c r="AO1000" s="44"/>
      <c r="AP1000" s="44"/>
      <c r="AQ1000" s="44"/>
      <c r="AR1000" s="44"/>
    </row>
    <row r="1001" spans="1:44" ht="16.8">
      <c r="A1001" s="64" t="s">
        <v>2166</v>
      </c>
      <c r="B1001" s="62"/>
      <c r="C1001" s="62" t="s">
        <v>2163</v>
      </c>
      <c r="D1001" s="19" t="s">
        <v>2164</v>
      </c>
      <c r="E1001" s="20" t="s">
        <v>39</v>
      </c>
      <c r="F1001" s="21">
        <v>1977</v>
      </c>
      <c r="G1001" s="40">
        <v>2023</v>
      </c>
      <c r="H1001" s="23">
        <v>785530657958</v>
      </c>
      <c r="I1001" s="23">
        <v>996283075853</v>
      </c>
      <c r="J1001" s="23">
        <v>933642707465</v>
      </c>
      <c r="K1001" s="23">
        <f t="shared" si="353"/>
        <v>1054088469517.5</v>
      </c>
      <c r="L1001" s="23">
        <v>749627048501</v>
      </c>
      <c r="M1001" s="23">
        <v>62640368388</v>
      </c>
      <c r="N1001" s="23">
        <v>268465172567</v>
      </c>
      <c r="O1001" s="25">
        <f t="shared" si="243"/>
        <v>35903609457</v>
      </c>
      <c r="P1001" s="23">
        <v>1396164116</v>
      </c>
      <c r="Q1001" s="23">
        <v>13353505211</v>
      </c>
      <c r="R1001" s="25">
        <f t="shared" si="244"/>
        <v>255111667356</v>
      </c>
      <c r="S1001" s="26">
        <f t="shared" si="245"/>
        <v>0.93712593347591655</v>
      </c>
      <c r="T1001" s="27">
        <f t="shared" si="246"/>
        <v>1.0478952961059704</v>
      </c>
      <c r="U1001" s="26">
        <f t="shared" si="247"/>
        <v>27.627297266854047</v>
      </c>
      <c r="V1001" s="26">
        <f t="shared" si="248"/>
        <v>0.25468941206603618</v>
      </c>
      <c r="W1001" s="143"/>
      <c r="X1001" s="143"/>
      <c r="Y1001" s="143"/>
      <c r="Z1001" s="30"/>
      <c r="AA1001" s="31">
        <f t="shared" si="249"/>
        <v>46</v>
      </c>
      <c r="AB1001" s="32">
        <v>3.2500000000000001E-2</v>
      </c>
      <c r="AC1001" s="32">
        <v>5.0500000000000003E-2</v>
      </c>
      <c r="AD1001" s="33">
        <f t="shared" si="289"/>
        <v>3.6037558327747327E-2</v>
      </c>
      <c r="AE1001" s="34">
        <f t="shared" si="290"/>
        <v>1.4013729128186073E-3</v>
      </c>
      <c r="AF1001" s="33">
        <f t="shared" si="291"/>
        <v>0.25606343572340412</v>
      </c>
      <c r="AG1001" s="33">
        <f t="shared" si="292"/>
        <v>0</v>
      </c>
      <c r="AH1001" s="35">
        <f t="shared" si="293"/>
        <v>0.28754594281138762</v>
      </c>
      <c r="AI1001" s="36">
        <f t="shared" si="260"/>
        <v>1.177762272769864</v>
      </c>
      <c r="AJ1001" s="23" t="s">
        <v>2106</v>
      </c>
      <c r="AK1001" s="101">
        <v>243</v>
      </c>
      <c r="AL1001" s="44"/>
      <c r="AM1001" s="44"/>
      <c r="AN1001" s="44"/>
      <c r="AO1001" s="44"/>
      <c r="AP1001" s="44"/>
      <c r="AQ1001" s="44"/>
      <c r="AR1001" s="44"/>
    </row>
    <row r="1002" spans="1:44" ht="16.8">
      <c r="A1002" s="64" t="s">
        <v>2167</v>
      </c>
      <c r="B1002" s="62">
        <v>389</v>
      </c>
      <c r="C1002" s="62" t="s">
        <v>2168</v>
      </c>
      <c r="D1002" s="19" t="s">
        <v>2169</v>
      </c>
      <c r="E1002" s="20" t="s">
        <v>39</v>
      </c>
      <c r="F1002" s="21">
        <v>1984</v>
      </c>
      <c r="G1002" s="40">
        <v>2021</v>
      </c>
      <c r="H1002" s="23">
        <v>939974178670</v>
      </c>
      <c r="I1002" s="23">
        <v>995966376208</v>
      </c>
      <c r="J1002" s="23">
        <v>845307246183</v>
      </c>
      <c r="K1002" s="23">
        <f>(J1002+726051462916)/2</f>
        <v>785679354549.5</v>
      </c>
      <c r="L1002" s="23">
        <v>827878246183</v>
      </c>
      <c r="M1002" s="23">
        <v>150659130025</v>
      </c>
      <c r="N1002" s="23">
        <v>862843340993</v>
      </c>
      <c r="O1002" s="25">
        <f t="shared" si="243"/>
        <v>112095932487</v>
      </c>
      <c r="P1002" s="23">
        <v>7155811513</v>
      </c>
      <c r="Q1002" s="23">
        <f>34065496866+30951259592</f>
        <v>65016756458</v>
      </c>
      <c r="R1002" s="25">
        <f t="shared" si="244"/>
        <v>797826584535</v>
      </c>
      <c r="S1002" s="26">
        <f t="shared" si="245"/>
        <v>0.84873070655395699</v>
      </c>
      <c r="T1002" s="27">
        <f t="shared" si="246"/>
        <v>1.135401471175052</v>
      </c>
      <c r="U1002" s="26">
        <f t="shared" si="247"/>
        <v>27.626979335133857</v>
      </c>
      <c r="V1002" s="26">
        <f t="shared" si="248"/>
        <v>1.0982130763608329</v>
      </c>
      <c r="W1002" s="143"/>
      <c r="X1002" s="143"/>
      <c r="Y1002" s="143"/>
      <c r="Z1002" s="30">
        <f>W1002*Y1002</f>
        <v>0</v>
      </c>
      <c r="AA1002" s="31">
        <f t="shared" si="249"/>
        <v>37</v>
      </c>
      <c r="AB1002" s="32">
        <v>1.84E-2</v>
      </c>
      <c r="AC1002" s="32">
        <v>2.58E-2</v>
      </c>
      <c r="AD1002" s="33">
        <f t="shared" si="289"/>
        <v>0.11254991650801434</v>
      </c>
      <c r="AE1002" s="34">
        <f t="shared" si="290"/>
        <v>7.1847922620086151E-3</v>
      </c>
      <c r="AF1002" s="33">
        <f t="shared" si="291"/>
        <v>0.80105775013470937</v>
      </c>
      <c r="AG1002" s="33">
        <f t="shared" si="292"/>
        <v>0</v>
      </c>
      <c r="AH1002" s="35">
        <f t="shared" si="293"/>
        <v>1.0207452318540797</v>
      </c>
      <c r="AI1002" s="36">
        <f t="shared" si="260"/>
        <v>3.8093544162750499</v>
      </c>
      <c r="AJ1002" s="23"/>
      <c r="AK1002" s="101">
        <v>244</v>
      </c>
      <c r="AL1002" s="44"/>
      <c r="AM1002" s="44"/>
      <c r="AN1002" s="44"/>
      <c r="AO1002" s="44"/>
      <c r="AP1002" s="44"/>
      <c r="AQ1002" s="44"/>
      <c r="AR1002" s="44"/>
    </row>
    <row r="1003" spans="1:44" ht="16.8">
      <c r="A1003" s="64" t="s">
        <v>2170</v>
      </c>
      <c r="B1003" s="62"/>
      <c r="C1003" s="62" t="s">
        <v>2168</v>
      </c>
      <c r="D1003" s="19" t="s">
        <v>2169</v>
      </c>
      <c r="E1003" s="20" t="s">
        <v>39</v>
      </c>
      <c r="F1003" s="21">
        <v>1984</v>
      </c>
      <c r="G1003" s="40">
        <v>2022</v>
      </c>
      <c r="H1003" s="23">
        <v>1142275094805</v>
      </c>
      <c r="I1003" s="23">
        <v>1192238170992</v>
      </c>
      <c r="J1003" s="23">
        <v>1040204569078</v>
      </c>
      <c r="K1003" s="23">
        <f t="shared" ref="K1003:K1004" si="354">SUM(J1002:J1003)/2</f>
        <v>942755907630.5</v>
      </c>
      <c r="L1003" s="23">
        <v>1000991569078</v>
      </c>
      <c r="M1003" s="23">
        <v>152033601914</v>
      </c>
      <c r="N1003" s="23">
        <v>1007771649372</v>
      </c>
      <c r="O1003" s="25">
        <f t="shared" si="243"/>
        <v>141283525727</v>
      </c>
      <c r="P1003" s="23">
        <v>8370334850</v>
      </c>
      <c r="Q1003" s="23">
        <f>36155124923+31127116625</f>
        <v>67282241548</v>
      </c>
      <c r="R1003" s="25">
        <f t="shared" si="244"/>
        <v>940489407824</v>
      </c>
      <c r="S1003" s="26">
        <f t="shared" si="245"/>
        <v>0.87248051134992544</v>
      </c>
      <c r="T1003" s="27">
        <f t="shared" si="246"/>
        <v>1.141143572125322</v>
      </c>
      <c r="U1003" s="26">
        <f t="shared" si="247"/>
        <v>27.806853472491966</v>
      </c>
      <c r="V1003" s="26">
        <f t="shared" si="248"/>
        <v>1.0689634943841497</v>
      </c>
      <c r="W1003" s="143"/>
      <c r="X1003" s="143"/>
      <c r="Y1003" s="143"/>
      <c r="Z1003" s="30"/>
      <c r="AA1003" s="31">
        <f t="shared" si="249"/>
        <v>38</v>
      </c>
      <c r="AB1003" s="32">
        <v>3.15E-2</v>
      </c>
      <c r="AC1003" s="32">
        <v>8.0199999999999994E-2</v>
      </c>
      <c r="AD1003" s="33">
        <f t="shared" si="289"/>
        <v>0.11850276997040386</v>
      </c>
      <c r="AE1003" s="34">
        <f t="shared" si="290"/>
        <v>7.0206902057459502E-3</v>
      </c>
      <c r="AF1003" s="33">
        <f t="shared" si="291"/>
        <v>0.78884356390088328</v>
      </c>
      <c r="AG1003" s="33">
        <f t="shared" si="292"/>
        <v>0</v>
      </c>
      <c r="AH1003" s="35">
        <f t="shared" si="293"/>
        <v>0.96882063329644152</v>
      </c>
      <c r="AI1003" s="36">
        <f t="shared" si="260"/>
        <v>3.7240366844218848</v>
      </c>
      <c r="AJ1003" s="23"/>
      <c r="AK1003" s="101">
        <v>245</v>
      </c>
      <c r="AL1003" s="44"/>
      <c r="AM1003" s="44"/>
      <c r="AN1003" s="44"/>
      <c r="AO1003" s="44"/>
      <c r="AP1003" s="44"/>
      <c r="AQ1003" s="44"/>
      <c r="AR1003" s="44"/>
    </row>
    <row r="1004" spans="1:44" ht="16.8">
      <c r="A1004" s="64" t="s">
        <v>2171</v>
      </c>
      <c r="B1004" s="62"/>
      <c r="C1004" s="62" t="s">
        <v>2168</v>
      </c>
      <c r="D1004" s="19" t="s">
        <v>2169</v>
      </c>
      <c r="E1004" s="20" t="s">
        <v>39</v>
      </c>
      <c r="F1004" s="21">
        <v>1984</v>
      </c>
      <c r="G1004" s="40">
        <v>2023</v>
      </c>
      <c r="H1004" s="23">
        <v>1234530997163</v>
      </c>
      <c r="I1004" s="23">
        <v>1285015371811</v>
      </c>
      <c r="J1004" s="23">
        <v>1013016141977</v>
      </c>
      <c r="K1004" s="23">
        <f t="shared" si="354"/>
        <v>1026610355527.5</v>
      </c>
      <c r="L1004" s="23">
        <v>1007789016977</v>
      </c>
      <c r="M1004" s="23">
        <v>271999229834</v>
      </c>
      <c r="N1004" s="23">
        <v>1197807420974</v>
      </c>
      <c r="O1004" s="25">
        <f t="shared" si="243"/>
        <v>226741980186</v>
      </c>
      <c r="P1004" s="23">
        <v>9304515881</v>
      </c>
      <c r="Q1004" s="23">
        <f>39575069412+31553128692</f>
        <v>71128198104</v>
      </c>
      <c r="R1004" s="25">
        <f t="shared" si="244"/>
        <v>1126679222870</v>
      </c>
      <c r="S1004" s="26">
        <f t="shared" si="245"/>
        <v>0.78832997970237073</v>
      </c>
      <c r="T1004" s="27">
        <f t="shared" si="246"/>
        <v>1.2249895328946363</v>
      </c>
      <c r="U1004" s="26">
        <f t="shared" si="247"/>
        <v>27.881791796703013</v>
      </c>
      <c r="V1004" s="26">
        <f t="shared" si="248"/>
        <v>1.1667595349342978</v>
      </c>
      <c r="W1004" s="143"/>
      <c r="X1004" s="143"/>
      <c r="Y1004" s="143"/>
      <c r="Z1004" s="30"/>
      <c r="AA1004" s="31">
        <f t="shared" si="249"/>
        <v>39</v>
      </c>
      <c r="AB1004" s="32">
        <v>3.2500000000000001E-2</v>
      </c>
      <c r="AC1004" s="32">
        <v>5.0500000000000003E-2</v>
      </c>
      <c r="AD1004" s="33">
        <f t="shared" si="289"/>
        <v>0.17645079207608824</v>
      </c>
      <c r="AE1004" s="34">
        <f t="shared" si="290"/>
        <v>7.2407817720397723E-3</v>
      </c>
      <c r="AF1004" s="33">
        <f t="shared" si="291"/>
        <v>0.87678268103683976</v>
      </c>
      <c r="AG1004" s="33">
        <f t="shared" si="292"/>
        <v>0</v>
      </c>
      <c r="AH1004" s="35">
        <f t="shared" si="293"/>
        <v>1.1824169145383625</v>
      </c>
      <c r="AI1004" s="36">
        <f t="shared" si="260"/>
        <v>4.2976778069320947</v>
      </c>
      <c r="AJ1004" s="23"/>
      <c r="AK1004" s="101">
        <v>246</v>
      </c>
      <c r="AL1004" s="44"/>
      <c r="AM1004" s="44"/>
      <c r="AN1004" s="44"/>
      <c r="AO1004" s="44"/>
      <c r="AP1004" s="44"/>
      <c r="AQ1004" s="44"/>
      <c r="AR1004" s="44"/>
    </row>
    <row r="1005" spans="1:44" ht="16.8">
      <c r="A1005" s="64" t="s">
        <v>2172</v>
      </c>
      <c r="B1005" s="62">
        <v>390</v>
      </c>
      <c r="C1005" s="62" t="s">
        <v>2173</v>
      </c>
      <c r="D1005" s="19" t="s">
        <v>2174</v>
      </c>
      <c r="E1005" s="20" t="s">
        <v>39</v>
      </c>
      <c r="F1005" s="21">
        <v>1988</v>
      </c>
      <c r="G1005" s="40">
        <v>2021</v>
      </c>
      <c r="H1005" s="23">
        <v>21296178663022</v>
      </c>
      <c r="I1005" s="23">
        <v>30969415584425</v>
      </c>
      <c r="J1005" s="23">
        <v>23341790760007</v>
      </c>
      <c r="K1005" s="23">
        <f>(J1005+12446775833623)/2</f>
        <v>17894283296815</v>
      </c>
      <c r="L1005" s="23">
        <v>15470240586401</v>
      </c>
      <c r="M1005" s="23">
        <v>7627624824418</v>
      </c>
      <c r="N1005" s="23">
        <v>5750687627777</v>
      </c>
      <c r="O1005" s="25">
        <f t="shared" si="243"/>
        <v>5825938076621</v>
      </c>
      <c r="P1005" s="23">
        <v>519925680223</v>
      </c>
      <c r="Q1005" s="23">
        <f>36265514876+137960377184</f>
        <v>174225892060</v>
      </c>
      <c r="R1005" s="25">
        <f t="shared" si="244"/>
        <v>5576461735717</v>
      </c>
      <c r="S1005" s="26">
        <f t="shared" si="245"/>
        <v>0.7537045927255388</v>
      </c>
      <c r="T1005" s="27">
        <f t="shared" si="246"/>
        <v>1.3765900112595695</v>
      </c>
      <c r="U1005" s="26">
        <f t="shared" si="247"/>
        <v>31.064021239358635</v>
      </c>
      <c r="V1005" s="26">
        <f t="shared" si="248"/>
        <v>0.32137010085229645</v>
      </c>
      <c r="W1005" s="143"/>
      <c r="X1005" s="143"/>
      <c r="Y1005" s="143"/>
      <c r="Z1005" s="30">
        <f>W1005*Y1005</f>
        <v>0</v>
      </c>
      <c r="AA1005" s="31">
        <f t="shared" si="249"/>
        <v>33</v>
      </c>
      <c r="AB1005" s="32">
        <v>1.84E-2</v>
      </c>
      <c r="AC1005" s="32">
        <v>2.58E-2</v>
      </c>
      <c r="AD1005" s="33">
        <f t="shared" si="289"/>
        <v>0.18811908351124826</v>
      </c>
      <c r="AE1005" s="34">
        <f t="shared" si="290"/>
        <v>1.6788359431763985E-2</v>
      </c>
      <c r="AF1005" s="33">
        <f t="shared" si="291"/>
        <v>0.18006351203222218</v>
      </c>
      <c r="AG1005" s="33">
        <f t="shared" si="292"/>
        <v>0</v>
      </c>
      <c r="AH1005" s="35">
        <f t="shared" si="293"/>
        <v>0.24636874209454507</v>
      </c>
      <c r="AI1005" s="36">
        <f t="shared" si="260"/>
        <v>1.0898249352188456</v>
      </c>
      <c r="AJ1005" s="23"/>
      <c r="AK1005" s="101">
        <v>247</v>
      </c>
      <c r="AL1005" s="44"/>
      <c r="AM1005" s="44"/>
      <c r="AN1005" s="44"/>
      <c r="AO1005" s="44"/>
      <c r="AP1005" s="44"/>
      <c r="AQ1005" s="44"/>
      <c r="AR1005" s="44"/>
    </row>
    <row r="1006" spans="1:44" ht="16.8">
      <c r="A1006" s="64" t="s">
        <v>2175</v>
      </c>
      <c r="B1006" s="62"/>
      <c r="C1006" s="62" t="s">
        <v>2173</v>
      </c>
      <c r="D1006" s="19" t="s">
        <v>2174</v>
      </c>
      <c r="E1006" s="20" t="s">
        <v>39</v>
      </c>
      <c r="F1006" s="21">
        <v>1988</v>
      </c>
      <c r="G1006" s="40">
        <v>2022</v>
      </c>
      <c r="H1006" s="23">
        <v>19974517525669</v>
      </c>
      <c r="I1006" s="23">
        <v>31999304114074</v>
      </c>
      <c r="J1006" s="23">
        <v>22068643871157</v>
      </c>
      <c r="K1006" s="23">
        <f t="shared" ref="K1006:K1007" si="355">SUM(J1005:J1006)/2</f>
        <v>22705217315582</v>
      </c>
      <c r="L1006" s="23">
        <v>12763244121110</v>
      </c>
      <c r="M1006" s="23">
        <v>9930660242917</v>
      </c>
      <c r="N1006" s="23">
        <v>8452904869730</v>
      </c>
      <c r="O1006" s="25">
        <f t="shared" si="243"/>
        <v>7211273404559</v>
      </c>
      <c r="P1006" s="23">
        <v>930757994625</v>
      </c>
      <c r="Q1006" s="23">
        <f>57474385473+222757846013</f>
        <v>280232231486</v>
      </c>
      <c r="R1006" s="25">
        <f t="shared" si="244"/>
        <v>8172672638244</v>
      </c>
      <c r="S1006" s="26">
        <f t="shared" si="245"/>
        <v>0.68966011862272725</v>
      </c>
      <c r="T1006" s="27">
        <f t="shared" si="246"/>
        <v>1.5650031713043695</v>
      </c>
      <c r="U1006" s="26">
        <f t="shared" si="247"/>
        <v>31.09673527205663</v>
      </c>
      <c r="V1006" s="26">
        <f t="shared" si="248"/>
        <v>0.37228909779819597</v>
      </c>
      <c r="W1006" s="143"/>
      <c r="X1006" s="143"/>
      <c r="Y1006" s="143"/>
      <c r="Z1006" s="30"/>
      <c r="AA1006" s="31">
        <f t="shared" si="249"/>
        <v>34</v>
      </c>
      <c r="AB1006" s="32">
        <v>3.15E-2</v>
      </c>
      <c r="AC1006" s="32">
        <v>8.0199999999999994E-2</v>
      </c>
      <c r="AD1006" s="33">
        <f t="shared" si="289"/>
        <v>0.22535719460809533</v>
      </c>
      <c r="AE1006" s="34">
        <f t="shared" si="290"/>
        <v>2.9086819866674291E-2</v>
      </c>
      <c r="AF1006" s="33">
        <f t="shared" si="291"/>
        <v>0.25540157401890118</v>
      </c>
      <c r="AG1006" s="33">
        <f t="shared" si="292"/>
        <v>0</v>
      </c>
      <c r="AH1006" s="35">
        <f t="shared" si="293"/>
        <v>0.3830278343825953</v>
      </c>
      <c r="AI1006" s="36">
        <f t="shared" si="260"/>
        <v>1.5370032099880275</v>
      </c>
      <c r="AJ1006" s="23"/>
      <c r="AK1006" s="101">
        <v>248</v>
      </c>
      <c r="AL1006" s="44"/>
      <c r="AM1006" s="44"/>
      <c r="AN1006" s="44"/>
      <c r="AO1006" s="44"/>
      <c r="AP1006" s="44"/>
      <c r="AQ1006" s="44"/>
      <c r="AR1006" s="44"/>
    </row>
    <row r="1007" spans="1:44" ht="16.8">
      <c r="A1007" s="64" t="s">
        <v>2176</v>
      </c>
      <c r="B1007" s="62"/>
      <c r="C1007" s="62" t="s">
        <v>2173</v>
      </c>
      <c r="D1007" s="19" t="s">
        <v>2174</v>
      </c>
      <c r="E1007" s="20" t="s">
        <v>39</v>
      </c>
      <c r="F1007" s="21">
        <v>1988</v>
      </c>
      <c r="G1007" s="40">
        <v>2023</v>
      </c>
      <c r="H1007" s="23">
        <v>18680845505475</v>
      </c>
      <c r="I1007" s="23">
        <v>30694370036093</v>
      </c>
      <c r="J1007" s="23">
        <v>20453320874119</v>
      </c>
      <c r="K1007" s="23">
        <f t="shared" si="355"/>
        <v>21260982372638</v>
      </c>
      <c r="L1007" s="23">
        <v>14422198827113</v>
      </c>
      <c r="M1007" s="23">
        <v>10241049161974</v>
      </c>
      <c r="N1007" s="23">
        <v>12709754496075</v>
      </c>
      <c r="O1007" s="25">
        <f t="shared" si="243"/>
        <v>4258646678362</v>
      </c>
      <c r="P1007" s="23">
        <v>396437714817</v>
      </c>
      <c r="Q1007" s="23">
        <f>92716194631-79013322322</f>
        <v>13702872309</v>
      </c>
      <c r="R1007" s="25">
        <f t="shared" si="244"/>
        <v>12696051623766</v>
      </c>
      <c r="S1007" s="26">
        <f t="shared" si="245"/>
        <v>0.66635415061681602</v>
      </c>
      <c r="T1007" s="27">
        <f t="shared" si="246"/>
        <v>1.295284146988458</v>
      </c>
      <c r="U1007" s="26">
        <f t="shared" si="247"/>
        <v>31.055100367257868</v>
      </c>
      <c r="V1007" s="26">
        <f t="shared" si="248"/>
        <v>0.59779714188709954</v>
      </c>
      <c r="W1007" s="143"/>
      <c r="X1007" s="143"/>
      <c r="Y1007" s="143"/>
      <c r="Z1007" s="30"/>
      <c r="AA1007" s="31">
        <f t="shared" si="249"/>
        <v>35</v>
      </c>
      <c r="AB1007" s="32">
        <v>3.2500000000000001E-2</v>
      </c>
      <c r="AC1007" s="32">
        <v>5.0500000000000003E-2</v>
      </c>
      <c r="AD1007" s="33">
        <f t="shared" si="289"/>
        <v>0.13874357653714112</v>
      </c>
      <c r="AE1007" s="34">
        <f t="shared" si="290"/>
        <v>1.2915649167936513E-2</v>
      </c>
      <c r="AF1007" s="33">
        <f t="shared" si="291"/>
        <v>0.413628023928718</v>
      </c>
      <c r="AG1007" s="33">
        <f t="shared" si="292"/>
        <v>0</v>
      </c>
      <c r="AH1007" s="35">
        <f t="shared" si="293"/>
        <v>0.62140297775103748</v>
      </c>
      <c r="AI1007" s="36">
        <f t="shared" si="260"/>
        <v>2.1709496573954872</v>
      </c>
      <c r="AJ1007" s="23"/>
      <c r="AK1007" s="101">
        <v>249</v>
      </c>
      <c r="AL1007" s="44"/>
      <c r="AM1007" s="44"/>
      <c r="AN1007" s="44"/>
      <c r="AO1007" s="44"/>
      <c r="AP1007" s="44"/>
      <c r="AQ1007" s="44"/>
      <c r="AR1007" s="44"/>
    </row>
    <row r="1008" spans="1:44" ht="16.8">
      <c r="A1008" s="45"/>
      <c r="B1008" s="45">
        <v>391</v>
      </c>
      <c r="C1008" s="45" t="s">
        <v>2177</v>
      </c>
      <c r="D1008" s="46" t="s">
        <v>2178</v>
      </c>
      <c r="E1008" s="47" t="s">
        <v>39</v>
      </c>
      <c r="F1008" s="48"/>
      <c r="G1008" s="48"/>
      <c r="H1008" s="49"/>
      <c r="I1008" s="49"/>
      <c r="J1008" s="49"/>
      <c r="K1008" s="49"/>
      <c r="L1008" s="49"/>
      <c r="M1008" s="49"/>
      <c r="N1008" s="49"/>
      <c r="O1008" s="49">
        <f t="shared" si="243"/>
        <v>0</v>
      </c>
      <c r="P1008" s="49"/>
      <c r="Q1008" s="49"/>
      <c r="R1008" s="49">
        <f t="shared" si="244"/>
        <v>0</v>
      </c>
      <c r="S1008" s="50" t="e">
        <f t="shared" si="245"/>
        <v>#DIV/0!</v>
      </c>
      <c r="T1008" s="51" t="e">
        <f t="shared" si="246"/>
        <v>#DIV/0!</v>
      </c>
      <c r="U1008" s="50" t="e">
        <f t="shared" si="247"/>
        <v>#NUM!</v>
      </c>
      <c r="V1008" s="50" t="e">
        <f t="shared" si="248"/>
        <v>#DIV/0!</v>
      </c>
      <c r="W1008" s="52"/>
      <c r="X1008" s="52"/>
      <c r="Y1008" s="52"/>
      <c r="Z1008" s="55">
        <f t="shared" ref="Z1008:Z1009" si="356">W1008*Y1008</f>
        <v>0</v>
      </c>
      <c r="AA1008" s="48">
        <f t="shared" si="249"/>
        <v>0</v>
      </c>
      <c r="AB1008" s="49"/>
      <c r="AC1008" s="49"/>
      <c r="AD1008" s="50" t="e">
        <f t="shared" si="289"/>
        <v>#DIV/0!</v>
      </c>
      <c r="AE1008" s="56" t="e">
        <f t="shared" si="290"/>
        <v>#DIV/0!</v>
      </c>
      <c r="AF1008" s="50" t="e">
        <f t="shared" si="291"/>
        <v>#DIV/0!</v>
      </c>
      <c r="AG1008" s="50" t="e">
        <f t="shared" si="292"/>
        <v>#DIV/0!</v>
      </c>
      <c r="AH1008" s="57" t="e">
        <f t="shared" si="293"/>
        <v>#DIV/0!</v>
      </c>
      <c r="AI1008" s="58" t="e">
        <f t="shared" si="260"/>
        <v>#DIV/0!</v>
      </c>
      <c r="AJ1008" s="49"/>
      <c r="AK1008" s="49">
        <v>250</v>
      </c>
      <c r="AL1008" s="59"/>
      <c r="AM1008" s="59"/>
      <c r="AN1008" s="59"/>
      <c r="AO1008" s="59"/>
      <c r="AP1008" s="59"/>
      <c r="AQ1008" s="59"/>
      <c r="AR1008" s="59"/>
    </row>
    <row r="1009" spans="1:44" ht="16.8">
      <c r="A1009" s="64" t="s">
        <v>2179</v>
      </c>
      <c r="B1009" s="62">
        <v>392</v>
      </c>
      <c r="C1009" s="62" t="s">
        <v>2180</v>
      </c>
      <c r="D1009" s="19" t="s">
        <v>2181</v>
      </c>
      <c r="E1009" s="20" t="s">
        <v>39</v>
      </c>
      <c r="F1009" s="21">
        <v>1988</v>
      </c>
      <c r="G1009" s="40">
        <v>2021</v>
      </c>
      <c r="H1009" s="23">
        <v>52939629818</v>
      </c>
      <c r="I1009" s="23">
        <v>91601121215</v>
      </c>
      <c r="J1009" s="23">
        <v>20533727124</v>
      </c>
      <c r="K1009" s="23">
        <f>(J1009+28639183904)/2</f>
        <v>24586455514</v>
      </c>
      <c r="L1009" s="23">
        <v>19163134217</v>
      </c>
      <c r="M1009" s="23">
        <v>71067394091</v>
      </c>
      <c r="N1009" s="23">
        <v>28977187094</v>
      </c>
      <c r="O1009" s="25">
        <f t="shared" si="243"/>
        <v>33776495601</v>
      </c>
      <c r="P1009" s="23">
        <v>971098276</v>
      </c>
      <c r="Q1009" s="23">
        <f>936582930+5575267196</f>
        <v>6511850126</v>
      </c>
      <c r="R1009" s="25">
        <f t="shared" si="244"/>
        <v>22465336968</v>
      </c>
      <c r="S1009" s="26">
        <f t="shared" si="245"/>
        <v>0.22416458283086529</v>
      </c>
      <c r="T1009" s="27">
        <f t="shared" si="246"/>
        <v>2.7625767903371568</v>
      </c>
      <c r="U1009" s="26">
        <f t="shared" si="247"/>
        <v>25.240709348890011</v>
      </c>
      <c r="V1009" s="26">
        <f t="shared" si="248"/>
        <v>1.1785833495804157</v>
      </c>
      <c r="W1009" s="143"/>
      <c r="X1009" s="143"/>
      <c r="Y1009" s="143"/>
      <c r="Z1009" s="30">
        <f t="shared" si="356"/>
        <v>0</v>
      </c>
      <c r="AA1009" s="31">
        <f t="shared" si="249"/>
        <v>33</v>
      </c>
      <c r="AB1009" s="32">
        <v>1.84E-2</v>
      </c>
      <c r="AC1009" s="32">
        <v>2.58E-2</v>
      </c>
      <c r="AD1009" s="33">
        <f t="shared" si="289"/>
        <v>0.36873452151008151</v>
      </c>
      <c r="AE1009" s="34">
        <f t="shared" si="290"/>
        <v>1.0601379798842236E-2</v>
      </c>
      <c r="AF1009" s="33">
        <f t="shared" si="291"/>
        <v>0.24525176842836749</v>
      </c>
      <c r="AG1009" s="33">
        <f t="shared" si="292"/>
        <v>0</v>
      </c>
      <c r="AH1009" s="35">
        <f t="shared" si="293"/>
        <v>1.4111995800378203</v>
      </c>
      <c r="AI1009" s="36">
        <f t="shared" si="260"/>
        <v>2.6778537733819099</v>
      </c>
      <c r="AJ1009" s="23"/>
      <c r="AK1009" s="101">
        <v>251</v>
      </c>
      <c r="AL1009" s="44"/>
      <c r="AM1009" s="44"/>
      <c r="AN1009" s="44"/>
      <c r="AO1009" s="44"/>
      <c r="AP1009" s="44"/>
      <c r="AQ1009" s="44"/>
      <c r="AR1009" s="44"/>
    </row>
    <row r="1010" spans="1:44" ht="16.8">
      <c r="A1010" s="64" t="s">
        <v>2182</v>
      </c>
      <c r="B1010" s="62"/>
      <c r="C1010" s="62" t="s">
        <v>2180</v>
      </c>
      <c r="D1010" s="19" t="s">
        <v>2181</v>
      </c>
      <c r="E1010" s="20" t="s">
        <v>39</v>
      </c>
      <c r="F1010" s="21">
        <v>1988</v>
      </c>
      <c r="G1010" s="40">
        <v>2022</v>
      </c>
      <c r="H1010" s="23">
        <v>57512190169</v>
      </c>
      <c r="I1010" s="23">
        <v>94878750302</v>
      </c>
      <c r="J1010" s="23">
        <v>27328937313</v>
      </c>
      <c r="K1010" s="23">
        <f t="shared" ref="K1010:K1011" si="357">SUM(J1009:J1010)/2</f>
        <v>23931332218.5</v>
      </c>
      <c r="L1010" s="23">
        <v>23285078916</v>
      </c>
      <c r="M1010" s="23">
        <v>67549812989</v>
      </c>
      <c r="N1010" s="23">
        <v>18166693044</v>
      </c>
      <c r="O1010" s="25">
        <f t="shared" si="243"/>
        <v>34227111253</v>
      </c>
      <c r="P1010" s="23">
        <v>226418898</v>
      </c>
      <c r="Q1010" s="23">
        <f>752921162+6380796942</f>
        <v>7133718104</v>
      </c>
      <c r="R1010" s="25">
        <f t="shared" si="244"/>
        <v>11032974940</v>
      </c>
      <c r="S1010" s="26">
        <f t="shared" si="245"/>
        <v>0.28804065426675335</v>
      </c>
      <c r="T1010" s="27">
        <f t="shared" si="246"/>
        <v>2.4699160512392053</v>
      </c>
      <c r="U1010" s="26">
        <f t="shared" si="247"/>
        <v>25.275865600755797</v>
      </c>
      <c r="V1010" s="26">
        <f t="shared" si="248"/>
        <v>0.75911749827100417</v>
      </c>
      <c r="W1010" s="143"/>
      <c r="X1010" s="143"/>
      <c r="Y1010" s="143"/>
      <c r="Z1010" s="30"/>
      <c r="AA1010" s="31">
        <f t="shared" si="249"/>
        <v>34</v>
      </c>
      <c r="AB1010" s="32">
        <v>3.15E-2</v>
      </c>
      <c r="AC1010" s="32">
        <v>8.0199999999999994E-2</v>
      </c>
      <c r="AD1010" s="33">
        <f t="shared" si="289"/>
        <v>0.36074580603195938</v>
      </c>
      <c r="AE1010" s="34">
        <f t="shared" si="290"/>
        <v>2.3864026168062542E-3</v>
      </c>
      <c r="AF1010" s="33">
        <f t="shared" si="291"/>
        <v>0.11628499432045565</v>
      </c>
      <c r="AG1010" s="33">
        <f t="shared" si="292"/>
        <v>0</v>
      </c>
      <c r="AH1010" s="35">
        <f t="shared" si="293"/>
        <v>0.66474202183333175</v>
      </c>
      <c r="AI1010" s="36">
        <f t="shared" si="260"/>
        <v>1.4847184339927155</v>
      </c>
      <c r="AJ1010" s="23"/>
      <c r="AK1010" s="101">
        <v>252</v>
      </c>
      <c r="AL1010" s="44"/>
      <c r="AM1010" s="44"/>
      <c r="AN1010" s="44"/>
      <c r="AO1010" s="44"/>
      <c r="AP1010" s="44"/>
      <c r="AQ1010" s="44"/>
      <c r="AR1010" s="44"/>
    </row>
    <row r="1011" spans="1:44" ht="16.8">
      <c r="A1011" s="64" t="s">
        <v>2183</v>
      </c>
      <c r="B1011" s="62"/>
      <c r="C1011" s="62" t="s">
        <v>2180</v>
      </c>
      <c r="D1011" s="19" t="s">
        <v>2181</v>
      </c>
      <c r="E1011" s="20" t="s">
        <v>39</v>
      </c>
      <c r="F1011" s="21">
        <v>1988</v>
      </c>
      <c r="G1011" s="40">
        <v>2023</v>
      </c>
      <c r="H1011" s="23">
        <v>53290035163</v>
      </c>
      <c r="I1011" s="23">
        <v>85993704722</v>
      </c>
      <c r="J1011" s="23">
        <v>18328587573</v>
      </c>
      <c r="K1011" s="23">
        <f t="shared" si="357"/>
        <v>22828762443</v>
      </c>
      <c r="L1011" s="23">
        <v>16702426187</v>
      </c>
      <c r="M1011" s="23">
        <v>67665117149</v>
      </c>
      <c r="N1011" s="23">
        <v>24916530851</v>
      </c>
      <c r="O1011" s="25">
        <f t="shared" si="243"/>
        <v>36587608976</v>
      </c>
      <c r="P1011" s="23">
        <v>859304160</v>
      </c>
      <c r="Q1011" s="23">
        <f>955772220+4857001281</f>
        <v>5812773501</v>
      </c>
      <c r="R1011" s="25">
        <f t="shared" si="244"/>
        <v>19103757350</v>
      </c>
      <c r="S1011" s="26">
        <f t="shared" si="245"/>
        <v>0.21313871326107606</v>
      </c>
      <c r="T1011" s="27">
        <f t="shared" si="246"/>
        <v>3.1905565434845169</v>
      </c>
      <c r="U1011" s="26">
        <f t="shared" si="247"/>
        <v>25.177539929613626</v>
      </c>
      <c r="V1011" s="26">
        <f t="shared" si="248"/>
        <v>1.0914534203600763</v>
      </c>
      <c r="W1011" s="143"/>
      <c r="X1011" s="143"/>
      <c r="Y1011" s="143"/>
      <c r="Z1011" s="30"/>
      <c r="AA1011" s="31">
        <f t="shared" si="249"/>
        <v>35</v>
      </c>
      <c r="AB1011" s="32">
        <v>3.2500000000000001E-2</v>
      </c>
      <c r="AC1011" s="32">
        <v>5.0500000000000003E-2</v>
      </c>
      <c r="AD1011" s="33">
        <f t="shared" si="289"/>
        <v>0.42546845835145991</v>
      </c>
      <c r="AE1011" s="34">
        <f t="shared" si="290"/>
        <v>9.9926403075429066E-3</v>
      </c>
      <c r="AF1011" s="33">
        <f t="shared" si="291"/>
        <v>0.22215297517136315</v>
      </c>
      <c r="AG1011" s="33">
        <f t="shared" si="292"/>
        <v>0</v>
      </c>
      <c r="AH1011" s="35">
        <f t="shared" si="293"/>
        <v>1.3594354039426779</v>
      </c>
      <c r="AI1011" s="36">
        <f t="shared" si="260"/>
        <v>2.6170920684604884</v>
      </c>
      <c r="AJ1011" s="23"/>
      <c r="AK1011" s="101">
        <v>253</v>
      </c>
      <c r="AL1011" s="44"/>
      <c r="AM1011" s="44"/>
      <c r="AN1011" s="44"/>
      <c r="AO1011" s="44"/>
      <c r="AP1011" s="44"/>
      <c r="AQ1011" s="44"/>
      <c r="AR1011" s="44"/>
    </row>
    <row r="1012" spans="1:44" ht="16.8">
      <c r="A1012" s="64" t="s">
        <v>2184</v>
      </c>
      <c r="B1012" s="62">
        <v>393</v>
      </c>
      <c r="C1012" s="62" t="s">
        <v>2185</v>
      </c>
      <c r="D1012" s="19" t="s">
        <v>2186</v>
      </c>
      <c r="E1012" s="20" t="s">
        <v>178</v>
      </c>
      <c r="F1012" s="21">
        <v>2008</v>
      </c>
      <c r="G1012" s="40">
        <v>2021</v>
      </c>
      <c r="H1012" s="23">
        <v>238011425124</v>
      </c>
      <c r="I1012" s="23">
        <v>6776266438483</v>
      </c>
      <c r="J1012" s="23">
        <v>4890393478518</v>
      </c>
      <c r="K1012" s="23">
        <f>(J1012+1857679893107)/2</f>
        <v>3374036685812.5</v>
      </c>
      <c r="L1012" s="23">
        <v>551438316842</v>
      </c>
      <c r="M1012" s="23">
        <v>1885872959965</v>
      </c>
      <c r="N1012" s="23">
        <v>78825672828</v>
      </c>
      <c r="O1012" s="25">
        <f t="shared" si="243"/>
        <v>-313426891718</v>
      </c>
      <c r="P1012" s="23">
        <v>-7106078009</v>
      </c>
      <c r="Q1012" s="23">
        <v>19683288146</v>
      </c>
      <c r="R1012" s="25">
        <f t="shared" si="244"/>
        <v>59142384682</v>
      </c>
      <c r="S1012" s="26">
        <f t="shared" si="245"/>
        <v>0.72169439069648067</v>
      </c>
      <c r="T1012" s="27">
        <f t="shared" si="246"/>
        <v>0.43161930873257731</v>
      </c>
      <c r="U1012" s="26">
        <f t="shared" si="247"/>
        <v>29.544447393414789</v>
      </c>
      <c r="V1012" s="26">
        <f t="shared" si="248"/>
        <v>2.336242316494494E-2</v>
      </c>
      <c r="W1012" s="143"/>
      <c r="X1012" s="143"/>
      <c r="Y1012" s="143"/>
      <c r="Z1012" s="30">
        <f>W1012*Y1012</f>
        <v>0</v>
      </c>
      <c r="AA1012" s="31">
        <f t="shared" si="249"/>
        <v>13</v>
      </c>
      <c r="AB1012" s="32">
        <v>1.84E-2</v>
      </c>
      <c r="AC1012" s="32">
        <v>2.58E-2</v>
      </c>
      <c r="AD1012" s="33">
        <f t="shared" si="289"/>
        <v>-4.6253625733784866E-2</v>
      </c>
      <c r="AE1012" s="34">
        <f t="shared" si="290"/>
        <v>-1.0486715765253816E-3</v>
      </c>
      <c r="AF1012" s="33">
        <f t="shared" si="291"/>
        <v>8.7278717888253782E-3</v>
      </c>
      <c r="AG1012" s="33">
        <f t="shared" si="292"/>
        <v>0</v>
      </c>
      <c r="AH1012" s="35">
        <f t="shared" si="293"/>
        <v>1.6118472506201603E-2</v>
      </c>
      <c r="AI1012" s="36">
        <f t="shared" si="260"/>
        <v>-1.2052041678352016E-2</v>
      </c>
      <c r="AJ1012" s="23" t="s">
        <v>2106</v>
      </c>
      <c r="AK1012" s="23"/>
      <c r="AL1012" s="44"/>
      <c r="AM1012" s="44"/>
      <c r="AN1012" s="44"/>
      <c r="AO1012" s="44"/>
      <c r="AP1012" s="44"/>
      <c r="AQ1012" s="44"/>
      <c r="AR1012" s="44"/>
    </row>
    <row r="1013" spans="1:44" ht="16.8">
      <c r="A1013" s="64" t="s">
        <v>2187</v>
      </c>
      <c r="B1013" s="62"/>
      <c r="C1013" s="62" t="s">
        <v>2185</v>
      </c>
      <c r="D1013" s="19" t="s">
        <v>2186</v>
      </c>
      <c r="E1013" s="20" t="s">
        <v>178</v>
      </c>
      <c r="F1013" s="21">
        <v>2008</v>
      </c>
      <c r="G1013" s="40">
        <v>2022</v>
      </c>
      <c r="H1013" s="23">
        <v>356341126366</v>
      </c>
      <c r="I1013" s="23">
        <v>7164334918828</v>
      </c>
      <c r="J1013" s="23">
        <v>5273049902064</v>
      </c>
      <c r="K1013" s="23">
        <f>SUM(J1012:J1013)/2</f>
        <v>5081721690291</v>
      </c>
      <c r="L1013" s="23">
        <v>1208316135697</v>
      </c>
      <c r="M1013" s="23">
        <v>1891285016764</v>
      </c>
      <c r="N1013" s="23">
        <v>186287736073</v>
      </c>
      <c r="O1013" s="25">
        <f t="shared" si="243"/>
        <v>-851975009331</v>
      </c>
      <c r="P1013" s="23">
        <v>5412056799</v>
      </c>
      <c r="Q1013" s="23">
        <f>101659504+24032284574</f>
        <v>24133944078</v>
      </c>
      <c r="R1013" s="25">
        <f t="shared" si="244"/>
        <v>162153791995</v>
      </c>
      <c r="S1013" s="26">
        <f t="shared" si="245"/>
        <v>0.73601387453374501</v>
      </c>
      <c r="T1013" s="27">
        <f t="shared" si="246"/>
        <v>0.29490719840503471</v>
      </c>
      <c r="U1013" s="26">
        <f t="shared" si="247"/>
        <v>29.600136349289418</v>
      </c>
      <c r="V1013" s="26">
        <f t="shared" si="248"/>
        <v>3.6658390094230525E-2</v>
      </c>
      <c r="W1013" s="143"/>
      <c r="X1013" s="143"/>
      <c r="Y1013" s="143"/>
      <c r="Z1013" s="30"/>
      <c r="AA1013" s="31">
        <f t="shared" si="249"/>
        <v>14</v>
      </c>
      <c r="AB1013" s="32">
        <v>3.15E-2</v>
      </c>
      <c r="AC1013" s="32">
        <v>8.0199999999999994E-2</v>
      </c>
      <c r="AD1013" s="33">
        <f t="shared" si="289"/>
        <v>-0.11891892534113592</v>
      </c>
      <c r="AE1013" s="34">
        <f t="shared" si="290"/>
        <v>7.5541649857504818E-4</v>
      </c>
      <c r="AF1013" s="33">
        <f t="shared" si="291"/>
        <v>2.263347454190855E-2</v>
      </c>
      <c r="AG1013" s="33">
        <f t="shared" si="292"/>
        <v>0</v>
      </c>
      <c r="AH1013" s="35">
        <f t="shared" si="293"/>
        <v>3.5328271025859712E-2</v>
      </c>
      <c r="AI1013" s="36">
        <f t="shared" si="260"/>
        <v>-3.1626390297200116E-2</v>
      </c>
      <c r="AJ1013" s="23"/>
      <c r="AK1013" s="23"/>
      <c r="AL1013" s="44"/>
      <c r="AM1013" s="44"/>
      <c r="AN1013" s="44"/>
      <c r="AO1013" s="44"/>
      <c r="AP1013" s="44"/>
      <c r="AQ1013" s="44"/>
      <c r="AR1013" s="44"/>
    </row>
    <row r="1014" spans="1:44" ht="16.8">
      <c r="A1014" s="64" t="s">
        <v>2188</v>
      </c>
      <c r="B1014" s="62"/>
      <c r="C1014" s="62" t="s">
        <v>2185</v>
      </c>
      <c r="D1014" s="19" t="s">
        <v>2186</v>
      </c>
      <c r="E1014" s="20" t="s">
        <v>178</v>
      </c>
      <c r="F1014" s="21">
        <v>2008</v>
      </c>
      <c r="G1014" s="40">
        <v>2023</v>
      </c>
      <c r="H1014" s="23">
        <v>294406025050</v>
      </c>
      <c r="I1014" s="23">
        <v>4955674950591</v>
      </c>
      <c r="J1014" s="23">
        <v>3351119685752</v>
      </c>
      <c r="K1014" s="23">
        <f>(J1014+5265421812988)/2</f>
        <v>4308270749370</v>
      </c>
      <c r="L1014" s="23">
        <v>1977438742647</v>
      </c>
      <c r="M1014" s="23">
        <v>1604555264839</v>
      </c>
      <c r="N1014" s="23">
        <v>33215712132</v>
      </c>
      <c r="O1014" s="25">
        <f t="shared" si="243"/>
        <v>-1683032717597</v>
      </c>
      <c r="P1014" s="23">
        <v>-286729751925</v>
      </c>
      <c r="Q1014" s="23">
        <v>24023830510</v>
      </c>
      <c r="R1014" s="25">
        <f t="shared" si="244"/>
        <v>9191881622</v>
      </c>
      <c r="S1014" s="26">
        <f t="shared" si="245"/>
        <v>0.67621862191594195</v>
      </c>
      <c r="T1014" s="27">
        <f t="shared" si="246"/>
        <v>0.14888250073218856</v>
      </c>
      <c r="U1014" s="26">
        <f t="shared" si="247"/>
        <v>29.231554490496698</v>
      </c>
      <c r="V1014" s="26">
        <f t="shared" si="248"/>
        <v>7.7097550419404689E-3</v>
      </c>
      <c r="W1014" s="143"/>
      <c r="X1014" s="143"/>
      <c r="Y1014" s="143"/>
      <c r="Z1014" s="30"/>
      <c r="AA1014" s="31">
        <f t="shared" si="249"/>
        <v>15</v>
      </c>
      <c r="AB1014" s="32">
        <v>3.2500000000000001E-2</v>
      </c>
      <c r="AC1014" s="32">
        <v>5.0500000000000003E-2</v>
      </c>
      <c r="AD1014" s="33">
        <f t="shared" si="289"/>
        <v>-0.3396172538306384</v>
      </c>
      <c r="AE1014" s="34">
        <f t="shared" si="290"/>
        <v>-5.7858869837862432E-2</v>
      </c>
      <c r="AF1014" s="33">
        <f t="shared" si="291"/>
        <v>1.8548193159649831E-3</v>
      </c>
      <c r="AG1014" s="33">
        <f t="shared" si="292"/>
        <v>0</v>
      </c>
      <c r="AH1014" s="35">
        <f t="shared" si="293"/>
        <v>9.9118250754288741E-3</v>
      </c>
      <c r="AI1014" s="36">
        <f t="shared" si="260"/>
        <v>-0.47251039355166019</v>
      </c>
      <c r="AJ1014" s="23" t="s">
        <v>2106</v>
      </c>
      <c r="AK1014" s="23"/>
      <c r="AL1014" s="44"/>
      <c r="AM1014" s="44"/>
      <c r="AN1014" s="44"/>
      <c r="AO1014" s="44"/>
      <c r="AP1014" s="44"/>
      <c r="AQ1014" s="44"/>
      <c r="AR1014" s="44"/>
    </row>
    <row r="1015" spans="1:44" ht="16.8">
      <c r="A1015" s="64" t="s">
        <v>2189</v>
      </c>
      <c r="B1015" s="62">
        <v>394</v>
      </c>
      <c r="C1015" s="62" t="s">
        <v>2190</v>
      </c>
      <c r="D1015" s="19" t="s">
        <v>2191</v>
      </c>
      <c r="E1015" s="20" t="s">
        <v>39</v>
      </c>
      <c r="F1015" s="21">
        <v>2002</v>
      </c>
      <c r="G1015" s="40">
        <v>2021</v>
      </c>
      <c r="H1015" s="23">
        <v>5829100412476</v>
      </c>
      <c r="I1015" s="23">
        <v>6892913568363</v>
      </c>
      <c r="J1015" s="23">
        <v>2018716551655</v>
      </c>
      <c r="K1015" s="23">
        <f>(J1015+2197513273144)/2</f>
        <v>2108114912399.5</v>
      </c>
      <c r="L1015" s="23">
        <v>1872419253793</v>
      </c>
      <c r="M1015" s="23">
        <v>4874197016708</v>
      </c>
      <c r="N1015" s="23">
        <v>7108211833610</v>
      </c>
      <c r="O1015" s="25">
        <f t="shared" si="243"/>
        <v>3956681158683</v>
      </c>
      <c r="P1015" s="23">
        <v>1772059864055</v>
      </c>
      <c r="Q1015" s="23">
        <f>272145112014+47348871942</f>
        <v>319493983956</v>
      </c>
      <c r="R1015" s="25">
        <f t="shared" si="244"/>
        <v>6788717849654</v>
      </c>
      <c r="S1015" s="26">
        <f t="shared" si="245"/>
        <v>0.29286839761352551</v>
      </c>
      <c r="T1015" s="27">
        <f t="shared" si="246"/>
        <v>3.1131384708140901</v>
      </c>
      <c r="U1015" s="26">
        <f t="shared" si="247"/>
        <v>29.561514980708477</v>
      </c>
      <c r="V1015" s="26">
        <f t="shared" si="248"/>
        <v>3.3718331917301825</v>
      </c>
      <c r="W1015" s="143"/>
      <c r="X1015" s="143"/>
      <c r="Y1015" s="143"/>
      <c r="Z1015" s="30">
        <f>W1015*Y1015</f>
        <v>0</v>
      </c>
      <c r="AA1015" s="31">
        <f t="shared" si="249"/>
        <v>19</v>
      </c>
      <c r="AB1015" s="32">
        <v>1.84E-2</v>
      </c>
      <c r="AC1015" s="32">
        <v>2.58E-2</v>
      </c>
      <c r="AD1015" s="33">
        <f t="shared" si="289"/>
        <v>0.57402158309997109</v>
      </c>
      <c r="AE1015" s="34">
        <f t="shared" si="290"/>
        <v>0.25708430063425952</v>
      </c>
      <c r="AF1015" s="33">
        <f t="shared" si="291"/>
        <v>0.98488364641807835</v>
      </c>
      <c r="AG1015" s="33">
        <f t="shared" si="292"/>
        <v>0</v>
      </c>
      <c r="AH1015" s="35">
        <f t="shared" si="293"/>
        <v>3.5211539865675991</v>
      </c>
      <c r="AI1015" s="36">
        <f t="shared" si="260"/>
        <v>7.820013940355186</v>
      </c>
      <c r="AJ1015" s="23"/>
      <c r="AK1015" s="101">
        <v>254</v>
      </c>
      <c r="AL1015" s="44"/>
      <c r="AM1015" s="44"/>
      <c r="AN1015" s="44"/>
      <c r="AO1015" s="44"/>
      <c r="AP1015" s="44"/>
      <c r="AQ1015" s="44"/>
      <c r="AR1015" s="44"/>
    </row>
    <row r="1016" spans="1:44" ht="16.8">
      <c r="A1016" s="64" t="s">
        <v>2192</v>
      </c>
      <c r="B1016" s="62"/>
      <c r="C1016" s="62" t="s">
        <v>2190</v>
      </c>
      <c r="D1016" s="19" t="s">
        <v>2191</v>
      </c>
      <c r="E1016" s="20" t="s">
        <v>39</v>
      </c>
      <c r="F1016" s="21">
        <v>2002</v>
      </c>
      <c r="G1016" s="40">
        <v>2022</v>
      </c>
      <c r="H1016" s="23">
        <v>5541110081466</v>
      </c>
      <c r="I1016" s="23">
        <v>6589904840964</v>
      </c>
      <c r="J1016" s="23">
        <v>1721167194707</v>
      </c>
      <c r="K1016" s="23">
        <f t="shared" ref="K1016:K1017" si="358">SUM(J1015:J1016)/2</f>
        <v>1869941873181</v>
      </c>
      <c r="L1016" s="23">
        <v>1628068914249</v>
      </c>
      <c r="M1016" s="23">
        <v>4868737646257</v>
      </c>
      <c r="N1016" s="23">
        <v>5679350995019</v>
      </c>
      <c r="O1016" s="25">
        <f t="shared" si="243"/>
        <v>3913041167217</v>
      </c>
      <c r="P1016" s="23">
        <v>1148702304551</v>
      </c>
      <c r="Q1016" s="23">
        <f>254616726453+66807125334</f>
        <v>321423851787</v>
      </c>
      <c r="R1016" s="25">
        <f t="shared" si="244"/>
        <v>5357927143232</v>
      </c>
      <c r="S1016" s="26">
        <f t="shared" si="245"/>
        <v>0.26118240494277306</v>
      </c>
      <c r="T1016" s="27">
        <f t="shared" si="246"/>
        <v>3.4034861994905286</v>
      </c>
      <c r="U1016" s="26">
        <f t="shared" si="247"/>
        <v>29.51656002442429</v>
      </c>
      <c r="V1016" s="26">
        <f t="shared" si="248"/>
        <v>3.0371805008878319</v>
      </c>
      <c r="W1016" s="143"/>
      <c r="X1016" s="143"/>
      <c r="Y1016" s="143"/>
      <c r="Z1016" s="30"/>
      <c r="AA1016" s="31">
        <f t="shared" si="249"/>
        <v>20</v>
      </c>
      <c r="AB1016" s="32">
        <v>3.15E-2</v>
      </c>
      <c r="AC1016" s="32">
        <v>8.0199999999999994E-2</v>
      </c>
      <c r="AD1016" s="33">
        <f t="shared" si="289"/>
        <v>0.59379327344650745</v>
      </c>
      <c r="AE1016" s="34">
        <f t="shared" si="290"/>
        <v>0.17431242670007399</v>
      </c>
      <c r="AF1016" s="33">
        <f t="shared" si="291"/>
        <v>0.8130507606006977</v>
      </c>
      <c r="AG1016" s="33">
        <f t="shared" si="292"/>
        <v>0</v>
      </c>
      <c r="AH1016" s="35">
        <f t="shared" si="293"/>
        <v>3.2997090651532055</v>
      </c>
      <c r="AI1016" s="36">
        <f t="shared" si="260"/>
        <v>6.9393659006514206</v>
      </c>
      <c r="AJ1016" s="23"/>
      <c r="AK1016" s="101">
        <v>255</v>
      </c>
      <c r="AL1016" s="44"/>
      <c r="AM1016" s="44"/>
      <c r="AN1016" s="44"/>
      <c r="AO1016" s="44"/>
      <c r="AP1016" s="44"/>
      <c r="AQ1016" s="44"/>
      <c r="AR1016" s="44"/>
    </row>
    <row r="1017" spans="1:44" ht="16.8">
      <c r="A1017" s="64" t="s">
        <v>2193</v>
      </c>
      <c r="B1017" s="62"/>
      <c r="C1017" s="62" t="s">
        <v>2190</v>
      </c>
      <c r="D1017" s="19" t="s">
        <v>2191</v>
      </c>
      <c r="E1017" s="20" t="s">
        <v>39</v>
      </c>
      <c r="F1017" s="21">
        <v>2002</v>
      </c>
      <c r="G1017" s="40">
        <v>2023</v>
      </c>
      <c r="H1017" s="23">
        <v>5515837061167</v>
      </c>
      <c r="I1017" s="23">
        <v>6468248784341</v>
      </c>
      <c r="J1017" s="23">
        <v>1482430376070</v>
      </c>
      <c r="K1017" s="23">
        <f t="shared" si="358"/>
        <v>1601798785388.5</v>
      </c>
      <c r="L1017" s="23">
        <v>1440717987416</v>
      </c>
      <c r="M1017" s="23">
        <v>4985818408271</v>
      </c>
      <c r="N1017" s="23">
        <v>4363038846159</v>
      </c>
      <c r="O1017" s="25">
        <f t="shared" si="243"/>
        <v>4075119073751</v>
      </c>
      <c r="P1017" s="23">
        <v>846380429683</v>
      </c>
      <c r="Q1017" s="23">
        <f>156494238157+58714711756</f>
        <v>215208949913</v>
      </c>
      <c r="R1017" s="25">
        <f t="shared" si="244"/>
        <v>4147829896246</v>
      </c>
      <c r="S1017" s="26">
        <f t="shared" si="245"/>
        <v>0.22918573875185808</v>
      </c>
      <c r="T1017" s="27">
        <f t="shared" si="246"/>
        <v>3.8285334877090906</v>
      </c>
      <c r="U1017" s="26">
        <f t="shared" si="247"/>
        <v>29.497926520778307</v>
      </c>
      <c r="V1017" s="26">
        <f t="shared" si="248"/>
        <v>2.7238370299430521</v>
      </c>
      <c r="W1017" s="143"/>
      <c r="X1017" s="143"/>
      <c r="Y1017" s="143"/>
      <c r="Z1017" s="30"/>
      <c r="AA1017" s="31">
        <f t="shared" si="249"/>
        <v>21</v>
      </c>
      <c r="AB1017" s="32">
        <v>3.2500000000000001E-2</v>
      </c>
      <c r="AC1017" s="32">
        <v>5.0500000000000003E-2</v>
      </c>
      <c r="AD1017" s="33">
        <f t="shared" si="289"/>
        <v>0.63001891386992814</v>
      </c>
      <c r="AE1017" s="34">
        <f t="shared" si="290"/>
        <v>0.13085155780216812</v>
      </c>
      <c r="AF1017" s="33">
        <f t="shared" si="291"/>
        <v>0.64126010525252086</v>
      </c>
      <c r="AG1017" s="33">
        <f t="shared" si="292"/>
        <v>0</v>
      </c>
      <c r="AH1017" s="35">
        <f t="shared" si="293"/>
        <v>2.943166111939532</v>
      </c>
      <c r="AI1017" s="36">
        <f t="shared" si="260"/>
        <v>5.9985393368397997</v>
      </c>
      <c r="AJ1017" s="23"/>
      <c r="AK1017" s="101">
        <v>256</v>
      </c>
      <c r="AL1017" s="44"/>
      <c r="AM1017" s="44"/>
      <c r="AN1017" s="44"/>
      <c r="AO1017" s="44"/>
      <c r="AP1017" s="44"/>
      <c r="AQ1017" s="44"/>
      <c r="AR1017" s="44"/>
    </row>
    <row r="1018" spans="1:44" ht="16.8">
      <c r="A1018" s="45"/>
      <c r="B1018" s="45">
        <v>395</v>
      </c>
      <c r="C1018" s="45" t="s">
        <v>2194</v>
      </c>
      <c r="D1018" s="46" t="s">
        <v>2195</v>
      </c>
      <c r="E1018" s="47" t="s">
        <v>39</v>
      </c>
      <c r="F1018" s="48"/>
      <c r="G1018" s="48"/>
      <c r="H1018" s="49"/>
      <c r="I1018" s="49"/>
      <c r="J1018" s="49"/>
      <c r="K1018" s="49"/>
      <c r="L1018" s="49"/>
      <c r="M1018" s="49"/>
      <c r="N1018" s="49"/>
      <c r="O1018" s="49">
        <f t="shared" si="243"/>
        <v>0</v>
      </c>
      <c r="P1018" s="49"/>
      <c r="Q1018" s="49"/>
      <c r="R1018" s="49">
        <f t="shared" si="244"/>
        <v>0</v>
      </c>
      <c r="S1018" s="50" t="e">
        <f t="shared" si="245"/>
        <v>#DIV/0!</v>
      </c>
      <c r="T1018" s="51" t="e">
        <f t="shared" si="246"/>
        <v>#DIV/0!</v>
      </c>
      <c r="U1018" s="50" t="e">
        <f t="shared" si="247"/>
        <v>#NUM!</v>
      </c>
      <c r="V1018" s="50" t="e">
        <f t="shared" si="248"/>
        <v>#DIV/0!</v>
      </c>
      <c r="W1018" s="52"/>
      <c r="X1018" s="52"/>
      <c r="Y1018" s="52"/>
      <c r="Z1018" s="55">
        <f t="shared" ref="Z1018:Z1019" si="359">W1018*Y1018</f>
        <v>0</v>
      </c>
      <c r="AA1018" s="48">
        <f t="shared" si="249"/>
        <v>0</v>
      </c>
      <c r="AB1018" s="49"/>
      <c r="AC1018" s="49"/>
      <c r="AD1018" s="50" t="e">
        <f t="shared" si="289"/>
        <v>#DIV/0!</v>
      </c>
      <c r="AE1018" s="56" t="e">
        <f t="shared" si="290"/>
        <v>#DIV/0!</v>
      </c>
      <c r="AF1018" s="50" t="e">
        <f t="shared" si="291"/>
        <v>#DIV/0!</v>
      </c>
      <c r="AG1018" s="50" t="e">
        <f t="shared" si="292"/>
        <v>#DIV/0!</v>
      </c>
      <c r="AH1018" s="57" t="e">
        <f t="shared" si="293"/>
        <v>#DIV/0!</v>
      </c>
      <c r="AI1018" s="58" t="e">
        <f t="shared" si="260"/>
        <v>#DIV/0!</v>
      </c>
      <c r="AJ1018" s="49"/>
      <c r="AK1018" s="49">
        <v>257</v>
      </c>
      <c r="AL1018" s="59"/>
      <c r="AM1018" s="59"/>
      <c r="AN1018" s="59"/>
      <c r="AO1018" s="59"/>
      <c r="AP1018" s="59"/>
      <c r="AQ1018" s="59"/>
      <c r="AR1018" s="59"/>
    </row>
    <row r="1019" spans="1:44" ht="16.8">
      <c r="A1019" s="64" t="s">
        <v>2196</v>
      </c>
      <c r="B1019" s="62">
        <v>396</v>
      </c>
      <c r="C1019" s="62" t="s">
        <v>2197</v>
      </c>
      <c r="D1019" s="19" t="s">
        <v>2198</v>
      </c>
      <c r="E1019" s="20" t="s">
        <v>39</v>
      </c>
      <c r="F1019" s="21">
        <v>1990</v>
      </c>
      <c r="G1019" s="40">
        <v>2021</v>
      </c>
      <c r="H1019" s="23">
        <v>170189128729</v>
      </c>
      <c r="I1019" s="23">
        <v>235092730084</v>
      </c>
      <c r="J1019" s="23">
        <v>28130739577</v>
      </c>
      <c r="K1019" s="23">
        <f>(J1019+16086933963)/2</f>
        <v>22108836770</v>
      </c>
      <c r="L1019" s="23">
        <v>27888765935</v>
      </c>
      <c r="M1019" s="23">
        <v>206961990507</v>
      </c>
      <c r="N1019" s="23">
        <v>244388074815</v>
      </c>
      <c r="O1019" s="25">
        <f t="shared" si="243"/>
        <v>142300362794</v>
      </c>
      <c r="P1019" s="23">
        <v>3254865239</v>
      </c>
      <c r="Q1019" s="23">
        <f>6255029334+7734361527</f>
        <v>13989390861</v>
      </c>
      <c r="R1019" s="25">
        <f t="shared" si="244"/>
        <v>230398683954</v>
      </c>
      <c r="S1019" s="26">
        <f t="shared" si="245"/>
        <v>0.11965805819239379</v>
      </c>
      <c r="T1019" s="27">
        <f t="shared" si="246"/>
        <v>6.1024259418884901</v>
      </c>
      <c r="U1019" s="26">
        <f t="shared" si="247"/>
        <v>26.183245869360132</v>
      </c>
      <c r="V1019" s="26">
        <f t="shared" si="248"/>
        <v>11.053863998245983</v>
      </c>
      <c r="W1019" s="143"/>
      <c r="X1019" s="143"/>
      <c r="Y1019" s="143"/>
      <c r="Z1019" s="30">
        <f t="shared" si="359"/>
        <v>0</v>
      </c>
      <c r="AA1019" s="31">
        <f t="shared" si="249"/>
        <v>31</v>
      </c>
      <c r="AB1019" s="32">
        <v>1.84E-2</v>
      </c>
      <c r="AC1019" s="32">
        <v>2.58E-2</v>
      </c>
      <c r="AD1019" s="33">
        <f t="shared" si="289"/>
        <v>0.60529461180341582</v>
      </c>
      <c r="AE1019" s="34">
        <f t="shared" si="290"/>
        <v>1.3845027184962366E-2</v>
      </c>
      <c r="AF1019" s="33">
        <f t="shared" si="291"/>
        <v>0.98003321443277813</v>
      </c>
      <c r="AG1019" s="33">
        <f t="shared" si="292"/>
        <v>0</v>
      </c>
      <c r="AH1019" s="35">
        <f t="shared" si="293"/>
        <v>8.687580863135727</v>
      </c>
      <c r="AI1019" s="36">
        <f t="shared" si="260"/>
        <v>12.66742704298694</v>
      </c>
      <c r="AJ1019" s="23"/>
      <c r="AK1019" s="101">
        <v>258</v>
      </c>
      <c r="AL1019" s="44"/>
      <c r="AM1019" s="44"/>
      <c r="AN1019" s="44"/>
      <c r="AO1019" s="44"/>
      <c r="AP1019" s="44"/>
      <c r="AQ1019" s="44"/>
      <c r="AR1019" s="44"/>
    </row>
    <row r="1020" spans="1:44" ht="16.8">
      <c r="A1020" s="64" t="s">
        <v>2199</v>
      </c>
      <c r="B1020" s="62"/>
      <c r="C1020" s="62" t="s">
        <v>2197</v>
      </c>
      <c r="D1020" s="19" t="s">
        <v>2198</v>
      </c>
      <c r="E1020" s="20" t="s">
        <v>39</v>
      </c>
      <c r="F1020" s="21">
        <v>1990</v>
      </c>
      <c r="G1020" s="40">
        <v>2022</v>
      </c>
      <c r="H1020" s="23">
        <v>152988281617</v>
      </c>
      <c r="I1020" s="23">
        <v>210310632747</v>
      </c>
      <c r="J1020" s="23">
        <v>19635840652</v>
      </c>
      <c r="K1020" s="23">
        <f t="shared" ref="K1020:K1021" si="360">SUM(J1019:J1020)/2</f>
        <v>23883290114.5</v>
      </c>
      <c r="L1020" s="23">
        <v>17208109470</v>
      </c>
      <c r="M1020" s="23">
        <v>190674792095</v>
      </c>
      <c r="N1020" s="23">
        <v>189285608781</v>
      </c>
      <c r="O1020" s="25">
        <f t="shared" si="243"/>
        <v>135780172147</v>
      </c>
      <c r="P1020" s="23">
        <v>-16287198412</v>
      </c>
      <c r="Q1020" s="23">
        <f>6936649858+10268904078</f>
        <v>17205553936</v>
      </c>
      <c r="R1020" s="25">
        <f t="shared" si="244"/>
        <v>172080054845</v>
      </c>
      <c r="S1020" s="26">
        <f t="shared" si="245"/>
        <v>9.3365895939372556E-2</v>
      </c>
      <c r="T1020" s="27">
        <f t="shared" si="246"/>
        <v>8.8904758470832768</v>
      </c>
      <c r="U1020" s="26">
        <f t="shared" si="247"/>
        <v>26.0718514782771</v>
      </c>
      <c r="V1020" s="26">
        <f t="shared" si="248"/>
        <v>7.9254410876197126</v>
      </c>
      <c r="W1020" s="143"/>
      <c r="X1020" s="143"/>
      <c r="Y1020" s="143"/>
      <c r="Z1020" s="30"/>
      <c r="AA1020" s="31">
        <f t="shared" si="249"/>
        <v>32</v>
      </c>
      <c r="AB1020" s="32">
        <v>3.15E-2</v>
      </c>
      <c r="AC1020" s="32">
        <v>8.0199999999999994E-2</v>
      </c>
      <c r="AD1020" s="33">
        <f t="shared" si="289"/>
        <v>0.64561724898779205</v>
      </c>
      <c r="AE1020" s="34">
        <f t="shared" si="290"/>
        <v>-7.7443532926807432E-2</v>
      </c>
      <c r="AF1020" s="33">
        <f t="shared" si="291"/>
        <v>0.81821852084867852</v>
      </c>
      <c r="AG1020" s="33">
        <f t="shared" si="292"/>
        <v>0</v>
      </c>
      <c r="AH1020" s="35">
        <f t="shared" si="293"/>
        <v>9.63980163292476</v>
      </c>
      <c r="AI1020" s="36">
        <f t="shared" si="260"/>
        <v>13.006242504413219</v>
      </c>
      <c r="AJ1020" s="23"/>
      <c r="AK1020" s="101">
        <v>259</v>
      </c>
      <c r="AL1020" s="44"/>
      <c r="AM1020" s="44"/>
      <c r="AN1020" s="44"/>
      <c r="AO1020" s="44"/>
      <c r="AP1020" s="44"/>
      <c r="AQ1020" s="44"/>
      <c r="AR1020" s="44"/>
    </row>
    <row r="1021" spans="1:44" ht="16.8">
      <c r="A1021" s="64" t="s">
        <v>2200</v>
      </c>
      <c r="B1021" s="62"/>
      <c r="C1021" s="62" t="s">
        <v>2197</v>
      </c>
      <c r="D1021" s="19" t="s">
        <v>2198</v>
      </c>
      <c r="E1021" s="20" t="s">
        <v>39</v>
      </c>
      <c r="F1021" s="21">
        <v>1990</v>
      </c>
      <c r="G1021" s="40">
        <v>2023</v>
      </c>
      <c r="H1021" s="23">
        <v>126013955853</v>
      </c>
      <c r="I1021" s="23">
        <v>176509154396</v>
      </c>
      <c r="J1021" s="23">
        <v>5093628113</v>
      </c>
      <c r="K1021" s="23">
        <f t="shared" si="360"/>
        <v>12364734382.5</v>
      </c>
      <c r="L1021" s="23">
        <v>5013628113</v>
      </c>
      <c r="M1021" s="23">
        <v>171415526283</v>
      </c>
      <c r="N1021" s="23">
        <v>202510490901</v>
      </c>
      <c r="O1021" s="25">
        <f t="shared" si="243"/>
        <v>121000327740</v>
      </c>
      <c r="P1021" s="23">
        <v>-19259265812</v>
      </c>
      <c r="Q1021" s="23">
        <f>5328386072+10882529813</f>
        <v>16210915885</v>
      </c>
      <c r="R1021" s="25">
        <f t="shared" si="244"/>
        <v>186299575016</v>
      </c>
      <c r="S1021" s="26">
        <f t="shared" si="245"/>
        <v>2.8857586057958195E-2</v>
      </c>
      <c r="T1021" s="27">
        <f t="shared" si="246"/>
        <v>25.134284596469033</v>
      </c>
      <c r="U1021" s="26">
        <f t="shared" si="247"/>
        <v>25.896638578241042</v>
      </c>
      <c r="V1021" s="26">
        <f t="shared" si="248"/>
        <v>16.378070457188002</v>
      </c>
      <c r="W1021" s="143"/>
      <c r="X1021" s="143"/>
      <c r="Y1021" s="143"/>
      <c r="Z1021" s="30"/>
      <c r="AA1021" s="31">
        <f t="shared" si="249"/>
        <v>33</v>
      </c>
      <c r="AB1021" s="32">
        <v>3.2500000000000001E-2</v>
      </c>
      <c r="AC1021" s="32">
        <v>5.0500000000000003E-2</v>
      </c>
      <c r="AD1021" s="33">
        <f t="shared" si="289"/>
        <v>0.68551870951992999</v>
      </c>
      <c r="AE1021" s="34">
        <f t="shared" si="290"/>
        <v>-0.10911199409403803</v>
      </c>
      <c r="AF1021" s="33">
        <f t="shared" si="291"/>
        <v>1.0554669283499885</v>
      </c>
      <c r="AG1021" s="33">
        <f t="shared" si="292"/>
        <v>0</v>
      </c>
      <c r="AH1021" s="35">
        <f t="shared" si="293"/>
        <v>39.757612139793054</v>
      </c>
      <c r="AI1021" s="36">
        <f t="shared" si="260"/>
        <v>43.910518663040278</v>
      </c>
      <c r="AJ1021" s="23"/>
      <c r="AK1021" s="101">
        <v>260</v>
      </c>
      <c r="AL1021" s="44"/>
      <c r="AM1021" s="44"/>
      <c r="AN1021" s="44"/>
      <c r="AO1021" s="44"/>
      <c r="AP1021" s="44"/>
      <c r="AQ1021" s="44"/>
      <c r="AR1021" s="44"/>
    </row>
    <row r="1022" spans="1:44" ht="16.8">
      <c r="A1022" s="64" t="s">
        <v>2201</v>
      </c>
      <c r="B1022" s="62">
        <v>397</v>
      </c>
      <c r="C1022" s="62" t="s">
        <v>2202</v>
      </c>
      <c r="D1022" s="19" t="s">
        <v>2203</v>
      </c>
      <c r="E1022" s="20" t="s">
        <v>414</v>
      </c>
      <c r="F1022" s="21">
        <v>2006</v>
      </c>
      <c r="G1022" s="40">
        <v>2021</v>
      </c>
      <c r="H1022" s="23">
        <v>3920238302698</v>
      </c>
      <c r="I1022" s="23">
        <v>4033154108571</v>
      </c>
      <c r="J1022" s="23">
        <v>2387290809084</v>
      </c>
      <c r="K1022" s="23">
        <f>(J1022+1402839017010)/2</f>
        <v>1895064913047</v>
      </c>
      <c r="L1022" s="23">
        <v>2322942181672</v>
      </c>
      <c r="M1022" s="23">
        <v>1645863299487</v>
      </c>
      <c r="N1022" s="23">
        <v>1022100874482</v>
      </c>
      <c r="O1022" s="25">
        <f t="shared" ref="O1022:O1276" si="361">H1022-L1022</f>
        <v>1597296121026</v>
      </c>
      <c r="P1022" s="23">
        <v>426740860446</v>
      </c>
      <c r="Q1022" s="23">
        <v>397854307847</v>
      </c>
      <c r="R1022" s="25">
        <f t="shared" ref="R1022:R1276" si="362">N1022-Q1022</f>
        <v>624246566635</v>
      </c>
      <c r="S1022" s="26">
        <f t="shared" ref="S1022:S1276" si="363">J1022/I1022</f>
        <v>0.59191658558513371</v>
      </c>
      <c r="T1022" s="27">
        <f t="shared" ref="T1022:T1276" si="364">H1022/L1022</f>
        <v>1.687617683138503</v>
      </c>
      <c r="U1022" s="26">
        <f t="shared" ref="U1022:U1276" si="365">LN(I1022)</f>
        <v>29.025569842984343</v>
      </c>
      <c r="V1022" s="26">
        <f t="shared" ref="V1022:V1276" si="366">N1022/K1022</f>
        <v>0.53934874074503569</v>
      </c>
      <c r="W1022" s="143"/>
      <c r="X1022" s="143"/>
      <c r="Y1022" s="143"/>
      <c r="Z1022" s="30">
        <f t="shared" ref="Z1022:Z1024" si="367">X1022*Y1022</f>
        <v>0</v>
      </c>
      <c r="AA1022" s="31">
        <f t="shared" ref="AA1022:AA1276" si="368">G1022-F1022</f>
        <v>15</v>
      </c>
      <c r="AB1022" s="32">
        <v>1.84E-2</v>
      </c>
      <c r="AC1022" s="32">
        <v>2.58E-2</v>
      </c>
      <c r="AD1022" s="33">
        <f t="shared" si="289"/>
        <v>0.39604143011335197</v>
      </c>
      <c r="AE1022" s="34">
        <f t="shared" si="290"/>
        <v>0.105808220801461</v>
      </c>
      <c r="AF1022" s="33">
        <f t="shared" si="291"/>
        <v>0.15477875375711314</v>
      </c>
      <c r="AG1022" s="33">
        <f t="shared" si="292"/>
        <v>0</v>
      </c>
      <c r="AH1022" s="35">
        <f t="shared" si="293"/>
        <v>0.42814259184208003</v>
      </c>
      <c r="AI1022" s="36">
        <f t="shared" si="260"/>
        <v>1.5622937044986211</v>
      </c>
      <c r="AJ1022" s="23"/>
      <c r="AK1022" s="101">
        <v>261</v>
      </c>
      <c r="AL1022" s="44"/>
      <c r="AM1022" s="44"/>
      <c r="AN1022" s="44"/>
      <c r="AO1022" s="44"/>
      <c r="AP1022" s="44"/>
      <c r="AQ1022" s="44"/>
      <c r="AR1022" s="44"/>
    </row>
    <row r="1023" spans="1:44" ht="16.8">
      <c r="A1023" s="64" t="s">
        <v>2204</v>
      </c>
      <c r="B1023" s="62"/>
      <c r="C1023" s="62" t="s">
        <v>2202</v>
      </c>
      <c r="D1023" s="19" t="s">
        <v>2203</v>
      </c>
      <c r="E1023" s="20" t="s">
        <v>414</v>
      </c>
      <c r="F1023" s="21">
        <v>2006</v>
      </c>
      <c r="G1023" s="40">
        <v>2022</v>
      </c>
      <c r="H1023" s="23">
        <v>4021871097003</v>
      </c>
      <c r="I1023" s="23">
        <v>4254126021147</v>
      </c>
      <c r="J1023" s="23">
        <v>2171214670579</v>
      </c>
      <c r="K1023" s="23">
        <f t="shared" ref="K1023:K1024" si="369">SUM(J1022:J1023)/2</f>
        <v>2279252739831.5</v>
      </c>
      <c r="L1023" s="23">
        <v>2035738594325</v>
      </c>
      <c r="M1023" s="23">
        <v>2082911350568</v>
      </c>
      <c r="N1023" s="23">
        <v>822848392907</v>
      </c>
      <c r="O1023" s="25">
        <f t="shared" si="361"/>
        <v>1986132502678</v>
      </c>
      <c r="P1023" s="23">
        <v>-114982242119</v>
      </c>
      <c r="Q1023" s="23">
        <v>859919166038</v>
      </c>
      <c r="R1023" s="25">
        <f t="shared" si="362"/>
        <v>-37070773131</v>
      </c>
      <c r="S1023" s="26">
        <f t="shared" si="363"/>
        <v>0.510378550091376</v>
      </c>
      <c r="T1023" s="27">
        <f t="shared" si="364"/>
        <v>1.9756323863067262</v>
      </c>
      <c r="U1023" s="26">
        <f t="shared" si="365"/>
        <v>29.078910456420839</v>
      </c>
      <c r="V1023" s="26">
        <f t="shared" si="366"/>
        <v>0.36101673962135122</v>
      </c>
      <c r="W1023" s="143"/>
      <c r="X1023" s="143"/>
      <c r="Y1023" s="143"/>
      <c r="Z1023" s="30">
        <f t="shared" si="367"/>
        <v>0</v>
      </c>
      <c r="AA1023" s="31">
        <f t="shared" si="368"/>
        <v>16</v>
      </c>
      <c r="AB1023" s="32">
        <v>3.15E-2</v>
      </c>
      <c r="AC1023" s="32">
        <v>8.0199999999999994E-2</v>
      </c>
      <c r="AD1023" s="33">
        <f t="shared" si="289"/>
        <v>0.46687204206106186</v>
      </c>
      <c r="AE1023" s="34">
        <f t="shared" si="290"/>
        <v>-2.702840525819647E-2</v>
      </c>
      <c r="AF1023" s="33">
        <f t="shared" si="291"/>
        <v>-8.7140749819642049E-3</v>
      </c>
      <c r="AG1023" s="33">
        <f t="shared" si="292"/>
        <v>0</v>
      </c>
      <c r="AH1023" s="35">
        <f t="shared" si="293"/>
        <v>0.37898067107642108</v>
      </c>
      <c r="AI1023" s="36">
        <f t="shared" si="260"/>
        <v>0.87263090674773836</v>
      </c>
      <c r="AJ1023" s="23"/>
      <c r="AK1023" s="101">
        <v>262</v>
      </c>
      <c r="AL1023" s="44"/>
      <c r="AM1023" s="44"/>
      <c r="AN1023" s="44"/>
      <c r="AO1023" s="44"/>
      <c r="AP1023" s="44"/>
      <c r="AQ1023" s="44"/>
      <c r="AR1023" s="44"/>
    </row>
    <row r="1024" spans="1:44" ht="16.8">
      <c r="A1024" s="64" t="s">
        <v>2205</v>
      </c>
      <c r="B1024" s="62"/>
      <c r="C1024" s="62" t="s">
        <v>2202</v>
      </c>
      <c r="D1024" s="19" t="s">
        <v>2203</v>
      </c>
      <c r="E1024" s="20" t="s">
        <v>414</v>
      </c>
      <c r="F1024" s="21">
        <v>2006</v>
      </c>
      <c r="G1024" s="40">
        <v>2023</v>
      </c>
      <c r="H1024" s="23">
        <v>4945103690685</v>
      </c>
      <c r="I1024" s="23">
        <v>5318029418282</v>
      </c>
      <c r="J1024" s="23">
        <v>2899769562332</v>
      </c>
      <c r="K1024" s="23">
        <f t="shared" si="369"/>
        <v>2535492116455.5</v>
      </c>
      <c r="L1024" s="23">
        <v>2841673329267</v>
      </c>
      <c r="M1024" s="23">
        <v>2418259855950</v>
      </c>
      <c r="N1024" s="23">
        <v>772187965798</v>
      </c>
      <c r="O1024" s="25">
        <f t="shared" si="361"/>
        <v>2103430361418</v>
      </c>
      <c r="P1024" s="23">
        <v>330163780574</v>
      </c>
      <c r="Q1024" s="23">
        <v>251398652734</v>
      </c>
      <c r="R1024" s="25">
        <f t="shared" si="362"/>
        <v>520789313064</v>
      </c>
      <c r="S1024" s="26">
        <f t="shared" si="363"/>
        <v>0.54527144065118327</v>
      </c>
      <c r="T1024" s="27">
        <f t="shared" si="364"/>
        <v>1.7402083623597131</v>
      </c>
      <c r="U1024" s="26">
        <f t="shared" si="365"/>
        <v>29.302123940565966</v>
      </c>
      <c r="V1024" s="26">
        <f t="shared" si="366"/>
        <v>0.30455151518178758</v>
      </c>
      <c r="W1024" s="143"/>
      <c r="X1024" s="143"/>
      <c r="Y1024" s="143"/>
      <c r="Z1024" s="30">
        <f t="shared" si="367"/>
        <v>0</v>
      </c>
      <c r="AA1024" s="31">
        <f t="shared" si="368"/>
        <v>17</v>
      </c>
      <c r="AB1024" s="32">
        <v>3.2500000000000001E-2</v>
      </c>
      <c r="AC1024" s="32">
        <v>5.0500000000000003E-2</v>
      </c>
      <c r="AD1024" s="33">
        <f t="shared" si="289"/>
        <v>0.39552815450530499</v>
      </c>
      <c r="AE1024" s="34">
        <f t="shared" si="290"/>
        <v>6.2083857497851162E-2</v>
      </c>
      <c r="AF1024" s="33">
        <f t="shared" si="291"/>
        <v>9.7929001910681795E-2</v>
      </c>
      <c r="AG1024" s="33">
        <f t="shared" si="292"/>
        <v>0</v>
      </c>
      <c r="AH1024" s="35">
        <f t="shared" si="293"/>
        <v>0.26629287231258647</v>
      </c>
      <c r="AI1024" s="36">
        <f t="shared" si="260"/>
        <v>1.1510097645211941</v>
      </c>
      <c r="AJ1024" s="23"/>
      <c r="AK1024" s="101">
        <v>263</v>
      </c>
      <c r="AL1024" s="44"/>
      <c r="AM1024" s="44"/>
      <c r="AN1024" s="44"/>
      <c r="AO1024" s="44"/>
      <c r="AP1024" s="44"/>
      <c r="AQ1024" s="44"/>
      <c r="AR1024" s="44"/>
    </row>
    <row r="1025" spans="1:44" ht="16.8">
      <c r="A1025" s="64" t="s">
        <v>2206</v>
      </c>
      <c r="B1025" s="62">
        <v>398</v>
      </c>
      <c r="C1025" s="62" t="s">
        <v>2207</v>
      </c>
      <c r="D1025" s="19" t="s">
        <v>2208</v>
      </c>
      <c r="E1025" s="20" t="s">
        <v>39</v>
      </c>
      <c r="F1025" s="21">
        <v>2003</v>
      </c>
      <c r="G1025" s="40">
        <v>2021</v>
      </c>
      <c r="H1025" s="23">
        <v>34743127562</v>
      </c>
      <c r="I1025" s="23">
        <v>37680468783</v>
      </c>
      <c r="J1025" s="23">
        <v>2625334804</v>
      </c>
      <c r="K1025" s="23">
        <f>(J1025+1732104988)/2</f>
        <v>2178719896</v>
      </c>
      <c r="L1025" s="23">
        <v>2625334804</v>
      </c>
      <c r="M1025" s="23">
        <v>35055133979</v>
      </c>
      <c r="N1025" s="23">
        <v>14508803001</v>
      </c>
      <c r="O1025" s="25">
        <f t="shared" si="361"/>
        <v>32117792758</v>
      </c>
      <c r="P1025" s="23">
        <v>1154792227</v>
      </c>
      <c r="Q1025" s="23">
        <v>3217204356</v>
      </c>
      <c r="R1025" s="25">
        <f t="shared" si="362"/>
        <v>11291598645</v>
      </c>
      <c r="S1025" s="26">
        <f t="shared" si="363"/>
        <v>6.967362373114773E-2</v>
      </c>
      <c r="T1025" s="27">
        <f t="shared" si="364"/>
        <v>13.233789271015965</v>
      </c>
      <c r="U1025" s="26">
        <f t="shared" si="365"/>
        <v>24.352407727739603</v>
      </c>
      <c r="V1025" s="26">
        <f t="shared" si="366"/>
        <v>6.6593246004854958</v>
      </c>
      <c r="W1025" s="143"/>
      <c r="X1025" s="143"/>
      <c r="Y1025" s="143"/>
      <c r="Z1025" s="30">
        <f>W1025*Y1025</f>
        <v>0</v>
      </c>
      <c r="AA1025" s="31">
        <f t="shared" si="368"/>
        <v>18</v>
      </c>
      <c r="AB1025" s="32">
        <v>1.84E-2</v>
      </c>
      <c r="AC1025" s="32">
        <v>2.58E-2</v>
      </c>
      <c r="AD1025" s="33">
        <f t="shared" si="289"/>
        <v>0.8523724304749184</v>
      </c>
      <c r="AE1025" s="34">
        <f t="shared" si="290"/>
        <v>3.0646970812661399E-2</v>
      </c>
      <c r="AF1025" s="33">
        <f t="shared" si="291"/>
        <v>0.29966714878277578</v>
      </c>
      <c r="AG1025" s="33">
        <f t="shared" si="292"/>
        <v>0</v>
      </c>
      <c r="AH1025" s="35">
        <f t="shared" si="293"/>
        <v>5.5264581793126606</v>
      </c>
      <c r="AI1025" s="36">
        <f t="shared" si="260"/>
        <v>7.5811124460034485</v>
      </c>
      <c r="AJ1025" s="23" t="s">
        <v>2106</v>
      </c>
      <c r="AK1025" s="101">
        <v>264</v>
      </c>
      <c r="AL1025" s="44"/>
      <c r="AM1025" s="44"/>
      <c r="AN1025" s="44"/>
      <c r="AO1025" s="44"/>
      <c r="AP1025" s="44"/>
      <c r="AQ1025" s="44"/>
      <c r="AR1025" s="44"/>
    </row>
    <row r="1026" spans="1:44" ht="16.8">
      <c r="A1026" s="64" t="s">
        <v>2209</v>
      </c>
      <c r="B1026" s="62"/>
      <c r="C1026" s="62" t="s">
        <v>2207</v>
      </c>
      <c r="D1026" s="19" t="s">
        <v>2210</v>
      </c>
      <c r="E1026" s="20" t="s">
        <v>39</v>
      </c>
      <c r="F1026" s="21">
        <v>2003</v>
      </c>
      <c r="G1026" s="40">
        <v>2022</v>
      </c>
      <c r="H1026" s="23">
        <v>28915268151</v>
      </c>
      <c r="I1026" s="23">
        <v>31474666823</v>
      </c>
      <c r="J1026" s="23">
        <v>1361737642</v>
      </c>
      <c r="K1026" s="23">
        <f t="shared" ref="K1026:K1027" si="370">SUM(J1025:J1026)/2</f>
        <v>1993536223</v>
      </c>
      <c r="L1026" s="23">
        <v>1361737642</v>
      </c>
      <c r="M1026" s="23">
        <v>30112929181</v>
      </c>
      <c r="N1026" s="23">
        <v>4195669163</v>
      </c>
      <c r="O1026" s="25">
        <f t="shared" si="361"/>
        <v>27553530509</v>
      </c>
      <c r="P1026" s="23">
        <v>-4942204798</v>
      </c>
      <c r="Q1026" s="23">
        <v>3450745847</v>
      </c>
      <c r="R1026" s="25">
        <f t="shared" si="362"/>
        <v>744923316</v>
      </c>
      <c r="S1026" s="26">
        <f t="shared" si="363"/>
        <v>4.3264560977176576E-2</v>
      </c>
      <c r="T1026" s="27">
        <f t="shared" si="364"/>
        <v>21.234096245244281</v>
      </c>
      <c r="U1026" s="26">
        <f t="shared" si="365"/>
        <v>24.172448831372026</v>
      </c>
      <c r="V1026" s="26">
        <f t="shared" si="366"/>
        <v>2.1046365321047893</v>
      </c>
      <c r="W1026" s="143"/>
      <c r="X1026" s="143"/>
      <c r="Y1026" s="143"/>
      <c r="Z1026" s="30"/>
      <c r="AA1026" s="31">
        <f t="shared" si="368"/>
        <v>19</v>
      </c>
      <c r="AB1026" s="32">
        <v>3.15E-2</v>
      </c>
      <c r="AC1026" s="32">
        <v>8.0199999999999994E-2</v>
      </c>
      <c r="AD1026" s="33">
        <f t="shared" si="289"/>
        <v>0.8754192908204308</v>
      </c>
      <c r="AE1026" s="34">
        <f t="shared" si="290"/>
        <v>-0.15702167161269207</v>
      </c>
      <c r="AF1026" s="33">
        <f t="shared" si="291"/>
        <v>2.3667393214648738E-2</v>
      </c>
      <c r="AG1026" s="33">
        <f t="shared" si="292"/>
        <v>0</v>
      </c>
      <c r="AH1026" s="35">
        <f t="shared" si="293"/>
        <v>3.0811141835205289</v>
      </c>
      <c r="AI1026" s="36">
        <f t="shared" si="260"/>
        <v>3.9898893898556178</v>
      </c>
      <c r="AJ1026" s="23" t="s">
        <v>2106</v>
      </c>
      <c r="AK1026" s="101">
        <v>265</v>
      </c>
      <c r="AL1026" s="44"/>
      <c r="AM1026" s="44"/>
      <c r="AN1026" s="44"/>
      <c r="AO1026" s="44"/>
      <c r="AP1026" s="44"/>
      <c r="AQ1026" s="44"/>
      <c r="AR1026" s="44"/>
    </row>
    <row r="1027" spans="1:44" ht="16.8">
      <c r="A1027" s="64" t="s">
        <v>2211</v>
      </c>
      <c r="B1027" s="62"/>
      <c r="C1027" s="62" t="s">
        <v>2207</v>
      </c>
      <c r="D1027" s="19" t="s">
        <v>2212</v>
      </c>
      <c r="E1027" s="20" t="s">
        <v>39</v>
      </c>
      <c r="F1027" s="21">
        <v>2003</v>
      </c>
      <c r="G1027" s="40">
        <v>2023</v>
      </c>
      <c r="H1027" s="23">
        <v>25999250445</v>
      </c>
      <c r="I1027" s="23">
        <v>28111379581</v>
      </c>
      <c r="J1027" s="23">
        <v>1663542437</v>
      </c>
      <c r="K1027" s="23">
        <f t="shared" si="370"/>
        <v>1512640039.5</v>
      </c>
      <c r="L1027" s="23">
        <v>1663542437</v>
      </c>
      <c r="M1027" s="23">
        <v>26447837144</v>
      </c>
      <c r="N1027" s="23">
        <v>5953961849</v>
      </c>
      <c r="O1027" s="25">
        <f t="shared" si="361"/>
        <v>24335708008</v>
      </c>
      <c r="P1027" s="23">
        <v>-3665092037</v>
      </c>
      <c r="Q1027" s="23">
        <v>4019886377</v>
      </c>
      <c r="R1027" s="25">
        <f t="shared" si="362"/>
        <v>1934075472</v>
      </c>
      <c r="S1027" s="26">
        <f t="shared" si="363"/>
        <v>5.9176833787423222E-2</v>
      </c>
      <c r="T1027" s="27">
        <f t="shared" si="364"/>
        <v>15.628847131718828</v>
      </c>
      <c r="U1027" s="26">
        <f t="shared" si="365"/>
        <v>24.059440298604361</v>
      </c>
      <c r="V1027" s="26">
        <f t="shared" si="366"/>
        <v>3.9361392621658156</v>
      </c>
      <c r="W1027" s="143"/>
      <c r="X1027" s="143"/>
      <c r="Y1027" s="143"/>
      <c r="Z1027" s="30"/>
      <c r="AA1027" s="31">
        <f t="shared" si="368"/>
        <v>20</v>
      </c>
      <c r="AB1027" s="32">
        <v>3.2500000000000001E-2</v>
      </c>
      <c r="AC1027" s="32">
        <v>5.0500000000000003E-2</v>
      </c>
      <c r="AD1027" s="33">
        <f t="shared" si="289"/>
        <v>0.865688855215348</v>
      </c>
      <c r="AE1027" s="34">
        <f t="shared" si="290"/>
        <v>-0.13037752296856939</v>
      </c>
      <c r="AF1027" s="33">
        <f t="shared" si="291"/>
        <v>6.8800446681286626E-2</v>
      </c>
      <c r="AG1027" s="33">
        <f t="shared" si="292"/>
        <v>0</v>
      </c>
      <c r="AH1027" s="35">
        <f t="shared" si="293"/>
        <v>3.5790862418498075</v>
      </c>
      <c r="AI1027" s="36">
        <f t="shared" si="260"/>
        <v>4.6624258100004736</v>
      </c>
      <c r="AJ1027" s="23" t="s">
        <v>2106</v>
      </c>
      <c r="AK1027" s="101">
        <v>266</v>
      </c>
      <c r="AL1027" s="44"/>
      <c r="AM1027" s="44"/>
      <c r="AN1027" s="44"/>
      <c r="AO1027" s="44"/>
      <c r="AP1027" s="44"/>
      <c r="AQ1027" s="44"/>
      <c r="AR1027" s="44"/>
    </row>
    <row r="1028" spans="1:44" ht="16.8">
      <c r="A1028" s="45" t="s">
        <v>2213</v>
      </c>
      <c r="B1028" s="45">
        <v>399</v>
      </c>
      <c r="C1028" s="45" t="s">
        <v>2214</v>
      </c>
      <c r="D1028" s="46" t="s">
        <v>2215</v>
      </c>
      <c r="E1028" s="47" t="s">
        <v>178</v>
      </c>
      <c r="F1028" s="48">
        <v>1990</v>
      </c>
      <c r="G1028" s="48">
        <v>2021</v>
      </c>
      <c r="H1028" s="49"/>
      <c r="I1028" s="49"/>
      <c r="J1028" s="49"/>
      <c r="K1028" s="49"/>
      <c r="L1028" s="49"/>
      <c r="M1028" s="49"/>
      <c r="N1028" s="49"/>
      <c r="O1028" s="49">
        <f t="shared" si="361"/>
        <v>0</v>
      </c>
      <c r="P1028" s="49"/>
      <c r="Q1028" s="49"/>
      <c r="R1028" s="49">
        <f t="shared" si="362"/>
        <v>0</v>
      </c>
      <c r="S1028" s="50" t="e">
        <f t="shared" si="363"/>
        <v>#DIV/0!</v>
      </c>
      <c r="T1028" s="51" t="e">
        <f t="shared" si="364"/>
        <v>#DIV/0!</v>
      </c>
      <c r="U1028" s="50" t="e">
        <f t="shared" si="365"/>
        <v>#NUM!</v>
      </c>
      <c r="V1028" s="50" t="e">
        <f t="shared" si="366"/>
        <v>#DIV/0!</v>
      </c>
      <c r="W1028" s="52"/>
      <c r="X1028" s="52"/>
      <c r="Y1028" s="52"/>
      <c r="Z1028" s="55">
        <f t="shared" ref="Z1028:Z1029" si="371">W1028*Y1028</f>
        <v>0</v>
      </c>
      <c r="AA1028" s="48">
        <f t="shared" si="368"/>
        <v>31</v>
      </c>
      <c r="AB1028" s="49"/>
      <c r="AC1028" s="49"/>
      <c r="AD1028" s="50" t="e">
        <f t="shared" si="289"/>
        <v>#DIV/0!</v>
      </c>
      <c r="AE1028" s="56" t="e">
        <f t="shared" si="290"/>
        <v>#DIV/0!</v>
      </c>
      <c r="AF1028" s="50" t="e">
        <f t="shared" si="291"/>
        <v>#DIV/0!</v>
      </c>
      <c r="AG1028" s="50" t="e">
        <f t="shared" si="292"/>
        <v>#DIV/0!</v>
      </c>
      <c r="AH1028" s="57" t="e">
        <f t="shared" si="293"/>
        <v>#DIV/0!</v>
      </c>
      <c r="AI1028" s="58" t="e">
        <f t="shared" si="260"/>
        <v>#DIV/0!</v>
      </c>
      <c r="AJ1028" s="49"/>
      <c r="AK1028" s="49"/>
      <c r="AL1028" s="59"/>
      <c r="AM1028" s="59"/>
      <c r="AN1028" s="59"/>
      <c r="AO1028" s="59"/>
      <c r="AP1028" s="59"/>
      <c r="AQ1028" s="59"/>
      <c r="AR1028" s="59"/>
    </row>
    <row r="1029" spans="1:44" ht="16.8">
      <c r="A1029" s="64" t="s">
        <v>2216</v>
      </c>
      <c r="B1029" s="62">
        <v>400</v>
      </c>
      <c r="C1029" s="62" t="s">
        <v>2217</v>
      </c>
      <c r="D1029" s="76" t="s">
        <v>2218</v>
      </c>
      <c r="E1029" s="20" t="s">
        <v>39</v>
      </c>
      <c r="F1029" s="21">
        <v>1988</v>
      </c>
      <c r="G1029" s="40">
        <v>2021</v>
      </c>
      <c r="H1029" s="23">
        <v>86477981046</v>
      </c>
      <c r="I1029" s="23">
        <v>97580529522</v>
      </c>
      <c r="J1029" s="23">
        <v>78592714601</v>
      </c>
      <c r="K1029" s="23">
        <f>(J1029+34460667805)/2</f>
        <v>56526691203</v>
      </c>
      <c r="L1029" s="23">
        <v>75875545853</v>
      </c>
      <c r="M1029" s="23">
        <v>18987814921</v>
      </c>
      <c r="N1029" s="23">
        <v>126773418930</v>
      </c>
      <c r="O1029" s="25">
        <f t="shared" si="361"/>
        <v>10602435193</v>
      </c>
      <c r="P1029" s="23">
        <v>1278026781</v>
      </c>
      <c r="Q1029" s="23">
        <v>4449573584</v>
      </c>
      <c r="R1029" s="25">
        <f t="shared" si="362"/>
        <v>122323845346</v>
      </c>
      <c r="S1029" s="26">
        <f t="shared" si="363"/>
        <v>0.80541389748536762</v>
      </c>
      <c r="T1029" s="27">
        <f t="shared" si="364"/>
        <v>1.1397345491726805</v>
      </c>
      <c r="U1029" s="26">
        <f t="shared" si="365"/>
        <v>25.303943817861704</v>
      </c>
      <c r="V1029" s="26">
        <f t="shared" si="366"/>
        <v>2.2427178423504088</v>
      </c>
      <c r="W1029" s="143"/>
      <c r="X1029" s="143"/>
      <c r="Y1029" s="143"/>
      <c r="Z1029" s="30">
        <f t="shared" si="371"/>
        <v>0</v>
      </c>
      <c r="AA1029" s="31">
        <f t="shared" si="368"/>
        <v>33</v>
      </c>
      <c r="AB1029" s="32">
        <v>1.84E-2</v>
      </c>
      <c r="AC1029" s="32">
        <v>2.58E-2</v>
      </c>
      <c r="AD1029" s="33">
        <f t="shared" si="289"/>
        <v>0.10865318363136808</v>
      </c>
      <c r="AE1029" s="34">
        <f t="shared" si="290"/>
        <v>1.3097149475007334E-2</v>
      </c>
      <c r="AF1029" s="33">
        <f t="shared" si="291"/>
        <v>1.2535681651370985</v>
      </c>
      <c r="AG1029" s="33">
        <f t="shared" si="292"/>
        <v>0</v>
      </c>
      <c r="AH1029" s="35">
        <f t="shared" si="293"/>
        <v>1.6130428828372212</v>
      </c>
      <c r="AI1029" s="36">
        <f t="shared" si="260"/>
        <v>5.8985376574122981</v>
      </c>
      <c r="AJ1029" s="23" t="s">
        <v>2106</v>
      </c>
      <c r="AK1029" s="101">
        <v>267</v>
      </c>
      <c r="AL1029" s="44"/>
      <c r="AM1029" s="44"/>
      <c r="AN1029" s="44"/>
      <c r="AO1029" s="44"/>
      <c r="AP1029" s="44"/>
      <c r="AQ1029" s="44"/>
      <c r="AR1029" s="44"/>
    </row>
    <row r="1030" spans="1:44" ht="16.8">
      <c r="A1030" s="64" t="s">
        <v>2219</v>
      </c>
      <c r="B1030" s="62"/>
      <c r="C1030" s="62" t="s">
        <v>2217</v>
      </c>
      <c r="D1030" s="76" t="s">
        <v>2218</v>
      </c>
      <c r="E1030" s="20" t="s">
        <v>39</v>
      </c>
      <c r="F1030" s="21">
        <v>1988</v>
      </c>
      <c r="G1030" s="40">
        <v>2022</v>
      </c>
      <c r="H1030" s="23">
        <v>86812749951</v>
      </c>
      <c r="I1030" s="23">
        <v>97206990705</v>
      </c>
      <c r="J1030" s="23">
        <v>78412688358</v>
      </c>
      <c r="K1030" s="23">
        <f t="shared" ref="K1030:K1031" si="372">SUM(J1029:J1030)/2</f>
        <v>78502701479.5</v>
      </c>
      <c r="L1030" s="23">
        <v>77335521448</v>
      </c>
      <c r="M1030" s="23">
        <v>18794302347</v>
      </c>
      <c r="N1030" s="23">
        <v>117097792603</v>
      </c>
      <c r="O1030" s="25">
        <f t="shared" si="361"/>
        <v>9477228503</v>
      </c>
      <c r="P1030" s="23">
        <v>29046297</v>
      </c>
      <c r="Q1030" s="23">
        <v>4554920542</v>
      </c>
      <c r="R1030" s="25">
        <f t="shared" si="362"/>
        <v>112542872061</v>
      </c>
      <c r="S1030" s="26">
        <f t="shared" si="363"/>
        <v>0.80665688536705948</v>
      </c>
      <c r="T1030" s="27">
        <f t="shared" si="364"/>
        <v>1.1225469011594167</v>
      </c>
      <c r="U1030" s="26">
        <f t="shared" si="365"/>
        <v>25.30010846665996</v>
      </c>
      <c r="V1030" s="26">
        <f t="shared" si="366"/>
        <v>1.4916402925774297</v>
      </c>
      <c r="W1030" s="143"/>
      <c r="X1030" s="143"/>
      <c r="Y1030" s="143"/>
      <c r="Z1030" s="30"/>
      <c r="AA1030" s="31">
        <f t="shared" si="368"/>
        <v>34</v>
      </c>
      <c r="AB1030" s="32">
        <v>3.15E-2</v>
      </c>
      <c r="AC1030" s="32">
        <v>8.0199999999999994E-2</v>
      </c>
      <c r="AD1030" s="33">
        <f t="shared" si="289"/>
        <v>9.7495338907889098E-2</v>
      </c>
      <c r="AE1030" s="34">
        <f t="shared" si="290"/>
        <v>2.9880872547683916E-4</v>
      </c>
      <c r="AF1030" s="33">
        <f t="shared" si="291"/>
        <v>1.1577652105550797</v>
      </c>
      <c r="AG1030" s="33">
        <f t="shared" si="292"/>
        <v>0</v>
      </c>
      <c r="AH1030" s="35">
        <f t="shared" si="293"/>
        <v>1.4933526072767684</v>
      </c>
      <c r="AI1030" s="36">
        <f t="shared" si="260"/>
        <v>5.4313905410136654</v>
      </c>
      <c r="AJ1030" s="23" t="s">
        <v>2106</v>
      </c>
      <c r="AK1030" s="101">
        <v>268</v>
      </c>
      <c r="AL1030" s="44"/>
      <c r="AM1030" s="44"/>
      <c r="AN1030" s="44"/>
      <c r="AO1030" s="44"/>
      <c r="AP1030" s="44"/>
      <c r="AQ1030" s="44"/>
      <c r="AR1030" s="44"/>
    </row>
    <row r="1031" spans="1:44" ht="16.8">
      <c r="A1031" s="64" t="s">
        <v>2220</v>
      </c>
      <c r="B1031" s="62"/>
      <c r="C1031" s="62" t="s">
        <v>2217</v>
      </c>
      <c r="D1031" s="76" t="s">
        <v>2218</v>
      </c>
      <c r="E1031" s="20" t="s">
        <v>39</v>
      </c>
      <c r="F1031" s="21">
        <v>1988</v>
      </c>
      <c r="G1031" s="40">
        <v>2023</v>
      </c>
      <c r="H1031" s="23">
        <v>115585120293</v>
      </c>
      <c r="I1031" s="23">
        <v>124617045295</v>
      </c>
      <c r="J1031" s="23">
        <v>105594507297</v>
      </c>
      <c r="K1031" s="23">
        <f t="shared" si="372"/>
        <v>92003597827.5</v>
      </c>
      <c r="L1031" s="23">
        <v>105184823891</v>
      </c>
      <c r="M1031" s="23">
        <v>19022537998</v>
      </c>
      <c r="N1031" s="23">
        <v>89293503677</v>
      </c>
      <c r="O1031" s="25">
        <f t="shared" si="361"/>
        <v>10400296402</v>
      </c>
      <c r="P1031" s="23">
        <v>228235651</v>
      </c>
      <c r="Q1031" s="23">
        <v>4603100435</v>
      </c>
      <c r="R1031" s="25">
        <f t="shared" si="362"/>
        <v>84690403242</v>
      </c>
      <c r="S1031" s="26">
        <f t="shared" si="363"/>
        <v>0.84735203797386749</v>
      </c>
      <c r="T1031" s="27">
        <f t="shared" si="364"/>
        <v>1.0988763969674706</v>
      </c>
      <c r="U1031" s="26">
        <f t="shared" si="365"/>
        <v>25.548511234063866</v>
      </c>
      <c r="V1031" s="26">
        <f t="shared" si="366"/>
        <v>0.97054360683175422</v>
      </c>
      <c r="W1031" s="143"/>
      <c r="X1031" s="143"/>
      <c r="Y1031" s="143"/>
      <c r="Z1031" s="30"/>
      <c r="AA1031" s="31">
        <f t="shared" si="368"/>
        <v>35</v>
      </c>
      <c r="AB1031" s="32">
        <v>3.2500000000000001E-2</v>
      </c>
      <c r="AC1031" s="32">
        <v>5.0500000000000003E-2</v>
      </c>
      <c r="AD1031" s="33">
        <f t="shared" si="289"/>
        <v>8.3458056459129432E-2</v>
      </c>
      <c r="AE1031" s="34">
        <f t="shared" si="290"/>
        <v>1.8314962488454819E-3</v>
      </c>
      <c r="AF1031" s="33">
        <f t="shared" si="291"/>
        <v>0.67960529028365613</v>
      </c>
      <c r="AG1031" s="33">
        <f t="shared" si="292"/>
        <v>0</v>
      </c>
      <c r="AH1031" s="35">
        <f t="shared" si="293"/>
        <v>0.84562640579257553</v>
      </c>
      <c r="AI1031" s="36">
        <f t="shared" si="260"/>
        <v>3.1910376262279794</v>
      </c>
      <c r="AJ1031" s="23" t="s">
        <v>2106</v>
      </c>
      <c r="AK1031" s="101">
        <v>269</v>
      </c>
      <c r="AL1031" s="44"/>
      <c r="AM1031" s="44"/>
      <c r="AN1031" s="44"/>
      <c r="AO1031" s="44"/>
      <c r="AP1031" s="44"/>
      <c r="AQ1031" s="44"/>
      <c r="AR1031" s="44"/>
    </row>
    <row r="1032" spans="1:44" ht="16.8">
      <c r="A1032" s="64" t="s">
        <v>2221</v>
      </c>
      <c r="B1032" s="62">
        <v>401</v>
      </c>
      <c r="C1032" s="62" t="s">
        <v>2222</v>
      </c>
      <c r="D1032" s="19" t="s">
        <v>2223</v>
      </c>
      <c r="E1032" s="20" t="s">
        <v>39</v>
      </c>
      <c r="F1032" s="21">
        <v>1989</v>
      </c>
      <c r="G1032" s="40">
        <v>2021</v>
      </c>
      <c r="H1032" s="23">
        <v>43021133034</v>
      </c>
      <c r="I1032" s="23">
        <v>52584465490</v>
      </c>
      <c r="J1032" s="23">
        <v>37017873232</v>
      </c>
      <c r="K1032" s="23">
        <f>(J1032+45032793653)/2</f>
        <v>41025333442.5</v>
      </c>
      <c r="L1032" s="23">
        <v>35486334585</v>
      </c>
      <c r="M1032" s="23">
        <v>15566592258</v>
      </c>
      <c r="N1032" s="23">
        <v>75586027129</v>
      </c>
      <c r="O1032" s="25">
        <f t="shared" si="361"/>
        <v>7534798449</v>
      </c>
      <c r="P1032" s="23">
        <v>898478463</v>
      </c>
      <c r="Q1032" s="23">
        <v>4356433443</v>
      </c>
      <c r="R1032" s="25">
        <f t="shared" si="362"/>
        <v>71229593686</v>
      </c>
      <c r="S1032" s="26">
        <f t="shared" si="363"/>
        <v>0.70396975393882621</v>
      </c>
      <c r="T1032" s="27">
        <f t="shared" si="364"/>
        <v>1.2123295780507279</v>
      </c>
      <c r="U1032" s="26">
        <f t="shared" si="365"/>
        <v>24.685686580180995</v>
      </c>
      <c r="V1032" s="26">
        <f t="shared" si="366"/>
        <v>1.8424232245409859</v>
      </c>
      <c r="W1032" s="143"/>
      <c r="X1032" s="143"/>
      <c r="Y1032" s="143"/>
      <c r="Z1032" s="30">
        <f>W1032*Y1032</f>
        <v>0</v>
      </c>
      <c r="AA1032" s="31">
        <f t="shared" si="368"/>
        <v>32</v>
      </c>
      <c r="AB1032" s="32">
        <v>1.84E-2</v>
      </c>
      <c r="AC1032" s="32">
        <v>2.58E-2</v>
      </c>
      <c r="AD1032" s="33">
        <f t="shared" si="289"/>
        <v>0.14328943688574516</v>
      </c>
      <c r="AE1032" s="34">
        <f t="shared" si="290"/>
        <v>1.7086385772445738E-2</v>
      </c>
      <c r="AF1032" s="33">
        <f t="shared" si="291"/>
        <v>1.3545748354054441</v>
      </c>
      <c r="AG1032" s="33">
        <f t="shared" si="292"/>
        <v>0</v>
      </c>
      <c r="AH1032" s="35">
        <f t="shared" si="293"/>
        <v>2.0418792472296832</v>
      </c>
      <c r="AI1032" s="36">
        <f t="shared" si="260"/>
        <v>6.7078444684119667</v>
      </c>
      <c r="AJ1032" s="23" t="s">
        <v>2106</v>
      </c>
      <c r="AK1032" s="101">
        <v>270</v>
      </c>
      <c r="AL1032" s="44"/>
      <c r="AM1032" s="44"/>
      <c r="AN1032" s="44"/>
      <c r="AO1032" s="44"/>
      <c r="AP1032" s="44"/>
      <c r="AQ1032" s="44"/>
      <c r="AR1032" s="44"/>
    </row>
    <row r="1033" spans="1:44" ht="16.8">
      <c r="A1033" s="64" t="s">
        <v>2224</v>
      </c>
      <c r="B1033" s="62"/>
      <c r="C1033" s="62" t="s">
        <v>2222</v>
      </c>
      <c r="D1033" s="19" t="s">
        <v>2223</v>
      </c>
      <c r="E1033" s="20" t="s">
        <v>39</v>
      </c>
      <c r="F1033" s="21">
        <v>1989</v>
      </c>
      <c r="G1033" s="40">
        <v>2022</v>
      </c>
      <c r="H1033" s="23">
        <v>53567391018</v>
      </c>
      <c r="I1033" s="23">
        <v>63342352881</v>
      </c>
      <c r="J1033" s="23">
        <v>49986468709</v>
      </c>
      <c r="K1033" s="23">
        <f t="shared" ref="K1033:K1034" si="373">SUM(J1032:J1033)/2</f>
        <v>43502170970.5</v>
      </c>
      <c r="L1033" s="23">
        <v>48255711560</v>
      </c>
      <c r="M1033" s="23">
        <v>13355884172</v>
      </c>
      <c r="N1033" s="23">
        <v>82261438578</v>
      </c>
      <c r="O1033" s="25">
        <f t="shared" si="361"/>
        <v>5311679458</v>
      </c>
      <c r="P1033" s="23">
        <v>-1903413807</v>
      </c>
      <c r="Q1033" s="23">
        <v>4119465477</v>
      </c>
      <c r="R1033" s="25">
        <f t="shared" si="362"/>
        <v>78141973101</v>
      </c>
      <c r="S1033" s="26">
        <f t="shared" si="363"/>
        <v>0.78914764664502701</v>
      </c>
      <c r="T1033" s="27">
        <f t="shared" si="364"/>
        <v>1.1100735910068507</v>
      </c>
      <c r="U1033" s="26">
        <f t="shared" si="365"/>
        <v>24.871820024209416</v>
      </c>
      <c r="V1033" s="26">
        <f t="shared" si="366"/>
        <v>1.8909731800232157</v>
      </c>
      <c r="W1033" s="143"/>
      <c r="X1033" s="143"/>
      <c r="Y1033" s="143"/>
      <c r="Z1033" s="30"/>
      <c r="AA1033" s="31">
        <f t="shared" si="368"/>
        <v>33</v>
      </c>
      <c r="AB1033" s="32">
        <v>3.15E-2</v>
      </c>
      <c r="AC1033" s="32">
        <v>8.0199999999999994E-2</v>
      </c>
      <c r="AD1033" s="33">
        <f t="shared" si="289"/>
        <v>8.3856680663235622E-2</v>
      </c>
      <c r="AE1033" s="34">
        <f t="shared" si="290"/>
        <v>-3.004962273150644E-2</v>
      </c>
      <c r="AF1033" s="33">
        <f t="shared" si="291"/>
        <v>1.2336449397104612</v>
      </c>
      <c r="AG1033" s="33">
        <f t="shared" si="292"/>
        <v>0</v>
      </c>
      <c r="AH1033" s="35">
        <f t="shared" si="293"/>
        <v>1.6456741334718237</v>
      </c>
      <c r="AI1033" s="36">
        <f t="shared" ref="AI1033:AI1287" si="374">1.2*AD1033+1.4*AE1033+3.3*AF1033+0.6*AG1033+1*AH1033</f>
        <v>5.7752609794881193</v>
      </c>
      <c r="AJ1033" s="23" t="s">
        <v>2106</v>
      </c>
      <c r="AK1033" s="101">
        <v>271</v>
      </c>
      <c r="AL1033" s="44"/>
      <c r="AM1033" s="44"/>
      <c r="AN1033" s="44"/>
      <c r="AO1033" s="44"/>
      <c r="AP1033" s="44"/>
      <c r="AQ1033" s="44"/>
      <c r="AR1033" s="44"/>
    </row>
    <row r="1034" spans="1:44" ht="16.8">
      <c r="A1034" s="64" t="s">
        <v>2225</v>
      </c>
      <c r="B1034" s="62"/>
      <c r="C1034" s="62" t="s">
        <v>2222</v>
      </c>
      <c r="D1034" s="19" t="s">
        <v>2223</v>
      </c>
      <c r="E1034" s="20" t="s">
        <v>39</v>
      </c>
      <c r="F1034" s="21">
        <v>1989</v>
      </c>
      <c r="G1034" s="40">
        <v>2023</v>
      </c>
      <c r="H1034" s="23">
        <v>70184231982</v>
      </c>
      <c r="I1034" s="23">
        <v>80365214013</v>
      </c>
      <c r="J1034" s="23">
        <v>70928729021</v>
      </c>
      <c r="K1034" s="23">
        <f t="shared" si="373"/>
        <v>60457598865</v>
      </c>
      <c r="L1034" s="23">
        <v>69437613794</v>
      </c>
      <c r="M1034" s="23">
        <v>9436484992</v>
      </c>
      <c r="N1034" s="23">
        <v>91882045416</v>
      </c>
      <c r="O1034" s="25">
        <f t="shared" si="361"/>
        <v>746618188</v>
      </c>
      <c r="P1034" s="23">
        <v>-3919399180</v>
      </c>
      <c r="Q1034" s="23">
        <v>6460326381</v>
      </c>
      <c r="R1034" s="25">
        <f t="shared" si="362"/>
        <v>85421719035</v>
      </c>
      <c r="S1034" s="26">
        <f t="shared" si="363"/>
        <v>0.88257998055634446</v>
      </c>
      <c r="T1034" s="27">
        <f t="shared" si="364"/>
        <v>1.0107523595239749</v>
      </c>
      <c r="U1034" s="26">
        <f t="shared" si="365"/>
        <v>25.109847257976476</v>
      </c>
      <c r="V1034" s="26">
        <f t="shared" si="366"/>
        <v>1.5197766226404368</v>
      </c>
      <c r="W1034" s="143"/>
      <c r="X1034" s="143"/>
      <c r="Y1034" s="143"/>
      <c r="Z1034" s="30"/>
      <c r="AA1034" s="31">
        <f t="shared" si="368"/>
        <v>34</v>
      </c>
      <c r="AB1034" s="32">
        <v>3.2500000000000001E-2</v>
      </c>
      <c r="AC1034" s="32">
        <v>5.0500000000000003E-2</v>
      </c>
      <c r="AD1034" s="33">
        <f t="shared" si="289"/>
        <v>9.2903154327346887E-3</v>
      </c>
      <c r="AE1034" s="34">
        <f t="shared" si="290"/>
        <v>-4.8769846856451998E-2</v>
      </c>
      <c r="AF1034" s="33">
        <f t="shared" si="291"/>
        <v>1.0629190761712157</v>
      </c>
      <c r="AG1034" s="33">
        <f t="shared" si="292"/>
        <v>0</v>
      </c>
      <c r="AH1034" s="35">
        <f t="shared" si="293"/>
        <v>1.2954136734749091</v>
      </c>
      <c r="AI1034" s="36">
        <f t="shared" si="374"/>
        <v>4.7459172177601694</v>
      </c>
      <c r="AJ1034" s="23" t="s">
        <v>2106</v>
      </c>
      <c r="AK1034" s="101">
        <v>272</v>
      </c>
      <c r="AL1034" s="44"/>
      <c r="AM1034" s="44"/>
      <c r="AN1034" s="44"/>
      <c r="AO1034" s="44"/>
      <c r="AP1034" s="44"/>
      <c r="AQ1034" s="44"/>
      <c r="AR1034" s="44"/>
    </row>
    <row r="1035" spans="1:44" ht="16.8">
      <c r="A1035" s="64" t="s">
        <v>2226</v>
      </c>
      <c r="B1035" s="62">
        <v>402</v>
      </c>
      <c r="C1035" s="62" t="s">
        <v>2227</v>
      </c>
      <c r="D1035" s="19" t="s">
        <v>2228</v>
      </c>
      <c r="E1035" s="20" t="s">
        <v>39</v>
      </c>
      <c r="F1035" s="21">
        <v>1987</v>
      </c>
      <c r="G1035" s="40">
        <v>2021</v>
      </c>
      <c r="H1035" s="23">
        <v>239363297117</v>
      </c>
      <c r="I1035" s="23">
        <v>249267763527</v>
      </c>
      <c r="J1035" s="23">
        <v>229564659460</v>
      </c>
      <c r="K1035" s="23">
        <f>(J1035+53311232378)/2</f>
        <v>141437945919</v>
      </c>
      <c r="L1035" s="23">
        <v>227847946518</v>
      </c>
      <c r="M1035" s="23">
        <v>19703104067</v>
      </c>
      <c r="N1035" s="23">
        <v>337489089253</v>
      </c>
      <c r="O1035" s="25">
        <f t="shared" si="361"/>
        <v>11515350599</v>
      </c>
      <c r="P1035" s="23">
        <v>1007769955</v>
      </c>
      <c r="Q1035" s="23">
        <f>116726658+4289177658</f>
        <v>4405904316</v>
      </c>
      <c r="R1035" s="25">
        <f t="shared" si="362"/>
        <v>333083184937</v>
      </c>
      <c r="S1035" s="26">
        <f t="shared" si="363"/>
        <v>0.92095606833305654</v>
      </c>
      <c r="T1035" s="27">
        <f t="shared" si="364"/>
        <v>1.0505396286206612</v>
      </c>
      <c r="U1035" s="26">
        <f t="shared" si="365"/>
        <v>26.241793511160658</v>
      </c>
      <c r="V1035" s="26">
        <f t="shared" si="366"/>
        <v>2.3861283268796649</v>
      </c>
      <c r="W1035" s="143"/>
      <c r="X1035" s="143"/>
      <c r="Y1035" s="143"/>
      <c r="Z1035" s="30">
        <f>W1035*Y1035</f>
        <v>0</v>
      </c>
      <c r="AA1035" s="31">
        <f t="shared" si="368"/>
        <v>34</v>
      </c>
      <c r="AB1035" s="32">
        <v>1.84E-2</v>
      </c>
      <c r="AC1035" s="32">
        <v>2.58E-2</v>
      </c>
      <c r="AD1035" s="33">
        <f t="shared" si="289"/>
        <v>4.6196710060154605E-2</v>
      </c>
      <c r="AE1035" s="34">
        <f t="shared" si="290"/>
        <v>4.042921317785407E-3</v>
      </c>
      <c r="AF1035" s="33">
        <f t="shared" si="291"/>
        <v>1.3362465335431204</v>
      </c>
      <c r="AG1035" s="33">
        <f t="shared" si="292"/>
        <v>0</v>
      </c>
      <c r="AH1035" s="35">
        <f t="shared" si="293"/>
        <v>1.470126499640094</v>
      </c>
      <c r="AI1035" s="36">
        <f t="shared" si="374"/>
        <v>5.9408362022494767</v>
      </c>
      <c r="AJ1035" s="23"/>
      <c r="AK1035" s="101">
        <v>273</v>
      </c>
      <c r="AL1035" s="44"/>
      <c r="AM1035" s="44"/>
      <c r="AN1035" s="44"/>
      <c r="AO1035" s="44"/>
      <c r="AP1035" s="44"/>
      <c r="AQ1035" s="44"/>
      <c r="AR1035" s="44"/>
    </row>
    <row r="1036" spans="1:44" ht="16.8">
      <c r="A1036" s="64" t="s">
        <v>2229</v>
      </c>
      <c r="B1036" s="62"/>
      <c r="C1036" s="62" t="s">
        <v>2227</v>
      </c>
      <c r="D1036" s="19" t="s">
        <v>2228</v>
      </c>
      <c r="E1036" s="20" t="s">
        <v>39</v>
      </c>
      <c r="F1036" s="21">
        <v>1987</v>
      </c>
      <c r="G1036" s="40">
        <v>2022</v>
      </c>
      <c r="H1036" s="23">
        <v>193295083203</v>
      </c>
      <c r="I1036" s="23">
        <v>200988234088</v>
      </c>
      <c r="J1036" s="23">
        <v>188069290246</v>
      </c>
      <c r="K1036" s="23">
        <f>SUM(J1035:J1036)/2</f>
        <v>208816974853</v>
      </c>
      <c r="L1036" s="23">
        <v>187049664147</v>
      </c>
      <c r="M1036" s="23">
        <v>12918943842</v>
      </c>
      <c r="N1036" s="23">
        <v>239413230753</v>
      </c>
      <c r="O1036" s="25">
        <f t="shared" si="361"/>
        <v>6245419056</v>
      </c>
      <c r="P1036" s="23">
        <v>-6784160225</v>
      </c>
      <c r="Q1036" s="23">
        <f>16199401+4426925331</f>
        <v>4443124732</v>
      </c>
      <c r="R1036" s="25">
        <f t="shared" si="362"/>
        <v>234970106021</v>
      </c>
      <c r="S1036" s="26">
        <f t="shared" si="363"/>
        <v>0.93572288497075096</v>
      </c>
      <c r="T1036" s="27">
        <f t="shared" si="364"/>
        <v>1.0333890952677243</v>
      </c>
      <c r="U1036" s="26">
        <f t="shared" si="365"/>
        <v>26.026512206416516</v>
      </c>
      <c r="V1036" s="26">
        <f t="shared" si="366"/>
        <v>1.1465218808075288</v>
      </c>
      <c r="W1036" s="143"/>
      <c r="X1036" s="143"/>
      <c r="Y1036" s="143"/>
      <c r="Z1036" s="30"/>
      <c r="AA1036" s="31">
        <f t="shared" si="368"/>
        <v>35</v>
      </c>
      <c r="AB1036" s="32">
        <v>3.15E-2</v>
      </c>
      <c r="AC1036" s="32">
        <v>8.0199999999999994E-2</v>
      </c>
      <c r="AD1036" s="33">
        <f t="shared" si="289"/>
        <v>3.1073555545871046E-2</v>
      </c>
      <c r="AE1036" s="34">
        <f t="shared" si="290"/>
        <v>-3.3754016775079713E-2</v>
      </c>
      <c r="AF1036" s="33">
        <f t="shared" si="291"/>
        <v>1.169073936527655</v>
      </c>
      <c r="AG1036" s="33">
        <f t="shared" si="292"/>
        <v>0</v>
      </c>
      <c r="AH1036" s="35">
        <f t="shared" si="293"/>
        <v>1.2730054462365474</v>
      </c>
      <c r="AI1036" s="36">
        <f t="shared" si="374"/>
        <v>5.1209820799477423</v>
      </c>
      <c r="AJ1036" s="23"/>
      <c r="AK1036" s="101">
        <v>274</v>
      </c>
      <c r="AL1036" s="44"/>
      <c r="AM1036" s="44"/>
      <c r="AN1036" s="44"/>
      <c r="AO1036" s="44"/>
      <c r="AP1036" s="44"/>
      <c r="AQ1036" s="44"/>
      <c r="AR1036" s="44"/>
    </row>
    <row r="1037" spans="1:44" ht="16.8">
      <c r="A1037" s="64" t="s">
        <v>2230</v>
      </c>
      <c r="B1037" s="62"/>
      <c r="C1037" s="62" t="s">
        <v>2227</v>
      </c>
      <c r="D1037" s="19" t="s">
        <v>2228</v>
      </c>
      <c r="E1037" s="20" t="s">
        <v>39</v>
      </c>
      <c r="F1037" s="21">
        <v>1987</v>
      </c>
      <c r="G1037" s="40">
        <v>2023</v>
      </c>
      <c r="H1037" s="23">
        <v>100101594855</v>
      </c>
      <c r="I1037" s="23">
        <v>105860695581</v>
      </c>
      <c r="J1037" s="23">
        <v>104783906394</v>
      </c>
      <c r="K1037" s="23">
        <f>(J1037+188069290246)/2</f>
        <v>146426598320</v>
      </c>
      <c r="L1037" s="23">
        <v>104315368264</v>
      </c>
      <c r="M1037" s="23">
        <v>1076789187</v>
      </c>
      <c r="N1037" s="23">
        <v>33926987969</v>
      </c>
      <c r="O1037" s="25">
        <f t="shared" si="361"/>
        <v>-4213773409</v>
      </c>
      <c r="P1037" s="23">
        <v>-11842154655</v>
      </c>
      <c r="Q1037" s="23">
        <v>2725006830</v>
      </c>
      <c r="R1037" s="25">
        <f t="shared" si="362"/>
        <v>31201981139</v>
      </c>
      <c r="S1037" s="26">
        <f t="shared" si="363"/>
        <v>0.98982824379633816</v>
      </c>
      <c r="T1037" s="27">
        <f t="shared" si="364"/>
        <v>0.9596054399354097</v>
      </c>
      <c r="U1037" s="26">
        <f t="shared" si="365"/>
        <v>25.385389874117937</v>
      </c>
      <c r="V1037" s="26">
        <f t="shared" si="366"/>
        <v>0.23169962532938257</v>
      </c>
      <c r="W1037" s="143"/>
      <c r="X1037" s="143"/>
      <c r="Y1037" s="143"/>
      <c r="Z1037" s="30"/>
      <c r="AA1037" s="31">
        <f t="shared" si="368"/>
        <v>36</v>
      </c>
      <c r="AB1037" s="32">
        <v>3.2500000000000001E-2</v>
      </c>
      <c r="AC1037" s="32">
        <v>5.0500000000000003E-2</v>
      </c>
      <c r="AD1037" s="33">
        <f t="shared" si="289"/>
        <v>-3.9804890624167533E-2</v>
      </c>
      <c r="AE1037" s="34">
        <f t="shared" si="290"/>
        <v>-0.11186545289548847</v>
      </c>
      <c r="AF1037" s="33">
        <f t="shared" si="291"/>
        <v>0.29474566521363543</v>
      </c>
      <c r="AG1037" s="33">
        <f t="shared" si="292"/>
        <v>0</v>
      </c>
      <c r="AH1037" s="35">
        <f t="shared" si="293"/>
        <v>0.32378052256832718</v>
      </c>
      <c r="AI1037" s="36">
        <f t="shared" si="374"/>
        <v>1.0920637149706391</v>
      </c>
      <c r="AJ1037" s="23" t="s">
        <v>2106</v>
      </c>
      <c r="AK1037" s="101">
        <v>275</v>
      </c>
      <c r="AL1037" s="44"/>
      <c r="AM1037" s="44"/>
      <c r="AN1037" s="44"/>
      <c r="AO1037" s="44"/>
      <c r="AP1037" s="44"/>
      <c r="AQ1037" s="44"/>
      <c r="AR1037" s="44"/>
    </row>
    <row r="1038" spans="1:44" ht="16.8">
      <c r="A1038" s="64" t="s">
        <v>2231</v>
      </c>
      <c r="B1038" s="62">
        <v>403</v>
      </c>
      <c r="C1038" s="62" t="s">
        <v>2232</v>
      </c>
      <c r="D1038" s="19" t="s">
        <v>2233</v>
      </c>
      <c r="E1038" s="20" t="s">
        <v>178</v>
      </c>
      <c r="F1038" s="21">
        <v>1995</v>
      </c>
      <c r="G1038" s="40">
        <v>2021</v>
      </c>
      <c r="H1038" s="23">
        <v>29533602095</v>
      </c>
      <c r="I1038" s="23">
        <v>38140623709</v>
      </c>
      <c r="J1038" s="23">
        <v>6032637489</v>
      </c>
      <c r="K1038" s="23">
        <f>(J1038+14294326442)/2</f>
        <v>10163481965.5</v>
      </c>
      <c r="L1038" s="23">
        <v>5814587489</v>
      </c>
      <c r="M1038" s="23">
        <v>32107986220</v>
      </c>
      <c r="N1038" s="23">
        <v>1451023824</v>
      </c>
      <c r="O1038" s="25">
        <f t="shared" si="361"/>
        <v>23719014606</v>
      </c>
      <c r="P1038" s="23">
        <v>-7969839618</v>
      </c>
      <c r="Q1038" s="23">
        <v>8614901197</v>
      </c>
      <c r="R1038" s="25">
        <f t="shared" si="362"/>
        <v>-7163877373</v>
      </c>
      <c r="S1038" s="26">
        <f t="shared" si="363"/>
        <v>0.15816829674907715</v>
      </c>
      <c r="T1038" s="27">
        <f t="shared" si="364"/>
        <v>5.0792256803894489</v>
      </c>
      <c r="U1038" s="26">
        <f t="shared" si="365"/>
        <v>24.364545790131277</v>
      </c>
      <c r="V1038" s="26">
        <f t="shared" si="366"/>
        <v>0.14276837691310015</v>
      </c>
      <c r="W1038" s="143"/>
      <c r="X1038" s="143"/>
      <c r="Y1038" s="143"/>
      <c r="Z1038" s="30">
        <f>W1038*Y1038</f>
        <v>0</v>
      </c>
      <c r="AA1038" s="31">
        <f t="shared" si="368"/>
        <v>26</v>
      </c>
      <c r="AB1038" s="32">
        <v>1.84E-2</v>
      </c>
      <c r="AC1038" s="32">
        <v>2.58E-2</v>
      </c>
      <c r="AD1038" s="33">
        <f t="shared" si="289"/>
        <v>0.62188323890474428</v>
      </c>
      <c r="AE1038" s="34">
        <f t="shared" si="290"/>
        <v>-0.2089593415883067</v>
      </c>
      <c r="AF1038" s="33">
        <f t="shared" si="291"/>
        <v>-0.18782800794391696</v>
      </c>
      <c r="AG1038" s="33">
        <f t="shared" si="292"/>
        <v>0</v>
      </c>
      <c r="AH1038" s="35">
        <f t="shared" si="293"/>
        <v>0.24052892729686115</v>
      </c>
      <c r="AI1038" s="36">
        <f t="shared" si="374"/>
        <v>7.441330954399894E-2</v>
      </c>
      <c r="AJ1038" s="23" t="s">
        <v>2106</v>
      </c>
      <c r="AK1038" s="23"/>
      <c r="AL1038" s="44"/>
      <c r="AM1038" s="44"/>
      <c r="AN1038" s="44"/>
      <c r="AO1038" s="44"/>
      <c r="AP1038" s="44"/>
      <c r="AQ1038" s="44"/>
      <c r="AR1038" s="44"/>
    </row>
    <row r="1039" spans="1:44" ht="16.8">
      <c r="A1039" s="64" t="s">
        <v>2234</v>
      </c>
      <c r="B1039" s="62"/>
      <c r="C1039" s="62" t="s">
        <v>2232</v>
      </c>
      <c r="D1039" s="19" t="s">
        <v>2233</v>
      </c>
      <c r="E1039" s="20" t="s">
        <v>178</v>
      </c>
      <c r="F1039" s="21">
        <v>1995</v>
      </c>
      <c r="G1039" s="40">
        <v>2022</v>
      </c>
      <c r="H1039" s="23">
        <v>22628889042</v>
      </c>
      <c r="I1039" s="23">
        <v>31189895480</v>
      </c>
      <c r="J1039" s="23">
        <v>9443097927</v>
      </c>
      <c r="K1039" s="23">
        <f t="shared" ref="K1039:K1040" si="375">SUM(J1038:J1039)/2</f>
        <v>7737867708</v>
      </c>
      <c r="L1039" s="23">
        <v>9225047927</v>
      </c>
      <c r="M1039" s="23">
        <v>21746797553</v>
      </c>
      <c r="N1039" s="23">
        <v>3532851387</v>
      </c>
      <c r="O1039" s="25">
        <f t="shared" si="361"/>
        <v>13403841115</v>
      </c>
      <c r="P1039" s="23">
        <v>-10361188667</v>
      </c>
      <c r="Q1039" s="23">
        <v>10466972425</v>
      </c>
      <c r="R1039" s="25">
        <f t="shared" si="362"/>
        <v>-6934121038</v>
      </c>
      <c r="S1039" s="26">
        <f t="shared" si="363"/>
        <v>0.30276144827273399</v>
      </c>
      <c r="T1039" s="27">
        <f t="shared" si="364"/>
        <v>2.4529833580343197</v>
      </c>
      <c r="U1039" s="26">
        <f t="shared" si="365"/>
        <v>24.163360016486447</v>
      </c>
      <c r="V1039" s="26">
        <f t="shared" si="366"/>
        <v>0.45656652715159085</v>
      </c>
      <c r="W1039" s="143"/>
      <c r="X1039" s="143"/>
      <c r="Y1039" s="143"/>
      <c r="Z1039" s="30"/>
      <c r="AA1039" s="31">
        <f t="shared" si="368"/>
        <v>27</v>
      </c>
      <c r="AB1039" s="32">
        <v>3.15E-2</v>
      </c>
      <c r="AC1039" s="32">
        <v>8.0199999999999994E-2</v>
      </c>
      <c r="AD1039" s="33">
        <f t="shared" si="289"/>
        <v>0.42974947202355934</v>
      </c>
      <c r="AE1039" s="34">
        <f t="shared" si="290"/>
        <v>-0.33219696659913273</v>
      </c>
      <c r="AF1039" s="33">
        <f t="shared" si="291"/>
        <v>-0.22231947017733322</v>
      </c>
      <c r="AG1039" s="33">
        <f t="shared" si="292"/>
        <v>0</v>
      </c>
      <c r="AH1039" s="35">
        <f t="shared" si="293"/>
        <v>0.37411995664036918</v>
      </c>
      <c r="AI1039" s="36">
        <f t="shared" si="374"/>
        <v>-0.30891068175534503</v>
      </c>
      <c r="AJ1039" s="23" t="s">
        <v>2106</v>
      </c>
      <c r="AK1039" s="23"/>
      <c r="AL1039" s="44"/>
      <c r="AM1039" s="44"/>
      <c r="AN1039" s="44"/>
      <c r="AO1039" s="44"/>
      <c r="AP1039" s="44"/>
      <c r="AQ1039" s="44"/>
      <c r="AR1039" s="44"/>
    </row>
    <row r="1040" spans="1:44" ht="16.8">
      <c r="A1040" s="64" t="s">
        <v>2235</v>
      </c>
      <c r="B1040" s="62"/>
      <c r="C1040" s="62" t="s">
        <v>2232</v>
      </c>
      <c r="D1040" s="19" t="s">
        <v>2233</v>
      </c>
      <c r="E1040" s="20" t="s">
        <v>178</v>
      </c>
      <c r="F1040" s="21">
        <v>1995</v>
      </c>
      <c r="G1040" s="40">
        <v>2023</v>
      </c>
      <c r="H1040" s="23">
        <v>10924925552</v>
      </c>
      <c r="I1040" s="23">
        <v>18989416814</v>
      </c>
      <c r="J1040" s="23">
        <v>9643970598</v>
      </c>
      <c r="K1040" s="23">
        <f t="shared" si="375"/>
        <v>9543534262.5</v>
      </c>
      <c r="L1040" s="23">
        <v>9425920598</v>
      </c>
      <c r="M1040" s="23">
        <v>9345446216</v>
      </c>
      <c r="N1040" s="23">
        <v>2328383430</v>
      </c>
      <c r="O1040" s="25">
        <f t="shared" si="361"/>
        <v>1499004954</v>
      </c>
      <c r="P1040" s="23">
        <v>-12401351337</v>
      </c>
      <c r="Q1040" s="23">
        <v>-743666263</v>
      </c>
      <c r="R1040" s="25">
        <f t="shared" si="362"/>
        <v>3072049693</v>
      </c>
      <c r="S1040" s="26">
        <f t="shared" si="363"/>
        <v>0.50786028304407727</v>
      </c>
      <c r="T1040" s="27">
        <f t="shared" si="364"/>
        <v>1.1590300850102706</v>
      </c>
      <c r="U1040" s="26">
        <f t="shared" si="365"/>
        <v>23.667147651135796</v>
      </c>
      <c r="V1040" s="26">
        <f t="shared" si="366"/>
        <v>0.24397496419634193</v>
      </c>
      <c r="W1040" s="143"/>
      <c r="X1040" s="143"/>
      <c r="Y1040" s="143"/>
      <c r="Z1040" s="30"/>
      <c r="AA1040" s="31">
        <f t="shared" si="368"/>
        <v>28</v>
      </c>
      <c r="AB1040" s="32">
        <v>3.2500000000000001E-2</v>
      </c>
      <c r="AC1040" s="32">
        <v>5.0500000000000003E-2</v>
      </c>
      <c r="AD1040" s="33">
        <f t="shared" si="289"/>
        <v>7.8938967356535897E-2</v>
      </c>
      <c r="AE1040" s="34">
        <f t="shared" si="290"/>
        <v>-0.65306646636230925</v>
      </c>
      <c r="AF1040" s="33">
        <f t="shared" si="291"/>
        <v>0.16177693728514733</v>
      </c>
      <c r="AG1040" s="33">
        <f t="shared" si="292"/>
        <v>0</v>
      </c>
      <c r="AH1040" s="35">
        <f t="shared" si="293"/>
        <v>0.24143410707648447</v>
      </c>
      <c r="AI1040" s="36">
        <f t="shared" si="374"/>
        <v>-4.4268291961919198E-2</v>
      </c>
      <c r="AJ1040" s="23" t="s">
        <v>2106</v>
      </c>
      <c r="AK1040" s="23"/>
      <c r="AL1040" s="44"/>
      <c r="AM1040" s="44"/>
      <c r="AN1040" s="44"/>
      <c r="AO1040" s="44"/>
      <c r="AP1040" s="44"/>
      <c r="AQ1040" s="44"/>
      <c r="AR1040" s="44"/>
    </row>
    <row r="1041" spans="1:44" ht="16.8">
      <c r="A1041" s="64" t="s">
        <v>2236</v>
      </c>
      <c r="B1041" s="62">
        <v>404</v>
      </c>
      <c r="C1041" s="62" t="s">
        <v>2237</v>
      </c>
      <c r="D1041" s="19" t="s">
        <v>2238</v>
      </c>
      <c r="E1041" s="20" t="s">
        <v>178</v>
      </c>
      <c r="F1041" s="21">
        <v>1963</v>
      </c>
      <c r="G1041" s="40">
        <v>2021</v>
      </c>
      <c r="H1041" s="23">
        <v>112240494698</v>
      </c>
      <c r="I1041" s="23">
        <v>324104830951</v>
      </c>
      <c r="J1041" s="23">
        <v>143559227412</v>
      </c>
      <c r="K1041" s="23">
        <f>(J1041+154495019478)/2</f>
        <v>149027123445</v>
      </c>
      <c r="L1041" s="23">
        <v>127745022973</v>
      </c>
      <c r="M1041" s="23">
        <v>180545603539</v>
      </c>
      <c r="N1041" s="23">
        <v>139666705368</v>
      </c>
      <c r="O1041" s="25">
        <f t="shared" si="361"/>
        <v>-15504528275</v>
      </c>
      <c r="P1041" s="23">
        <v>10035609625</v>
      </c>
      <c r="Q1041" s="23">
        <v>13723332016</v>
      </c>
      <c r="R1041" s="25">
        <f t="shared" si="362"/>
        <v>125943373352</v>
      </c>
      <c r="S1041" s="26">
        <f t="shared" si="363"/>
        <v>0.44294072072533869</v>
      </c>
      <c r="T1041" s="27">
        <f t="shared" si="364"/>
        <v>0.8786291010470364</v>
      </c>
      <c r="U1041" s="26">
        <f t="shared" si="365"/>
        <v>26.504332852724879</v>
      </c>
      <c r="V1041" s="26">
        <f t="shared" si="366"/>
        <v>0.93718983591296012</v>
      </c>
      <c r="W1041" s="143"/>
      <c r="X1041" s="143"/>
      <c r="Y1041" s="143"/>
      <c r="Z1041" s="30">
        <f>W1041*Y1041</f>
        <v>0</v>
      </c>
      <c r="AA1041" s="31">
        <f t="shared" si="368"/>
        <v>58</v>
      </c>
      <c r="AB1041" s="32">
        <v>1.84E-2</v>
      </c>
      <c r="AC1041" s="32">
        <v>2.58E-2</v>
      </c>
      <c r="AD1041" s="33">
        <f t="shared" si="289"/>
        <v>-4.7838004233093527E-2</v>
      </c>
      <c r="AE1041" s="34">
        <f t="shared" si="290"/>
        <v>3.0964085279300387E-2</v>
      </c>
      <c r="AF1041" s="33">
        <f t="shared" si="291"/>
        <v>0.38858838661075323</v>
      </c>
      <c r="AG1041" s="33">
        <f t="shared" si="292"/>
        <v>0</v>
      </c>
      <c r="AH1041" s="35">
        <f t="shared" si="293"/>
        <v>0.97288560189287676</v>
      </c>
      <c r="AI1041" s="36">
        <f t="shared" si="374"/>
        <v>2.2411713920196705</v>
      </c>
      <c r="AJ1041" s="23" t="s">
        <v>2106</v>
      </c>
      <c r="AK1041" s="23"/>
      <c r="AL1041" s="44"/>
      <c r="AM1041" s="44"/>
      <c r="AN1041" s="44"/>
      <c r="AO1041" s="44"/>
      <c r="AP1041" s="44"/>
      <c r="AQ1041" s="44"/>
      <c r="AR1041" s="44"/>
    </row>
    <row r="1042" spans="1:44" ht="16.8">
      <c r="A1042" s="64" t="s">
        <v>2239</v>
      </c>
      <c r="B1042" s="62"/>
      <c r="C1042" s="62" t="s">
        <v>2237</v>
      </c>
      <c r="D1042" s="19" t="s">
        <v>2238</v>
      </c>
      <c r="E1042" s="20" t="s">
        <v>178</v>
      </c>
      <c r="F1042" s="21">
        <v>1963</v>
      </c>
      <c r="G1042" s="40">
        <v>2022</v>
      </c>
      <c r="H1042" s="23">
        <v>109493764531</v>
      </c>
      <c r="I1042" s="23">
        <v>342352636482</v>
      </c>
      <c r="J1042" s="23">
        <v>129714275782</v>
      </c>
      <c r="K1042" s="23">
        <f t="shared" ref="K1042:K1043" si="376">SUM(J1041:J1042)/2</f>
        <v>136636751597</v>
      </c>
      <c r="L1042" s="23">
        <v>113915019290</v>
      </c>
      <c r="M1042" s="23">
        <v>212638360700</v>
      </c>
      <c r="N1042" s="23">
        <v>111869090429</v>
      </c>
      <c r="O1042" s="25">
        <f t="shared" si="361"/>
        <v>-4421254759</v>
      </c>
      <c r="P1042" s="23">
        <v>32587442182</v>
      </c>
      <c r="Q1042" s="23">
        <v>13981322287</v>
      </c>
      <c r="R1042" s="25">
        <f t="shared" si="362"/>
        <v>97887768142</v>
      </c>
      <c r="S1042" s="26">
        <f t="shared" si="363"/>
        <v>0.37889083348367913</v>
      </c>
      <c r="T1042" s="27">
        <f t="shared" si="364"/>
        <v>0.96118813141097259</v>
      </c>
      <c r="U1042" s="26">
        <f t="shared" si="365"/>
        <v>26.559107143614252</v>
      </c>
      <c r="V1042" s="26">
        <f t="shared" si="366"/>
        <v>0.81873353341236932</v>
      </c>
      <c r="W1042" s="143"/>
      <c r="X1042" s="143"/>
      <c r="Y1042" s="143"/>
      <c r="Z1042" s="30"/>
      <c r="AA1042" s="31">
        <f t="shared" si="368"/>
        <v>59</v>
      </c>
      <c r="AB1042" s="32">
        <v>3.15E-2</v>
      </c>
      <c r="AC1042" s="32">
        <v>8.0199999999999994E-2</v>
      </c>
      <c r="AD1042" s="33">
        <f t="shared" si="289"/>
        <v>-1.2914329518337032E-2</v>
      </c>
      <c r="AE1042" s="34">
        <f t="shared" si="290"/>
        <v>9.5186771502235423E-2</v>
      </c>
      <c r="AF1042" s="33">
        <f t="shared" si="291"/>
        <v>0.28592672499294941</v>
      </c>
      <c r="AG1042" s="33">
        <f t="shared" si="292"/>
        <v>0</v>
      </c>
      <c r="AH1042" s="35">
        <f t="shared" si="293"/>
        <v>0.86242697463006368</v>
      </c>
      <c r="AI1042" s="36">
        <f t="shared" si="374"/>
        <v>1.9237494517879219</v>
      </c>
      <c r="AJ1042" s="23" t="s">
        <v>2106</v>
      </c>
      <c r="AK1042" s="23"/>
      <c r="AL1042" s="44"/>
      <c r="AM1042" s="44"/>
      <c r="AN1042" s="44"/>
      <c r="AO1042" s="44"/>
      <c r="AP1042" s="44"/>
      <c r="AQ1042" s="44"/>
      <c r="AR1042" s="44"/>
    </row>
    <row r="1043" spans="1:44" ht="16.8">
      <c r="A1043" s="64" t="s">
        <v>2240</v>
      </c>
      <c r="B1043" s="62"/>
      <c r="C1043" s="62" t="s">
        <v>2237</v>
      </c>
      <c r="D1043" s="19" t="s">
        <v>2238</v>
      </c>
      <c r="E1043" s="20" t="s">
        <v>178</v>
      </c>
      <c r="F1043" s="21">
        <v>1963</v>
      </c>
      <c r="G1043" s="40">
        <v>2023</v>
      </c>
      <c r="H1043" s="23">
        <v>112001369536</v>
      </c>
      <c r="I1043" s="23">
        <v>322846069815</v>
      </c>
      <c r="J1043" s="23">
        <v>35498320136</v>
      </c>
      <c r="K1043" s="23">
        <f t="shared" si="376"/>
        <v>82606297959</v>
      </c>
      <c r="L1043" s="23">
        <v>28701653367</v>
      </c>
      <c r="M1043" s="23">
        <v>287347749679</v>
      </c>
      <c r="N1043" s="23">
        <v>76234243139</v>
      </c>
      <c r="O1043" s="25">
        <f t="shared" si="361"/>
        <v>83299716169</v>
      </c>
      <c r="P1043" s="23">
        <v>75120607233</v>
      </c>
      <c r="Q1043" s="23">
        <v>14025304672</v>
      </c>
      <c r="R1043" s="25">
        <f t="shared" si="362"/>
        <v>62208938467</v>
      </c>
      <c r="S1043" s="26">
        <f t="shared" si="363"/>
        <v>0.10995432020077416</v>
      </c>
      <c r="T1043" s="27">
        <f t="shared" si="364"/>
        <v>3.9022619395429898</v>
      </c>
      <c r="U1043" s="26">
        <f t="shared" si="365"/>
        <v>26.500441482536086</v>
      </c>
      <c r="V1043" s="26">
        <f t="shared" si="366"/>
        <v>0.92286236064999982</v>
      </c>
      <c r="W1043" s="143"/>
      <c r="X1043" s="143"/>
      <c r="Y1043" s="143"/>
      <c r="Z1043" s="30"/>
      <c r="AA1043" s="31">
        <f t="shared" si="368"/>
        <v>60</v>
      </c>
      <c r="AB1043" s="32">
        <v>3.2500000000000001E-2</v>
      </c>
      <c r="AC1043" s="32">
        <v>5.0500000000000003E-2</v>
      </c>
      <c r="AD1043" s="33">
        <f t="shared" si="289"/>
        <v>0.25801681964638168</v>
      </c>
      <c r="AE1043" s="34">
        <f t="shared" si="290"/>
        <v>0.23268242749879608</v>
      </c>
      <c r="AF1043" s="33">
        <f t="shared" si="291"/>
        <v>0.19268916144045828</v>
      </c>
      <c r="AG1043" s="33">
        <f t="shared" si="292"/>
        <v>0</v>
      </c>
      <c r="AH1043" s="35">
        <f t="shared" si="293"/>
        <v>2.1475450907798979</v>
      </c>
      <c r="AI1043" s="36">
        <f t="shared" si="374"/>
        <v>3.4187949056073825</v>
      </c>
      <c r="AJ1043" s="23" t="s">
        <v>2106</v>
      </c>
      <c r="AK1043" s="23"/>
      <c r="AL1043" s="44"/>
      <c r="AM1043" s="44"/>
      <c r="AN1043" s="44"/>
      <c r="AO1043" s="44"/>
      <c r="AP1043" s="44"/>
      <c r="AQ1043" s="44"/>
      <c r="AR1043" s="44"/>
    </row>
    <row r="1044" spans="1:44" ht="16.8">
      <c r="A1044" s="64" t="s">
        <v>2241</v>
      </c>
      <c r="B1044" s="62">
        <v>405</v>
      </c>
      <c r="C1044" s="62" t="s">
        <v>2242</v>
      </c>
      <c r="D1044" s="19" t="s">
        <v>2243</v>
      </c>
      <c r="E1044" s="20" t="s">
        <v>414</v>
      </c>
      <c r="F1044" s="21">
        <v>1974</v>
      </c>
      <c r="G1044" s="40">
        <v>2021</v>
      </c>
      <c r="H1044" s="23">
        <v>7941499164011</v>
      </c>
      <c r="I1044" s="23">
        <v>21997051222819</v>
      </c>
      <c r="J1044" s="23">
        <v>13640207719539</v>
      </c>
      <c r="K1044" s="23">
        <f>(J1044+10879072014068)/2</f>
        <v>12259639866803.5</v>
      </c>
      <c r="L1044" s="23">
        <v>8551265830717</v>
      </c>
      <c r="M1044" s="23">
        <v>8256843503280</v>
      </c>
      <c r="N1044" s="23">
        <v>11211146418311</v>
      </c>
      <c r="O1044" s="25">
        <f t="shared" si="361"/>
        <v>-609766666706</v>
      </c>
      <c r="P1044" s="23">
        <v>1279076877188</v>
      </c>
      <c r="Q1044" s="23">
        <f>671344970849+749025621314</f>
        <v>1420370592163</v>
      </c>
      <c r="R1044" s="25">
        <f t="shared" si="362"/>
        <v>9790775826148</v>
      </c>
      <c r="S1044" s="26">
        <f t="shared" si="363"/>
        <v>0.62009255610538871</v>
      </c>
      <c r="T1044" s="27">
        <f t="shared" si="364"/>
        <v>0.92869281825906325</v>
      </c>
      <c r="U1044" s="26">
        <f t="shared" si="365"/>
        <v>30.721929524976918</v>
      </c>
      <c r="V1044" s="26">
        <f t="shared" si="366"/>
        <v>0.91447599930471057</v>
      </c>
      <c r="W1044" s="143"/>
      <c r="X1044" s="143"/>
      <c r="Y1044" s="143"/>
      <c r="Z1044" s="30">
        <f t="shared" ref="Z1044:Z1046" si="377">X1044*Y1044</f>
        <v>0</v>
      </c>
      <c r="AA1044" s="31">
        <f t="shared" si="368"/>
        <v>47</v>
      </c>
      <c r="AB1044" s="32">
        <v>1.84E-2</v>
      </c>
      <c r="AC1044" s="32">
        <v>2.58E-2</v>
      </c>
      <c r="AD1044" s="33">
        <f t="shared" si="289"/>
        <v>-2.7720382178928082E-2</v>
      </c>
      <c r="AE1044" s="34">
        <f t="shared" si="290"/>
        <v>5.8147651893501469E-2</v>
      </c>
      <c r="AF1044" s="33">
        <f t="shared" si="291"/>
        <v>0.44509492326823236</v>
      </c>
      <c r="AG1044" s="33">
        <f t="shared" si="292"/>
        <v>0</v>
      </c>
      <c r="AH1044" s="35">
        <f t="shared" si="293"/>
        <v>0.82191903883190309</v>
      </c>
      <c r="AI1044" s="36">
        <f t="shared" si="374"/>
        <v>2.3388745396532582</v>
      </c>
      <c r="AJ1044" s="23"/>
      <c r="AK1044" s="101">
        <v>276</v>
      </c>
      <c r="AL1044" s="44"/>
      <c r="AM1044" s="44"/>
      <c r="AN1044" s="44"/>
      <c r="AO1044" s="44"/>
      <c r="AP1044" s="44"/>
      <c r="AQ1044" s="44"/>
      <c r="AR1044" s="44"/>
    </row>
    <row r="1045" spans="1:44" ht="16.8">
      <c r="A1045" s="64" t="s">
        <v>2244</v>
      </c>
      <c r="B1045" s="62"/>
      <c r="C1045" s="62" t="s">
        <v>2242</v>
      </c>
      <c r="D1045" s="19" t="s">
        <v>2243</v>
      </c>
      <c r="E1045" s="20" t="s">
        <v>414</v>
      </c>
      <c r="F1045" s="21">
        <v>1974</v>
      </c>
      <c r="G1045" s="40">
        <v>2022</v>
      </c>
      <c r="H1045" s="23">
        <v>8107975056610</v>
      </c>
      <c r="I1045" s="23">
        <v>22958921409296</v>
      </c>
      <c r="J1045" s="23">
        <v>13873492333128</v>
      </c>
      <c r="K1045" s="23">
        <f t="shared" ref="K1045:K1046" si="378">SUM(J1044:J1045)/2</f>
        <v>13756850026333.5</v>
      </c>
      <c r="L1045" s="23">
        <v>8390770390534</v>
      </c>
      <c r="M1045" s="23">
        <v>9085429076168</v>
      </c>
      <c r="N1045" s="23">
        <v>14607943556288</v>
      </c>
      <c r="O1045" s="25">
        <f t="shared" si="361"/>
        <v>-282795333924</v>
      </c>
      <c r="P1045" s="23">
        <v>1913038534962</v>
      </c>
      <c r="Q1045" s="23">
        <f>936334436050+911832018223</f>
        <v>1848166454273</v>
      </c>
      <c r="R1045" s="25">
        <f t="shared" si="362"/>
        <v>12759777102015</v>
      </c>
      <c r="S1045" s="26">
        <f t="shared" si="363"/>
        <v>0.60427456873085783</v>
      </c>
      <c r="T1045" s="27">
        <f t="shared" si="364"/>
        <v>0.96629685705104817</v>
      </c>
      <c r="U1045" s="26">
        <f t="shared" si="365"/>
        <v>30.764727709329424</v>
      </c>
      <c r="V1045" s="26">
        <f t="shared" si="366"/>
        <v>1.0618668901910924</v>
      </c>
      <c r="W1045" s="143"/>
      <c r="X1045" s="143"/>
      <c r="Y1045" s="143"/>
      <c r="Z1045" s="30">
        <f t="shared" si="377"/>
        <v>0</v>
      </c>
      <c r="AA1045" s="31">
        <f t="shared" si="368"/>
        <v>48</v>
      </c>
      <c r="AB1045" s="32">
        <v>3.15E-2</v>
      </c>
      <c r="AC1045" s="32">
        <v>8.0199999999999994E-2</v>
      </c>
      <c r="AD1045" s="33">
        <f t="shared" si="289"/>
        <v>-1.2317448580554703E-2</v>
      </c>
      <c r="AE1045" s="34">
        <f t="shared" si="290"/>
        <v>8.3324408009315995E-2</v>
      </c>
      <c r="AF1045" s="33">
        <f t="shared" si="291"/>
        <v>0.55576552898728959</v>
      </c>
      <c r="AG1045" s="33">
        <f t="shared" si="292"/>
        <v>0</v>
      </c>
      <c r="AH1045" s="35">
        <f t="shared" si="293"/>
        <v>1.0529391738954028</v>
      </c>
      <c r="AI1045" s="36">
        <f t="shared" si="374"/>
        <v>2.9888386524698349</v>
      </c>
      <c r="AJ1045" s="23"/>
      <c r="AK1045" s="101">
        <v>277</v>
      </c>
      <c r="AL1045" s="44"/>
      <c r="AM1045" s="44"/>
      <c r="AN1045" s="44"/>
      <c r="AO1045" s="44"/>
      <c r="AP1045" s="44"/>
      <c r="AQ1045" s="44"/>
      <c r="AR1045" s="44"/>
    </row>
    <row r="1046" spans="1:44" ht="16.8">
      <c r="A1046" s="64" t="s">
        <v>2245</v>
      </c>
      <c r="B1046" s="62"/>
      <c r="C1046" s="62" t="s">
        <v>2242</v>
      </c>
      <c r="D1046" s="19" t="s">
        <v>2243</v>
      </c>
      <c r="E1046" s="20" t="s">
        <v>414</v>
      </c>
      <c r="F1046" s="21">
        <v>1974</v>
      </c>
      <c r="G1046" s="40">
        <v>2023</v>
      </c>
      <c r="H1046" s="23">
        <v>9104809897619</v>
      </c>
      <c r="I1046" s="23">
        <v>24100190091285</v>
      </c>
      <c r="J1046" s="23">
        <v>14575872174590</v>
      </c>
      <c r="K1046" s="23">
        <f t="shared" si="378"/>
        <v>14224682253859</v>
      </c>
      <c r="L1046" s="23">
        <v>8337206229771</v>
      </c>
      <c r="M1046" s="23">
        <v>9524317916695</v>
      </c>
      <c r="N1046" s="23">
        <v>13342467325243</v>
      </c>
      <c r="O1046" s="25">
        <f t="shared" si="361"/>
        <v>767603667848</v>
      </c>
      <c r="P1046" s="23">
        <v>1162239141678</v>
      </c>
      <c r="Q1046" s="23">
        <f>812377184581+756017100394</f>
        <v>1568394284975</v>
      </c>
      <c r="R1046" s="25">
        <f t="shared" si="362"/>
        <v>11774073040268</v>
      </c>
      <c r="S1046" s="26">
        <f t="shared" si="363"/>
        <v>0.60480320360049189</v>
      </c>
      <c r="T1046" s="27">
        <f t="shared" si="364"/>
        <v>1.0920696509949572</v>
      </c>
      <c r="U1046" s="26">
        <f t="shared" si="365"/>
        <v>30.813240843999239</v>
      </c>
      <c r="V1046" s="26">
        <f t="shared" si="366"/>
        <v>0.93797999049316794</v>
      </c>
      <c r="W1046" s="143"/>
      <c r="X1046" s="143"/>
      <c r="Y1046" s="143"/>
      <c r="Z1046" s="30">
        <f t="shared" si="377"/>
        <v>0</v>
      </c>
      <c r="AA1046" s="31">
        <f t="shared" si="368"/>
        <v>49</v>
      </c>
      <c r="AB1046" s="32">
        <v>3.2500000000000001E-2</v>
      </c>
      <c r="AC1046" s="32">
        <v>5.0500000000000003E-2</v>
      </c>
      <c r="AD1046" s="33">
        <f t="shared" si="289"/>
        <v>3.1850523375148702E-2</v>
      </c>
      <c r="AE1046" s="34">
        <f t="shared" si="290"/>
        <v>4.8225310143851667E-2</v>
      </c>
      <c r="AF1046" s="33">
        <f t="shared" si="291"/>
        <v>0.48854689509381449</v>
      </c>
      <c r="AG1046" s="33">
        <f t="shared" si="292"/>
        <v>0</v>
      </c>
      <c r="AH1046" s="35">
        <f t="shared" si="293"/>
        <v>0.91538037418459361</v>
      </c>
      <c r="AI1046" s="36">
        <f t="shared" si="374"/>
        <v>2.6333211902457521</v>
      </c>
      <c r="AJ1046" s="23"/>
      <c r="AK1046" s="101">
        <v>278</v>
      </c>
      <c r="AL1046" s="44"/>
      <c r="AM1046" s="44"/>
      <c r="AN1046" s="44"/>
      <c r="AO1046" s="44"/>
      <c r="AP1046" s="44"/>
      <c r="AQ1046" s="44"/>
      <c r="AR1046" s="44"/>
    </row>
    <row r="1047" spans="1:44" ht="16.8">
      <c r="A1047" s="64" t="s">
        <v>2246</v>
      </c>
      <c r="B1047" s="62">
        <v>406</v>
      </c>
      <c r="C1047" s="62" t="s">
        <v>2247</v>
      </c>
      <c r="D1047" s="19" t="s">
        <v>2248</v>
      </c>
      <c r="E1047" s="20" t="s">
        <v>39</v>
      </c>
      <c r="F1047" s="21">
        <v>1991</v>
      </c>
      <c r="G1047" s="40">
        <v>2021</v>
      </c>
      <c r="H1047" s="23">
        <v>4368557034839</v>
      </c>
      <c r="I1047" s="23">
        <v>4400033844215</v>
      </c>
      <c r="J1047" s="23">
        <v>4204527367062</v>
      </c>
      <c r="K1047" s="23">
        <f>(J1047+3489529981)/2</f>
        <v>2104008448521.5</v>
      </c>
      <c r="L1047" s="23">
        <v>4203439367062</v>
      </c>
      <c r="M1047" s="23">
        <v>195506477153</v>
      </c>
      <c r="N1047" s="23">
        <v>10319543883743</v>
      </c>
      <c r="O1047" s="25">
        <f t="shared" si="361"/>
        <v>165117667777</v>
      </c>
      <c r="P1047" s="23">
        <v>16965030799</v>
      </c>
      <c r="Q1047" s="23">
        <f>1654025579+10077601627</f>
        <v>11731627206</v>
      </c>
      <c r="R1047" s="25">
        <f t="shared" si="362"/>
        <v>10307812256537</v>
      </c>
      <c r="S1047" s="26">
        <f t="shared" si="363"/>
        <v>0.95556705151028676</v>
      </c>
      <c r="T1047" s="27">
        <f t="shared" si="364"/>
        <v>1.0392815628722651</v>
      </c>
      <c r="U1047" s="26">
        <f t="shared" si="365"/>
        <v>29.112633348690228</v>
      </c>
      <c r="V1047" s="26">
        <f t="shared" si="366"/>
        <v>4.9047064858482905</v>
      </c>
      <c r="W1047" s="143"/>
      <c r="X1047" s="143"/>
      <c r="Y1047" s="143"/>
      <c r="Z1047" s="30">
        <f>W1047*Y1047</f>
        <v>0</v>
      </c>
      <c r="AA1047" s="31">
        <f t="shared" si="368"/>
        <v>30</v>
      </c>
      <c r="AB1047" s="32">
        <v>1.84E-2</v>
      </c>
      <c r="AC1047" s="32">
        <v>2.58E-2</v>
      </c>
      <c r="AD1047" s="33">
        <f t="shared" si="289"/>
        <v>3.7526454028095839E-2</v>
      </c>
      <c r="AE1047" s="34">
        <f t="shared" si="290"/>
        <v>3.8556591607369086E-3</v>
      </c>
      <c r="AF1047" s="33">
        <f t="shared" si="291"/>
        <v>2.3426665842785108</v>
      </c>
      <c r="AG1047" s="33">
        <f t="shared" si="292"/>
        <v>0</v>
      </c>
      <c r="AH1047" s="35">
        <f t="shared" si="293"/>
        <v>2.4543885632867206</v>
      </c>
      <c r="AI1047" s="36">
        <f t="shared" si="374"/>
        <v>10.235617959064552</v>
      </c>
      <c r="AJ1047" s="23"/>
      <c r="AK1047" s="101">
        <v>279</v>
      </c>
      <c r="AL1047" s="44"/>
      <c r="AM1047" s="44"/>
      <c r="AN1047" s="44"/>
      <c r="AO1047" s="44"/>
      <c r="AP1047" s="44"/>
      <c r="AQ1047" s="44"/>
      <c r="AR1047" s="44"/>
    </row>
    <row r="1048" spans="1:44" ht="16.8">
      <c r="A1048" s="64" t="s">
        <v>2249</v>
      </c>
      <c r="B1048" s="62"/>
      <c r="C1048" s="62" t="s">
        <v>2247</v>
      </c>
      <c r="D1048" s="19" t="s">
        <v>2248</v>
      </c>
      <c r="E1048" s="20" t="s">
        <v>39</v>
      </c>
      <c r="F1048" s="21">
        <v>1991</v>
      </c>
      <c r="G1048" s="40">
        <v>2022</v>
      </c>
      <c r="H1048" s="23">
        <v>6635011064083</v>
      </c>
      <c r="I1048" s="23">
        <v>6668579571841</v>
      </c>
      <c r="J1048" s="23">
        <v>6457967040607</v>
      </c>
      <c r="K1048" s="23">
        <f t="shared" ref="K1048:K1049" si="379">SUM(J1047:J1048)/2</f>
        <v>5331247203834.5</v>
      </c>
      <c r="L1048" s="23">
        <v>6457967040607</v>
      </c>
      <c r="M1048" s="23">
        <v>210612531234</v>
      </c>
      <c r="N1048" s="23">
        <v>12925636305443</v>
      </c>
      <c r="O1048" s="25">
        <f t="shared" si="361"/>
        <v>177044023476</v>
      </c>
      <c r="P1048" s="23">
        <v>20584199481</v>
      </c>
      <c r="Q1048" s="23">
        <f>2310309115+6465743662</f>
        <v>8776052777</v>
      </c>
      <c r="R1048" s="25">
        <f t="shared" si="362"/>
        <v>12916860252666</v>
      </c>
      <c r="S1048" s="26">
        <f t="shared" si="363"/>
        <v>0.96841718255513654</v>
      </c>
      <c r="T1048" s="27">
        <f t="shared" si="364"/>
        <v>1.0274148230182605</v>
      </c>
      <c r="U1048" s="26">
        <f t="shared" si="365"/>
        <v>29.528427995432384</v>
      </c>
      <c r="V1048" s="26">
        <f t="shared" si="366"/>
        <v>2.4245051507171222</v>
      </c>
      <c r="W1048" s="143"/>
      <c r="X1048" s="143"/>
      <c r="Y1048" s="143"/>
      <c r="Z1048" s="30"/>
      <c r="AA1048" s="31">
        <f t="shared" si="368"/>
        <v>31</v>
      </c>
      <c r="AB1048" s="32">
        <v>3.15E-2</v>
      </c>
      <c r="AC1048" s="32">
        <v>8.0199999999999994E-2</v>
      </c>
      <c r="AD1048" s="33">
        <f t="shared" si="289"/>
        <v>2.6548985667591476E-2</v>
      </c>
      <c r="AE1048" s="34">
        <f t="shared" si="290"/>
        <v>3.0867442248000807E-3</v>
      </c>
      <c r="AF1048" s="33">
        <f t="shared" si="291"/>
        <v>1.9369732509767492</v>
      </c>
      <c r="AG1048" s="33">
        <f t="shared" si="292"/>
        <v>0</v>
      </c>
      <c r="AH1048" s="35">
        <f t="shared" si="293"/>
        <v>2.0015023650891983</v>
      </c>
      <c r="AI1048" s="36">
        <f t="shared" si="374"/>
        <v>8.4296943180283002</v>
      </c>
      <c r="AJ1048" s="23"/>
      <c r="AK1048" s="101">
        <v>280</v>
      </c>
      <c r="AL1048" s="44"/>
      <c r="AM1048" s="44"/>
      <c r="AN1048" s="44"/>
      <c r="AO1048" s="44"/>
      <c r="AP1048" s="44"/>
      <c r="AQ1048" s="44"/>
      <c r="AR1048" s="44"/>
    </row>
    <row r="1049" spans="1:44" ht="16.8">
      <c r="A1049" s="64" t="s">
        <v>2250</v>
      </c>
      <c r="B1049" s="62"/>
      <c r="C1049" s="62" t="s">
        <v>2247</v>
      </c>
      <c r="D1049" s="19" t="s">
        <v>2248</v>
      </c>
      <c r="E1049" s="20" t="s">
        <v>39</v>
      </c>
      <c r="F1049" s="21">
        <v>1991</v>
      </c>
      <c r="G1049" s="40">
        <v>2023</v>
      </c>
      <c r="H1049" s="23">
        <v>6385458885817</v>
      </c>
      <c r="I1049" s="23">
        <v>6417587602369</v>
      </c>
      <c r="J1049" s="23">
        <v>6195235452626</v>
      </c>
      <c r="K1049" s="23">
        <f t="shared" si="379"/>
        <v>6326601246616.5</v>
      </c>
      <c r="L1049" s="23">
        <v>6195235452626</v>
      </c>
      <c r="M1049" s="23">
        <v>222352149743</v>
      </c>
      <c r="N1049" s="23">
        <v>12504229385416</v>
      </c>
      <c r="O1049" s="25">
        <f t="shared" si="361"/>
        <v>190223433191</v>
      </c>
      <c r="P1049" s="23">
        <v>17217763909</v>
      </c>
      <c r="Q1049" s="23">
        <f>4553057935+5437395135</f>
        <v>9990453070</v>
      </c>
      <c r="R1049" s="25">
        <f t="shared" si="362"/>
        <v>12494238932346</v>
      </c>
      <c r="S1049" s="26">
        <f t="shared" si="363"/>
        <v>0.96535268958994491</v>
      </c>
      <c r="T1049" s="27">
        <f t="shared" si="364"/>
        <v>1.0307047947807002</v>
      </c>
      <c r="U1049" s="26">
        <f t="shared" si="365"/>
        <v>29.490063400142986</v>
      </c>
      <c r="V1049" s="26">
        <f t="shared" si="366"/>
        <v>1.976452900695034</v>
      </c>
      <c r="W1049" s="143"/>
      <c r="X1049" s="143"/>
      <c r="Y1049" s="143"/>
      <c r="Z1049" s="30"/>
      <c r="AA1049" s="31">
        <f t="shared" si="368"/>
        <v>32</v>
      </c>
      <c r="AB1049" s="32">
        <v>3.2500000000000001E-2</v>
      </c>
      <c r="AC1049" s="32">
        <v>5.0500000000000003E-2</v>
      </c>
      <c r="AD1049" s="33">
        <f t="shared" si="289"/>
        <v>2.9640956224856296E-2</v>
      </c>
      <c r="AE1049" s="34">
        <f t="shared" si="290"/>
        <v>2.6829028251432368E-3</v>
      </c>
      <c r="AF1049" s="33">
        <f t="shared" si="291"/>
        <v>1.9468746991056038</v>
      </c>
      <c r="AG1049" s="33">
        <f t="shared" si="292"/>
        <v>0</v>
      </c>
      <c r="AH1049" s="35">
        <f t="shared" si="293"/>
        <v>2.0183622529012646</v>
      </c>
      <c r="AI1049" s="36">
        <f t="shared" si="374"/>
        <v>8.4823739713747859</v>
      </c>
      <c r="AJ1049" s="23"/>
      <c r="AK1049" s="101">
        <v>281</v>
      </c>
      <c r="AL1049" s="44"/>
      <c r="AM1049" s="44"/>
      <c r="AN1049" s="44"/>
      <c r="AO1049" s="44"/>
      <c r="AP1049" s="44"/>
      <c r="AQ1049" s="44"/>
      <c r="AR1049" s="44"/>
    </row>
    <row r="1050" spans="1:44" ht="16.8">
      <c r="A1050" s="64" t="s">
        <v>2251</v>
      </c>
      <c r="B1050" s="62">
        <v>407</v>
      </c>
      <c r="C1050" s="62" t="s">
        <v>2252</v>
      </c>
      <c r="D1050" s="19" t="s">
        <v>2253</v>
      </c>
      <c r="E1050" s="20" t="s">
        <v>39</v>
      </c>
      <c r="F1050" s="21">
        <v>2002</v>
      </c>
      <c r="G1050" s="40">
        <v>2021</v>
      </c>
      <c r="H1050" s="23">
        <v>1486204543938</v>
      </c>
      <c r="I1050" s="23">
        <v>2080303590612</v>
      </c>
      <c r="J1050" s="23">
        <v>1247155453662</v>
      </c>
      <c r="K1050" s="23">
        <f>(J1050+947935955665)/2</f>
        <v>1097545704663.5</v>
      </c>
      <c r="L1050" s="23">
        <v>1121183964876</v>
      </c>
      <c r="M1050" s="23">
        <v>933148136950</v>
      </c>
      <c r="N1050" s="23">
        <v>6694120793415</v>
      </c>
      <c r="O1050" s="25">
        <f t="shared" si="361"/>
        <v>365020579062</v>
      </c>
      <c r="P1050" s="23">
        <v>128974763219</v>
      </c>
      <c r="Q1050" s="23">
        <f>68979062079+32654665201</f>
        <v>101633727280</v>
      </c>
      <c r="R1050" s="25">
        <f t="shared" si="362"/>
        <v>6592487066135</v>
      </c>
      <c r="S1050" s="26">
        <f t="shared" si="363"/>
        <v>0.59950646592649592</v>
      </c>
      <c r="T1050" s="27">
        <f t="shared" si="364"/>
        <v>1.3255670706121545</v>
      </c>
      <c r="U1050" s="26">
        <f t="shared" si="365"/>
        <v>28.363534956016085</v>
      </c>
      <c r="V1050" s="26">
        <f t="shared" si="366"/>
        <v>6.0991726950153495</v>
      </c>
      <c r="W1050" s="143"/>
      <c r="X1050" s="143"/>
      <c r="Y1050" s="143"/>
      <c r="Z1050" s="30">
        <f>W1050*Y1050</f>
        <v>0</v>
      </c>
      <c r="AA1050" s="31">
        <f t="shared" si="368"/>
        <v>19</v>
      </c>
      <c r="AB1050" s="32">
        <v>1.84E-2</v>
      </c>
      <c r="AC1050" s="32">
        <v>2.58E-2</v>
      </c>
      <c r="AD1050" s="33">
        <f t="shared" si="289"/>
        <v>0.17546505265350015</v>
      </c>
      <c r="AE1050" s="34">
        <f t="shared" si="290"/>
        <v>6.1998048650705448E-2</v>
      </c>
      <c r="AF1050" s="33">
        <f t="shared" si="291"/>
        <v>3.169002397479673</v>
      </c>
      <c r="AG1050" s="33">
        <f t="shared" si="292"/>
        <v>0</v>
      </c>
      <c r="AH1050" s="35">
        <f t="shared" si="293"/>
        <v>5.3675111420626624</v>
      </c>
      <c r="AI1050" s="36">
        <f t="shared" si="374"/>
        <v>16.122574385040771</v>
      </c>
      <c r="AJ1050" s="23"/>
      <c r="AK1050" s="101">
        <v>282</v>
      </c>
      <c r="AL1050" s="44"/>
      <c r="AM1050" s="44"/>
      <c r="AN1050" s="44"/>
      <c r="AO1050" s="44"/>
      <c r="AP1050" s="44"/>
      <c r="AQ1050" s="44"/>
      <c r="AR1050" s="44"/>
    </row>
    <row r="1051" spans="1:44" ht="16.8">
      <c r="A1051" s="64" t="s">
        <v>2254</v>
      </c>
      <c r="B1051" s="62"/>
      <c r="C1051" s="62" t="s">
        <v>2252</v>
      </c>
      <c r="D1051" s="19" t="s">
        <v>2253</v>
      </c>
      <c r="E1051" s="20" t="s">
        <v>39</v>
      </c>
      <c r="F1051" s="21">
        <v>2002</v>
      </c>
      <c r="G1051" s="40">
        <v>2022</v>
      </c>
      <c r="H1051" s="23">
        <v>1499102461787</v>
      </c>
      <c r="I1051" s="23">
        <v>2164904495205</v>
      </c>
      <c r="J1051" s="23">
        <v>1238306667595</v>
      </c>
      <c r="K1051" s="23">
        <f t="shared" ref="K1051:K1052" si="380">SUM(J1050:J1051)/2</f>
        <v>1242731060628.5</v>
      </c>
      <c r="L1051" s="23">
        <v>1235845108809</v>
      </c>
      <c r="M1051" s="23">
        <v>2461558786</v>
      </c>
      <c r="N1051" s="23">
        <v>8490902301042</v>
      </c>
      <c r="O1051" s="25">
        <f t="shared" si="361"/>
        <v>263257352978</v>
      </c>
      <c r="P1051" s="23">
        <v>100124921934</v>
      </c>
      <c r="Q1051" s="23">
        <f>46075184126+29574336737</f>
        <v>75649520863</v>
      </c>
      <c r="R1051" s="25">
        <f t="shared" si="362"/>
        <v>8415252780179</v>
      </c>
      <c r="S1051" s="26">
        <f t="shared" si="363"/>
        <v>0.57199136051391575</v>
      </c>
      <c r="T1051" s="27">
        <f t="shared" si="364"/>
        <v>1.2130180805843092</v>
      </c>
      <c r="U1051" s="26">
        <f t="shared" si="365"/>
        <v>28.403397363340709</v>
      </c>
      <c r="V1051" s="26">
        <f t="shared" si="366"/>
        <v>6.8324535935778439</v>
      </c>
      <c r="W1051" s="143"/>
      <c r="X1051" s="143"/>
      <c r="Y1051" s="143"/>
      <c r="Z1051" s="30"/>
      <c r="AA1051" s="31">
        <f t="shared" si="368"/>
        <v>20</v>
      </c>
      <c r="AB1051" s="32">
        <v>3.15E-2</v>
      </c>
      <c r="AC1051" s="32">
        <v>8.0199999999999994E-2</v>
      </c>
      <c r="AD1051" s="33">
        <f t="shared" si="289"/>
        <v>0.1216022940324079</v>
      </c>
      <c r="AE1051" s="34">
        <f t="shared" si="290"/>
        <v>4.6249117296289291E-2</v>
      </c>
      <c r="AF1051" s="33">
        <f t="shared" si="291"/>
        <v>3.8871242582838001</v>
      </c>
      <c r="AG1051" s="33">
        <f t="shared" si="292"/>
        <v>0</v>
      </c>
      <c r="AH1051" s="35">
        <f t="shared" si="293"/>
        <v>6.8568655271256524</v>
      </c>
      <c r="AI1051" s="36">
        <f t="shared" si="374"/>
        <v>19.895047096515889</v>
      </c>
      <c r="AJ1051" s="23"/>
      <c r="AK1051" s="101">
        <v>283</v>
      </c>
      <c r="AL1051" s="44"/>
      <c r="AM1051" s="44"/>
      <c r="AN1051" s="44"/>
      <c r="AO1051" s="44"/>
      <c r="AP1051" s="44"/>
      <c r="AQ1051" s="44"/>
      <c r="AR1051" s="44"/>
    </row>
    <row r="1052" spans="1:44" ht="16.8">
      <c r="A1052" s="64" t="s">
        <v>2255</v>
      </c>
      <c r="B1052" s="62"/>
      <c r="C1052" s="62" t="s">
        <v>2252</v>
      </c>
      <c r="D1052" s="19" t="s">
        <v>2253</v>
      </c>
      <c r="E1052" s="20" t="s">
        <v>39</v>
      </c>
      <c r="F1052" s="21">
        <v>2002</v>
      </c>
      <c r="G1052" s="40">
        <v>2023</v>
      </c>
      <c r="H1052" s="23">
        <v>1480367394870</v>
      </c>
      <c r="I1052" s="23">
        <v>2447292944864</v>
      </c>
      <c r="J1052" s="23">
        <v>1465937632863</v>
      </c>
      <c r="K1052" s="23">
        <f t="shared" si="380"/>
        <v>1352122150229</v>
      </c>
      <c r="L1052" s="23">
        <v>1258692254077</v>
      </c>
      <c r="M1052" s="23">
        <v>981355312001</v>
      </c>
      <c r="N1052" s="23">
        <v>7567753806742</v>
      </c>
      <c r="O1052" s="25">
        <f t="shared" si="361"/>
        <v>221675140793</v>
      </c>
      <c r="P1052" s="23">
        <v>58077594126</v>
      </c>
      <c r="Q1052" s="23">
        <f>52073155660+33138531761</f>
        <v>85211687421</v>
      </c>
      <c r="R1052" s="25">
        <f t="shared" si="362"/>
        <v>7482542119321</v>
      </c>
      <c r="S1052" s="26">
        <f t="shared" si="363"/>
        <v>0.59900374245734789</v>
      </c>
      <c r="T1052" s="27">
        <f t="shared" si="364"/>
        <v>1.1761154405097651</v>
      </c>
      <c r="U1052" s="26">
        <f t="shared" si="365"/>
        <v>28.526003609146876</v>
      </c>
      <c r="V1052" s="26">
        <f t="shared" si="366"/>
        <v>5.5969453687747812</v>
      </c>
      <c r="W1052" s="143"/>
      <c r="X1052" s="143"/>
      <c r="Y1052" s="143"/>
      <c r="Z1052" s="30"/>
      <c r="AA1052" s="31">
        <f t="shared" si="368"/>
        <v>21</v>
      </c>
      <c r="AB1052" s="32">
        <v>3.2500000000000001E-2</v>
      </c>
      <c r="AC1052" s="32">
        <v>5.0500000000000003E-2</v>
      </c>
      <c r="AD1052" s="33">
        <f t="shared" si="289"/>
        <v>9.0579732703523499E-2</v>
      </c>
      <c r="AE1052" s="34">
        <f t="shared" si="290"/>
        <v>2.373136172679461E-2</v>
      </c>
      <c r="AF1052" s="33">
        <f t="shared" si="291"/>
        <v>3.0574770932201649</v>
      </c>
      <c r="AG1052" s="33">
        <f t="shared" si="292"/>
        <v>0</v>
      </c>
      <c r="AH1052" s="35">
        <f t="shared" si="293"/>
        <v>5.1623982065062712</v>
      </c>
      <c r="AI1052" s="36">
        <f t="shared" si="374"/>
        <v>15.393992199794557</v>
      </c>
      <c r="AJ1052" s="23"/>
      <c r="AK1052" s="101">
        <v>284</v>
      </c>
      <c r="AL1052" s="44"/>
      <c r="AM1052" s="44"/>
      <c r="AN1052" s="44"/>
      <c r="AO1052" s="44"/>
      <c r="AP1052" s="44"/>
      <c r="AQ1052" s="44"/>
      <c r="AR1052" s="44"/>
    </row>
    <row r="1053" spans="1:44" ht="16.8">
      <c r="A1053" s="64" t="s">
        <v>2256</v>
      </c>
      <c r="B1053" s="62">
        <v>408</v>
      </c>
      <c r="C1053" s="62" t="s">
        <v>2257</v>
      </c>
      <c r="D1053" s="19" t="s">
        <v>2258</v>
      </c>
      <c r="E1053" s="20" t="s">
        <v>39</v>
      </c>
      <c r="F1053" s="21">
        <v>1978</v>
      </c>
      <c r="G1053" s="40">
        <v>2021</v>
      </c>
      <c r="H1053" s="23">
        <v>543288513172</v>
      </c>
      <c r="I1053" s="23">
        <v>1101908668783</v>
      </c>
      <c r="J1053" s="23">
        <v>448235572343</v>
      </c>
      <c r="K1053" s="23">
        <f>(J1053+573232416518)/2</f>
        <v>510733994430.5</v>
      </c>
      <c r="L1053" s="23">
        <v>410475774466</v>
      </c>
      <c r="M1053" s="23">
        <v>653673096440</v>
      </c>
      <c r="N1053" s="23">
        <v>1636105577587</v>
      </c>
      <c r="O1053" s="25">
        <f t="shared" si="361"/>
        <v>132812738706</v>
      </c>
      <c r="P1053" s="23">
        <v>44014583893</v>
      </c>
      <c r="Q1053" s="23">
        <f>131391211249+54873633138</f>
        <v>186264844387</v>
      </c>
      <c r="R1053" s="25">
        <f t="shared" si="362"/>
        <v>1449840733200</v>
      </c>
      <c r="S1053" s="26">
        <f t="shared" si="363"/>
        <v>0.40678105639921369</v>
      </c>
      <c r="T1053" s="27">
        <f t="shared" si="364"/>
        <v>1.3235580440253265</v>
      </c>
      <c r="U1053" s="26">
        <f t="shared" si="365"/>
        <v>27.728064945532349</v>
      </c>
      <c r="V1053" s="26">
        <f t="shared" si="366"/>
        <v>3.203439746381791</v>
      </c>
      <c r="W1053" s="143"/>
      <c r="X1053" s="143"/>
      <c r="Y1053" s="143"/>
      <c r="Z1053" s="30">
        <f>W1053*Y1053</f>
        <v>0</v>
      </c>
      <c r="AA1053" s="31">
        <f t="shared" si="368"/>
        <v>43</v>
      </c>
      <c r="AB1053" s="32">
        <v>1.84E-2</v>
      </c>
      <c r="AC1053" s="32">
        <v>2.58E-2</v>
      </c>
      <c r="AD1053" s="33">
        <f t="shared" si="289"/>
        <v>0.12052971581817636</v>
      </c>
      <c r="AE1053" s="34">
        <f t="shared" si="290"/>
        <v>3.9943949203713761E-2</v>
      </c>
      <c r="AF1053" s="33">
        <f t="shared" si="291"/>
        <v>1.3157539951122017</v>
      </c>
      <c r="AG1053" s="33">
        <f t="shared" si="292"/>
        <v>0</v>
      </c>
      <c r="AH1053" s="35">
        <f t="shared" si="293"/>
        <v>3.6501020412878229</v>
      </c>
      <c r="AI1053" s="36">
        <f t="shared" si="374"/>
        <v>8.1926474130250995</v>
      </c>
      <c r="AJ1053" s="23"/>
      <c r="AK1053" s="101">
        <v>285</v>
      </c>
      <c r="AL1053" s="44"/>
      <c r="AM1053" s="44"/>
      <c r="AN1053" s="44"/>
      <c r="AO1053" s="44"/>
      <c r="AP1053" s="44"/>
      <c r="AQ1053" s="44"/>
      <c r="AR1053" s="44"/>
    </row>
    <row r="1054" spans="1:44" ht="16.8">
      <c r="A1054" s="64" t="s">
        <v>2259</v>
      </c>
      <c r="B1054" s="62"/>
      <c r="C1054" s="62" t="s">
        <v>2257</v>
      </c>
      <c r="D1054" s="19" t="s">
        <v>2258</v>
      </c>
      <c r="E1054" s="20" t="s">
        <v>39</v>
      </c>
      <c r="F1054" s="21">
        <v>1978</v>
      </c>
      <c r="G1054" s="40">
        <v>2022</v>
      </c>
      <c r="H1054" s="23">
        <v>549515351916</v>
      </c>
      <c r="I1054" s="23">
        <v>1026454100876</v>
      </c>
      <c r="J1054" s="23">
        <v>418233646794</v>
      </c>
      <c r="K1054" s="23">
        <f t="shared" ref="K1054:K1055" si="381">SUM(J1053:J1054)/2</f>
        <v>433234609568.5</v>
      </c>
      <c r="L1054" s="23">
        <v>365873661846</v>
      </c>
      <c r="M1054" s="23">
        <v>608220454082</v>
      </c>
      <c r="N1054" s="23">
        <v>1623131626931</v>
      </c>
      <c r="O1054" s="25">
        <f t="shared" si="361"/>
        <v>183641690070</v>
      </c>
      <c r="P1054" s="23">
        <v>169827578</v>
      </c>
      <c r="Q1054" s="23">
        <f>123050469991+47965947771</f>
        <v>171016417762</v>
      </c>
      <c r="R1054" s="25">
        <f t="shared" si="362"/>
        <v>1452115209169</v>
      </c>
      <c r="S1054" s="26">
        <f t="shared" si="363"/>
        <v>0.40745479650485061</v>
      </c>
      <c r="T1054" s="27">
        <f t="shared" si="364"/>
        <v>1.5019265096685115</v>
      </c>
      <c r="U1054" s="26">
        <f t="shared" si="365"/>
        <v>27.657131358207931</v>
      </c>
      <c r="V1054" s="26">
        <f t="shared" si="366"/>
        <v>3.7465419222800156</v>
      </c>
      <c r="W1054" s="143"/>
      <c r="X1054" s="143"/>
      <c r="Y1054" s="143"/>
      <c r="Z1054" s="30"/>
      <c r="AA1054" s="31">
        <f t="shared" si="368"/>
        <v>44</v>
      </c>
      <c r="AB1054" s="32">
        <v>3.15E-2</v>
      </c>
      <c r="AC1054" s="32">
        <v>8.0199999999999994E-2</v>
      </c>
      <c r="AD1054" s="33">
        <f t="shared" si="289"/>
        <v>0.17890881814712989</v>
      </c>
      <c r="AE1054" s="34">
        <f t="shared" si="290"/>
        <v>1.654507277578853E-4</v>
      </c>
      <c r="AF1054" s="33">
        <f t="shared" si="291"/>
        <v>1.4146908351086822</v>
      </c>
      <c r="AG1054" s="33">
        <f t="shared" si="292"/>
        <v>0</v>
      </c>
      <c r="AH1054" s="35">
        <f t="shared" si="293"/>
        <v>3.8809207230772365</v>
      </c>
      <c r="AI1054" s="36">
        <f t="shared" si="374"/>
        <v>8.7643226917313051</v>
      </c>
      <c r="AJ1054" s="23"/>
      <c r="AK1054" s="101">
        <v>286</v>
      </c>
      <c r="AL1054" s="44"/>
      <c r="AM1054" s="44"/>
      <c r="AN1054" s="44"/>
      <c r="AO1054" s="44"/>
      <c r="AP1054" s="44"/>
      <c r="AQ1054" s="44"/>
      <c r="AR1054" s="44"/>
    </row>
    <row r="1055" spans="1:44" ht="16.8">
      <c r="A1055" s="64" t="s">
        <v>2260</v>
      </c>
      <c r="B1055" s="62"/>
      <c r="C1055" s="62" t="s">
        <v>2257</v>
      </c>
      <c r="D1055" s="19" t="s">
        <v>2258</v>
      </c>
      <c r="E1055" s="20" t="s">
        <v>39</v>
      </c>
      <c r="F1055" s="21">
        <v>1978</v>
      </c>
      <c r="G1055" s="40">
        <v>2023</v>
      </c>
      <c r="H1055" s="23">
        <v>444841816173</v>
      </c>
      <c r="I1055" s="23">
        <v>837625709208</v>
      </c>
      <c r="J1055" s="23">
        <v>298898556314</v>
      </c>
      <c r="K1055" s="23">
        <f t="shared" si="381"/>
        <v>358566101554</v>
      </c>
      <c r="L1055" s="23">
        <v>249102942189</v>
      </c>
      <c r="M1055" s="23">
        <v>538727152894</v>
      </c>
      <c r="N1055" s="23">
        <v>1229279759345</v>
      </c>
      <c r="O1055" s="25">
        <f t="shared" si="361"/>
        <v>195738873984</v>
      </c>
      <c r="P1055" s="23">
        <v>-69477533188</v>
      </c>
      <c r="Q1055" s="23">
        <f>100074345481+46555810335</f>
        <v>146630155816</v>
      </c>
      <c r="R1055" s="25">
        <f t="shared" si="362"/>
        <v>1082649603529</v>
      </c>
      <c r="S1055" s="26">
        <f t="shared" si="363"/>
        <v>0.35684023666921288</v>
      </c>
      <c r="T1055" s="27">
        <f t="shared" si="364"/>
        <v>1.7857750384798285</v>
      </c>
      <c r="U1055" s="26">
        <f t="shared" si="365"/>
        <v>27.453837189928539</v>
      </c>
      <c r="V1055" s="26">
        <f t="shared" si="366"/>
        <v>3.4283211770922821</v>
      </c>
      <c r="W1055" s="143"/>
      <c r="X1055" s="143"/>
      <c r="Y1055" s="143"/>
      <c r="Z1055" s="30"/>
      <c r="AA1055" s="31">
        <f t="shared" si="368"/>
        <v>45</v>
      </c>
      <c r="AB1055" s="32">
        <v>3.2500000000000001E-2</v>
      </c>
      <c r="AC1055" s="32">
        <v>5.0500000000000003E-2</v>
      </c>
      <c r="AD1055" s="33">
        <f t="shared" si="289"/>
        <v>0.23368298254488501</v>
      </c>
      <c r="AE1055" s="34">
        <f t="shared" si="290"/>
        <v>-8.294579837299057E-2</v>
      </c>
      <c r="AF1055" s="33">
        <f t="shared" si="291"/>
        <v>1.2925219362627698</v>
      </c>
      <c r="AG1055" s="33">
        <f t="shared" si="292"/>
        <v>0</v>
      </c>
      <c r="AH1055" s="35">
        <f t="shared" si="293"/>
        <v>4.1126988852151314</v>
      </c>
      <c r="AI1055" s="36">
        <f t="shared" si="374"/>
        <v>8.5423167362139463</v>
      </c>
      <c r="AJ1055" s="23"/>
      <c r="AK1055" s="101">
        <v>287</v>
      </c>
      <c r="AL1055" s="44"/>
      <c r="AM1055" s="44"/>
      <c r="AN1055" s="44"/>
      <c r="AO1055" s="44"/>
      <c r="AP1055" s="44"/>
      <c r="AQ1055" s="44"/>
      <c r="AR1055" s="44"/>
    </row>
    <row r="1056" spans="1:44" ht="16.8">
      <c r="A1056" s="64" t="s">
        <v>2261</v>
      </c>
      <c r="B1056" s="62">
        <v>409</v>
      </c>
      <c r="C1056" s="62" t="s">
        <v>2262</v>
      </c>
      <c r="D1056" s="19" t="s">
        <v>2263</v>
      </c>
      <c r="E1056" s="20" t="s">
        <v>178</v>
      </c>
      <c r="F1056" s="21">
        <v>1991</v>
      </c>
      <c r="G1056" s="40">
        <v>2021</v>
      </c>
      <c r="H1056" s="23">
        <v>20960954849</v>
      </c>
      <c r="I1056" s="23">
        <v>23652066013</v>
      </c>
      <c r="J1056" s="23">
        <v>8129043006</v>
      </c>
      <c r="K1056" s="23">
        <f>(J1056+15940755053)/2</f>
        <v>12034899029.5</v>
      </c>
      <c r="L1056" s="23">
        <v>8054227006</v>
      </c>
      <c r="M1056" s="23">
        <v>15523023007</v>
      </c>
      <c r="N1056" s="23">
        <v>22220148789</v>
      </c>
      <c r="O1056" s="25">
        <f t="shared" si="361"/>
        <v>12906727843</v>
      </c>
      <c r="P1056" s="23">
        <v>1857924951</v>
      </c>
      <c r="Q1056" s="23">
        <f>8181707+2380057667</f>
        <v>2388239374</v>
      </c>
      <c r="R1056" s="25">
        <f t="shared" si="362"/>
        <v>19831909415</v>
      </c>
      <c r="S1056" s="26">
        <f t="shared" si="363"/>
        <v>0.34369272441282694</v>
      </c>
      <c r="T1056" s="27">
        <f t="shared" si="364"/>
        <v>2.6024787770924669</v>
      </c>
      <c r="U1056" s="26">
        <f t="shared" si="365"/>
        <v>23.886716305912429</v>
      </c>
      <c r="V1056" s="26">
        <f t="shared" si="366"/>
        <v>1.846309531516124</v>
      </c>
      <c r="W1056" s="143"/>
      <c r="X1056" s="143"/>
      <c r="Y1056" s="143"/>
      <c r="Z1056" s="30">
        <f>W1056*Y1056</f>
        <v>0</v>
      </c>
      <c r="AA1056" s="31">
        <f t="shared" si="368"/>
        <v>30</v>
      </c>
      <c r="AB1056" s="32">
        <v>1.84E-2</v>
      </c>
      <c r="AC1056" s="32">
        <v>2.58E-2</v>
      </c>
      <c r="AD1056" s="33">
        <f t="shared" si="289"/>
        <v>0.54569135042604788</v>
      </c>
      <c r="AE1056" s="34">
        <f t="shared" si="290"/>
        <v>7.8552332383091589E-2</v>
      </c>
      <c r="AF1056" s="33">
        <f t="shared" si="291"/>
        <v>0.83848528936540645</v>
      </c>
      <c r="AG1056" s="33">
        <f t="shared" si="292"/>
        <v>0</v>
      </c>
      <c r="AH1056" s="35">
        <f t="shared" si="293"/>
        <v>2.7334273877748507</v>
      </c>
      <c r="AI1056" s="36">
        <f t="shared" si="374"/>
        <v>6.2652317285282777</v>
      </c>
      <c r="AJ1056" s="23"/>
      <c r="AK1056" s="23"/>
      <c r="AL1056" s="44"/>
      <c r="AM1056" s="44"/>
      <c r="AN1056" s="44"/>
      <c r="AO1056" s="44"/>
      <c r="AP1056" s="44"/>
      <c r="AQ1056" s="44"/>
      <c r="AR1056" s="44"/>
    </row>
    <row r="1057" spans="1:44" ht="16.8">
      <c r="A1057" s="64" t="s">
        <v>2264</v>
      </c>
      <c r="B1057" s="62"/>
      <c r="C1057" s="62" t="s">
        <v>2262</v>
      </c>
      <c r="D1057" s="19" t="s">
        <v>2263</v>
      </c>
      <c r="E1057" s="20" t="s">
        <v>178</v>
      </c>
      <c r="F1057" s="21">
        <v>1991</v>
      </c>
      <c r="G1057" s="40">
        <v>2022</v>
      </c>
      <c r="H1057" s="23">
        <v>49818756402</v>
      </c>
      <c r="I1057" s="23">
        <v>52490729003</v>
      </c>
      <c r="J1057" s="23">
        <v>6884666295</v>
      </c>
      <c r="K1057" s="23">
        <f t="shared" ref="K1057:K1058" si="382">SUM(J1056:J1057)/2</f>
        <v>7506854650.5</v>
      </c>
      <c r="L1057" s="23">
        <v>6809850295</v>
      </c>
      <c r="M1057" s="23">
        <v>45606062708</v>
      </c>
      <c r="N1057" s="23">
        <v>19624775168</v>
      </c>
      <c r="O1057" s="25">
        <f t="shared" si="361"/>
        <v>43008906107</v>
      </c>
      <c r="P1057" s="23">
        <v>83039700</v>
      </c>
      <c r="Q1057" s="23">
        <f>68314368+4849195651</f>
        <v>4917510019</v>
      </c>
      <c r="R1057" s="25">
        <f t="shared" si="362"/>
        <v>14707265149</v>
      </c>
      <c r="S1057" s="26">
        <f t="shared" si="363"/>
        <v>0.13115966239688767</v>
      </c>
      <c r="T1057" s="27">
        <f t="shared" si="364"/>
        <v>7.3156903960984945</v>
      </c>
      <c r="U1057" s="26">
        <f t="shared" si="365"/>
        <v>24.683902400531018</v>
      </c>
      <c r="V1057" s="26">
        <f t="shared" si="366"/>
        <v>2.6142473887772524</v>
      </c>
      <c r="W1057" s="143"/>
      <c r="X1057" s="143"/>
      <c r="Y1057" s="143"/>
      <c r="Z1057" s="30"/>
      <c r="AA1057" s="31">
        <f t="shared" si="368"/>
        <v>31</v>
      </c>
      <c r="AB1057" s="32">
        <v>3.15E-2</v>
      </c>
      <c r="AC1057" s="32">
        <v>8.0199999999999994E-2</v>
      </c>
      <c r="AD1057" s="33">
        <f t="shared" si="289"/>
        <v>0.81936195065116957</v>
      </c>
      <c r="AE1057" s="34">
        <f t="shared" si="290"/>
        <v>1.5819879353410017E-3</v>
      </c>
      <c r="AF1057" s="33">
        <f t="shared" si="291"/>
        <v>0.28018786228248871</v>
      </c>
      <c r="AG1057" s="33">
        <f t="shared" si="292"/>
        <v>0</v>
      </c>
      <c r="AH1057" s="35">
        <f t="shared" si="293"/>
        <v>2.8505049231293205</v>
      </c>
      <c r="AI1057" s="36">
        <f t="shared" si="374"/>
        <v>4.7605739925524144</v>
      </c>
      <c r="AJ1057" s="23"/>
      <c r="AK1057" s="23"/>
      <c r="AL1057" s="44"/>
      <c r="AM1057" s="44"/>
      <c r="AN1057" s="44"/>
      <c r="AO1057" s="44"/>
      <c r="AP1057" s="44"/>
      <c r="AQ1057" s="44"/>
      <c r="AR1057" s="44"/>
    </row>
    <row r="1058" spans="1:44" ht="16.8">
      <c r="A1058" s="64" t="s">
        <v>2265</v>
      </c>
      <c r="B1058" s="62"/>
      <c r="C1058" s="62" t="s">
        <v>2262</v>
      </c>
      <c r="D1058" s="19" t="s">
        <v>2263</v>
      </c>
      <c r="E1058" s="20" t="s">
        <v>178</v>
      </c>
      <c r="F1058" s="21">
        <v>1991</v>
      </c>
      <c r="G1058" s="40">
        <v>2023</v>
      </c>
      <c r="H1058" s="23">
        <v>44515289249</v>
      </c>
      <c r="I1058" s="23">
        <v>51955674355</v>
      </c>
      <c r="J1058" s="23">
        <v>6038839630</v>
      </c>
      <c r="K1058" s="23">
        <f t="shared" si="382"/>
        <v>6461752962.5</v>
      </c>
      <c r="L1058" s="23">
        <v>6038839630</v>
      </c>
      <c r="M1058" s="23">
        <v>45916834725</v>
      </c>
      <c r="N1058" s="23">
        <v>17194250020</v>
      </c>
      <c r="O1058" s="25">
        <f t="shared" si="361"/>
        <v>38476449619</v>
      </c>
      <c r="P1058" s="23">
        <v>310772017</v>
      </c>
      <c r="Q1058" s="23">
        <f>48371638+4126706000</f>
        <v>4175077638</v>
      </c>
      <c r="R1058" s="25">
        <f t="shared" si="362"/>
        <v>13019172382</v>
      </c>
      <c r="S1058" s="26">
        <f t="shared" si="363"/>
        <v>0.11623060820533546</v>
      </c>
      <c r="T1058" s="27">
        <f t="shared" si="364"/>
        <v>7.3714971710550294</v>
      </c>
      <c r="U1058" s="26">
        <f t="shared" si="365"/>
        <v>24.673656775764517</v>
      </c>
      <c r="V1058" s="26">
        <f t="shared" si="366"/>
        <v>2.660926550393484</v>
      </c>
      <c r="W1058" s="143"/>
      <c r="X1058" s="143"/>
      <c r="Y1058" s="143"/>
      <c r="Z1058" s="30"/>
      <c r="AA1058" s="31">
        <f t="shared" si="368"/>
        <v>32</v>
      </c>
      <c r="AB1058" s="32">
        <v>3.2500000000000001E-2</v>
      </c>
      <c r="AC1058" s="32">
        <v>5.0500000000000003E-2</v>
      </c>
      <c r="AD1058" s="33">
        <f t="shared" si="289"/>
        <v>0.74056299137030035</v>
      </c>
      <c r="AE1058" s="34">
        <f t="shared" si="290"/>
        <v>5.981483656175326E-3</v>
      </c>
      <c r="AF1058" s="33">
        <f t="shared" si="291"/>
        <v>0.25058230007839538</v>
      </c>
      <c r="AG1058" s="33">
        <f t="shared" si="292"/>
        <v>0</v>
      </c>
      <c r="AH1058" s="35">
        <f t="shared" si="293"/>
        <v>2.8472771382405462</v>
      </c>
      <c r="AI1058" s="36">
        <f t="shared" si="374"/>
        <v>4.5712483952622573</v>
      </c>
      <c r="AJ1058" s="23"/>
      <c r="AK1058" s="23"/>
      <c r="AL1058" s="44"/>
      <c r="AM1058" s="44"/>
      <c r="AN1058" s="44"/>
      <c r="AO1058" s="44"/>
      <c r="AP1058" s="44"/>
      <c r="AQ1058" s="44"/>
      <c r="AR1058" s="44"/>
    </row>
    <row r="1059" spans="1:44" ht="16.8">
      <c r="A1059" s="62" t="s">
        <v>2266</v>
      </c>
      <c r="B1059" s="62">
        <v>410</v>
      </c>
      <c r="C1059" s="62" t="s">
        <v>2267</v>
      </c>
      <c r="D1059" s="19" t="s">
        <v>2268</v>
      </c>
      <c r="E1059" s="20" t="s">
        <v>39</v>
      </c>
      <c r="F1059" s="21">
        <v>2008</v>
      </c>
      <c r="G1059" s="40">
        <v>2021</v>
      </c>
      <c r="H1059" s="23">
        <v>208073235704</v>
      </c>
      <c r="I1059" s="23">
        <v>215294561780</v>
      </c>
      <c r="J1059" s="23">
        <v>22992336089</v>
      </c>
      <c r="K1059" s="23">
        <f>(J1059+21638503793)/2</f>
        <v>22315419941</v>
      </c>
      <c r="L1059" s="23">
        <v>22992336089</v>
      </c>
      <c r="M1059" s="23">
        <v>192302225691</v>
      </c>
      <c r="N1059" s="23">
        <v>11644653946</v>
      </c>
      <c r="O1059" s="25">
        <f t="shared" si="361"/>
        <v>185080899615</v>
      </c>
      <c r="P1059" s="23">
        <v>1424433191</v>
      </c>
      <c r="Q1059" s="23">
        <v>7638576412</v>
      </c>
      <c r="R1059" s="25">
        <f t="shared" si="362"/>
        <v>4006077534</v>
      </c>
      <c r="S1059" s="26">
        <f t="shared" si="363"/>
        <v>0.10679478338377563</v>
      </c>
      <c r="T1059" s="27">
        <f t="shared" si="364"/>
        <v>9.0496778969556928</v>
      </c>
      <c r="U1059" s="26">
        <f t="shared" si="365"/>
        <v>26.095272982196047</v>
      </c>
      <c r="V1059" s="26">
        <f t="shared" si="366"/>
        <v>0.52182096401445444</v>
      </c>
      <c r="W1059" s="143"/>
      <c r="X1059" s="143"/>
      <c r="Y1059" s="143"/>
      <c r="Z1059" s="30">
        <f>W1059*Y1059</f>
        <v>0</v>
      </c>
      <c r="AA1059" s="31">
        <f t="shared" si="368"/>
        <v>13</v>
      </c>
      <c r="AB1059" s="32">
        <v>1.84E-2</v>
      </c>
      <c r="AC1059" s="32">
        <v>2.58E-2</v>
      </c>
      <c r="AD1059" s="33">
        <f t="shared" si="289"/>
        <v>0.85966360731454983</v>
      </c>
      <c r="AE1059" s="34">
        <f t="shared" si="290"/>
        <v>6.6162060909627871E-3</v>
      </c>
      <c r="AF1059" s="33">
        <f t="shared" si="291"/>
        <v>1.8607425570245632E-2</v>
      </c>
      <c r="AG1059" s="33">
        <f t="shared" si="292"/>
        <v>0</v>
      </c>
      <c r="AH1059" s="35">
        <f t="shared" si="293"/>
        <v>0.50645806067401034</v>
      </c>
      <c r="AI1059" s="36">
        <f t="shared" si="374"/>
        <v>1.6087215823606285</v>
      </c>
      <c r="AJ1059" s="23"/>
      <c r="AK1059" s="101">
        <v>288</v>
      </c>
      <c r="AL1059" s="44"/>
      <c r="AM1059" s="44"/>
      <c r="AN1059" s="44"/>
      <c r="AO1059" s="44"/>
      <c r="AP1059" s="44"/>
      <c r="AQ1059" s="44"/>
      <c r="AR1059" s="44"/>
    </row>
    <row r="1060" spans="1:44" ht="16.8">
      <c r="A1060" s="62" t="s">
        <v>2269</v>
      </c>
      <c r="B1060" s="62"/>
      <c r="C1060" s="62" t="s">
        <v>2267</v>
      </c>
      <c r="D1060" s="19" t="s">
        <v>2268</v>
      </c>
      <c r="E1060" s="20" t="s">
        <v>39</v>
      </c>
      <c r="F1060" s="21">
        <v>2008</v>
      </c>
      <c r="G1060" s="40">
        <v>2022</v>
      </c>
      <c r="H1060" s="23">
        <v>308147743574</v>
      </c>
      <c r="I1060" s="23">
        <v>317243295384</v>
      </c>
      <c r="J1060" s="23">
        <v>12293049410</v>
      </c>
      <c r="K1060" s="23">
        <f t="shared" ref="K1060:K1061" si="383">SUM(J1059:J1060)/2</f>
        <v>17642692749.5</v>
      </c>
      <c r="L1060" s="23">
        <v>12293049410</v>
      </c>
      <c r="M1060" s="23">
        <v>304950245974</v>
      </c>
      <c r="N1060" s="23">
        <v>72012829029</v>
      </c>
      <c r="O1060" s="25">
        <f t="shared" si="361"/>
        <v>295854694164</v>
      </c>
      <c r="P1060" s="23">
        <v>2648020283</v>
      </c>
      <c r="Q1060" s="23">
        <v>12600486164</v>
      </c>
      <c r="R1060" s="25">
        <f t="shared" si="362"/>
        <v>59412342865</v>
      </c>
      <c r="S1060" s="26">
        <f t="shared" si="363"/>
        <v>3.8749595622249972E-2</v>
      </c>
      <c r="T1060" s="27">
        <f t="shared" si="364"/>
        <v>25.066827057843902</v>
      </c>
      <c r="U1060" s="26">
        <f t="shared" si="365"/>
        <v>26.482934809776221</v>
      </c>
      <c r="V1060" s="26">
        <f t="shared" si="366"/>
        <v>4.0817368443397548</v>
      </c>
      <c r="W1060" s="143"/>
      <c r="X1060" s="143"/>
      <c r="Y1060" s="143"/>
      <c r="Z1060" s="30"/>
      <c r="AA1060" s="31">
        <f t="shared" si="368"/>
        <v>14</v>
      </c>
      <c r="AB1060" s="32">
        <v>3.15E-2</v>
      </c>
      <c r="AC1060" s="32">
        <v>8.0199999999999994E-2</v>
      </c>
      <c r="AD1060" s="33">
        <f t="shared" si="289"/>
        <v>0.9325798164020751</v>
      </c>
      <c r="AE1060" s="34">
        <f t="shared" si="290"/>
        <v>8.3469700432747158E-3</v>
      </c>
      <c r="AF1060" s="33">
        <f t="shared" si="291"/>
        <v>0.18727690617727843</v>
      </c>
      <c r="AG1060" s="33">
        <f t="shared" si="292"/>
        <v>0</v>
      </c>
      <c r="AH1060" s="35">
        <f t="shared" si="293"/>
        <v>5.85801184288903</v>
      </c>
      <c r="AI1060" s="36">
        <f t="shared" si="374"/>
        <v>7.6068071710171239</v>
      </c>
      <c r="AJ1060" s="23"/>
      <c r="AK1060" s="101">
        <v>289</v>
      </c>
      <c r="AL1060" s="44"/>
      <c r="AM1060" s="44"/>
      <c r="AN1060" s="44"/>
      <c r="AO1060" s="44"/>
      <c r="AP1060" s="44"/>
      <c r="AQ1060" s="44"/>
      <c r="AR1060" s="44"/>
    </row>
    <row r="1061" spans="1:44" ht="16.8">
      <c r="A1061" s="62" t="s">
        <v>2270</v>
      </c>
      <c r="B1061" s="62"/>
      <c r="C1061" s="62" t="s">
        <v>2267</v>
      </c>
      <c r="D1061" s="19" t="s">
        <v>2268</v>
      </c>
      <c r="E1061" s="20" t="s">
        <v>39</v>
      </c>
      <c r="F1061" s="21">
        <v>2008</v>
      </c>
      <c r="G1061" s="40">
        <v>2023</v>
      </c>
      <c r="H1061" s="23">
        <v>198087566345</v>
      </c>
      <c r="I1061" s="23">
        <v>347803279753</v>
      </c>
      <c r="J1061" s="23">
        <v>11789934897</v>
      </c>
      <c r="K1061" s="23">
        <f t="shared" si="383"/>
        <v>12041492153.5</v>
      </c>
      <c r="L1061" s="23">
        <v>11789934897</v>
      </c>
      <c r="M1061" s="23">
        <v>336013344856</v>
      </c>
      <c r="N1061" s="23">
        <v>41389079587</v>
      </c>
      <c r="O1061" s="25">
        <f t="shared" si="361"/>
        <v>186297631448</v>
      </c>
      <c r="P1061" s="23">
        <v>31063098882</v>
      </c>
      <c r="Q1061" s="23">
        <v>7549366334</v>
      </c>
      <c r="R1061" s="25">
        <f t="shared" si="362"/>
        <v>33839713253</v>
      </c>
      <c r="S1061" s="26">
        <f t="shared" si="363"/>
        <v>3.3898285563531423E-2</v>
      </c>
      <c r="T1061" s="27">
        <f t="shared" si="364"/>
        <v>16.801413076114969</v>
      </c>
      <c r="U1061" s="26">
        <f t="shared" si="365"/>
        <v>26.574902868819258</v>
      </c>
      <c r="V1061" s="26">
        <f t="shared" si="366"/>
        <v>3.4372052117286627</v>
      </c>
      <c r="W1061" s="143"/>
      <c r="X1061" s="143"/>
      <c r="Y1061" s="143"/>
      <c r="Z1061" s="30"/>
      <c r="AA1061" s="31">
        <f t="shared" si="368"/>
        <v>15</v>
      </c>
      <c r="AB1061" s="32">
        <v>3.2500000000000001E-2</v>
      </c>
      <c r="AC1061" s="32">
        <v>5.0500000000000003E-2</v>
      </c>
      <c r="AD1061" s="33">
        <f t="shared" si="289"/>
        <v>0.53564081276146469</v>
      </c>
      <c r="AE1061" s="34">
        <f t="shared" si="290"/>
        <v>8.9312265554425271E-2</v>
      </c>
      <c r="AF1061" s="33">
        <f t="shared" si="291"/>
        <v>9.7295555341030723E-2</v>
      </c>
      <c r="AG1061" s="33">
        <f t="shared" si="292"/>
        <v>0</v>
      </c>
      <c r="AH1061" s="35">
        <f t="shared" si="293"/>
        <v>3.5105435228087334</v>
      </c>
      <c r="AI1061" s="36">
        <f t="shared" si="374"/>
        <v>4.5994250025240877</v>
      </c>
      <c r="AJ1061" s="23"/>
      <c r="AK1061" s="101">
        <v>290</v>
      </c>
      <c r="AL1061" s="44"/>
      <c r="AM1061" s="44"/>
      <c r="AN1061" s="44"/>
      <c r="AO1061" s="44"/>
      <c r="AP1061" s="44"/>
      <c r="AQ1061" s="44"/>
      <c r="AR1061" s="44"/>
    </row>
    <row r="1062" spans="1:44" ht="16.8">
      <c r="A1062" s="62" t="s">
        <v>2271</v>
      </c>
      <c r="B1062" s="62">
        <v>411</v>
      </c>
      <c r="C1062" s="62" t="s">
        <v>2272</v>
      </c>
      <c r="D1062" s="19" t="s">
        <v>2273</v>
      </c>
      <c r="E1062" s="20" t="s">
        <v>39</v>
      </c>
      <c r="F1062" s="21">
        <v>2001</v>
      </c>
      <c r="G1062" s="40">
        <v>2021</v>
      </c>
      <c r="H1062" s="23">
        <v>613935492384</v>
      </c>
      <c r="I1062" s="23">
        <v>1661873046602</v>
      </c>
      <c r="J1062" s="23">
        <v>1046951961622</v>
      </c>
      <c r="K1062" s="23">
        <f>(J1062+652355597972)/2</f>
        <v>849653779797</v>
      </c>
      <c r="L1062" s="23">
        <v>643097599170</v>
      </c>
      <c r="M1062" s="23">
        <v>614921084980</v>
      </c>
      <c r="N1062" s="23">
        <v>1257920546021</v>
      </c>
      <c r="O1062" s="25">
        <f t="shared" si="361"/>
        <v>-29162106786</v>
      </c>
      <c r="P1062" s="23">
        <v>46166694623</v>
      </c>
      <c r="Q1062" s="23">
        <f>32589873307+14656873307</f>
        <v>47246746614</v>
      </c>
      <c r="R1062" s="25">
        <f t="shared" si="362"/>
        <v>1210673799407</v>
      </c>
      <c r="S1062" s="26">
        <f t="shared" si="363"/>
        <v>0.62998311679865238</v>
      </c>
      <c r="T1062" s="27">
        <f t="shared" si="364"/>
        <v>0.95465368425626618</v>
      </c>
      <c r="U1062" s="26">
        <f t="shared" si="365"/>
        <v>28.138966423524877</v>
      </c>
      <c r="V1062" s="26">
        <f t="shared" si="366"/>
        <v>1.4805095627557185</v>
      </c>
      <c r="W1062" s="143"/>
      <c r="X1062" s="143"/>
      <c r="Y1062" s="143"/>
      <c r="Z1062" s="30">
        <f>W1062*Y1062</f>
        <v>0</v>
      </c>
      <c r="AA1062" s="31">
        <f t="shared" si="368"/>
        <v>20</v>
      </c>
      <c r="AB1062" s="32">
        <v>1.84E-2</v>
      </c>
      <c r="AC1062" s="32">
        <v>2.58E-2</v>
      </c>
      <c r="AD1062" s="33">
        <f t="shared" si="289"/>
        <v>-1.7547734374552378E-2</v>
      </c>
      <c r="AE1062" s="34">
        <f t="shared" si="290"/>
        <v>2.7779916593145403E-2</v>
      </c>
      <c r="AF1062" s="33">
        <f t="shared" si="291"/>
        <v>0.72849956973695529</v>
      </c>
      <c r="AG1062" s="33">
        <f t="shared" si="292"/>
        <v>0</v>
      </c>
      <c r="AH1062" s="35">
        <f t="shared" si="293"/>
        <v>1.2015074159392709</v>
      </c>
      <c r="AI1062" s="36">
        <f t="shared" si="374"/>
        <v>3.6233905980521639</v>
      </c>
      <c r="AJ1062" s="23"/>
      <c r="AK1062" s="101">
        <v>291</v>
      </c>
      <c r="AL1062" s="44"/>
      <c r="AM1062" s="44"/>
      <c r="AN1062" s="44"/>
      <c r="AO1062" s="44"/>
      <c r="AP1062" s="44"/>
      <c r="AQ1062" s="44"/>
      <c r="AR1062" s="44"/>
    </row>
    <row r="1063" spans="1:44" ht="16.8">
      <c r="A1063" s="62" t="s">
        <v>2274</v>
      </c>
      <c r="B1063" s="62"/>
      <c r="C1063" s="62" t="s">
        <v>2272</v>
      </c>
      <c r="D1063" s="19" t="s">
        <v>2273</v>
      </c>
      <c r="E1063" s="20" t="s">
        <v>39</v>
      </c>
      <c r="F1063" s="21">
        <v>2001</v>
      </c>
      <c r="G1063" s="40">
        <v>2022</v>
      </c>
      <c r="H1063" s="23">
        <v>775575046832</v>
      </c>
      <c r="I1063" s="23">
        <v>2207118503956</v>
      </c>
      <c r="J1063" s="23">
        <v>1584739514650</v>
      </c>
      <c r="K1063" s="23">
        <f t="shared" ref="K1063:K1064" si="384">SUM(J1062:J1063)/2</f>
        <v>1315845738136</v>
      </c>
      <c r="L1063" s="23">
        <v>990881506137</v>
      </c>
      <c r="M1063" s="23">
        <v>622378989306</v>
      </c>
      <c r="N1063" s="23">
        <v>2001525551128</v>
      </c>
      <c r="O1063" s="25">
        <f t="shared" si="361"/>
        <v>-215306459305</v>
      </c>
      <c r="P1063" s="23">
        <v>50911906283</v>
      </c>
      <c r="Q1063" s="23">
        <f>37151897677+21743516524</f>
        <v>58895414201</v>
      </c>
      <c r="R1063" s="25">
        <f t="shared" si="362"/>
        <v>1942630136927</v>
      </c>
      <c r="S1063" s="26">
        <f t="shared" si="363"/>
        <v>0.71801288050892653</v>
      </c>
      <c r="T1063" s="27">
        <f t="shared" si="364"/>
        <v>0.78271220325386559</v>
      </c>
      <c r="U1063" s="26">
        <f t="shared" si="365"/>
        <v>28.422708936349775</v>
      </c>
      <c r="V1063" s="26">
        <f t="shared" si="366"/>
        <v>1.521094375366006</v>
      </c>
      <c r="W1063" s="143"/>
      <c r="X1063" s="143"/>
      <c r="Y1063" s="143"/>
      <c r="Z1063" s="30"/>
      <c r="AA1063" s="31">
        <f t="shared" si="368"/>
        <v>21</v>
      </c>
      <c r="AB1063" s="32">
        <v>3.15E-2</v>
      </c>
      <c r="AC1063" s="32">
        <v>8.0199999999999994E-2</v>
      </c>
      <c r="AD1063" s="33">
        <f t="shared" si="289"/>
        <v>-9.7550928470351059E-2</v>
      </c>
      <c r="AE1063" s="34">
        <f t="shared" si="290"/>
        <v>2.3067137623895773E-2</v>
      </c>
      <c r="AF1063" s="33">
        <f t="shared" si="291"/>
        <v>0.88016576067169217</v>
      </c>
      <c r="AG1063" s="33">
        <f t="shared" si="292"/>
        <v>0</v>
      </c>
      <c r="AH1063" s="35">
        <f t="shared" si="293"/>
        <v>1.262999712334459</v>
      </c>
      <c r="AI1063" s="36">
        <f t="shared" si="374"/>
        <v>4.0827796010600759</v>
      </c>
      <c r="AJ1063" s="23"/>
      <c r="AK1063" s="101">
        <v>292</v>
      </c>
      <c r="AL1063" s="44"/>
      <c r="AM1063" s="44"/>
      <c r="AN1063" s="44"/>
      <c r="AO1063" s="44"/>
      <c r="AP1063" s="44"/>
      <c r="AQ1063" s="44"/>
      <c r="AR1063" s="44"/>
    </row>
    <row r="1064" spans="1:44" ht="16.8">
      <c r="A1064" s="62" t="s">
        <v>2275</v>
      </c>
      <c r="B1064" s="62"/>
      <c r="C1064" s="62" t="s">
        <v>2272</v>
      </c>
      <c r="D1064" s="19" t="s">
        <v>2273</v>
      </c>
      <c r="E1064" s="20" t="s">
        <v>39</v>
      </c>
      <c r="F1064" s="21">
        <v>2001</v>
      </c>
      <c r="G1064" s="40">
        <v>2023</v>
      </c>
      <c r="H1064" s="23">
        <v>951453675858</v>
      </c>
      <c r="I1064" s="23">
        <v>2259516117246</v>
      </c>
      <c r="J1064" s="23">
        <v>1681388714336</v>
      </c>
      <c r="K1064" s="23">
        <f t="shared" si="384"/>
        <v>1633064114493</v>
      </c>
      <c r="L1064" s="23">
        <v>1064238408484</v>
      </c>
      <c r="M1064" s="23">
        <v>578127402910</v>
      </c>
      <c r="N1064" s="23">
        <v>2001844651227</v>
      </c>
      <c r="O1064" s="25">
        <f t="shared" si="361"/>
        <v>-112784732626</v>
      </c>
      <c r="P1064" s="23">
        <v>85366107</v>
      </c>
      <c r="Q1064" s="23">
        <f>24372348868+26179946975</f>
        <v>50552295843</v>
      </c>
      <c r="R1064" s="25">
        <f t="shared" si="362"/>
        <v>1951292355384</v>
      </c>
      <c r="S1064" s="26">
        <f t="shared" si="363"/>
        <v>0.74413663239780392</v>
      </c>
      <c r="T1064" s="27">
        <f t="shared" si="364"/>
        <v>0.89402305749642974</v>
      </c>
      <c r="U1064" s="26">
        <f t="shared" si="365"/>
        <v>28.446171798875206</v>
      </c>
      <c r="V1064" s="26">
        <f t="shared" si="366"/>
        <v>1.2258212237114103</v>
      </c>
      <c r="W1064" s="143"/>
      <c r="X1064" s="143"/>
      <c r="Y1064" s="143"/>
      <c r="Z1064" s="30"/>
      <c r="AA1064" s="31">
        <f t="shared" si="368"/>
        <v>22</v>
      </c>
      <c r="AB1064" s="32">
        <v>3.2500000000000001E-2</v>
      </c>
      <c r="AC1064" s="32">
        <v>5.0500000000000003E-2</v>
      </c>
      <c r="AD1064" s="33">
        <f t="shared" si="289"/>
        <v>-4.9915436214487865E-2</v>
      </c>
      <c r="AE1064" s="34">
        <f t="shared" si="290"/>
        <v>3.7780702845372066E-5</v>
      </c>
      <c r="AF1064" s="33">
        <f t="shared" si="291"/>
        <v>0.86358859779337316</v>
      </c>
      <c r="AG1064" s="33">
        <f t="shared" si="292"/>
        <v>0</v>
      </c>
      <c r="AH1064" s="35">
        <f t="shared" si="293"/>
        <v>1.1905900367706177</v>
      </c>
      <c r="AI1064" s="36">
        <f t="shared" si="374"/>
        <v>3.9805867790153471</v>
      </c>
      <c r="AJ1064" s="23"/>
      <c r="AK1064" s="101">
        <v>293</v>
      </c>
      <c r="AL1064" s="44"/>
      <c r="AM1064" s="44"/>
      <c r="AN1064" s="44"/>
      <c r="AO1064" s="44"/>
      <c r="AP1064" s="44"/>
      <c r="AQ1064" s="44"/>
      <c r="AR1064" s="44"/>
    </row>
    <row r="1065" spans="1:44" ht="16.8">
      <c r="A1065" s="62" t="s">
        <v>2276</v>
      </c>
      <c r="B1065" s="62">
        <v>412</v>
      </c>
      <c r="C1065" s="62" t="s">
        <v>2277</v>
      </c>
      <c r="D1065" s="19" t="s">
        <v>2278</v>
      </c>
      <c r="E1065" s="20" t="s">
        <v>414</v>
      </c>
      <c r="F1065" s="21">
        <v>2007</v>
      </c>
      <c r="G1065" s="40">
        <v>2021</v>
      </c>
      <c r="H1065" s="23">
        <v>4711549942912</v>
      </c>
      <c r="I1065" s="23">
        <v>4729585355705</v>
      </c>
      <c r="J1065" s="23">
        <v>967910100548</v>
      </c>
      <c r="K1065" s="23">
        <f>(J1065+365748689908)/2</f>
        <v>666829395228</v>
      </c>
      <c r="L1065" s="23">
        <v>449269607690</v>
      </c>
      <c r="M1065" s="23">
        <v>3761675255157</v>
      </c>
      <c r="N1065" s="23">
        <v>1569548466899</v>
      </c>
      <c r="O1065" s="25">
        <f t="shared" si="361"/>
        <v>4262280335222</v>
      </c>
      <c r="P1065" s="23">
        <v>735746990791</v>
      </c>
      <c r="Q1065" s="23">
        <v>597401420434</v>
      </c>
      <c r="R1065" s="25">
        <f t="shared" si="362"/>
        <v>972147046465</v>
      </c>
      <c r="S1065" s="26">
        <f t="shared" si="363"/>
        <v>0.20465009673215248</v>
      </c>
      <c r="T1065" s="27">
        <f t="shared" si="364"/>
        <v>10.487132586460225</v>
      </c>
      <c r="U1065" s="26">
        <f t="shared" si="365"/>
        <v>29.184858651948147</v>
      </c>
      <c r="V1065" s="26">
        <f t="shared" si="366"/>
        <v>2.353748167268999</v>
      </c>
      <c r="W1065" s="143"/>
      <c r="X1065" s="143"/>
      <c r="Y1065" s="143"/>
      <c r="Z1065" s="30">
        <f t="shared" ref="Z1065:Z1067" si="385">X1065*Y1065</f>
        <v>0</v>
      </c>
      <c r="AA1065" s="31">
        <f t="shared" si="368"/>
        <v>14</v>
      </c>
      <c r="AB1065" s="32">
        <v>1.84E-2</v>
      </c>
      <c r="AC1065" s="32">
        <v>2.58E-2</v>
      </c>
      <c r="AD1065" s="33">
        <f t="shared" si="289"/>
        <v>0.90119535110634608</v>
      </c>
      <c r="AE1065" s="34">
        <f t="shared" si="290"/>
        <v>0.15556268371465479</v>
      </c>
      <c r="AF1065" s="33">
        <f t="shared" si="291"/>
        <v>0.20554593549989755</v>
      </c>
      <c r="AG1065" s="33">
        <f t="shared" si="292"/>
        <v>0</v>
      </c>
      <c r="AH1065" s="35">
        <f t="shared" si="293"/>
        <v>1.6215849653912811</v>
      </c>
      <c r="AI1065" s="36">
        <f t="shared" si="374"/>
        <v>3.5991087310690748</v>
      </c>
      <c r="AJ1065" s="23"/>
      <c r="AK1065" s="101">
        <v>294</v>
      </c>
      <c r="AL1065" s="44"/>
      <c r="AM1065" s="44"/>
      <c r="AN1065" s="44"/>
      <c r="AO1065" s="44"/>
      <c r="AP1065" s="44"/>
      <c r="AQ1065" s="44"/>
      <c r="AR1065" s="44"/>
    </row>
    <row r="1066" spans="1:44" ht="16.8">
      <c r="A1066" s="62" t="s">
        <v>2279</v>
      </c>
      <c r="B1066" s="62"/>
      <c r="C1066" s="62" t="s">
        <v>2277</v>
      </c>
      <c r="D1066" s="19" t="s">
        <v>2278</v>
      </c>
      <c r="E1066" s="20" t="s">
        <v>414</v>
      </c>
      <c r="F1066" s="21">
        <v>2007</v>
      </c>
      <c r="G1066" s="40">
        <v>2022</v>
      </c>
      <c r="H1066" s="23">
        <v>8120725819241</v>
      </c>
      <c r="I1066" s="23">
        <v>8148069614040</v>
      </c>
      <c r="J1066" s="23">
        <v>284995914812</v>
      </c>
      <c r="K1066" s="23">
        <f t="shared" ref="K1066:K1067" si="386">SUM(J1065:J1066)/2</f>
        <v>626453007680</v>
      </c>
      <c r="L1066" s="23">
        <v>284848411475</v>
      </c>
      <c r="M1066" s="23">
        <v>7863073699228</v>
      </c>
      <c r="N1066" s="23">
        <v>1187448693563</v>
      </c>
      <c r="O1066" s="25">
        <f t="shared" si="361"/>
        <v>7835877407766</v>
      </c>
      <c r="P1066" s="23">
        <v>311985383871</v>
      </c>
      <c r="Q1066" s="23">
        <v>754823366670</v>
      </c>
      <c r="R1066" s="25">
        <f t="shared" si="362"/>
        <v>432625326893</v>
      </c>
      <c r="S1066" s="26">
        <f t="shared" si="363"/>
        <v>3.4977108482347939E-2</v>
      </c>
      <c r="T1066" s="27">
        <f t="shared" si="364"/>
        <v>28.508938411101948</v>
      </c>
      <c r="U1066" s="26">
        <f t="shared" si="365"/>
        <v>29.728802157953222</v>
      </c>
      <c r="V1066" s="26">
        <f t="shared" si="366"/>
        <v>1.8955112019664269</v>
      </c>
      <c r="W1066" s="143"/>
      <c r="X1066" s="143"/>
      <c r="Y1066" s="143"/>
      <c r="Z1066" s="30">
        <f t="shared" si="385"/>
        <v>0</v>
      </c>
      <c r="AA1066" s="31">
        <f t="shared" si="368"/>
        <v>15</v>
      </c>
      <c r="AB1066" s="32">
        <v>3.15E-2</v>
      </c>
      <c r="AC1066" s="32">
        <v>8.0199999999999994E-2</v>
      </c>
      <c r="AD1066" s="33">
        <f t="shared" si="289"/>
        <v>0.96168513266798072</v>
      </c>
      <c r="AE1066" s="34">
        <f t="shared" si="290"/>
        <v>3.8289484337911843E-2</v>
      </c>
      <c r="AF1066" s="33">
        <f t="shared" si="291"/>
        <v>5.3095438230859007E-2</v>
      </c>
      <c r="AG1066" s="33">
        <f t="shared" si="292"/>
        <v>0</v>
      </c>
      <c r="AH1066" s="35">
        <f t="shared" si="293"/>
        <v>4.1665463673270917</v>
      </c>
      <c r="AI1066" s="36">
        <f t="shared" si="374"/>
        <v>5.5493887507635797</v>
      </c>
      <c r="AJ1066" s="23"/>
      <c r="AK1066" s="101">
        <v>295</v>
      </c>
      <c r="AL1066" s="44"/>
      <c r="AM1066" s="44"/>
      <c r="AN1066" s="44"/>
      <c r="AO1066" s="44"/>
      <c r="AP1066" s="44"/>
      <c r="AQ1066" s="44"/>
      <c r="AR1066" s="44"/>
    </row>
    <row r="1067" spans="1:44" ht="16.8">
      <c r="A1067" s="62" t="s">
        <v>2280</v>
      </c>
      <c r="B1067" s="62"/>
      <c r="C1067" s="62" t="s">
        <v>2277</v>
      </c>
      <c r="D1067" s="19" t="s">
        <v>2278</v>
      </c>
      <c r="E1067" s="20" t="s">
        <v>414</v>
      </c>
      <c r="F1067" s="21">
        <v>2007</v>
      </c>
      <c r="G1067" s="40">
        <v>2023</v>
      </c>
      <c r="H1067" s="23">
        <v>9041916205385</v>
      </c>
      <c r="I1067" s="23">
        <v>9086811828553</v>
      </c>
      <c r="J1067" s="23">
        <v>257314667846</v>
      </c>
      <c r="K1067" s="23">
        <f t="shared" si="386"/>
        <v>271155291329</v>
      </c>
      <c r="L1067" s="23">
        <v>186613270147</v>
      </c>
      <c r="M1067" s="23">
        <v>8829497160707</v>
      </c>
      <c r="N1067" s="23">
        <v>1623956099064</v>
      </c>
      <c r="O1067" s="25">
        <f t="shared" si="361"/>
        <v>8855302935238</v>
      </c>
      <c r="P1067" s="23">
        <v>966423461479</v>
      </c>
      <c r="Q1067" s="23">
        <v>393588793705</v>
      </c>
      <c r="R1067" s="25">
        <f t="shared" si="362"/>
        <v>1230367305359</v>
      </c>
      <c r="S1067" s="26">
        <f t="shared" si="363"/>
        <v>2.8317376072150405E-2</v>
      </c>
      <c r="T1067" s="27">
        <f t="shared" si="364"/>
        <v>48.4526968433834</v>
      </c>
      <c r="U1067" s="26">
        <f t="shared" si="365"/>
        <v>29.837845228663841</v>
      </c>
      <c r="V1067" s="26">
        <f t="shared" si="366"/>
        <v>5.9890260341392727</v>
      </c>
      <c r="W1067" s="143"/>
      <c r="X1067" s="143"/>
      <c r="Y1067" s="143"/>
      <c r="Z1067" s="30">
        <f t="shared" si="385"/>
        <v>0</v>
      </c>
      <c r="AA1067" s="31">
        <f t="shared" si="368"/>
        <v>16</v>
      </c>
      <c r="AB1067" s="32">
        <v>3.2500000000000001E-2</v>
      </c>
      <c r="AC1067" s="32">
        <v>5.0500000000000003E-2</v>
      </c>
      <c r="AD1067" s="33">
        <f t="shared" si="289"/>
        <v>0.97452253907277553</v>
      </c>
      <c r="AE1067" s="34">
        <f t="shared" si="290"/>
        <v>0.10635451462109731</v>
      </c>
      <c r="AF1067" s="33">
        <f t="shared" si="291"/>
        <v>0.13540142885900674</v>
      </c>
      <c r="AG1067" s="33">
        <f t="shared" si="292"/>
        <v>0</v>
      </c>
      <c r="AH1067" s="35">
        <f t="shared" si="293"/>
        <v>6.311168005532898</v>
      </c>
      <c r="AI1067" s="36">
        <f t="shared" si="374"/>
        <v>8.0763160881244875</v>
      </c>
      <c r="AJ1067" s="23"/>
      <c r="AK1067" s="101">
        <v>296</v>
      </c>
      <c r="AL1067" s="44"/>
      <c r="AM1067" s="44"/>
      <c r="AN1067" s="44"/>
      <c r="AO1067" s="44"/>
      <c r="AP1067" s="44"/>
      <c r="AQ1067" s="44"/>
      <c r="AR1067" s="44"/>
    </row>
    <row r="1068" spans="1:44" ht="16.8">
      <c r="A1068" s="62" t="s">
        <v>2281</v>
      </c>
      <c r="B1068" s="62">
        <v>413</v>
      </c>
      <c r="C1068" s="62" t="s">
        <v>2282</v>
      </c>
      <c r="D1068" s="19" t="s">
        <v>2283</v>
      </c>
      <c r="E1068" s="20" t="s">
        <v>178</v>
      </c>
      <c r="F1068" s="21">
        <v>1993</v>
      </c>
      <c r="G1068" s="40">
        <v>2021</v>
      </c>
      <c r="H1068" s="23">
        <v>532519482395</v>
      </c>
      <c r="I1068" s="23">
        <v>681575067011</v>
      </c>
      <c r="J1068" s="23">
        <v>437748109095</v>
      </c>
      <c r="K1068" s="23">
        <f>(J1068+375224840147)/2</f>
        <v>406486474621</v>
      </c>
      <c r="L1068" s="23">
        <v>318340029091</v>
      </c>
      <c r="M1068" s="23">
        <v>119408080004</v>
      </c>
      <c r="N1068" s="23">
        <v>885969642945</v>
      </c>
      <c r="O1068" s="25">
        <f t="shared" si="361"/>
        <v>214179453304</v>
      </c>
      <c r="P1068" s="23">
        <v>2322244815</v>
      </c>
      <c r="Q1068" s="23">
        <f>14818591343+11008912495</f>
        <v>25827503838</v>
      </c>
      <c r="R1068" s="25">
        <f t="shared" si="362"/>
        <v>860142139107</v>
      </c>
      <c r="S1068" s="26">
        <f t="shared" si="363"/>
        <v>0.64225956946270624</v>
      </c>
      <c r="T1068" s="27">
        <f t="shared" si="364"/>
        <v>1.6728008850020402</v>
      </c>
      <c r="U1068" s="26">
        <f t="shared" si="365"/>
        <v>27.247672231702953</v>
      </c>
      <c r="V1068" s="26">
        <f t="shared" si="366"/>
        <v>2.179579637357087</v>
      </c>
      <c r="W1068" s="143"/>
      <c r="X1068" s="143"/>
      <c r="Y1068" s="143"/>
      <c r="Z1068" s="30">
        <f>W1068*Y1068</f>
        <v>0</v>
      </c>
      <c r="AA1068" s="31">
        <f t="shared" si="368"/>
        <v>28</v>
      </c>
      <c r="AB1068" s="32">
        <v>1.84E-2</v>
      </c>
      <c r="AC1068" s="32">
        <v>2.58E-2</v>
      </c>
      <c r="AD1068" s="33">
        <f t="shared" si="289"/>
        <v>0.31424191357713405</v>
      </c>
      <c r="AE1068" s="34">
        <f t="shared" si="290"/>
        <v>3.4071739525097992E-3</v>
      </c>
      <c r="AF1068" s="33">
        <f t="shared" si="291"/>
        <v>1.2619917903967548</v>
      </c>
      <c r="AG1068" s="33">
        <f t="shared" si="292"/>
        <v>0</v>
      </c>
      <c r="AH1068" s="35">
        <f t="shared" si="293"/>
        <v>2.0239256881695109</v>
      </c>
      <c r="AI1068" s="36">
        <f t="shared" si="374"/>
        <v>6.570358936304876</v>
      </c>
      <c r="AJ1068" s="23"/>
      <c r="AK1068" s="23"/>
      <c r="AL1068" s="44"/>
      <c r="AM1068" s="44"/>
      <c r="AN1068" s="44"/>
      <c r="AO1068" s="44"/>
      <c r="AP1068" s="44"/>
      <c r="AQ1068" s="44"/>
      <c r="AR1068" s="44"/>
    </row>
    <row r="1069" spans="1:44" ht="16.8">
      <c r="A1069" s="62" t="s">
        <v>2284</v>
      </c>
      <c r="B1069" s="62"/>
      <c r="C1069" s="62" t="s">
        <v>2282</v>
      </c>
      <c r="D1069" s="19" t="s">
        <v>2283</v>
      </c>
      <c r="E1069" s="20" t="s">
        <v>178</v>
      </c>
      <c r="F1069" s="21">
        <v>1993</v>
      </c>
      <c r="G1069" s="40">
        <v>2022</v>
      </c>
      <c r="H1069" s="23">
        <v>285073332279</v>
      </c>
      <c r="I1069" s="23">
        <v>406241263642</v>
      </c>
      <c r="J1069" s="23">
        <v>401970889673</v>
      </c>
      <c r="K1069" s="23">
        <f t="shared" ref="K1069:K1070" si="387">SUM(J1068:J1069)/2</f>
        <v>419859499384</v>
      </c>
      <c r="L1069" s="23">
        <v>401004564673</v>
      </c>
      <c r="M1069" s="23">
        <v>4270373969</v>
      </c>
      <c r="N1069" s="23">
        <v>264392568119</v>
      </c>
      <c r="O1069" s="25">
        <f t="shared" si="361"/>
        <v>-115931232394</v>
      </c>
      <c r="P1069" s="23">
        <v>-239556583947</v>
      </c>
      <c r="Q1069" s="23">
        <f>10092232784+91452943860</f>
        <v>101545176644</v>
      </c>
      <c r="R1069" s="25">
        <f t="shared" si="362"/>
        <v>162847391475</v>
      </c>
      <c r="S1069" s="26">
        <f t="shared" si="363"/>
        <v>0.98948808417265244</v>
      </c>
      <c r="T1069" s="27">
        <f t="shared" si="364"/>
        <v>0.71089797322248349</v>
      </c>
      <c r="U1069" s="26">
        <f t="shared" si="365"/>
        <v>26.730213065477894</v>
      </c>
      <c r="V1069" s="26">
        <f t="shared" si="366"/>
        <v>0.62971677074570309</v>
      </c>
      <c r="W1069" s="143"/>
      <c r="X1069" s="143"/>
      <c r="Y1069" s="143"/>
      <c r="Z1069" s="30"/>
      <c r="AA1069" s="31">
        <f t="shared" si="368"/>
        <v>29</v>
      </c>
      <c r="AB1069" s="32">
        <v>3.15E-2</v>
      </c>
      <c r="AC1069" s="32">
        <v>8.0199999999999994E-2</v>
      </c>
      <c r="AD1069" s="33">
        <f t="shared" si="289"/>
        <v>-0.28537532439384189</v>
      </c>
      <c r="AE1069" s="34">
        <f t="shared" si="290"/>
        <v>-0.58969042632288871</v>
      </c>
      <c r="AF1069" s="33">
        <f t="shared" si="291"/>
        <v>0.40086373800399855</v>
      </c>
      <c r="AG1069" s="33">
        <f t="shared" si="292"/>
        <v>0</v>
      </c>
      <c r="AH1069" s="35">
        <f t="shared" si="293"/>
        <v>0.65774058498136811</v>
      </c>
      <c r="AI1069" s="36">
        <f t="shared" si="374"/>
        <v>0.81257393426990887</v>
      </c>
      <c r="AJ1069" s="23"/>
      <c r="AK1069" s="23"/>
      <c r="AL1069" s="44"/>
      <c r="AM1069" s="44"/>
      <c r="AN1069" s="44"/>
      <c r="AO1069" s="44"/>
      <c r="AP1069" s="44"/>
      <c r="AQ1069" s="44"/>
      <c r="AR1069" s="44"/>
    </row>
    <row r="1070" spans="1:44" ht="16.8">
      <c r="A1070" s="62" t="s">
        <v>2285</v>
      </c>
      <c r="B1070" s="62"/>
      <c r="C1070" s="62" t="s">
        <v>2282</v>
      </c>
      <c r="D1070" s="19" t="s">
        <v>2283</v>
      </c>
      <c r="E1070" s="20" t="s">
        <v>178</v>
      </c>
      <c r="F1070" s="21">
        <v>1993</v>
      </c>
      <c r="G1070" s="40">
        <v>2023</v>
      </c>
      <c r="H1070" s="23">
        <v>255873795983</v>
      </c>
      <c r="I1070" s="23">
        <v>358691235185</v>
      </c>
      <c r="J1070" s="23">
        <v>442839184037</v>
      </c>
      <c r="K1070" s="23">
        <f t="shared" si="387"/>
        <v>422405036855</v>
      </c>
      <c r="L1070" s="23">
        <v>442839184037</v>
      </c>
      <c r="M1070" s="23">
        <v>-84147948852</v>
      </c>
      <c r="N1070" s="23">
        <v>29966045220</v>
      </c>
      <c r="O1070" s="25">
        <f t="shared" si="361"/>
        <v>-186965388054</v>
      </c>
      <c r="P1070" s="23">
        <v>-88418322821</v>
      </c>
      <c r="Q1070" s="23">
        <f>5093426141+34175531313</f>
        <v>39268957454</v>
      </c>
      <c r="R1070" s="25">
        <f t="shared" si="362"/>
        <v>-9302912234</v>
      </c>
      <c r="S1070" s="26">
        <f t="shared" si="363"/>
        <v>1.2345971704845242</v>
      </c>
      <c r="T1070" s="27">
        <f t="shared" si="364"/>
        <v>0.57780297048334661</v>
      </c>
      <c r="U1070" s="26">
        <f t="shared" si="365"/>
        <v>26.605727786240472</v>
      </c>
      <c r="V1070" s="26">
        <f t="shared" si="366"/>
        <v>7.094149597057603E-2</v>
      </c>
      <c r="W1070" s="143"/>
      <c r="X1070" s="143"/>
      <c r="Y1070" s="143"/>
      <c r="Z1070" s="30"/>
      <c r="AA1070" s="31">
        <f t="shared" si="368"/>
        <v>30</v>
      </c>
      <c r="AB1070" s="32">
        <v>3.2500000000000001E-2</v>
      </c>
      <c r="AC1070" s="32">
        <v>5.0500000000000003E-2</v>
      </c>
      <c r="AD1070" s="33">
        <f t="shared" si="289"/>
        <v>-0.52124325802823146</v>
      </c>
      <c r="AE1070" s="34">
        <f t="shared" si="290"/>
        <v>-0.24650260209284741</v>
      </c>
      <c r="AF1070" s="33">
        <f t="shared" si="291"/>
        <v>-2.593571105578282E-2</v>
      </c>
      <c r="AG1070" s="33">
        <f t="shared" si="292"/>
        <v>0</v>
      </c>
      <c r="AH1070" s="35">
        <f t="shared" si="293"/>
        <v>6.7668007484848691E-2</v>
      </c>
      <c r="AI1070" s="36">
        <f t="shared" si="374"/>
        <v>-0.98851539156309876</v>
      </c>
      <c r="AJ1070" s="23"/>
      <c r="AK1070" s="23"/>
      <c r="AL1070" s="44"/>
      <c r="AM1070" s="44"/>
      <c r="AN1070" s="44"/>
      <c r="AO1070" s="44"/>
      <c r="AP1070" s="44"/>
      <c r="AQ1070" s="44"/>
      <c r="AR1070" s="44"/>
    </row>
    <row r="1071" spans="1:44" ht="16.8">
      <c r="A1071" s="62" t="s">
        <v>2286</v>
      </c>
      <c r="B1071" s="62">
        <v>414</v>
      </c>
      <c r="C1071" s="62" t="s">
        <v>2287</v>
      </c>
      <c r="D1071" s="19" t="s">
        <v>2288</v>
      </c>
      <c r="E1071" s="20" t="s">
        <v>39</v>
      </c>
      <c r="F1071" s="21">
        <v>2007</v>
      </c>
      <c r="G1071" s="40">
        <v>2021</v>
      </c>
      <c r="H1071" s="23">
        <v>16699931706</v>
      </c>
      <c r="I1071" s="23">
        <v>25260223188</v>
      </c>
      <c r="J1071" s="23">
        <v>4529199666</v>
      </c>
      <c r="K1071" s="23">
        <f>(J1071+241783556)/2</f>
        <v>2385491611</v>
      </c>
      <c r="L1071" s="23">
        <v>4529199666</v>
      </c>
      <c r="M1071" s="23">
        <v>20731023522</v>
      </c>
      <c r="N1071" s="23">
        <v>14454237799</v>
      </c>
      <c r="O1071" s="25">
        <f t="shared" si="361"/>
        <v>12170732040</v>
      </c>
      <c r="P1071" s="23">
        <v>5667821303</v>
      </c>
      <c r="Q1071" s="23">
        <f>127429600+3970754583</f>
        <v>4098184183</v>
      </c>
      <c r="R1071" s="25">
        <f t="shared" si="362"/>
        <v>10356053616</v>
      </c>
      <c r="S1071" s="26">
        <f t="shared" si="363"/>
        <v>0.17930164877369809</v>
      </c>
      <c r="T1071" s="27">
        <f t="shared" si="364"/>
        <v>3.687170568205195</v>
      </c>
      <c r="U1071" s="26">
        <f t="shared" si="365"/>
        <v>23.952496789459175</v>
      </c>
      <c r="V1071" s="26">
        <f t="shared" si="366"/>
        <v>6.0592280988742493</v>
      </c>
      <c r="W1071" s="143"/>
      <c r="X1071" s="143"/>
      <c r="Y1071" s="143"/>
      <c r="Z1071" s="30">
        <f>W1071*Y1071</f>
        <v>0</v>
      </c>
      <c r="AA1071" s="31">
        <f t="shared" si="368"/>
        <v>14</v>
      </c>
      <c r="AB1071" s="32">
        <v>1.84E-2</v>
      </c>
      <c r="AC1071" s="32">
        <v>2.58E-2</v>
      </c>
      <c r="AD1071" s="33">
        <f t="shared" si="289"/>
        <v>0.48181411341534658</v>
      </c>
      <c r="AE1071" s="34">
        <f t="shared" si="290"/>
        <v>0.22437732480893233</v>
      </c>
      <c r="AF1071" s="33">
        <f t="shared" si="291"/>
        <v>0.40997474721124783</v>
      </c>
      <c r="AG1071" s="33">
        <f t="shared" si="292"/>
        <v>0</v>
      </c>
      <c r="AH1071" s="35">
        <f t="shared" si="293"/>
        <v>3.1913447992822492</v>
      </c>
      <c r="AI1071" s="36">
        <f t="shared" si="374"/>
        <v>5.4365666559102879</v>
      </c>
      <c r="AJ1071" s="23"/>
      <c r="AK1071" s="101">
        <v>297</v>
      </c>
      <c r="AL1071" s="44"/>
      <c r="AM1071" s="44"/>
      <c r="AN1071" s="44"/>
      <c r="AO1071" s="44"/>
      <c r="AP1071" s="44"/>
      <c r="AQ1071" s="44"/>
      <c r="AR1071" s="44"/>
    </row>
    <row r="1072" spans="1:44" ht="16.8">
      <c r="A1072" s="62" t="s">
        <v>2289</v>
      </c>
      <c r="B1072" s="62"/>
      <c r="C1072" s="62" t="s">
        <v>2287</v>
      </c>
      <c r="D1072" s="19" t="s">
        <v>2288</v>
      </c>
      <c r="E1072" s="20" t="s">
        <v>39</v>
      </c>
      <c r="F1072" s="21">
        <v>2007</v>
      </c>
      <c r="G1072" s="40">
        <v>2022</v>
      </c>
      <c r="H1072" s="23">
        <v>7306814864</v>
      </c>
      <c r="I1072" s="23">
        <v>26214270994</v>
      </c>
      <c r="J1072" s="23">
        <v>2497397094</v>
      </c>
      <c r="K1072" s="23">
        <f t="shared" ref="K1072:K1073" si="388">SUM(J1071:J1072)/2</f>
        <v>3513298380</v>
      </c>
      <c r="L1072" s="23">
        <v>2497397094</v>
      </c>
      <c r="M1072" s="23">
        <v>23716873900</v>
      </c>
      <c r="N1072" s="23">
        <v>32478571750</v>
      </c>
      <c r="O1072" s="25">
        <f t="shared" si="361"/>
        <v>4809417770</v>
      </c>
      <c r="P1072" s="23">
        <v>3639206804</v>
      </c>
      <c r="Q1072" s="23">
        <f>8183619910+4153378478</f>
        <v>12336998388</v>
      </c>
      <c r="R1072" s="25">
        <f t="shared" si="362"/>
        <v>20141573362</v>
      </c>
      <c r="S1072" s="26">
        <f t="shared" si="363"/>
        <v>9.5268607491377943E-2</v>
      </c>
      <c r="T1072" s="27">
        <f t="shared" si="364"/>
        <v>2.9257721495530817</v>
      </c>
      <c r="U1072" s="26">
        <f t="shared" si="365"/>
        <v>23.98956979384878</v>
      </c>
      <c r="V1072" s="26">
        <f t="shared" si="366"/>
        <v>9.2444672319576799</v>
      </c>
      <c r="W1072" s="143"/>
      <c r="X1072" s="143"/>
      <c r="Y1072" s="143"/>
      <c r="Z1072" s="30"/>
      <c r="AA1072" s="31">
        <f t="shared" si="368"/>
        <v>15</v>
      </c>
      <c r="AB1072" s="32">
        <v>3.15E-2</v>
      </c>
      <c r="AC1072" s="32">
        <v>8.0199999999999994E-2</v>
      </c>
      <c r="AD1072" s="33">
        <f t="shared" si="289"/>
        <v>0.18346563103359975</v>
      </c>
      <c r="AE1072" s="34">
        <f t="shared" si="290"/>
        <v>0.13882540562859644</v>
      </c>
      <c r="AF1072" s="33">
        <f t="shared" si="291"/>
        <v>0.76834382945877311</v>
      </c>
      <c r="AG1072" s="33">
        <f t="shared" si="292"/>
        <v>0</v>
      </c>
      <c r="AH1072" s="35">
        <f t="shared" si="293"/>
        <v>13.004968984720056</v>
      </c>
      <c r="AI1072" s="36">
        <f t="shared" si="374"/>
        <v>15.955017947054362</v>
      </c>
      <c r="AJ1072" s="23"/>
      <c r="AK1072" s="101">
        <v>298</v>
      </c>
      <c r="AL1072" s="44"/>
      <c r="AM1072" s="44"/>
      <c r="AN1072" s="44"/>
      <c r="AO1072" s="44"/>
      <c r="AP1072" s="44"/>
      <c r="AQ1072" s="44"/>
      <c r="AR1072" s="44"/>
    </row>
    <row r="1073" spans="1:44" ht="16.8">
      <c r="A1073" s="62" t="s">
        <v>2290</v>
      </c>
      <c r="B1073" s="62"/>
      <c r="C1073" s="62" t="s">
        <v>2287</v>
      </c>
      <c r="D1073" s="19" t="s">
        <v>2288</v>
      </c>
      <c r="E1073" s="20" t="s">
        <v>39</v>
      </c>
      <c r="F1073" s="21">
        <v>2007</v>
      </c>
      <c r="G1073" s="40">
        <v>2023</v>
      </c>
      <c r="H1073" s="23">
        <v>26510757399</v>
      </c>
      <c r="I1073" s="23">
        <v>45371154006</v>
      </c>
      <c r="J1073" s="23">
        <v>1817820937</v>
      </c>
      <c r="K1073" s="23">
        <f t="shared" si="388"/>
        <v>2157609015.5</v>
      </c>
      <c r="L1073" s="23">
        <v>1817820937</v>
      </c>
      <c r="M1073" s="23">
        <v>43553333069</v>
      </c>
      <c r="N1073" s="23">
        <v>10986743145</v>
      </c>
      <c r="O1073" s="25">
        <f t="shared" si="361"/>
        <v>24692936462</v>
      </c>
      <c r="P1073" s="23">
        <v>131943305</v>
      </c>
      <c r="Q1073" s="23">
        <f>5784620560+2317283176</f>
        <v>8101903736</v>
      </c>
      <c r="R1073" s="25">
        <f t="shared" si="362"/>
        <v>2884839409</v>
      </c>
      <c r="S1073" s="26">
        <f t="shared" si="363"/>
        <v>4.0065565375736453E-2</v>
      </c>
      <c r="T1073" s="27">
        <f t="shared" si="364"/>
        <v>14.583811232118073</v>
      </c>
      <c r="U1073" s="26">
        <f t="shared" si="365"/>
        <v>24.538142365740729</v>
      </c>
      <c r="V1073" s="26">
        <f t="shared" si="366"/>
        <v>5.0920917858947465</v>
      </c>
      <c r="W1073" s="143"/>
      <c r="X1073" s="143"/>
      <c r="Y1073" s="143"/>
      <c r="Z1073" s="30"/>
      <c r="AA1073" s="31">
        <f t="shared" si="368"/>
        <v>16</v>
      </c>
      <c r="AB1073" s="32">
        <v>3.2500000000000001E-2</v>
      </c>
      <c r="AC1073" s="32">
        <v>5.0500000000000003E-2</v>
      </c>
      <c r="AD1073" s="33">
        <f t="shared" si="289"/>
        <v>0.54424307697208985</v>
      </c>
      <c r="AE1073" s="34">
        <f t="shared" si="290"/>
        <v>2.9080879226160189E-3</v>
      </c>
      <c r="AF1073" s="33">
        <f t="shared" si="291"/>
        <v>6.358311733967581E-2</v>
      </c>
      <c r="AG1073" s="33">
        <f t="shared" si="292"/>
        <v>0</v>
      </c>
      <c r="AH1073" s="35">
        <f t="shared" si="293"/>
        <v>6.043908352784034</v>
      </c>
      <c r="AI1073" s="36">
        <f t="shared" si="374"/>
        <v>6.9108956554631344</v>
      </c>
      <c r="AJ1073" s="23"/>
      <c r="AK1073" s="101">
        <v>299</v>
      </c>
      <c r="AL1073" s="44"/>
      <c r="AM1073" s="44"/>
      <c r="AN1073" s="44"/>
      <c r="AO1073" s="44"/>
      <c r="AP1073" s="44"/>
      <c r="AQ1073" s="44"/>
      <c r="AR1073" s="44"/>
    </row>
    <row r="1074" spans="1:44" ht="16.8">
      <c r="A1074" s="62" t="s">
        <v>2291</v>
      </c>
      <c r="B1074" s="62">
        <v>415</v>
      </c>
      <c r="C1074" s="62" t="s">
        <v>2292</v>
      </c>
      <c r="D1074" s="19" t="s">
        <v>2293</v>
      </c>
      <c r="E1074" s="20" t="s">
        <v>39</v>
      </c>
      <c r="F1074" s="21">
        <v>1997</v>
      </c>
      <c r="G1074" s="40">
        <v>2021</v>
      </c>
      <c r="H1074" s="23">
        <v>840191116650</v>
      </c>
      <c r="I1074" s="23">
        <v>1016647202905</v>
      </c>
      <c r="J1074" s="23">
        <v>667535357225</v>
      </c>
      <c r="K1074" s="23">
        <f>(J1074+714253875193)/2</f>
        <v>690894616209</v>
      </c>
      <c r="L1074" s="23">
        <v>641895794099</v>
      </c>
      <c r="M1074" s="23">
        <v>349111845680</v>
      </c>
      <c r="N1074" s="23">
        <v>765899475829</v>
      </c>
      <c r="O1074" s="25">
        <f t="shared" si="361"/>
        <v>198295322551</v>
      </c>
      <c r="P1074" s="23">
        <v>3668113695</v>
      </c>
      <c r="Q1074" s="23">
        <f>17588371571-35203856122</f>
        <v>-17615484551</v>
      </c>
      <c r="R1074" s="25">
        <f t="shared" si="362"/>
        <v>783514960380</v>
      </c>
      <c r="S1074" s="26">
        <f t="shared" si="363"/>
        <v>0.65660472513725832</v>
      </c>
      <c r="T1074" s="27">
        <f t="shared" si="364"/>
        <v>1.308921361339247</v>
      </c>
      <c r="U1074" s="26">
        <f t="shared" si="365"/>
        <v>27.647531273012891</v>
      </c>
      <c r="V1074" s="26">
        <f t="shared" si="366"/>
        <v>1.108561939636407</v>
      </c>
      <c r="W1074" s="143"/>
      <c r="X1074" s="143"/>
      <c r="Y1074" s="143"/>
      <c r="Z1074" s="30">
        <f>W1074*Y1074</f>
        <v>0</v>
      </c>
      <c r="AA1074" s="31">
        <f t="shared" si="368"/>
        <v>24</v>
      </c>
      <c r="AB1074" s="32">
        <v>1.84E-2</v>
      </c>
      <c r="AC1074" s="32">
        <v>2.58E-2</v>
      </c>
      <c r="AD1074" s="33">
        <f t="shared" si="289"/>
        <v>0.19504831369661438</v>
      </c>
      <c r="AE1074" s="34">
        <f t="shared" si="290"/>
        <v>3.6080497585776221E-3</v>
      </c>
      <c r="AF1074" s="33">
        <f t="shared" si="291"/>
        <v>0.770685207357242</v>
      </c>
      <c r="AG1074" s="33">
        <f t="shared" si="292"/>
        <v>0</v>
      </c>
      <c r="AH1074" s="35">
        <f t="shared" si="293"/>
        <v>1.1473541701415007</v>
      </c>
      <c r="AI1074" s="36">
        <f t="shared" si="374"/>
        <v>3.9297246005183455</v>
      </c>
      <c r="AJ1074" s="23"/>
      <c r="AK1074" s="101">
        <v>300</v>
      </c>
      <c r="AL1074" s="44"/>
      <c r="AM1074" s="44"/>
      <c r="AN1074" s="44"/>
      <c r="AO1074" s="44"/>
      <c r="AP1074" s="44"/>
      <c r="AQ1074" s="44"/>
      <c r="AR1074" s="44"/>
    </row>
    <row r="1075" spans="1:44" ht="16.8">
      <c r="A1075" s="62" t="s">
        <v>2294</v>
      </c>
      <c r="B1075" s="62"/>
      <c r="C1075" s="62" t="s">
        <v>2292</v>
      </c>
      <c r="D1075" s="19" t="s">
        <v>2293</v>
      </c>
      <c r="E1075" s="20" t="s">
        <v>39</v>
      </c>
      <c r="F1075" s="21">
        <v>1997</v>
      </c>
      <c r="G1075" s="40">
        <v>2022</v>
      </c>
      <c r="H1075" s="23">
        <v>1359977234436</v>
      </c>
      <c r="I1075" s="23">
        <v>1618169632395</v>
      </c>
      <c r="J1075" s="23">
        <v>1267489657607</v>
      </c>
      <c r="K1075" s="23">
        <f>(J1075+668607464209)/2</f>
        <v>968048560908</v>
      </c>
      <c r="L1075" s="23">
        <v>1211173668199</v>
      </c>
      <c r="M1075" s="23">
        <v>350679974788</v>
      </c>
      <c r="N1075" s="23">
        <v>918445134365</v>
      </c>
      <c r="O1075" s="25">
        <f t="shared" si="361"/>
        <v>148803566237</v>
      </c>
      <c r="P1075" s="23">
        <v>2764015095</v>
      </c>
      <c r="Q1075" s="23">
        <f>-9141859872+43514120497</f>
        <v>34372260625</v>
      </c>
      <c r="R1075" s="25">
        <f t="shared" si="362"/>
        <v>884072873740</v>
      </c>
      <c r="S1075" s="26">
        <f t="shared" si="363"/>
        <v>0.78328602405609971</v>
      </c>
      <c r="T1075" s="27">
        <f t="shared" si="364"/>
        <v>1.1228589839294221</v>
      </c>
      <c r="U1075" s="26">
        <f t="shared" si="365"/>
        <v>28.112316769857447</v>
      </c>
      <c r="V1075" s="26">
        <f t="shared" si="366"/>
        <v>0.94875936131088967</v>
      </c>
      <c r="W1075" s="143"/>
      <c r="X1075" s="143"/>
      <c r="Y1075" s="143"/>
      <c r="Z1075" s="30"/>
      <c r="AA1075" s="31">
        <f t="shared" si="368"/>
        <v>25</v>
      </c>
      <c r="AB1075" s="32">
        <v>3.15E-2</v>
      </c>
      <c r="AC1075" s="32">
        <v>8.0199999999999994E-2</v>
      </c>
      <c r="AD1075" s="33">
        <f t="shared" si="289"/>
        <v>9.1957952527363093E-2</v>
      </c>
      <c r="AE1075" s="34">
        <f t="shared" si="290"/>
        <v>1.708112079021698E-3</v>
      </c>
      <c r="AF1075" s="33">
        <f t="shared" si="291"/>
        <v>0.54634128341137678</v>
      </c>
      <c r="AG1075" s="33">
        <f t="shared" si="292"/>
        <v>0</v>
      </c>
      <c r="AH1075" s="35">
        <f t="shared" si="293"/>
        <v>0.72461745849588199</v>
      </c>
      <c r="AI1075" s="36">
        <f t="shared" si="374"/>
        <v>2.6402845936968911</v>
      </c>
      <c r="AJ1075" s="23"/>
      <c r="AK1075" s="101">
        <v>301</v>
      </c>
      <c r="AL1075" s="44"/>
      <c r="AM1075" s="44"/>
      <c r="AN1075" s="44"/>
      <c r="AO1075" s="44"/>
      <c r="AP1075" s="44"/>
      <c r="AQ1075" s="44"/>
      <c r="AR1075" s="44"/>
    </row>
    <row r="1076" spans="1:44" ht="16.8">
      <c r="A1076" s="62" t="s">
        <v>2295</v>
      </c>
      <c r="B1076" s="62"/>
      <c r="C1076" s="62" t="s">
        <v>2292</v>
      </c>
      <c r="D1076" s="19" t="s">
        <v>2293</v>
      </c>
      <c r="E1076" s="20" t="s">
        <v>39</v>
      </c>
      <c r="F1076" s="21">
        <v>1997</v>
      </c>
      <c r="G1076" s="40">
        <v>2023</v>
      </c>
      <c r="H1076" s="23">
        <v>1203632846416</v>
      </c>
      <c r="I1076" s="23">
        <v>1452959489393</v>
      </c>
      <c r="J1076" s="23">
        <v>1009330348691</v>
      </c>
      <c r="K1076" s="23">
        <f>SUM(J1075:J1076)/2</f>
        <v>1138410003149</v>
      </c>
      <c r="L1076" s="23">
        <v>1065064220512</v>
      </c>
      <c r="M1076" s="23">
        <v>353629140702</v>
      </c>
      <c r="N1076" s="23">
        <v>1172412058367</v>
      </c>
      <c r="O1076" s="25">
        <f t="shared" si="361"/>
        <v>138568625904</v>
      </c>
      <c r="P1076" s="23">
        <v>4661140433</v>
      </c>
      <c r="Q1076" s="23">
        <v>44683596784</v>
      </c>
      <c r="R1076" s="25">
        <f t="shared" si="362"/>
        <v>1127728461583</v>
      </c>
      <c r="S1076" s="26">
        <f t="shared" si="363"/>
        <v>0.69467205112006658</v>
      </c>
      <c r="T1076" s="27">
        <f t="shared" si="364"/>
        <v>1.1301035404582336</v>
      </c>
      <c r="U1076" s="26">
        <f t="shared" si="365"/>
        <v>28.004623619462503</v>
      </c>
      <c r="V1076" s="26">
        <f t="shared" si="366"/>
        <v>1.0298680221747398</v>
      </c>
      <c r="W1076" s="143"/>
      <c r="X1076" s="143"/>
      <c r="Y1076" s="143"/>
      <c r="Z1076" s="30"/>
      <c r="AA1076" s="31">
        <f t="shared" si="368"/>
        <v>26</v>
      </c>
      <c r="AB1076" s="32">
        <v>3.2500000000000001E-2</v>
      </c>
      <c r="AC1076" s="32">
        <v>5.0500000000000003E-2</v>
      </c>
      <c r="AD1076" s="33">
        <f t="shared" si="289"/>
        <v>9.5369916997403381E-2</v>
      </c>
      <c r="AE1076" s="34">
        <f t="shared" si="290"/>
        <v>3.2080319286446695E-3</v>
      </c>
      <c r="AF1076" s="33">
        <f t="shared" si="291"/>
        <v>0.77615960377128534</v>
      </c>
      <c r="AG1076" s="33">
        <f t="shared" si="292"/>
        <v>0</v>
      </c>
      <c r="AH1076" s="35">
        <f t="shared" si="293"/>
        <v>1.1615741663643628</v>
      </c>
      <c r="AI1076" s="36">
        <f t="shared" si="374"/>
        <v>3.8418360039065904</v>
      </c>
      <c r="AJ1076" s="23"/>
      <c r="AK1076" s="101">
        <v>302</v>
      </c>
      <c r="AL1076" s="44"/>
      <c r="AM1076" s="44"/>
      <c r="AN1076" s="44"/>
      <c r="AO1076" s="44"/>
      <c r="AP1076" s="44"/>
      <c r="AQ1076" s="44"/>
      <c r="AR1076" s="44"/>
    </row>
    <row r="1077" spans="1:44" ht="16.8">
      <c r="A1077" s="62" t="s">
        <v>2296</v>
      </c>
      <c r="B1077" s="62">
        <v>416</v>
      </c>
      <c r="C1077" s="62" t="s">
        <v>2297</v>
      </c>
      <c r="D1077" s="19" t="s">
        <v>2298</v>
      </c>
      <c r="E1077" s="20" t="s">
        <v>178</v>
      </c>
      <c r="F1077" s="21">
        <v>1995</v>
      </c>
      <c r="G1077" s="40">
        <v>2021</v>
      </c>
      <c r="H1077" s="23">
        <v>18842288704</v>
      </c>
      <c r="I1077" s="23">
        <v>105391851218</v>
      </c>
      <c r="J1077" s="23">
        <v>84230723962</v>
      </c>
      <c r="K1077" s="23">
        <f>(J1077+9524444486248)/2</f>
        <v>4804337605105</v>
      </c>
      <c r="L1077" s="23">
        <v>61907298599</v>
      </c>
      <c r="M1077" s="23">
        <v>21161127256</v>
      </c>
      <c r="N1077" s="23">
        <v>290933877780</v>
      </c>
      <c r="O1077" s="25">
        <f t="shared" si="361"/>
        <v>-43065009895</v>
      </c>
      <c r="P1077" s="23">
        <v>2577821699</v>
      </c>
      <c r="Q1077" s="23">
        <f>28725874369+7158944676</f>
        <v>35884819045</v>
      </c>
      <c r="R1077" s="25">
        <f t="shared" si="362"/>
        <v>255049058735</v>
      </c>
      <c r="S1077" s="26">
        <f t="shared" si="363"/>
        <v>0.7992147683958144</v>
      </c>
      <c r="T1077" s="27">
        <f t="shared" si="364"/>
        <v>0.30436296091757364</v>
      </c>
      <c r="U1077" s="26">
        <f t="shared" si="365"/>
        <v>25.380951157142675</v>
      </c>
      <c r="V1077" s="26">
        <f t="shared" si="366"/>
        <v>6.0556501581166787E-2</v>
      </c>
      <c r="W1077" s="143"/>
      <c r="X1077" s="143"/>
      <c r="Y1077" s="143"/>
      <c r="Z1077" s="30">
        <f>W1077*Y1077</f>
        <v>0</v>
      </c>
      <c r="AA1077" s="31">
        <f t="shared" si="368"/>
        <v>26</v>
      </c>
      <c r="AB1077" s="32">
        <v>1.84E-2</v>
      </c>
      <c r="AC1077" s="32">
        <v>2.58E-2</v>
      </c>
      <c r="AD1077" s="33">
        <f t="shared" si="289"/>
        <v>-0.40861802309479572</v>
      </c>
      <c r="AE1077" s="34">
        <f t="shared" si="290"/>
        <v>2.445940240358669E-2</v>
      </c>
      <c r="AF1077" s="33">
        <f t="shared" si="291"/>
        <v>2.4200073894464422</v>
      </c>
      <c r="AG1077" s="33">
        <f t="shared" si="292"/>
        <v>0</v>
      </c>
      <c r="AH1077" s="35">
        <f t="shared" si="293"/>
        <v>3.4540113642054462</v>
      </c>
      <c r="AI1077" s="36">
        <f t="shared" si="374"/>
        <v>10.983937285029972</v>
      </c>
      <c r="AJ1077" s="23"/>
      <c r="AK1077" s="23"/>
      <c r="AL1077" s="44"/>
      <c r="AM1077" s="44"/>
      <c r="AN1077" s="44"/>
      <c r="AO1077" s="44"/>
      <c r="AP1077" s="44"/>
      <c r="AQ1077" s="44"/>
      <c r="AR1077" s="44"/>
    </row>
    <row r="1078" spans="1:44" ht="16.8">
      <c r="A1078" s="62" t="s">
        <v>2299</v>
      </c>
      <c r="B1078" s="62"/>
      <c r="C1078" s="62" t="s">
        <v>2297</v>
      </c>
      <c r="D1078" s="19" t="s">
        <v>2298</v>
      </c>
      <c r="E1078" s="20" t="s">
        <v>178</v>
      </c>
      <c r="F1078" s="21">
        <v>1995</v>
      </c>
      <c r="G1078" s="40">
        <v>2022</v>
      </c>
      <c r="H1078" s="23">
        <v>47439062560</v>
      </c>
      <c r="I1078" s="23">
        <v>131409874250</v>
      </c>
      <c r="J1078" s="23">
        <v>112283091703</v>
      </c>
      <c r="K1078" s="23">
        <f>(J1078+86147757291)/2</f>
        <v>99215424497</v>
      </c>
      <c r="L1078" s="23">
        <v>91714017217</v>
      </c>
      <c r="M1078" s="23">
        <v>19126782547</v>
      </c>
      <c r="N1078" s="23">
        <v>285619028811</v>
      </c>
      <c r="O1078" s="25">
        <f t="shared" si="361"/>
        <v>-44274954657</v>
      </c>
      <c r="P1078" s="23">
        <v>-28970660</v>
      </c>
      <c r="Q1078" s="23">
        <f>31212300926+8617340139</f>
        <v>39829641065</v>
      </c>
      <c r="R1078" s="25">
        <f t="shared" si="362"/>
        <v>245789387746</v>
      </c>
      <c r="S1078" s="26">
        <f t="shared" si="363"/>
        <v>0.85444942660387635</v>
      </c>
      <c r="T1078" s="27">
        <f t="shared" si="364"/>
        <v>0.51724985993969474</v>
      </c>
      <c r="U1078" s="26">
        <f t="shared" si="365"/>
        <v>25.601587086672804</v>
      </c>
      <c r="V1078" s="26">
        <f t="shared" si="366"/>
        <v>2.8787764630250243</v>
      </c>
      <c r="W1078" s="143"/>
      <c r="X1078" s="143"/>
      <c r="Y1078" s="143"/>
      <c r="Z1078" s="30"/>
      <c r="AA1078" s="31">
        <f t="shared" si="368"/>
        <v>27</v>
      </c>
      <c r="AB1078" s="32">
        <v>3.15E-2</v>
      </c>
      <c r="AC1078" s="32">
        <v>8.0199999999999994E-2</v>
      </c>
      <c r="AD1078" s="33">
        <f t="shared" si="289"/>
        <v>-0.33692258599052727</v>
      </c>
      <c r="AE1078" s="34">
        <f t="shared" si="290"/>
        <v>-2.204602977161741E-4</v>
      </c>
      <c r="AF1078" s="33">
        <f t="shared" si="291"/>
        <v>1.8704027315207632</v>
      </c>
      <c r="AG1078" s="33">
        <f t="shared" si="292"/>
        <v>0</v>
      </c>
      <c r="AH1078" s="35">
        <f t="shared" si="293"/>
        <v>2.5437403306144337</v>
      </c>
      <c r="AI1078" s="36">
        <f t="shared" si="374"/>
        <v>8.3114535970275174</v>
      </c>
      <c r="AJ1078" s="23"/>
      <c r="AK1078" s="23"/>
      <c r="AL1078" s="44"/>
      <c r="AM1078" s="44"/>
      <c r="AN1078" s="44"/>
      <c r="AO1078" s="44"/>
      <c r="AP1078" s="44"/>
      <c r="AQ1078" s="44"/>
      <c r="AR1078" s="44"/>
    </row>
    <row r="1079" spans="1:44" ht="16.8">
      <c r="A1079" s="62" t="s">
        <v>2300</v>
      </c>
      <c r="B1079" s="62"/>
      <c r="C1079" s="62" t="s">
        <v>2297</v>
      </c>
      <c r="D1079" s="19" t="s">
        <v>2298</v>
      </c>
      <c r="E1079" s="20" t="s">
        <v>178</v>
      </c>
      <c r="F1079" s="21">
        <v>1995</v>
      </c>
      <c r="G1079" s="40">
        <v>2023</v>
      </c>
      <c r="H1079" s="23">
        <v>54208067510</v>
      </c>
      <c r="I1079" s="23">
        <v>125418109565</v>
      </c>
      <c r="J1079" s="23">
        <v>105738000567</v>
      </c>
      <c r="K1079" s="23">
        <f>SUM(J1078:J1079)/2</f>
        <v>109010546135</v>
      </c>
      <c r="L1079" s="23">
        <v>53433957212</v>
      </c>
      <c r="M1079" s="23">
        <v>19680108998</v>
      </c>
      <c r="N1079" s="23">
        <v>1302090832721</v>
      </c>
      <c r="O1079" s="25">
        <f t="shared" si="361"/>
        <v>774110298</v>
      </c>
      <c r="P1079" s="23">
        <v>553326451</v>
      </c>
      <c r="Q1079" s="23">
        <f>37404884192+8644913699</f>
        <v>46049797891</v>
      </c>
      <c r="R1079" s="25">
        <f t="shared" si="362"/>
        <v>1256041034830</v>
      </c>
      <c r="S1079" s="26">
        <f t="shared" si="363"/>
        <v>0.84308399268448186</v>
      </c>
      <c r="T1079" s="27">
        <f t="shared" si="364"/>
        <v>1.0144872350540819</v>
      </c>
      <c r="U1079" s="26">
        <f t="shared" si="365"/>
        <v>25.554918869112417</v>
      </c>
      <c r="V1079" s="26">
        <f t="shared" si="366"/>
        <v>11.944631770842379</v>
      </c>
      <c r="W1079" s="143"/>
      <c r="X1079" s="143"/>
      <c r="Y1079" s="143"/>
      <c r="Z1079" s="30"/>
      <c r="AA1079" s="31">
        <f t="shared" si="368"/>
        <v>28</v>
      </c>
      <c r="AB1079" s="32">
        <v>3.2500000000000001E-2</v>
      </c>
      <c r="AC1079" s="32">
        <v>5.0500000000000003E-2</v>
      </c>
      <c r="AD1079" s="33">
        <f t="shared" si="289"/>
        <v>6.1722370133382104E-3</v>
      </c>
      <c r="AE1079" s="34">
        <f t="shared" si="290"/>
        <v>4.4118544994750496E-3</v>
      </c>
      <c r="AF1079" s="33">
        <f t="shared" si="291"/>
        <v>10.01482990922484</v>
      </c>
      <c r="AG1079" s="33">
        <f t="shared" si="292"/>
        <v>0</v>
      </c>
      <c r="AH1079" s="35">
        <f t="shared" si="293"/>
        <v>12.314312978671666</v>
      </c>
      <c r="AI1079" s="36">
        <f t="shared" si="374"/>
        <v>45.376834959828912</v>
      </c>
      <c r="AJ1079" s="23"/>
      <c r="AK1079" s="23"/>
      <c r="AL1079" s="44"/>
      <c r="AM1079" s="44"/>
      <c r="AN1079" s="44"/>
      <c r="AO1079" s="44"/>
      <c r="AP1079" s="44"/>
      <c r="AQ1079" s="44"/>
      <c r="AR1079" s="44"/>
    </row>
    <row r="1080" spans="1:44" ht="16.8">
      <c r="A1080" s="45"/>
      <c r="B1080" s="45">
        <v>417</v>
      </c>
      <c r="C1080" s="45" t="s">
        <v>2301</v>
      </c>
      <c r="D1080" s="46" t="s">
        <v>2302</v>
      </c>
      <c r="E1080" s="47" t="s">
        <v>39</v>
      </c>
      <c r="F1080" s="48"/>
      <c r="G1080" s="48"/>
      <c r="H1080" s="49"/>
      <c r="I1080" s="49"/>
      <c r="J1080" s="49"/>
      <c r="K1080" s="49"/>
      <c r="L1080" s="49"/>
      <c r="M1080" s="49"/>
      <c r="N1080" s="49"/>
      <c r="O1080" s="49">
        <f t="shared" si="361"/>
        <v>0</v>
      </c>
      <c r="P1080" s="49"/>
      <c r="Q1080" s="49"/>
      <c r="R1080" s="49">
        <f t="shared" si="362"/>
        <v>0</v>
      </c>
      <c r="S1080" s="50" t="e">
        <f t="shared" si="363"/>
        <v>#DIV/0!</v>
      </c>
      <c r="T1080" s="51" t="e">
        <f t="shared" si="364"/>
        <v>#DIV/0!</v>
      </c>
      <c r="U1080" s="50" t="e">
        <f t="shared" si="365"/>
        <v>#NUM!</v>
      </c>
      <c r="V1080" s="50" t="e">
        <f t="shared" si="366"/>
        <v>#DIV/0!</v>
      </c>
      <c r="W1080" s="52"/>
      <c r="X1080" s="52"/>
      <c r="Y1080" s="52"/>
      <c r="Z1080" s="55">
        <f t="shared" ref="Z1080:Z1081" si="389">W1080*Y1080</f>
        <v>0</v>
      </c>
      <c r="AA1080" s="48">
        <f t="shared" si="368"/>
        <v>0</v>
      </c>
      <c r="AB1080" s="49"/>
      <c r="AC1080" s="49"/>
      <c r="AD1080" s="50" t="e">
        <f t="shared" si="289"/>
        <v>#DIV/0!</v>
      </c>
      <c r="AE1080" s="56" t="e">
        <f t="shared" si="290"/>
        <v>#DIV/0!</v>
      </c>
      <c r="AF1080" s="50" t="e">
        <f t="shared" si="291"/>
        <v>#DIV/0!</v>
      </c>
      <c r="AG1080" s="50" t="e">
        <f t="shared" si="292"/>
        <v>#DIV/0!</v>
      </c>
      <c r="AH1080" s="57" t="e">
        <f t="shared" si="293"/>
        <v>#DIV/0!</v>
      </c>
      <c r="AI1080" s="58" t="e">
        <f t="shared" si="374"/>
        <v>#DIV/0!</v>
      </c>
      <c r="AJ1080" s="49"/>
      <c r="AK1080" s="49">
        <v>303</v>
      </c>
      <c r="AL1080" s="59"/>
      <c r="AM1080" s="59"/>
      <c r="AN1080" s="59"/>
      <c r="AO1080" s="59"/>
      <c r="AP1080" s="59"/>
      <c r="AQ1080" s="59"/>
      <c r="AR1080" s="59"/>
    </row>
    <row r="1081" spans="1:44" ht="16.8">
      <c r="A1081" s="62" t="s">
        <v>2303</v>
      </c>
      <c r="B1081" s="62">
        <v>418</v>
      </c>
      <c r="C1081" s="62" t="s">
        <v>2304</v>
      </c>
      <c r="D1081" s="19" t="s">
        <v>2305</v>
      </c>
      <c r="E1081" s="20" t="s">
        <v>39</v>
      </c>
      <c r="F1081" s="21">
        <v>1992</v>
      </c>
      <c r="G1081" s="40">
        <v>2021</v>
      </c>
      <c r="H1081" s="23">
        <v>129566309404</v>
      </c>
      <c r="I1081" s="23">
        <v>250482329147</v>
      </c>
      <c r="J1081" s="23">
        <v>101781498316</v>
      </c>
      <c r="K1081" s="23">
        <f>(J1081+110928527847)/2</f>
        <v>106355013081.5</v>
      </c>
      <c r="L1081" s="23">
        <v>46592083051</v>
      </c>
      <c r="M1081" s="23">
        <v>148700830831</v>
      </c>
      <c r="N1081" s="23">
        <v>221027980665</v>
      </c>
      <c r="O1081" s="25">
        <f t="shared" si="361"/>
        <v>82974226353</v>
      </c>
      <c r="P1081" s="23">
        <v>10791590493</v>
      </c>
      <c r="Q1081" s="23">
        <f>2140349585+14484821858</f>
        <v>16625171443</v>
      </c>
      <c r="R1081" s="25">
        <f t="shared" si="362"/>
        <v>204402809222</v>
      </c>
      <c r="S1081" s="26">
        <f t="shared" si="363"/>
        <v>0.40634203084349202</v>
      </c>
      <c r="T1081" s="27">
        <f t="shared" si="364"/>
        <v>2.7808653513554193</v>
      </c>
      <c r="U1081" s="26">
        <f t="shared" si="365"/>
        <v>26.246654212655759</v>
      </c>
      <c r="V1081" s="26">
        <f t="shared" si="366"/>
        <v>2.0782093317559553</v>
      </c>
      <c r="W1081" s="143"/>
      <c r="X1081" s="143"/>
      <c r="Y1081" s="143"/>
      <c r="Z1081" s="30">
        <f t="shared" si="389"/>
        <v>0</v>
      </c>
      <c r="AA1081" s="31">
        <f t="shared" si="368"/>
        <v>29</v>
      </c>
      <c r="AB1081" s="32">
        <v>1.84E-2</v>
      </c>
      <c r="AC1081" s="32">
        <v>2.58E-2</v>
      </c>
      <c r="AD1081" s="33">
        <f t="shared" si="289"/>
        <v>0.3312578042353842</v>
      </c>
      <c r="AE1081" s="34">
        <f t="shared" si="290"/>
        <v>4.3083240760935129E-2</v>
      </c>
      <c r="AF1081" s="33">
        <f t="shared" si="291"/>
        <v>0.81603684346947514</v>
      </c>
      <c r="AG1081" s="33">
        <f t="shared" si="292"/>
        <v>0</v>
      </c>
      <c r="AH1081" s="35">
        <f t="shared" si="293"/>
        <v>2.1715929154312175</v>
      </c>
      <c r="AI1081" s="36">
        <f t="shared" si="374"/>
        <v>5.3223404010282556</v>
      </c>
      <c r="AJ1081" s="23"/>
      <c r="AK1081" s="101">
        <v>304</v>
      </c>
      <c r="AL1081" s="44"/>
      <c r="AM1081" s="44"/>
      <c r="AN1081" s="44"/>
      <c r="AO1081" s="44"/>
      <c r="AP1081" s="44"/>
      <c r="AQ1081" s="44"/>
      <c r="AR1081" s="44"/>
    </row>
    <row r="1082" spans="1:44" ht="16.8">
      <c r="A1082" s="62" t="s">
        <v>2306</v>
      </c>
      <c r="B1082" s="62"/>
      <c r="C1082" s="62" t="s">
        <v>2304</v>
      </c>
      <c r="D1082" s="19" t="s">
        <v>2305</v>
      </c>
      <c r="E1082" s="20" t="s">
        <v>39</v>
      </c>
      <c r="F1082" s="21">
        <v>1992</v>
      </c>
      <c r="G1082" s="40">
        <v>2022</v>
      </c>
      <c r="H1082" s="23">
        <v>121830515087</v>
      </c>
      <c r="I1082" s="23">
        <v>238413531203</v>
      </c>
      <c r="J1082" s="23">
        <v>90306696913</v>
      </c>
      <c r="K1082" s="23">
        <f>(J1082+101462316244)/2</f>
        <v>95884506578.5</v>
      </c>
      <c r="L1082" s="23">
        <v>34455660633</v>
      </c>
      <c r="M1082" s="23">
        <v>148106834290</v>
      </c>
      <c r="N1082" s="23">
        <v>211608962821</v>
      </c>
      <c r="O1082" s="25">
        <f t="shared" si="361"/>
        <v>87374854454</v>
      </c>
      <c r="P1082" s="23">
        <v>9767791748</v>
      </c>
      <c r="Q1082" s="23">
        <f>1572618280+14294326879</f>
        <v>15866945159</v>
      </c>
      <c r="R1082" s="25">
        <f t="shared" si="362"/>
        <v>195742017662</v>
      </c>
      <c r="S1082" s="26">
        <f t="shared" si="363"/>
        <v>0.37878175981591961</v>
      </c>
      <c r="T1082" s="27">
        <f t="shared" si="364"/>
        <v>3.5358635663574103</v>
      </c>
      <c r="U1082" s="26">
        <f t="shared" si="365"/>
        <v>26.197272528928753</v>
      </c>
      <c r="V1082" s="26">
        <f t="shared" si="366"/>
        <v>2.2069150728512867</v>
      </c>
      <c r="W1082" s="143"/>
      <c r="X1082" s="143"/>
      <c r="Y1082" s="143"/>
      <c r="Z1082" s="30"/>
      <c r="AA1082" s="31">
        <f t="shared" si="368"/>
        <v>30</v>
      </c>
      <c r="AB1082" s="32">
        <v>3.15E-2</v>
      </c>
      <c r="AC1082" s="32">
        <v>8.0199999999999994E-2</v>
      </c>
      <c r="AD1082" s="33">
        <f t="shared" si="289"/>
        <v>0.36648446089917464</v>
      </c>
      <c r="AE1082" s="34">
        <f t="shared" si="290"/>
        <v>4.0969955432953592E-2</v>
      </c>
      <c r="AF1082" s="33">
        <f t="shared" si="291"/>
        <v>0.82101891060593013</v>
      </c>
      <c r="AG1082" s="33">
        <f t="shared" si="292"/>
        <v>0</v>
      </c>
      <c r="AH1082" s="35">
        <f t="shared" si="293"/>
        <v>2.3432255863024269</v>
      </c>
      <c r="AI1082" s="36">
        <f t="shared" si="374"/>
        <v>5.549727281987141</v>
      </c>
      <c r="AJ1082" s="23"/>
      <c r="AK1082" s="101">
        <v>305</v>
      </c>
      <c r="AL1082" s="44"/>
      <c r="AM1082" s="44"/>
      <c r="AN1082" s="44"/>
      <c r="AO1082" s="44"/>
      <c r="AP1082" s="44"/>
      <c r="AQ1082" s="44"/>
      <c r="AR1082" s="44"/>
    </row>
    <row r="1083" spans="1:44" ht="16.8">
      <c r="A1083" s="62" t="s">
        <v>2307</v>
      </c>
      <c r="B1083" s="62"/>
      <c r="C1083" s="62" t="s">
        <v>2304</v>
      </c>
      <c r="D1083" s="19" t="s">
        <v>2305</v>
      </c>
      <c r="E1083" s="20" t="s">
        <v>39</v>
      </c>
      <c r="F1083" s="21">
        <v>1992</v>
      </c>
      <c r="G1083" s="40">
        <v>2023</v>
      </c>
      <c r="H1083" s="23">
        <v>120791097592</v>
      </c>
      <c r="I1083" s="23">
        <v>234319595107</v>
      </c>
      <c r="J1083" s="23">
        <v>83733199539</v>
      </c>
      <c r="K1083" s="23">
        <f>SUM(J1082:J1083)/2</f>
        <v>87019948226</v>
      </c>
      <c r="L1083" s="23">
        <v>21904077440</v>
      </c>
      <c r="M1083" s="23">
        <v>150586395568</v>
      </c>
      <c r="N1083" s="23">
        <v>162952110551</v>
      </c>
      <c r="O1083" s="25">
        <f t="shared" si="361"/>
        <v>98887020152</v>
      </c>
      <c r="P1083" s="23">
        <v>14508898778</v>
      </c>
      <c r="Q1083" s="23">
        <f>721614437+16022153849</f>
        <v>16743768286</v>
      </c>
      <c r="R1083" s="25">
        <f t="shared" si="362"/>
        <v>146208342265</v>
      </c>
      <c r="S1083" s="26">
        <f t="shared" si="363"/>
        <v>0.35734612592158144</v>
      </c>
      <c r="T1083" s="27">
        <f t="shared" si="364"/>
        <v>5.5145485091929993</v>
      </c>
      <c r="U1083" s="26">
        <f t="shared" si="365"/>
        <v>26.179951811515437</v>
      </c>
      <c r="V1083" s="26">
        <f t="shared" si="366"/>
        <v>1.8725834003922428</v>
      </c>
      <c r="W1083" s="143"/>
      <c r="X1083" s="143"/>
      <c r="Y1083" s="143"/>
      <c r="Z1083" s="30"/>
      <c r="AA1083" s="31">
        <f t="shared" si="368"/>
        <v>31</v>
      </c>
      <c r="AB1083" s="32">
        <v>3.2500000000000001E-2</v>
      </c>
      <c r="AC1083" s="32">
        <v>5.0500000000000003E-2</v>
      </c>
      <c r="AD1083" s="33">
        <f t="shared" si="289"/>
        <v>0.42201771519297865</v>
      </c>
      <c r="AE1083" s="34">
        <f t="shared" si="290"/>
        <v>6.1919272143563742E-2</v>
      </c>
      <c r="AF1083" s="33">
        <f t="shared" si="291"/>
        <v>0.62396976316997832</v>
      </c>
      <c r="AG1083" s="33">
        <f t="shared" si="292"/>
        <v>0</v>
      </c>
      <c r="AH1083" s="35">
        <f t="shared" si="293"/>
        <v>1.9460872324017977</v>
      </c>
      <c r="AI1083" s="36">
        <f t="shared" si="374"/>
        <v>4.5982956900952896</v>
      </c>
      <c r="AJ1083" s="23"/>
      <c r="AK1083" s="101">
        <v>306</v>
      </c>
      <c r="AL1083" s="44"/>
      <c r="AM1083" s="44"/>
      <c r="AN1083" s="44"/>
      <c r="AO1083" s="44"/>
      <c r="AP1083" s="44"/>
      <c r="AQ1083" s="44"/>
      <c r="AR1083" s="44"/>
    </row>
    <row r="1084" spans="1:44" ht="16.8">
      <c r="A1084" s="62" t="s">
        <v>2308</v>
      </c>
      <c r="B1084" s="62">
        <v>419</v>
      </c>
      <c r="C1084" s="62" t="s">
        <v>2309</v>
      </c>
      <c r="D1084" s="19" t="s">
        <v>2310</v>
      </c>
      <c r="E1084" s="20" t="s">
        <v>39</v>
      </c>
      <c r="F1084" s="21">
        <v>1957</v>
      </c>
      <c r="G1084" s="40">
        <v>2021</v>
      </c>
      <c r="H1084" s="23">
        <v>201274164214</v>
      </c>
      <c r="I1084" s="23">
        <v>367527482905</v>
      </c>
      <c r="J1084" s="23">
        <v>111817020810</v>
      </c>
      <c r="K1084" s="23">
        <f>(J1084+113236056606)/2</f>
        <v>112526538708</v>
      </c>
      <c r="L1084" s="23">
        <v>103747028438</v>
      </c>
      <c r="M1084" s="23">
        <v>255710462095</v>
      </c>
      <c r="N1084" s="23">
        <v>589910480928</v>
      </c>
      <c r="O1084" s="25">
        <f t="shared" si="361"/>
        <v>97527135776</v>
      </c>
      <c r="P1084" s="23">
        <v>30536764883</v>
      </c>
      <c r="Q1084" s="23">
        <f>34855427099+49511087854</f>
        <v>84366514953</v>
      </c>
      <c r="R1084" s="25">
        <f t="shared" si="362"/>
        <v>505543965975</v>
      </c>
      <c r="S1084" s="26">
        <f t="shared" si="363"/>
        <v>0.30424125000443281</v>
      </c>
      <c r="T1084" s="27">
        <f t="shared" si="364"/>
        <v>1.9400475102212971</v>
      </c>
      <c r="U1084" s="26">
        <f t="shared" si="365"/>
        <v>26.630063936218129</v>
      </c>
      <c r="V1084" s="26">
        <f t="shared" si="366"/>
        <v>5.2424120363178002</v>
      </c>
      <c r="W1084" s="143"/>
      <c r="X1084" s="143"/>
      <c r="Y1084" s="143"/>
      <c r="Z1084" s="30">
        <f>W1084*Y1084</f>
        <v>0</v>
      </c>
      <c r="AA1084" s="31">
        <f t="shared" si="368"/>
        <v>64</v>
      </c>
      <c r="AB1084" s="32">
        <v>1.84E-2</v>
      </c>
      <c r="AC1084" s="32">
        <v>2.58E-2</v>
      </c>
      <c r="AD1084" s="33">
        <f t="shared" si="289"/>
        <v>0.26536011675951104</v>
      </c>
      <c r="AE1084" s="34">
        <f t="shared" si="290"/>
        <v>8.3087024245458316E-2</v>
      </c>
      <c r="AF1084" s="33">
        <f t="shared" si="291"/>
        <v>1.3755269727833526</v>
      </c>
      <c r="AG1084" s="33">
        <f t="shared" si="292"/>
        <v>0</v>
      </c>
      <c r="AH1084" s="35">
        <f t="shared" si="293"/>
        <v>5.275676964514898</v>
      </c>
      <c r="AI1084" s="36">
        <f t="shared" si="374"/>
        <v>10.249669948755017</v>
      </c>
      <c r="AJ1084" s="23"/>
      <c r="AK1084" s="101">
        <v>307</v>
      </c>
      <c r="AL1084" s="44"/>
      <c r="AM1084" s="44"/>
      <c r="AN1084" s="44"/>
      <c r="AO1084" s="44"/>
      <c r="AP1084" s="44"/>
      <c r="AQ1084" s="44"/>
      <c r="AR1084" s="44"/>
    </row>
    <row r="1085" spans="1:44" ht="16.8">
      <c r="A1085" s="62" t="s">
        <v>2311</v>
      </c>
      <c r="B1085" s="62"/>
      <c r="C1085" s="62" t="s">
        <v>2309</v>
      </c>
      <c r="D1085" s="19" t="s">
        <v>2310</v>
      </c>
      <c r="E1085" s="20" t="s">
        <v>39</v>
      </c>
      <c r="F1085" s="21">
        <v>1957</v>
      </c>
      <c r="G1085" s="40">
        <v>2022</v>
      </c>
      <c r="H1085" s="23">
        <v>202644649899</v>
      </c>
      <c r="I1085" s="23">
        <v>358801746496</v>
      </c>
      <c r="J1085" s="23">
        <v>82116570561</v>
      </c>
      <c r="K1085" s="23">
        <f>(J1085+111817020810)/2</f>
        <v>96966795685.5</v>
      </c>
      <c r="L1085" s="23">
        <v>82116570561</v>
      </c>
      <c r="M1085" s="23">
        <v>276685175935</v>
      </c>
      <c r="N1085" s="23">
        <v>635511560967</v>
      </c>
      <c r="O1085" s="25">
        <f t="shared" si="361"/>
        <v>120528079338</v>
      </c>
      <c r="P1085" s="23">
        <v>37611162860</v>
      </c>
      <c r="Q1085" s="23">
        <f>37285384635+53735023065</f>
        <v>91020407700</v>
      </c>
      <c r="R1085" s="25">
        <f t="shared" si="362"/>
        <v>544491153267</v>
      </c>
      <c r="S1085" s="26">
        <f t="shared" si="363"/>
        <v>0.22886335243051961</v>
      </c>
      <c r="T1085" s="27">
        <f t="shared" si="364"/>
        <v>2.4677680584391446</v>
      </c>
      <c r="U1085" s="26">
        <f t="shared" si="365"/>
        <v>26.606035834722327</v>
      </c>
      <c r="V1085" s="26">
        <f t="shared" si="366"/>
        <v>6.5539090621103373</v>
      </c>
      <c r="W1085" s="143"/>
      <c r="X1085" s="143"/>
      <c r="Y1085" s="143"/>
      <c r="Z1085" s="30"/>
      <c r="AA1085" s="31">
        <f t="shared" si="368"/>
        <v>65</v>
      </c>
      <c r="AB1085" s="32">
        <v>3.15E-2</v>
      </c>
      <c r="AC1085" s="32">
        <v>8.0199999999999994E-2</v>
      </c>
      <c r="AD1085" s="33">
        <f t="shared" si="289"/>
        <v>0.33591831844481745</v>
      </c>
      <c r="AE1085" s="34">
        <f t="shared" si="290"/>
        <v>0.10482435837424024</v>
      </c>
      <c r="AF1085" s="33">
        <f t="shared" si="291"/>
        <v>1.5175264852649486</v>
      </c>
      <c r="AG1085" s="33">
        <f t="shared" si="292"/>
        <v>0</v>
      </c>
      <c r="AH1085" s="35">
        <f t="shared" si="293"/>
        <v>7.7391390875841868</v>
      </c>
      <c r="AI1085" s="36">
        <f t="shared" si="374"/>
        <v>13.296832572816236</v>
      </c>
      <c r="AJ1085" s="23"/>
      <c r="AK1085" s="101">
        <v>308</v>
      </c>
      <c r="AL1085" s="44"/>
      <c r="AM1085" s="44"/>
      <c r="AN1085" s="44"/>
      <c r="AO1085" s="44"/>
      <c r="AP1085" s="44"/>
      <c r="AQ1085" s="44"/>
      <c r="AR1085" s="44"/>
    </row>
    <row r="1086" spans="1:44" ht="16.8">
      <c r="A1086" s="62" t="s">
        <v>2312</v>
      </c>
      <c r="B1086" s="62"/>
      <c r="C1086" s="62" t="s">
        <v>2309</v>
      </c>
      <c r="D1086" s="19" t="s">
        <v>2310</v>
      </c>
      <c r="E1086" s="20" t="s">
        <v>39</v>
      </c>
      <c r="F1086" s="21">
        <v>1957</v>
      </c>
      <c r="G1086" s="40">
        <v>2023</v>
      </c>
      <c r="H1086" s="23">
        <v>264783655899</v>
      </c>
      <c r="I1086" s="23">
        <v>420595917361</v>
      </c>
      <c r="J1086" s="23">
        <v>124958955067</v>
      </c>
      <c r="K1086" s="23">
        <f>SUM(J1085:J1086)/2</f>
        <v>103537762814</v>
      </c>
      <c r="L1086" s="23">
        <v>124082266263</v>
      </c>
      <c r="M1086" s="23">
        <v>295636962294</v>
      </c>
      <c r="N1086" s="23">
        <v>708952704413</v>
      </c>
      <c r="O1086" s="25">
        <f t="shared" si="361"/>
        <v>140701389636</v>
      </c>
      <c r="P1086" s="23">
        <v>37712676836</v>
      </c>
      <c r="Q1086" s="23">
        <f>37776064003+59557699721</f>
        <v>97333763724</v>
      </c>
      <c r="R1086" s="25">
        <f t="shared" si="362"/>
        <v>611618940689</v>
      </c>
      <c r="S1086" s="26">
        <f t="shared" si="363"/>
        <v>0.297099781308022</v>
      </c>
      <c r="T1086" s="27">
        <f t="shared" si="364"/>
        <v>2.1339363300938969</v>
      </c>
      <c r="U1086" s="26">
        <f t="shared" si="365"/>
        <v>26.76493839346557</v>
      </c>
      <c r="V1086" s="26">
        <f t="shared" si="366"/>
        <v>6.8472862957894431</v>
      </c>
      <c r="W1086" s="143"/>
      <c r="X1086" s="143"/>
      <c r="Y1086" s="143"/>
      <c r="Z1086" s="30"/>
      <c r="AA1086" s="31">
        <f t="shared" si="368"/>
        <v>66</v>
      </c>
      <c r="AB1086" s="32">
        <v>3.2500000000000001E-2</v>
      </c>
      <c r="AC1086" s="32">
        <v>5.0500000000000003E-2</v>
      </c>
      <c r="AD1086" s="33">
        <f t="shared" si="289"/>
        <v>0.33452866237699391</v>
      </c>
      <c r="AE1086" s="34">
        <f t="shared" si="290"/>
        <v>8.9664866631672474E-2</v>
      </c>
      <c r="AF1086" s="33">
        <f t="shared" si="291"/>
        <v>1.4541723194237375</v>
      </c>
      <c r="AG1086" s="33">
        <f t="shared" si="292"/>
        <v>0</v>
      </c>
      <c r="AH1086" s="35">
        <f t="shared" si="293"/>
        <v>5.6734845776589324</v>
      </c>
      <c r="AI1086" s="36">
        <f t="shared" si="374"/>
        <v>10.999218439894001</v>
      </c>
      <c r="AJ1086" s="23"/>
      <c r="AK1086" s="101">
        <v>309</v>
      </c>
      <c r="AL1086" s="44"/>
      <c r="AM1086" s="44"/>
      <c r="AN1086" s="44"/>
      <c r="AO1086" s="44"/>
      <c r="AP1086" s="44"/>
      <c r="AQ1086" s="44"/>
      <c r="AR1086" s="44"/>
    </row>
    <row r="1087" spans="1:44" ht="16.8">
      <c r="A1087" s="62" t="s">
        <v>2313</v>
      </c>
      <c r="B1087" s="62">
        <v>420</v>
      </c>
      <c r="C1087" s="62" t="s">
        <v>2314</v>
      </c>
      <c r="D1087" s="19" t="s">
        <v>2315</v>
      </c>
      <c r="E1087" s="20" t="s">
        <v>414</v>
      </c>
      <c r="F1087" s="21">
        <v>2006</v>
      </c>
      <c r="G1087" s="40">
        <v>2021</v>
      </c>
      <c r="H1087" s="23">
        <v>36627504409064</v>
      </c>
      <c r="I1087" s="23">
        <v>37094774473895</v>
      </c>
      <c r="J1087" s="23">
        <v>27272291634249</v>
      </c>
      <c r="K1087" s="23">
        <f>(J1087+11156839754591)/2</f>
        <v>19214565694420</v>
      </c>
      <c r="L1087" s="23">
        <v>26361375576158</v>
      </c>
      <c r="M1087" s="23">
        <v>9822482839646</v>
      </c>
      <c r="N1087" s="23">
        <v>6039232650286</v>
      </c>
      <c r="O1087" s="25">
        <f t="shared" si="361"/>
        <v>10266128832906</v>
      </c>
      <c r="P1087" s="23">
        <v>2382923585189</v>
      </c>
      <c r="Q1087" s="23">
        <v>2324669320499</v>
      </c>
      <c r="R1087" s="25">
        <f t="shared" si="362"/>
        <v>3714563329787</v>
      </c>
      <c r="S1087" s="26">
        <f t="shared" si="363"/>
        <v>0.73520575393824128</v>
      </c>
      <c r="T1087" s="27">
        <f t="shared" si="364"/>
        <v>1.3894382826589287</v>
      </c>
      <c r="U1087" s="26">
        <f t="shared" si="365"/>
        <v>31.244497225861437</v>
      </c>
      <c r="V1087" s="26">
        <f t="shared" si="366"/>
        <v>0.3143049260821868</v>
      </c>
      <c r="W1087" s="143"/>
      <c r="X1087" s="143"/>
      <c r="Y1087" s="143"/>
      <c r="Z1087" s="30">
        <f t="shared" ref="Z1087:Z1089" si="390">X1087*Y1087</f>
        <v>0</v>
      </c>
      <c r="AA1087" s="31">
        <f t="shared" si="368"/>
        <v>15</v>
      </c>
      <c r="AB1087" s="32">
        <v>1.84E-2</v>
      </c>
      <c r="AC1087" s="32">
        <v>2.58E-2</v>
      </c>
      <c r="AD1087" s="33">
        <f t="shared" si="289"/>
        <v>0.2767540436222537</v>
      </c>
      <c r="AE1087" s="34">
        <f t="shared" si="290"/>
        <v>6.4238794250277856E-2</v>
      </c>
      <c r="AF1087" s="33">
        <f t="shared" si="291"/>
        <v>0.10013710509012742</v>
      </c>
      <c r="AG1087" s="33">
        <f t="shared" si="292"/>
        <v>0</v>
      </c>
      <c r="AH1087" s="35">
        <f t="shared" si="293"/>
        <v>0.22144206769561786</v>
      </c>
      <c r="AI1087" s="36">
        <f t="shared" si="374"/>
        <v>0.97393367879013182</v>
      </c>
      <c r="AJ1087" s="23"/>
      <c r="AK1087" s="101">
        <v>310</v>
      </c>
      <c r="AL1087" s="44"/>
      <c r="AM1087" s="44"/>
      <c r="AN1087" s="44"/>
      <c r="AO1087" s="44"/>
      <c r="AP1087" s="44"/>
      <c r="AQ1087" s="44"/>
      <c r="AR1087" s="44"/>
    </row>
    <row r="1088" spans="1:44" ht="16.8">
      <c r="A1088" s="62" t="s">
        <v>2316</v>
      </c>
      <c r="B1088" s="62"/>
      <c r="C1088" s="62" t="s">
        <v>2314</v>
      </c>
      <c r="D1088" s="19" t="s">
        <v>2315</v>
      </c>
      <c r="E1088" s="20" t="s">
        <v>414</v>
      </c>
      <c r="F1088" s="21">
        <v>2006</v>
      </c>
      <c r="G1088" s="40">
        <v>2022</v>
      </c>
      <c r="H1088" s="23">
        <v>38670054790553</v>
      </c>
      <c r="I1088" s="23">
        <v>38870604503106</v>
      </c>
      <c r="J1088" s="23">
        <v>24355935574377</v>
      </c>
      <c r="K1088" s="23">
        <f>SUM(J1087:J1088)/2</f>
        <v>25814113604313</v>
      </c>
      <c r="L1088" s="23">
        <v>23529065436639</v>
      </c>
      <c r="M1088" s="23">
        <v>14514668928729</v>
      </c>
      <c r="N1088" s="23">
        <v>6829223753733</v>
      </c>
      <c r="O1088" s="25">
        <f t="shared" si="361"/>
        <v>15140989353914</v>
      </c>
      <c r="P1088" s="23">
        <v>1220279791293</v>
      </c>
      <c r="Q1088" s="23">
        <v>3825954371446</v>
      </c>
      <c r="R1088" s="25">
        <f t="shared" si="362"/>
        <v>3003269382287</v>
      </c>
      <c r="S1088" s="26">
        <f t="shared" si="363"/>
        <v>0.62659009001084121</v>
      </c>
      <c r="T1088" s="27">
        <f t="shared" si="364"/>
        <v>1.6435015192034252</v>
      </c>
      <c r="U1088" s="26">
        <f t="shared" si="365"/>
        <v>31.291259412591124</v>
      </c>
      <c r="V1088" s="26">
        <f t="shared" si="366"/>
        <v>0.26455387383868872</v>
      </c>
      <c r="W1088" s="143"/>
      <c r="X1088" s="143"/>
      <c r="Y1088" s="143"/>
      <c r="Z1088" s="30">
        <f t="shared" si="390"/>
        <v>0</v>
      </c>
      <c r="AA1088" s="31">
        <f t="shared" si="368"/>
        <v>16</v>
      </c>
      <c r="AB1088" s="32">
        <v>3.15E-2</v>
      </c>
      <c r="AC1088" s="32">
        <v>8.0199999999999994E-2</v>
      </c>
      <c r="AD1088" s="33">
        <f t="shared" si="289"/>
        <v>0.38952286817932408</v>
      </c>
      <c r="AE1088" s="34">
        <f t="shared" si="290"/>
        <v>3.1393383429256731E-2</v>
      </c>
      <c r="AF1088" s="33">
        <f t="shared" si="291"/>
        <v>7.7263253830977097E-2</v>
      </c>
      <c r="AG1088" s="33">
        <f t="shared" si="292"/>
        <v>0</v>
      </c>
      <c r="AH1088" s="35">
        <f t="shared" si="293"/>
        <v>0.280392585736575</v>
      </c>
      <c r="AI1088" s="36">
        <f t="shared" si="374"/>
        <v>1.0467395019949477</v>
      </c>
      <c r="AJ1088" s="23"/>
      <c r="AK1088" s="158">
        <v>311</v>
      </c>
      <c r="AL1088" s="44"/>
      <c r="AM1088" s="44"/>
      <c r="AN1088" s="44"/>
      <c r="AO1088" s="44"/>
      <c r="AP1088" s="44"/>
      <c r="AQ1088" s="44"/>
      <c r="AR1088" s="44"/>
    </row>
    <row r="1089" spans="1:44" ht="16.8">
      <c r="A1089" s="62" t="s">
        <v>2317</v>
      </c>
      <c r="B1089" s="62"/>
      <c r="C1089" s="62" t="s">
        <v>2314</v>
      </c>
      <c r="D1089" s="19" t="s">
        <v>2315</v>
      </c>
      <c r="E1089" s="20" t="s">
        <v>414</v>
      </c>
      <c r="F1089" s="21">
        <v>2006</v>
      </c>
      <c r="G1089" s="40">
        <v>2023</v>
      </c>
      <c r="H1089" s="23">
        <v>40414384838078</v>
      </c>
      <c r="I1089" s="23">
        <v>41742090171366</v>
      </c>
      <c r="J1089" s="23">
        <v>25234270644372</v>
      </c>
      <c r="K1089" s="23">
        <f>(J1089+24284923431251)/2</f>
        <v>24759597037811.5</v>
      </c>
      <c r="L1089" s="23">
        <v>24736424516683</v>
      </c>
      <c r="M1089" s="23">
        <v>16507819526994</v>
      </c>
      <c r="N1089" s="23">
        <v>6561422166429</v>
      </c>
      <c r="O1089" s="25">
        <f t="shared" si="361"/>
        <v>15677960321395</v>
      </c>
      <c r="P1089" s="23">
        <v>2022250919978</v>
      </c>
      <c r="Q1089" s="23">
        <v>2194254402509</v>
      </c>
      <c r="R1089" s="25">
        <f t="shared" si="362"/>
        <v>4367167763920</v>
      </c>
      <c r="S1089" s="26">
        <f t="shared" si="363"/>
        <v>0.60452820021173881</v>
      </c>
      <c r="T1089" s="27">
        <f t="shared" si="364"/>
        <v>1.6338005846730721</v>
      </c>
      <c r="U1089" s="26">
        <f t="shared" si="365"/>
        <v>31.362531092302905</v>
      </c>
      <c r="V1089" s="26">
        <f t="shared" si="366"/>
        <v>0.26500520813843437</v>
      </c>
      <c r="W1089" s="143"/>
      <c r="X1089" s="143"/>
      <c r="Y1089" s="143"/>
      <c r="Z1089" s="30">
        <f t="shared" si="390"/>
        <v>0</v>
      </c>
      <c r="AA1089" s="31">
        <f t="shared" si="368"/>
        <v>17</v>
      </c>
      <c r="AB1089" s="32">
        <v>3.2500000000000001E-2</v>
      </c>
      <c r="AC1089" s="32">
        <v>5.0500000000000003E-2</v>
      </c>
      <c r="AD1089" s="33">
        <f t="shared" si="289"/>
        <v>0.375591166063593</v>
      </c>
      <c r="AE1089" s="34">
        <f t="shared" si="290"/>
        <v>4.8446326278246896E-2</v>
      </c>
      <c r="AF1089" s="33">
        <f t="shared" si="291"/>
        <v>0.10462264218181783</v>
      </c>
      <c r="AG1089" s="33">
        <f t="shared" si="292"/>
        <v>0</v>
      </c>
      <c r="AH1089" s="35">
        <f t="shared" si="293"/>
        <v>0.26002028189756277</v>
      </c>
      <c r="AI1089" s="36">
        <f t="shared" si="374"/>
        <v>1.1238092571634188</v>
      </c>
      <c r="AJ1089" s="23"/>
      <c r="AK1089" s="158">
        <v>312</v>
      </c>
      <c r="AL1089" s="44"/>
      <c r="AM1089" s="44"/>
      <c r="AN1089" s="44"/>
      <c r="AO1089" s="44"/>
      <c r="AP1089" s="44"/>
      <c r="AQ1089" s="44"/>
      <c r="AR1089" s="44"/>
    </row>
    <row r="1090" spans="1:44" ht="16.8">
      <c r="A1090" s="62" t="s">
        <v>2318</v>
      </c>
      <c r="B1090" s="62">
        <v>421</v>
      </c>
      <c r="C1090" s="62" t="s">
        <v>2319</v>
      </c>
      <c r="D1090" s="19" t="s">
        <v>2320</v>
      </c>
      <c r="E1090" s="20" t="s">
        <v>39</v>
      </c>
      <c r="F1090" s="21">
        <v>1997</v>
      </c>
      <c r="G1090" s="40">
        <v>2021</v>
      </c>
      <c r="H1090" s="23">
        <v>1057398315002</v>
      </c>
      <c r="I1090" s="23">
        <v>1370675188521</v>
      </c>
      <c r="J1090" s="23">
        <v>764751245057</v>
      </c>
      <c r="K1090" s="23">
        <f>(J1090+561861353499)/2</f>
        <v>663306299278</v>
      </c>
      <c r="L1090" s="23">
        <v>758551290883</v>
      </c>
      <c r="M1090" s="23">
        <v>605923943464</v>
      </c>
      <c r="N1090" s="23">
        <v>4904141907513</v>
      </c>
      <c r="O1090" s="25">
        <f t="shared" si="361"/>
        <v>298847024119</v>
      </c>
      <c r="P1090" s="23">
        <v>89195696347</v>
      </c>
      <c r="Q1090" s="23">
        <f>53253261848+22203533620</f>
        <v>75456795468</v>
      </c>
      <c r="R1090" s="25">
        <f t="shared" si="362"/>
        <v>4828685112045</v>
      </c>
      <c r="S1090" s="26">
        <f t="shared" si="363"/>
        <v>0.55793761458700486</v>
      </c>
      <c r="T1090" s="27">
        <f t="shared" si="364"/>
        <v>1.3939707541346662</v>
      </c>
      <c r="U1090" s="26">
        <f t="shared" si="365"/>
        <v>27.946324572700153</v>
      </c>
      <c r="V1090" s="26">
        <f t="shared" si="366"/>
        <v>7.3934800752700411</v>
      </c>
      <c r="W1090" s="143"/>
      <c r="X1090" s="143"/>
      <c r="Y1090" s="143"/>
      <c r="Z1090" s="30">
        <f>W1090*Y1090</f>
        <v>0</v>
      </c>
      <c r="AA1090" s="31">
        <f t="shared" si="368"/>
        <v>24</v>
      </c>
      <c r="AB1090" s="32">
        <v>1.84E-2</v>
      </c>
      <c r="AC1090" s="32">
        <v>2.58E-2</v>
      </c>
      <c r="AD1090" s="33">
        <f t="shared" ref="AD1090:AD1344" si="391">O1090/I1090</f>
        <v>0.21802906087580456</v>
      </c>
      <c r="AE1090" s="34">
        <f t="shared" ref="AE1090:AE1344" si="392">P1090/I1090</f>
        <v>6.5074276600311745E-2</v>
      </c>
      <c r="AF1090" s="33">
        <f t="shared" ref="AF1090:AF1344" si="393">R1090/I1090</f>
        <v>3.5228514767640156</v>
      </c>
      <c r="AG1090" s="33">
        <f t="shared" ref="AG1090:AG1344" si="394">Z1090/J1090</f>
        <v>0</v>
      </c>
      <c r="AH1090" s="35">
        <f t="shared" ref="AH1090:AH1344" si="395">N1090/J1090</f>
        <v>6.4127282423024683</v>
      </c>
      <c r="AI1090" s="36">
        <f t="shared" si="374"/>
        <v>18.39087697591512</v>
      </c>
      <c r="AJ1090" s="23"/>
      <c r="AK1090" s="158">
        <v>313</v>
      </c>
      <c r="AL1090" s="44"/>
      <c r="AM1090" s="44"/>
      <c r="AN1090" s="44"/>
      <c r="AO1090" s="44"/>
      <c r="AP1090" s="44"/>
      <c r="AQ1090" s="44"/>
      <c r="AR1090" s="44"/>
    </row>
    <row r="1091" spans="1:44" ht="16.8">
      <c r="A1091" s="62" t="s">
        <v>2321</v>
      </c>
      <c r="B1091" s="62"/>
      <c r="C1091" s="62" t="s">
        <v>2319</v>
      </c>
      <c r="D1091" s="19" t="s">
        <v>2320</v>
      </c>
      <c r="E1091" s="20" t="s">
        <v>39</v>
      </c>
      <c r="F1091" s="21">
        <v>1997</v>
      </c>
      <c r="G1091" s="40">
        <v>2022</v>
      </c>
      <c r="H1091" s="23">
        <v>460087072625</v>
      </c>
      <c r="I1091" s="23">
        <v>827614856550</v>
      </c>
      <c r="J1091" s="23">
        <v>225866171199</v>
      </c>
      <c r="K1091" s="23">
        <f t="shared" ref="K1091:K1092" si="396">SUM(J1090:J1091)/2</f>
        <v>495308708128</v>
      </c>
      <c r="L1091" s="23">
        <v>219488529305</v>
      </c>
      <c r="M1091" s="23">
        <v>601748685351</v>
      </c>
      <c r="N1091" s="23">
        <v>2109837472615</v>
      </c>
      <c r="O1091" s="25">
        <f t="shared" si="361"/>
        <v>240598543320</v>
      </c>
      <c r="P1091" s="23">
        <v>26001928843</v>
      </c>
      <c r="Q1091" s="23">
        <f>28208793107+25964616752</f>
        <v>54173409859</v>
      </c>
      <c r="R1091" s="25">
        <f t="shared" si="362"/>
        <v>2055664062756</v>
      </c>
      <c r="S1091" s="26">
        <f t="shared" si="363"/>
        <v>0.27291217576802212</v>
      </c>
      <c r="T1091" s="27">
        <f t="shared" si="364"/>
        <v>2.0961782106875648</v>
      </c>
      <c r="U1091" s="26">
        <f t="shared" si="365"/>
        <v>27.44181373402207</v>
      </c>
      <c r="V1091" s="26">
        <f t="shared" si="366"/>
        <v>4.2596413872654262</v>
      </c>
      <c r="W1091" s="143"/>
      <c r="X1091" s="143"/>
      <c r="Y1091" s="143"/>
      <c r="Z1091" s="30"/>
      <c r="AA1091" s="31">
        <f t="shared" si="368"/>
        <v>25</v>
      </c>
      <c r="AB1091" s="32">
        <v>3.15E-2</v>
      </c>
      <c r="AC1091" s="32">
        <v>8.0199999999999994E-2</v>
      </c>
      <c r="AD1091" s="33">
        <f t="shared" si="391"/>
        <v>0.29071317583998002</v>
      </c>
      <c r="AE1091" s="34">
        <f t="shared" si="392"/>
        <v>3.1417909716352589E-2</v>
      </c>
      <c r="AF1091" s="33">
        <f t="shared" si="393"/>
        <v>2.4838414227183558</v>
      </c>
      <c r="AG1091" s="33">
        <f t="shared" si="394"/>
        <v>0</v>
      </c>
      <c r="AH1091" s="35">
        <f t="shared" si="395"/>
        <v>9.3410954877174674</v>
      </c>
      <c r="AI1091" s="36">
        <f t="shared" si="374"/>
        <v>17.930613067298911</v>
      </c>
      <c r="AJ1091" s="23"/>
      <c r="AK1091" s="158">
        <v>314</v>
      </c>
      <c r="AL1091" s="44"/>
      <c r="AM1091" s="44"/>
      <c r="AN1091" s="44"/>
      <c r="AO1091" s="44"/>
      <c r="AP1091" s="44"/>
      <c r="AQ1091" s="44"/>
      <c r="AR1091" s="44"/>
    </row>
    <row r="1092" spans="1:44" ht="16.8">
      <c r="A1092" s="62" t="s">
        <v>2322</v>
      </c>
      <c r="B1092" s="62"/>
      <c r="C1092" s="62" t="s">
        <v>2319</v>
      </c>
      <c r="D1092" s="19" t="s">
        <v>2320</v>
      </c>
      <c r="E1092" s="20" t="s">
        <v>39</v>
      </c>
      <c r="F1092" s="21">
        <v>1997</v>
      </c>
      <c r="G1092" s="40">
        <v>2023</v>
      </c>
      <c r="H1092" s="23">
        <v>469423645135</v>
      </c>
      <c r="I1092" s="23">
        <v>860033384432</v>
      </c>
      <c r="J1092" s="23">
        <v>281284392558</v>
      </c>
      <c r="K1092" s="23">
        <f t="shared" si="396"/>
        <v>253575281878.5</v>
      </c>
      <c r="L1092" s="23">
        <v>275992589194</v>
      </c>
      <c r="M1092" s="23">
        <v>578784991874</v>
      </c>
      <c r="N1092" s="23">
        <v>1136358537141</v>
      </c>
      <c r="O1092" s="25">
        <f t="shared" si="361"/>
        <v>193431055941</v>
      </c>
      <c r="P1092" s="23">
        <v>8785062323</v>
      </c>
      <c r="Q1092" s="23">
        <f>26157828850+21886078950</f>
        <v>48043907800</v>
      </c>
      <c r="R1092" s="25">
        <f t="shared" si="362"/>
        <v>1088314629341</v>
      </c>
      <c r="S1092" s="26">
        <f t="shared" si="363"/>
        <v>0.32706217880573474</v>
      </c>
      <c r="T1092" s="27">
        <f t="shared" si="364"/>
        <v>1.700855977712626</v>
      </c>
      <c r="U1092" s="26">
        <f t="shared" si="365"/>
        <v>27.480237044547501</v>
      </c>
      <c r="V1092" s="26">
        <f t="shared" si="366"/>
        <v>4.4813458501269992</v>
      </c>
      <c r="W1092" s="143"/>
      <c r="X1092" s="143"/>
      <c r="Y1092" s="143"/>
      <c r="Z1092" s="30"/>
      <c r="AA1092" s="31">
        <f t="shared" si="368"/>
        <v>26</v>
      </c>
      <c r="AB1092" s="32">
        <v>3.2500000000000001E-2</v>
      </c>
      <c r="AC1092" s="32">
        <v>5.0500000000000003E-2</v>
      </c>
      <c r="AD1092" s="33">
        <f t="shared" si="391"/>
        <v>0.22491110164142</v>
      </c>
      <c r="AE1092" s="34">
        <f t="shared" si="392"/>
        <v>1.0214792218562542E-2</v>
      </c>
      <c r="AF1092" s="33">
        <f t="shared" si="393"/>
        <v>1.2654330041615371</v>
      </c>
      <c r="AG1092" s="33">
        <f t="shared" si="394"/>
        <v>0</v>
      </c>
      <c r="AH1092" s="35">
        <f t="shared" si="395"/>
        <v>4.0398918930657919</v>
      </c>
      <c r="AI1092" s="36">
        <f t="shared" si="374"/>
        <v>8.5000148378745557</v>
      </c>
      <c r="AJ1092" s="23"/>
      <c r="AK1092" s="158">
        <v>315</v>
      </c>
      <c r="AL1092" s="44"/>
      <c r="AM1092" s="44"/>
      <c r="AN1092" s="44"/>
      <c r="AO1092" s="44"/>
      <c r="AP1092" s="44"/>
      <c r="AQ1092" s="44"/>
      <c r="AR1092" s="44"/>
    </row>
    <row r="1093" spans="1:44" ht="16.8">
      <c r="A1093" s="64" t="s">
        <v>2323</v>
      </c>
      <c r="B1093" s="62">
        <v>422</v>
      </c>
      <c r="C1093" s="62" t="s">
        <v>2324</v>
      </c>
      <c r="D1093" s="19" t="s">
        <v>2325</v>
      </c>
      <c r="E1093" s="20" t="s">
        <v>39</v>
      </c>
      <c r="F1093" s="21">
        <v>1994</v>
      </c>
      <c r="G1093" s="40">
        <v>2021</v>
      </c>
      <c r="H1093" s="23">
        <v>5413636204872</v>
      </c>
      <c r="I1093" s="23">
        <v>7156614285179</v>
      </c>
      <c r="J1093" s="23">
        <v>3870939538027</v>
      </c>
      <c r="K1093" s="23">
        <f>(J1093+3830456981846)/2</f>
        <v>3850698259936.5</v>
      </c>
      <c r="L1093" s="23">
        <v>3869948911283</v>
      </c>
      <c r="M1093" s="23">
        <v>3285674747152</v>
      </c>
      <c r="N1093" s="23">
        <v>1605861780616</v>
      </c>
      <c r="O1093" s="25">
        <f t="shared" si="361"/>
        <v>1543687293589</v>
      </c>
      <c r="P1093" s="23">
        <v>347055678021</v>
      </c>
      <c r="Q1093" s="23"/>
      <c r="R1093" s="25">
        <f t="shared" si="362"/>
        <v>1605861780616</v>
      </c>
      <c r="S1093" s="26">
        <f t="shared" si="363"/>
        <v>0.54088978164486623</v>
      </c>
      <c r="T1093" s="27">
        <f t="shared" si="364"/>
        <v>1.3988908714242492</v>
      </c>
      <c r="U1093" s="26">
        <f t="shared" si="365"/>
        <v>29.599058119866633</v>
      </c>
      <c r="V1093" s="26">
        <f t="shared" si="366"/>
        <v>0.41703132061105236</v>
      </c>
      <c r="W1093" s="143"/>
      <c r="X1093" s="143"/>
      <c r="Y1093" s="143"/>
      <c r="Z1093" s="30">
        <f>W1093*Y1093</f>
        <v>0</v>
      </c>
      <c r="AA1093" s="31">
        <f t="shared" si="368"/>
        <v>27</v>
      </c>
      <c r="AB1093" s="32">
        <v>1.84E-2</v>
      </c>
      <c r="AC1093" s="32">
        <v>2.58E-2</v>
      </c>
      <c r="AD1093" s="33">
        <f t="shared" si="391"/>
        <v>0.21570078141362198</v>
      </c>
      <c r="AE1093" s="34">
        <f t="shared" si="392"/>
        <v>4.8494394722338942E-2</v>
      </c>
      <c r="AF1093" s="33">
        <f t="shared" si="393"/>
        <v>0.22438847709616846</v>
      </c>
      <c r="AG1093" s="33">
        <f t="shared" si="394"/>
        <v>0</v>
      </c>
      <c r="AH1093" s="35">
        <f t="shared" si="395"/>
        <v>0.41485064926498449</v>
      </c>
      <c r="AI1093" s="36">
        <f t="shared" si="374"/>
        <v>1.4820657139899613</v>
      </c>
      <c r="AJ1093" s="23"/>
      <c r="AK1093" s="158">
        <v>316</v>
      </c>
      <c r="AL1093" s="44"/>
      <c r="AM1093" s="44"/>
      <c r="AN1093" s="44"/>
      <c r="AO1093" s="44"/>
      <c r="AP1093" s="44"/>
      <c r="AQ1093" s="44"/>
      <c r="AR1093" s="44"/>
    </row>
    <row r="1094" spans="1:44" ht="16.8">
      <c r="A1094" s="64" t="s">
        <v>2326</v>
      </c>
      <c r="B1094" s="62"/>
      <c r="C1094" s="62" t="s">
        <v>2324</v>
      </c>
      <c r="D1094" s="19" t="s">
        <v>2325</v>
      </c>
      <c r="E1094" s="20" t="s">
        <v>39</v>
      </c>
      <c r="F1094" s="21">
        <v>1994</v>
      </c>
      <c r="G1094" s="40">
        <v>2022</v>
      </c>
      <c r="H1094" s="23">
        <v>5110927838927</v>
      </c>
      <c r="I1094" s="23">
        <v>7126478829142</v>
      </c>
      <c r="J1094" s="23">
        <v>3669148286585</v>
      </c>
      <c r="K1094" s="23">
        <f t="shared" ref="K1094:K1095" si="397">SUM(J1093:J1094)/2</f>
        <v>3770043912306</v>
      </c>
      <c r="L1094" s="23">
        <v>3668095927009</v>
      </c>
      <c r="M1094" s="23">
        <v>3457330542557</v>
      </c>
      <c r="N1094" s="23">
        <v>1514308357861</v>
      </c>
      <c r="O1094" s="25">
        <f t="shared" si="361"/>
        <v>1442831911918</v>
      </c>
      <c r="P1094" s="23">
        <v>378384578003</v>
      </c>
      <c r="Q1094" s="23"/>
      <c r="R1094" s="25">
        <f t="shared" si="362"/>
        <v>1514308357861</v>
      </c>
      <c r="S1094" s="26">
        <f t="shared" si="363"/>
        <v>0.5148613185491987</v>
      </c>
      <c r="T1094" s="27">
        <f t="shared" si="364"/>
        <v>1.3933462866371924</v>
      </c>
      <c r="U1094" s="26">
        <f t="shared" si="365"/>
        <v>29.594838375514009</v>
      </c>
      <c r="V1094" s="26">
        <f t="shared" si="366"/>
        <v>0.4016686259059386</v>
      </c>
      <c r="W1094" s="143"/>
      <c r="X1094" s="143"/>
      <c r="Y1094" s="143"/>
      <c r="Z1094" s="30"/>
      <c r="AA1094" s="31">
        <f t="shared" si="368"/>
        <v>28</v>
      </c>
      <c r="AB1094" s="32">
        <v>3.15E-2</v>
      </c>
      <c r="AC1094" s="32">
        <v>8.0199999999999994E-2</v>
      </c>
      <c r="AD1094" s="33">
        <f t="shared" si="391"/>
        <v>0.20246070275517977</v>
      </c>
      <c r="AE1094" s="34">
        <f t="shared" si="392"/>
        <v>5.3095587186155438E-2</v>
      </c>
      <c r="AF1094" s="33">
        <f t="shared" si="393"/>
        <v>0.21249040292782526</v>
      </c>
      <c r="AG1094" s="33">
        <f t="shared" si="394"/>
        <v>0</v>
      </c>
      <c r="AH1094" s="35">
        <f t="shared" si="395"/>
        <v>0.41271386152409167</v>
      </c>
      <c r="AI1094" s="36">
        <f t="shared" si="374"/>
        <v>1.4312188565527484</v>
      </c>
      <c r="AJ1094" s="23"/>
      <c r="AK1094" s="158">
        <v>317</v>
      </c>
      <c r="AL1094" s="44"/>
      <c r="AM1094" s="44"/>
      <c r="AN1094" s="44"/>
      <c r="AO1094" s="44"/>
      <c r="AP1094" s="44"/>
      <c r="AQ1094" s="44"/>
      <c r="AR1094" s="44"/>
    </row>
    <row r="1095" spans="1:44" ht="16.8">
      <c r="A1095" s="64" t="s">
        <v>2327</v>
      </c>
      <c r="B1095" s="62"/>
      <c r="C1095" s="62" t="s">
        <v>2324</v>
      </c>
      <c r="D1095" s="19" t="s">
        <v>2325</v>
      </c>
      <c r="E1095" s="20" t="s">
        <v>39</v>
      </c>
      <c r="F1095" s="21">
        <v>1994</v>
      </c>
      <c r="G1095" s="40">
        <v>2023</v>
      </c>
      <c r="H1095" s="23">
        <v>5646385571351</v>
      </c>
      <c r="I1095" s="23">
        <v>8002256148750</v>
      </c>
      <c r="J1095" s="23">
        <v>4284922231969</v>
      </c>
      <c r="K1095" s="23">
        <f t="shared" si="397"/>
        <v>3977035259277</v>
      </c>
      <c r="L1095" s="23">
        <v>4283447945163</v>
      </c>
      <c r="M1095" s="23">
        <v>3717333916781</v>
      </c>
      <c r="N1095" s="23">
        <v>1630052986042</v>
      </c>
      <c r="O1095" s="25">
        <f t="shared" si="361"/>
        <v>1362937626188</v>
      </c>
      <c r="P1095" s="23">
        <v>423439460445</v>
      </c>
      <c r="Q1095" s="23"/>
      <c r="R1095" s="25">
        <f t="shared" si="362"/>
        <v>1630052986042</v>
      </c>
      <c r="S1095" s="26">
        <f t="shared" si="363"/>
        <v>0.53546426811622749</v>
      </c>
      <c r="T1095" s="27">
        <f t="shared" si="364"/>
        <v>1.3181870408223522</v>
      </c>
      <c r="U1095" s="26">
        <f t="shared" si="365"/>
        <v>29.710744636442367</v>
      </c>
      <c r="V1095" s="26">
        <f t="shared" si="366"/>
        <v>0.40986636521254616</v>
      </c>
      <c r="W1095" s="143"/>
      <c r="X1095" s="143"/>
      <c r="Y1095" s="143"/>
      <c r="Z1095" s="30"/>
      <c r="AA1095" s="31">
        <f t="shared" si="368"/>
        <v>29</v>
      </c>
      <c r="AB1095" s="32">
        <v>3.2500000000000001E-2</v>
      </c>
      <c r="AC1095" s="32">
        <v>5.0500000000000003E-2</v>
      </c>
      <c r="AD1095" s="33">
        <f t="shared" si="391"/>
        <v>0.17031917010065956</v>
      </c>
      <c r="AE1095" s="34">
        <f t="shared" si="392"/>
        <v>5.2915009539046529E-2</v>
      </c>
      <c r="AF1095" s="33">
        <f t="shared" si="393"/>
        <v>0.20369917630000184</v>
      </c>
      <c r="AG1095" s="33">
        <f t="shared" si="394"/>
        <v>0</v>
      </c>
      <c r="AH1095" s="35">
        <f t="shared" si="395"/>
        <v>0.38041600239100742</v>
      </c>
      <c r="AI1095" s="36">
        <f t="shared" si="374"/>
        <v>1.3310873016564699</v>
      </c>
      <c r="AJ1095" s="23"/>
      <c r="AK1095" s="158">
        <v>318</v>
      </c>
      <c r="AL1095" s="44"/>
      <c r="AM1095" s="44"/>
      <c r="AN1095" s="44"/>
      <c r="AO1095" s="44"/>
      <c r="AP1095" s="44"/>
      <c r="AQ1095" s="44"/>
      <c r="AR1095" s="44"/>
    </row>
    <row r="1096" spans="1:44" ht="16.8">
      <c r="A1096" s="64" t="s">
        <v>2328</v>
      </c>
      <c r="B1096" s="62">
        <v>423</v>
      </c>
      <c r="C1096" s="62" t="s">
        <v>2329</v>
      </c>
      <c r="D1096" s="19" t="s">
        <v>2330</v>
      </c>
      <c r="E1096" s="20" t="s">
        <v>39</v>
      </c>
      <c r="F1096" s="21">
        <v>1996</v>
      </c>
      <c r="G1096" s="40">
        <v>2021</v>
      </c>
      <c r="H1096" s="23">
        <v>617505422721</v>
      </c>
      <c r="I1096" s="23">
        <v>792028101064</v>
      </c>
      <c r="J1096" s="23">
        <v>593774677608</v>
      </c>
      <c r="K1096" s="23">
        <f>(J1096+454835232202)/2</f>
        <v>524304954905</v>
      </c>
      <c r="L1096" s="23">
        <v>527585336292</v>
      </c>
      <c r="M1096" s="23">
        <v>198253423456</v>
      </c>
      <c r="N1096" s="23">
        <v>2554345801877</v>
      </c>
      <c r="O1096" s="25">
        <f t="shared" si="361"/>
        <v>89920086429</v>
      </c>
      <c r="P1096" s="23">
        <v>11016556956</v>
      </c>
      <c r="Q1096" s="23">
        <v>39557593787</v>
      </c>
      <c r="R1096" s="25">
        <f t="shared" si="362"/>
        <v>2514788208090</v>
      </c>
      <c r="S1096" s="26">
        <f t="shared" si="363"/>
        <v>0.74968890221234707</v>
      </c>
      <c r="T1096" s="27">
        <f t="shared" si="364"/>
        <v>1.1704370463761948</v>
      </c>
      <c r="U1096" s="26">
        <f t="shared" si="365"/>
        <v>27.397862709272811</v>
      </c>
      <c r="V1096" s="26">
        <f t="shared" si="366"/>
        <v>4.8718704219376061</v>
      </c>
      <c r="W1096" s="143"/>
      <c r="X1096" s="143"/>
      <c r="Y1096" s="143"/>
      <c r="Z1096" s="30">
        <f>W1096*Y1096</f>
        <v>0</v>
      </c>
      <c r="AA1096" s="31">
        <f t="shared" si="368"/>
        <v>25</v>
      </c>
      <c r="AB1096" s="32">
        <v>1.84E-2</v>
      </c>
      <c r="AC1096" s="32">
        <v>2.58E-2</v>
      </c>
      <c r="AD1096" s="33">
        <f t="shared" si="391"/>
        <v>0.11353143443799854</v>
      </c>
      <c r="AE1096" s="34">
        <f t="shared" si="392"/>
        <v>1.390930061850142E-2</v>
      </c>
      <c r="AF1096" s="33">
        <f t="shared" si="393"/>
        <v>3.1751249794188703</v>
      </c>
      <c r="AG1096" s="33">
        <f t="shared" si="394"/>
        <v>0</v>
      </c>
      <c r="AH1096" s="35">
        <f t="shared" si="395"/>
        <v>4.3018772915124819</v>
      </c>
      <c r="AI1096" s="36">
        <f t="shared" si="374"/>
        <v>14.935500465786255</v>
      </c>
      <c r="AJ1096" s="23"/>
      <c r="AK1096" s="158">
        <v>319</v>
      </c>
      <c r="AL1096" s="44"/>
      <c r="AM1096" s="44"/>
      <c r="AN1096" s="44"/>
      <c r="AO1096" s="44"/>
      <c r="AP1096" s="44"/>
      <c r="AQ1096" s="44"/>
      <c r="AR1096" s="44"/>
    </row>
    <row r="1097" spans="1:44" ht="16.8">
      <c r="A1097" s="64" t="s">
        <v>2331</v>
      </c>
      <c r="B1097" s="62"/>
      <c r="C1097" s="62" t="s">
        <v>2329</v>
      </c>
      <c r="D1097" s="19" t="s">
        <v>2330</v>
      </c>
      <c r="E1097" s="20" t="s">
        <v>39</v>
      </c>
      <c r="F1097" s="21">
        <v>1996</v>
      </c>
      <c r="G1097" s="40">
        <v>2022</v>
      </c>
      <c r="H1097" s="23">
        <v>473137165852</v>
      </c>
      <c r="I1097" s="23">
        <v>702705783316</v>
      </c>
      <c r="J1097" s="23">
        <v>527757602856</v>
      </c>
      <c r="K1097" s="23">
        <f t="shared" ref="K1097:K1098" si="398">SUM(J1096:J1097)/2</f>
        <v>560766140232</v>
      </c>
      <c r="L1097" s="23">
        <v>461176355101</v>
      </c>
      <c r="M1097" s="23">
        <v>174948180460</v>
      </c>
      <c r="N1097" s="23">
        <v>1803584707015</v>
      </c>
      <c r="O1097" s="25">
        <f t="shared" si="361"/>
        <v>11960810751</v>
      </c>
      <c r="P1097" s="23">
        <v>-11201327291</v>
      </c>
      <c r="Q1097" s="23">
        <v>41628708961</v>
      </c>
      <c r="R1097" s="25">
        <f t="shared" si="362"/>
        <v>1761955998054</v>
      </c>
      <c r="S1097" s="26">
        <f t="shared" si="363"/>
        <v>0.75103637309709248</v>
      </c>
      <c r="T1097" s="27">
        <f t="shared" si="364"/>
        <v>1.0259354379701027</v>
      </c>
      <c r="U1097" s="26">
        <f t="shared" si="365"/>
        <v>27.278204125245889</v>
      </c>
      <c r="V1097" s="26">
        <f t="shared" si="366"/>
        <v>3.2162867506030617</v>
      </c>
      <c r="W1097" s="143"/>
      <c r="X1097" s="143"/>
      <c r="Y1097" s="143"/>
      <c r="Z1097" s="30"/>
      <c r="AA1097" s="31">
        <f t="shared" si="368"/>
        <v>26</v>
      </c>
      <c r="AB1097" s="32">
        <v>3.15E-2</v>
      </c>
      <c r="AC1097" s="32">
        <v>8.0199999999999994E-2</v>
      </c>
      <c r="AD1097" s="33">
        <f t="shared" si="391"/>
        <v>1.7021079141483795E-2</v>
      </c>
      <c r="AE1097" s="34">
        <f t="shared" si="392"/>
        <v>-1.5940280494266077E-2</v>
      </c>
      <c r="AF1097" s="33">
        <f t="shared" si="393"/>
        <v>2.5073879280450799</v>
      </c>
      <c r="AG1097" s="33">
        <f t="shared" si="394"/>
        <v>0</v>
      </c>
      <c r="AH1097" s="35">
        <f t="shared" si="395"/>
        <v>3.4174490282181926</v>
      </c>
      <c r="AI1097" s="36">
        <f t="shared" si="374"/>
        <v>11.689938093044763</v>
      </c>
      <c r="AJ1097" s="23"/>
      <c r="AK1097" s="158">
        <v>320</v>
      </c>
      <c r="AL1097" s="44"/>
      <c r="AM1097" s="44"/>
      <c r="AN1097" s="44"/>
      <c r="AO1097" s="44"/>
      <c r="AP1097" s="44"/>
      <c r="AQ1097" s="44"/>
      <c r="AR1097" s="44"/>
    </row>
    <row r="1098" spans="1:44" ht="16.8">
      <c r="A1098" s="64" t="s">
        <v>2332</v>
      </c>
      <c r="B1098" s="62"/>
      <c r="C1098" s="62" t="s">
        <v>2329</v>
      </c>
      <c r="D1098" s="19" t="s">
        <v>2330</v>
      </c>
      <c r="E1098" s="20" t="s">
        <v>39</v>
      </c>
      <c r="F1098" s="21">
        <v>1996</v>
      </c>
      <c r="G1098" s="40">
        <v>2023</v>
      </c>
      <c r="H1098" s="23">
        <v>423128039713</v>
      </c>
      <c r="I1098" s="23">
        <v>651679658160</v>
      </c>
      <c r="J1098" s="23">
        <v>435117105653</v>
      </c>
      <c r="K1098" s="23">
        <f t="shared" si="398"/>
        <v>481437354254.5</v>
      </c>
      <c r="L1098" s="23">
        <v>432073011653</v>
      </c>
      <c r="M1098" s="23">
        <v>216562552507</v>
      </c>
      <c r="N1098" s="23">
        <v>879526958129</v>
      </c>
      <c r="O1098" s="25">
        <f t="shared" si="361"/>
        <v>-8944971940</v>
      </c>
      <c r="P1098" s="23">
        <v>-17640227953</v>
      </c>
      <c r="Q1098" s="23">
        <v>30360892937</v>
      </c>
      <c r="R1098" s="25">
        <f t="shared" si="362"/>
        <v>849166065192</v>
      </c>
      <c r="S1098" s="26">
        <f t="shared" si="363"/>
        <v>0.66768557251202443</v>
      </c>
      <c r="T1098" s="27">
        <f t="shared" si="364"/>
        <v>0.97929754532508562</v>
      </c>
      <c r="U1098" s="26">
        <f t="shared" si="365"/>
        <v>27.20281895629445</v>
      </c>
      <c r="V1098" s="26">
        <f t="shared" si="366"/>
        <v>1.8268772673257501</v>
      </c>
      <c r="W1098" s="143"/>
      <c r="X1098" s="143"/>
      <c r="Y1098" s="143"/>
      <c r="Z1098" s="30"/>
      <c r="AA1098" s="31">
        <f t="shared" si="368"/>
        <v>27</v>
      </c>
      <c r="AB1098" s="32">
        <v>3.2500000000000001E-2</v>
      </c>
      <c r="AC1098" s="32">
        <v>5.0500000000000003E-2</v>
      </c>
      <c r="AD1098" s="33">
        <f t="shared" si="391"/>
        <v>-1.3726026012927713E-2</v>
      </c>
      <c r="AE1098" s="34">
        <f t="shared" si="392"/>
        <v>-2.706886386910819E-2</v>
      </c>
      <c r="AF1098" s="33">
        <f t="shared" si="393"/>
        <v>1.3030421535476457</v>
      </c>
      <c r="AG1098" s="33">
        <f t="shared" si="394"/>
        <v>0</v>
      </c>
      <c r="AH1098" s="35">
        <f t="shared" si="395"/>
        <v>2.0213568869214047</v>
      </c>
      <c r="AI1098" s="36">
        <f t="shared" si="374"/>
        <v>6.2670283529963706</v>
      </c>
      <c r="AJ1098" s="23"/>
      <c r="AK1098" s="158">
        <v>321</v>
      </c>
      <c r="AL1098" s="44"/>
      <c r="AM1098" s="44"/>
      <c r="AN1098" s="44"/>
      <c r="AO1098" s="44"/>
      <c r="AP1098" s="44"/>
      <c r="AQ1098" s="44"/>
      <c r="AR1098" s="44"/>
    </row>
    <row r="1099" spans="1:44" ht="16.8">
      <c r="A1099" s="62" t="s">
        <v>2333</v>
      </c>
      <c r="B1099" s="62">
        <v>424</v>
      </c>
      <c r="C1099" s="62" t="s">
        <v>2334</v>
      </c>
      <c r="D1099" s="19" t="s">
        <v>2335</v>
      </c>
      <c r="E1099" s="20" t="s">
        <v>39</v>
      </c>
      <c r="F1099" s="21">
        <v>1957</v>
      </c>
      <c r="G1099" s="40">
        <v>2021</v>
      </c>
      <c r="H1099" s="23">
        <v>613969767038</v>
      </c>
      <c r="I1099" s="23">
        <v>784379990224</v>
      </c>
      <c r="J1099" s="23">
        <v>414855500101</v>
      </c>
      <c r="K1099" s="23">
        <f>(J1099+243210238818)/2</f>
        <v>329032869459.5</v>
      </c>
      <c r="L1099" s="23">
        <v>413468174017</v>
      </c>
      <c r="M1099" s="23">
        <v>369524490123</v>
      </c>
      <c r="N1099" s="23">
        <v>1605521411662</v>
      </c>
      <c r="O1099" s="25">
        <f t="shared" si="361"/>
        <v>200501593021</v>
      </c>
      <c r="P1099" s="23">
        <v>38467159938</v>
      </c>
      <c r="Q1099" s="23">
        <v>60622100222</v>
      </c>
      <c r="R1099" s="25">
        <f t="shared" si="362"/>
        <v>1544899311440</v>
      </c>
      <c r="S1099" s="26">
        <f t="shared" si="363"/>
        <v>0.52889607750259826</v>
      </c>
      <c r="T1099" s="27">
        <f t="shared" si="364"/>
        <v>1.4849263029680158</v>
      </c>
      <c r="U1099" s="26">
        <f t="shared" si="365"/>
        <v>27.38815942128489</v>
      </c>
      <c r="V1099" s="26">
        <f t="shared" si="366"/>
        <v>4.8795167920438427</v>
      </c>
      <c r="W1099" s="143"/>
      <c r="X1099" s="143"/>
      <c r="Y1099" s="143"/>
      <c r="Z1099" s="30">
        <f>W1099*Y1099</f>
        <v>0</v>
      </c>
      <c r="AA1099" s="31">
        <f t="shared" si="368"/>
        <v>64</v>
      </c>
      <c r="AB1099" s="32">
        <v>1.84E-2</v>
      </c>
      <c r="AC1099" s="32">
        <v>2.58E-2</v>
      </c>
      <c r="AD1099" s="33">
        <f t="shared" si="391"/>
        <v>0.25561793457242782</v>
      </c>
      <c r="AE1099" s="34">
        <f t="shared" si="392"/>
        <v>4.904148552669569E-2</v>
      </c>
      <c r="AF1099" s="33">
        <f t="shared" si="393"/>
        <v>1.96958021710729</v>
      </c>
      <c r="AG1099" s="33">
        <f t="shared" si="394"/>
        <v>0</v>
      </c>
      <c r="AH1099" s="35">
        <f t="shared" si="395"/>
        <v>3.8700738239486339</v>
      </c>
      <c r="AI1099" s="36">
        <f t="shared" si="374"/>
        <v>10.745088141626978</v>
      </c>
      <c r="AJ1099" s="23"/>
      <c r="AK1099" s="158">
        <v>322</v>
      </c>
      <c r="AL1099" s="44"/>
      <c r="AM1099" s="44"/>
      <c r="AN1099" s="44"/>
      <c r="AO1099" s="44"/>
      <c r="AP1099" s="44"/>
      <c r="AQ1099" s="44"/>
      <c r="AR1099" s="44"/>
    </row>
    <row r="1100" spans="1:44" ht="16.8">
      <c r="A1100" s="62" t="s">
        <v>2336</v>
      </c>
      <c r="B1100" s="62"/>
      <c r="C1100" s="62" t="s">
        <v>2334</v>
      </c>
      <c r="D1100" s="19" t="s">
        <v>2335</v>
      </c>
      <c r="E1100" s="20" t="s">
        <v>39</v>
      </c>
      <c r="F1100" s="21">
        <v>1957</v>
      </c>
      <c r="G1100" s="40">
        <v>2022</v>
      </c>
      <c r="H1100" s="23">
        <v>502318377677</v>
      </c>
      <c r="I1100" s="23">
        <v>682693174443</v>
      </c>
      <c r="J1100" s="23">
        <v>313542838854</v>
      </c>
      <c r="K1100" s="23">
        <f>(J1100+416239083702)/2</f>
        <v>364890961278</v>
      </c>
      <c r="L1100" s="23">
        <v>312655512770</v>
      </c>
      <c r="M1100" s="23">
        <v>369150335589</v>
      </c>
      <c r="N1100" s="23">
        <v>1640573091489</v>
      </c>
      <c r="O1100" s="25">
        <f t="shared" si="361"/>
        <v>189662864907</v>
      </c>
      <c r="P1100" s="23">
        <v>42574269987</v>
      </c>
      <c r="Q1100" s="23">
        <f>73957797681</f>
        <v>73957797681</v>
      </c>
      <c r="R1100" s="25">
        <f t="shared" si="362"/>
        <v>1566615293808</v>
      </c>
      <c r="S1100" s="26">
        <f t="shared" si="363"/>
        <v>0.45927343437967622</v>
      </c>
      <c r="T1100" s="27">
        <f t="shared" si="364"/>
        <v>1.6066192891552258</v>
      </c>
      <c r="U1100" s="26">
        <f t="shared" si="365"/>
        <v>27.249311363434334</v>
      </c>
      <c r="V1100" s="26">
        <f t="shared" si="366"/>
        <v>4.4960639357659895</v>
      </c>
      <c r="W1100" s="143"/>
      <c r="X1100" s="143"/>
      <c r="Y1100" s="143"/>
      <c r="Z1100" s="30"/>
      <c r="AA1100" s="31">
        <f t="shared" si="368"/>
        <v>65</v>
      </c>
      <c r="AB1100" s="32">
        <v>3.15E-2</v>
      </c>
      <c r="AC1100" s="32">
        <v>8.0199999999999994E-2</v>
      </c>
      <c r="AD1100" s="33">
        <f t="shared" si="391"/>
        <v>0.27781567475278091</v>
      </c>
      <c r="AE1100" s="34">
        <f t="shared" si="392"/>
        <v>6.2362231791369183E-2</v>
      </c>
      <c r="AF1100" s="33">
        <f t="shared" si="393"/>
        <v>2.2947575169272492</v>
      </c>
      <c r="AG1100" s="33">
        <f t="shared" si="394"/>
        <v>0</v>
      </c>
      <c r="AH1100" s="35">
        <f t="shared" si="395"/>
        <v>5.2323730227272911</v>
      </c>
      <c r="AI1100" s="36">
        <f t="shared" si="374"/>
        <v>13.225758762798467</v>
      </c>
      <c r="AJ1100" s="23"/>
      <c r="AK1100" s="158">
        <v>323</v>
      </c>
      <c r="AL1100" s="44"/>
      <c r="AM1100" s="44"/>
      <c r="AN1100" s="44"/>
      <c r="AO1100" s="44"/>
      <c r="AP1100" s="44"/>
      <c r="AQ1100" s="44"/>
      <c r="AR1100" s="44"/>
    </row>
    <row r="1101" spans="1:44" ht="16.8">
      <c r="A1101" s="62" t="s">
        <v>2337</v>
      </c>
      <c r="B1101" s="62"/>
      <c r="C1101" s="62" t="s">
        <v>2334</v>
      </c>
      <c r="D1101" s="19" t="s">
        <v>2335</v>
      </c>
      <c r="E1101" s="20" t="s">
        <v>39</v>
      </c>
      <c r="F1101" s="21">
        <v>1957</v>
      </c>
      <c r="G1101" s="40">
        <v>2023</v>
      </c>
      <c r="H1101" s="23">
        <v>489830501675</v>
      </c>
      <c r="I1101" s="23">
        <v>632841714434</v>
      </c>
      <c r="J1101" s="23">
        <v>260760310385</v>
      </c>
      <c r="K1101" s="23">
        <f>SUM(J1100:J1101)/2</f>
        <v>287151574619.5</v>
      </c>
      <c r="L1101" s="23">
        <v>259241822501</v>
      </c>
      <c r="M1101" s="23">
        <v>372081404049</v>
      </c>
      <c r="N1101" s="23">
        <v>1083660323662</v>
      </c>
      <c r="O1101" s="25">
        <f t="shared" si="361"/>
        <v>230588679174</v>
      </c>
      <c r="P1101" s="23">
        <v>42753710459</v>
      </c>
      <c r="Q1101" s="23">
        <v>73755712449</v>
      </c>
      <c r="R1101" s="25">
        <f t="shared" si="362"/>
        <v>1009904611213</v>
      </c>
      <c r="S1101" s="26">
        <f t="shared" si="363"/>
        <v>0.41204665311644068</v>
      </c>
      <c r="T1101" s="27">
        <f t="shared" si="364"/>
        <v>1.88947329929032</v>
      </c>
      <c r="U1101" s="26">
        <f t="shared" si="365"/>
        <v>27.173486171634913</v>
      </c>
      <c r="V1101" s="26">
        <f t="shared" si="366"/>
        <v>3.7738268546775031</v>
      </c>
      <c r="W1101" s="143"/>
      <c r="X1101" s="143"/>
      <c r="Y1101" s="143"/>
      <c r="Z1101" s="30"/>
      <c r="AA1101" s="31">
        <f t="shared" si="368"/>
        <v>66</v>
      </c>
      <c r="AB1101" s="32">
        <v>3.2500000000000001E-2</v>
      </c>
      <c r="AC1101" s="32">
        <v>5.0500000000000003E-2</v>
      </c>
      <c r="AD1101" s="33">
        <f t="shared" si="391"/>
        <v>0.36437022704837585</v>
      </c>
      <c r="AE1101" s="34">
        <f t="shared" si="392"/>
        <v>6.7558300099161445E-2</v>
      </c>
      <c r="AF1101" s="33">
        <f t="shared" si="393"/>
        <v>1.5958249719935687</v>
      </c>
      <c r="AG1101" s="33">
        <f t="shared" si="394"/>
        <v>0</v>
      </c>
      <c r="AH1101" s="35">
        <f t="shared" si="395"/>
        <v>4.1557717202515514</v>
      </c>
      <c r="AI1101" s="36">
        <f t="shared" si="374"/>
        <v>9.9538200204272052</v>
      </c>
      <c r="AJ1101" s="23"/>
      <c r="AK1101" s="158">
        <v>324</v>
      </c>
      <c r="AL1101" s="44"/>
      <c r="AM1101" s="44"/>
      <c r="AN1101" s="44"/>
      <c r="AO1101" s="44"/>
      <c r="AP1101" s="44"/>
      <c r="AQ1101" s="44"/>
      <c r="AR1101" s="44"/>
    </row>
    <row r="1102" spans="1:44" ht="16.8">
      <c r="A1102" s="62" t="s">
        <v>2338</v>
      </c>
      <c r="B1102" s="62">
        <v>425</v>
      </c>
      <c r="C1102" s="62" t="s">
        <v>2339</v>
      </c>
      <c r="D1102" s="19" t="s">
        <v>2340</v>
      </c>
      <c r="E1102" s="20" t="s">
        <v>39</v>
      </c>
      <c r="F1102" s="21">
        <v>1999</v>
      </c>
      <c r="G1102" s="40">
        <v>2021</v>
      </c>
      <c r="H1102" s="23">
        <v>223349732418</v>
      </c>
      <c r="I1102" s="23">
        <v>254337691840</v>
      </c>
      <c r="J1102" s="23">
        <v>166213646636</v>
      </c>
      <c r="K1102" s="23">
        <f>(J1102+283704400356)/2</f>
        <v>224959023496</v>
      </c>
      <c r="L1102" s="23">
        <v>166213646636</v>
      </c>
      <c r="M1102" s="23">
        <v>88124045204</v>
      </c>
      <c r="N1102" s="23">
        <v>140847773887</v>
      </c>
      <c r="O1102" s="25">
        <f t="shared" si="361"/>
        <v>57136085782</v>
      </c>
      <c r="P1102" s="23">
        <v>510466720</v>
      </c>
      <c r="Q1102" s="23">
        <f>12894755230+11690951405</f>
        <v>24585706635</v>
      </c>
      <c r="R1102" s="25">
        <f t="shared" si="362"/>
        <v>116262067252</v>
      </c>
      <c r="S1102" s="26">
        <f t="shared" si="363"/>
        <v>0.65351558958301192</v>
      </c>
      <c r="T1102" s="27">
        <f t="shared" si="364"/>
        <v>1.3437508708723858</v>
      </c>
      <c r="U1102" s="26">
        <f t="shared" si="365"/>
        <v>26.261928716401506</v>
      </c>
      <c r="V1102" s="26">
        <f t="shared" si="366"/>
        <v>0.62610413086854644</v>
      </c>
      <c r="W1102" s="143"/>
      <c r="X1102" s="143"/>
      <c r="Y1102" s="143"/>
      <c r="Z1102" s="30">
        <f>W1102*Y1102</f>
        <v>0</v>
      </c>
      <c r="AA1102" s="31">
        <f t="shared" si="368"/>
        <v>22</v>
      </c>
      <c r="AB1102" s="32">
        <v>1.84E-2</v>
      </c>
      <c r="AC1102" s="32">
        <v>2.58E-2</v>
      </c>
      <c r="AD1102" s="33">
        <f t="shared" si="391"/>
        <v>0.22464655304784101</v>
      </c>
      <c r="AE1102" s="34">
        <f t="shared" si="392"/>
        <v>2.0070431413725612E-3</v>
      </c>
      <c r="AF1102" s="33">
        <f t="shared" si="393"/>
        <v>0.45711693933724423</v>
      </c>
      <c r="AG1102" s="33">
        <f t="shared" si="394"/>
        <v>0</v>
      </c>
      <c r="AH1102" s="35">
        <f t="shared" si="395"/>
        <v>0.84738995105167236</v>
      </c>
      <c r="AI1102" s="36">
        <f t="shared" si="374"/>
        <v>2.6282615749199087</v>
      </c>
      <c r="AJ1102" s="23"/>
      <c r="AK1102" s="158">
        <v>325</v>
      </c>
      <c r="AL1102" s="44"/>
      <c r="AM1102" s="44"/>
      <c r="AN1102" s="44"/>
      <c r="AO1102" s="44"/>
      <c r="AP1102" s="44"/>
      <c r="AQ1102" s="44"/>
      <c r="AR1102" s="44"/>
    </row>
    <row r="1103" spans="1:44" ht="16.8">
      <c r="A1103" s="62" t="s">
        <v>2341</v>
      </c>
      <c r="B1103" s="62"/>
      <c r="C1103" s="62" t="s">
        <v>2339</v>
      </c>
      <c r="D1103" s="19" t="s">
        <v>2340</v>
      </c>
      <c r="E1103" s="20" t="s">
        <v>39</v>
      </c>
      <c r="F1103" s="21">
        <v>1999</v>
      </c>
      <c r="G1103" s="40">
        <v>2022</v>
      </c>
      <c r="H1103" s="23">
        <v>234412791515</v>
      </c>
      <c r="I1103" s="23">
        <v>261120421307</v>
      </c>
      <c r="J1103" s="23">
        <v>177155431086</v>
      </c>
      <c r="K1103" s="23">
        <f t="shared" ref="K1103:K1104" si="399">SUM(J1102:J1103)/2</f>
        <v>171684538861</v>
      </c>
      <c r="L1103" s="23">
        <v>177155431086</v>
      </c>
      <c r="M1103" s="23">
        <v>83964990221</v>
      </c>
      <c r="N1103" s="23">
        <v>261285688682</v>
      </c>
      <c r="O1103" s="25">
        <f t="shared" si="361"/>
        <v>57257360429</v>
      </c>
      <c r="P1103" s="23">
        <v>1289338978</v>
      </c>
      <c r="Q1103" s="23">
        <f>14270970893+16168679818</f>
        <v>30439650711</v>
      </c>
      <c r="R1103" s="25">
        <f t="shared" si="362"/>
        <v>230846037971</v>
      </c>
      <c r="S1103" s="26">
        <f t="shared" si="363"/>
        <v>0.67844341778890538</v>
      </c>
      <c r="T1103" s="27">
        <f t="shared" si="364"/>
        <v>1.323204093027238</v>
      </c>
      <c r="U1103" s="26">
        <f t="shared" si="365"/>
        <v>26.288247522182097</v>
      </c>
      <c r="V1103" s="26">
        <f t="shared" si="366"/>
        <v>1.5218941112311999</v>
      </c>
      <c r="W1103" s="143"/>
      <c r="X1103" s="143"/>
      <c r="Y1103" s="143"/>
      <c r="Z1103" s="30"/>
      <c r="AA1103" s="31">
        <f t="shared" si="368"/>
        <v>23</v>
      </c>
      <c r="AB1103" s="32">
        <v>3.15E-2</v>
      </c>
      <c r="AC1103" s="32">
        <v>8.0199999999999994E-2</v>
      </c>
      <c r="AD1103" s="33">
        <f t="shared" si="391"/>
        <v>0.21927568951676271</v>
      </c>
      <c r="AE1103" s="34">
        <f t="shared" si="392"/>
        <v>4.9377178986859879E-3</v>
      </c>
      <c r="AF1103" s="33">
        <f t="shared" si="393"/>
        <v>0.88405968715711314</v>
      </c>
      <c r="AG1103" s="33">
        <f t="shared" si="394"/>
        <v>0</v>
      </c>
      <c r="AH1103" s="35">
        <f t="shared" si="395"/>
        <v>1.4748951645471091</v>
      </c>
      <c r="AI1103" s="36">
        <f t="shared" si="374"/>
        <v>4.6623357646438581</v>
      </c>
      <c r="AJ1103" s="23"/>
      <c r="AK1103" s="158">
        <v>326</v>
      </c>
      <c r="AL1103" s="44"/>
      <c r="AM1103" s="44"/>
      <c r="AN1103" s="44"/>
      <c r="AO1103" s="44"/>
      <c r="AP1103" s="44"/>
      <c r="AQ1103" s="44"/>
      <c r="AR1103" s="44"/>
    </row>
    <row r="1104" spans="1:44" ht="16.8">
      <c r="A1104" s="62" t="s">
        <v>2342</v>
      </c>
      <c r="B1104" s="62"/>
      <c r="C1104" s="62" t="s">
        <v>2339</v>
      </c>
      <c r="D1104" s="19" t="s">
        <v>2340</v>
      </c>
      <c r="E1104" s="20" t="s">
        <v>39</v>
      </c>
      <c r="F1104" s="21">
        <v>1999</v>
      </c>
      <c r="G1104" s="40">
        <v>2023</v>
      </c>
      <c r="H1104" s="23">
        <v>247739217142</v>
      </c>
      <c r="I1104" s="23">
        <v>271026518565</v>
      </c>
      <c r="J1104" s="23">
        <v>189922223022</v>
      </c>
      <c r="K1104" s="23">
        <f t="shared" si="399"/>
        <v>183538827054</v>
      </c>
      <c r="L1104" s="23">
        <v>189922223022</v>
      </c>
      <c r="M1104" s="23">
        <v>81104295543</v>
      </c>
      <c r="N1104" s="23">
        <v>179085127810</v>
      </c>
      <c r="O1104" s="25">
        <f t="shared" si="361"/>
        <v>57816994120</v>
      </c>
      <c r="P1104" s="23">
        <v>309705422</v>
      </c>
      <c r="Q1104" s="23">
        <f>12414891971+14052629490</f>
        <v>26467521461</v>
      </c>
      <c r="R1104" s="25">
        <f t="shared" si="362"/>
        <v>152617606349</v>
      </c>
      <c r="S1104" s="26">
        <f t="shared" si="363"/>
        <v>0.70075143948119289</v>
      </c>
      <c r="T1104" s="27">
        <f t="shared" si="364"/>
        <v>1.3044245860227881</v>
      </c>
      <c r="U1104" s="26">
        <f t="shared" si="365"/>
        <v>26.325482507522068</v>
      </c>
      <c r="V1104" s="26">
        <f t="shared" si="366"/>
        <v>0.9757342938522231</v>
      </c>
      <c r="W1104" s="143"/>
      <c r="X1104" s="143"/>
      <c r="Y1104" s="143"/>
      <c r="Z1104" s="30"/>
      <c r="AA1104" s="31">
        <f t="shared" si="368"/>
        <v>24</v>
      </c>
      <c r="AB1104" s="32">
        <v>3.2500000000000001E-2</v>
      </c>
      <c r="AC1104" s="32">
        <v>5.0500000000000003E-2</v>
      </c>
      <c r="AD1104" s="33">
        <f t="shared" si="391"/>
        <v>0.21332596686893504</v>
      </c>
      <c r="AE1104" s="34">
        <f t="shared" si="392"/>
        <v>1.1427126158716594E-3</v>
      </c>
      <c r="AF1104" s="33">
        <f t="shared" si="393"/>
        <v>0.563109496284947</v>
      </c>
      <c r="AG1104" s="33">
        <f t="shared" si="394"/>
        <v>0</v>
      </c>
      <c r="AH1104" s="35">
        <f t="shared" si="395"/>
        <v>0.94293929883737371</v>
      </c>
      <c r="AI1104" s="36">
        <f t="shared" si="374"/>
        <v>3.0587915944826412</v>
      </c>
      <c r="AJ1104" s="23"/>
      <c r="AK1104" s="158">
        <v>327</v>
      </c>
      <c r="AL1104" s="44"/>
      <c r="AM1104" s="44"/>
      <c r="AN1104" s="44"/>
      <c r="AO1104" s="44"/>
      <c r="AP1104" s="44"/>
      <c r="AQ1104" s="44"/>
      <c r="AR1104" s="44"/>
    </row>
    <row r="1105" spans="1:44" ht="16.8">
      <c r="A1105" s="62" t="s">
        <v>2343</v>
      </c>
      <c r="B1105" s="62">
        <v>426</v>
      </c>
      <c r="C1105" s="62" t="s">
        <v>2344</v>
      </c>
      <c r="D1105" s="19" t="s">
        <v>2345</v>
      </c>
      <c r="E1105" s="20" t="s">
        <v>39</v>
      </c>
      <c r="F1105" s="21">
        <v>2005</v>
      </c>
      <c r="G1105" s="40">
        <v>2021</v>
      </c>
      <c r="H1105" s="23">
        <v>142291421200</v>
      </c>
      <c r="I1105" s="23">
        <v>191035557669</v>
      </c>
      <c r="J1105" s="23">
        <v>107795071425</v>
      </c>
      <c r="K1105" s="23">
        <f>(J1105+76585119813)/2</f>
        <v>92190095619</v>
      </c>
      <c r="L1105" s="23">
        <v>104041723529</v>
      </c>
      <c r="M1105" s="23">
        <v>83240486244</v>
      </c>
      <c r="N1105" s="23">
        <v>298473113492</v>
      </c>
      <c r="O1105" s="25">
        <f t="shared" si="361"/>
        <v>38249697671</v>
      </c>
      <c r="P1105" s="23">
        <v>4247820007</v>
      </c>
      <c r="Q1105" s="23">
        <f>6969014829+5344733311</f>
        <v>12313748140</v>
      </c>
      <c r="R1105" s="25">
        <f t="shared" si="362"/>
        <v>286159365352</v>
      </c>
      <c r="S1105" s="26">
        <f t="shared" si="363"/>
        <v>0.56426705447041647</v>
      </c>
      <c r="T1105" s="27">
        <f t="shared" si="364"/>
        <v>1.3676380626310798</v>
      </c>
      <c r="U1105" s="26">
        <f t="shared" si="365"/>
        <v>25.97572541347262</v>
      </c>
      <c r="V1105" s="26">
        <f t="shared" si="366"/>
        <v>3.2375832944736191</v>
      </c>
      <c r="W1105" s="143"/>
      <c r="X1105" s="143"/>
      <c r="Y1105" s="143"/>
      <c r="Z1105" s="30">
        <f>W1105*Y1105</f>
        <v>0</v>
      </c>
      <c r="AA1105" s="31">
        <f t="shared" si="368"/>
        <v>16</v>
      </c>
      <c r="AB1105" s="32">
        <v>1.84E-2</v>
      </c>
      <c r="AC1105" s="32">
        <v>2.58E-2</v>
      </c>
      <c r="AD1105" s="33">
        <f t="shared" si="391"/>
        <v>0.20022292256855023</v>
      </c>
      <c r="AE1105" s="34">
        <f t="shared" si="392"/>
        <v>2.2235755787202899E-2</v>
      </c>
      <c r="AF1105" s="33">
        <f t="shared" si="393"/>
        <v>1.497937707742437</v>
      </c>
      <c r="AG1105" s="33">
        <f t="shared" si="394"/>
        <v>0</v>
      </c>
      <c r="AH1105" s="35">
        <f t="shared" si="395"/>
        <v>2.7688938793427771</v>
      </c>
      <c r="AI1105" s="36">
        <f t="shared" si="374"/>
        <v>7.9834858800771631</v>
      </c>
      <c r="AJ1105" s="23"/>
      <c r="AK1105" s="158">
        <v>328</v>
      </c>
      <c r="AL1105" s="44"/>
      <c r="AM1105" s="44"/>
      <c r="AN1105" s="44"/>
      <c r="AO1105" s="44"/>
      <c r="AP1105" s="44"/>
      <c r="AQ1105" s="44"/>
      <c r="AR1105" s="44"/>
    </row>
    <row r="1106" spans="1:44" ht="16.8">
      <c r="A1106" s="62" t="s">
        <v>2346</v>
      </c>
      <c r="B1106" s="62"/>
      <c r="C1106" s="62" t="s">
        <v>2344</v>
      </c>
      <c r="D1106" s="19" t="s">
        <v>2345</v>
      </c>
      <c r="E1106" s="20" t="s">
        <v>39</v>
      </c>
      <c r="F1106" s="21">
        <v>2005</v>
      </c>
      <c r="G1106" s="40">
        <v>2022</v>
      </c>
      <c r="H1106" s="23">
        <v>189897505972</v>
      </c>
      <c r="I1106" s="23">
        <v>245432879915</v>
      </c>
      <c r="J1106" s="23">
        <v>159559905465</v>
      </c>
      <c r="K1106" s="23">
        <f t="shared" ref="K1106:K1107" si="400">SUM(J1105:J1106)/2</f>
        <v>133677488445</v>
      </c>
      <c r="L1106" s="23">
        <v>151222002509</v>
      </c>
      <c r="M1106" s="23">
        <v>85872974450</v>
      </c>
      <c r="N1106" s="23">
        <v>414674017908</v>
      </c>
      <c r="O1106" s="25">
        <f t="shared" si="361"/>
        <v>38675503463</v>
      </c>
      <c r="P1106" s="23">
        <v>2632488206</v>
      </c>
      <c r="Q1106" s="23">
        <f>13935495385+9037526764</f>
        <v>22973022149</v>
      </c>
      <c r="R1106" s="25">
        <f t="shared" si="362"/>
        <v>391700995759</v>
      </c>
      <c r="S1106" s="26">
        <f t="shared" si="363"/>
        <v>0.65011625793683336</v>
      </c>
      <c r="T1106" s="27">
        <f t="shared" si="364"/>
        <v>1.2557531498149432</v>
      </c>
      <c r="U1106" s="26">
        <f t="shared" si="365"/>
        <v>26.226289345231738</v>
      </c>
      <c r="V1106" s="26">
        <f t="shared" si="366"/>
        <v>3.1020482411188675</v>
      </c>
      <c r="W1106" s="143"/>
      <c r="X1106" s="143"/>
      <c r="Y1106" s="143"/>
      <c r="Z1106" s="30"/>
      <c r="AA1106" s="31">
        <f t="shared" si="368"/>
        <v>17</v>
      </c>
      <c r="AB1106" s="32">
        <v>3.15E-2</v>
      </c>
      <c r="AC1106" s="32">
        <v>8.0199999999999994E-2</v>
      </c>
      <c r="AD1106" s="33">
        <f t="shared" si="391"/>
        <v>0.15758077514469279</v>
      </c>
      <c r="AE1106" s="34">
        <f t="shared" si="392"/>
        <v>1.0725898693409381E-2</v>
      </c>
      <c r="AF1106" s="33">
        <f t="shared" si="393"/>
        <v>1.5959597422099947</v>
      </c>
      <c r="AG1106" s="33">
        <f t="shared" si="394"/>
        <v>0</v>
      </c>
      <c r="AH1106" s="35">
        <f t="shared" si="395"/>
        <v>2.5988610152376914</v>
      </c>
      <c r="AI1106" s="36">
        <f t="shared" si="374"/>
        <v>8.0696413528750774</v>
      </c>
      <c r="AJ1106" s="23"/>
      <c r="AK1106" s="158">
        <v>329</v>
      </c>
      <c r="AL1106" s="44"/>
      <c r="AM1106" s="44"/>
      <c r="AN1106" s="44"/>
      <c r="AO1106" s="44"/>
      <c r="AP1106" s="44"/>
      <c r="AQ1106" s="44"/>
      <c r="AR1106" s="44"/>
    </row>
    <row r="1107" spans="1:44" ht="16.8">
      <c r="A1107" s="62" t="s">
        <v>2347</v>
      </c>
      <c r="B1107" s="62"/>
      <c r="C1107" s="62" t="s">
        <v>2344</v>
      </c>
      <c r="D1107" s="19" t="s">
        <v>2345</v>
      </c>
      <c r="E1107" s="20" t="s">
        <v>39</v>
      </c>
      <c r="F1107" s="21">
        <v>2005</v>
      </c>
      <c r="G1107" s="40">
        <v>2023</v>
      </c>
      <c r="H1107" s="23">
        <v>259163050959</v>
      </c>
      <c r="I1107" s="23">
        <v>351006726344</v>
      </c>
      <c r="J1107" s="23">
        <v>262518503211</v>
      </c>
      <c r="K1107" s="23">
        <f t="shared" si="400"/>
        <v>211039204338</v>
      </c>
      <c r="L1107" s="23">
        <v>245393048912</v>
      </c>
      <c r="M1107" s="23">
        <v>88488223133</v>
      </c>
      <c r="N1107" s="23">
        <v>509281515716</v>
      </c>
      <c r="O1107" s="25">
        <f t="shared" si="361"/>
        <v>13770002047</v>
      </c>
      <c r="P1107" s="23">
        <v>6635907361</v>
      </c>
      <c r="Q1107" s="23">
        <f>31650810431+12586047275</f>
        <v>44236857706</v>
      </c>
      <c r="R1107" s="25">
        <f t="shared" si="362"/>
        <v>465044658010</v>
      </c>
      <c r="S1107" s="26">
        <f t="shared" si="363"/>
        <v>0.74790163124601161</v>
      </c>
      <c r="T1107" s="27">
        <f t="shared" si="364"/>
        <v>1.0561140672405029</v>
      </c>
      <c r="U1107" s="26">
        <f t="shared" si="365"/>
        <v>26.584071223601882</v>
      </c>
      <c r="V1107" s="26">
        <f t="shared" si="366"/>
        <v>2.4132080923710064</v>
      </c>
      <c r="W1107" s="143"/>
      <c r="X1107" s="143"/>
      <c r="Y1107" s="143"/>
      <c r="Z1107" s="30"/>
      <c r="AA1107" s="31">
        <f t="shared" si="368"/>
        <v>18</v>
      </c>
      <c r="AB1107" s="32">
        <v>3.2500000000000001E-2</v>
      </c>
      <c r="AC1107" s="32">
        <v>5.0500000000000003E-2</v>
      </c>
      <c r="AD1107" s="33">
        <f t="shared" si="391"/>
        <v>3.9230023283100483E-2</v>
      </c>
      <c r="AE1107" s="34">
        <f t="shared" si="392"/>
        <v>1.8905356686801943E-2</v>
      </c>
      <c r="AF1107" s="33">
        <f t="shared" si="393"/>
        <v>1.3248881662576417</v>
      </c>
      <c r="AG1107" s="33">
        <f t="shared" si="394"/>
        <v>0</v>
      </c>
      <c r="AH1107" s="35">
        <f t="shared" si="395"/>
        <v>1.939983313506338</v>
      </c>
      <c r="AI1107" s="36">
        <f t="shared" si="374"/>
        <v>6.3856577894577988</v>
      </c>
      <c r="AJ1107" s="23"/>
      <c r="AK1107" s="158">
        <v>330</v>
      </c>
      <c r="AL1107" s="44"/>
      <c r="AM1107" s="44"/>
      <c r="AN1107" s="44"/>
      <c r="AO1107" s="44"/>
      <c r="AP1107" s="44"/>
      <c r="AQ1107" s="44"/>
      <c r="AR1107" s="44"/>
    </row>
    <row r="1108" spans="1:44" ht="16.8">
      <c r="A1108" s="62" t="s">
        <v>2348</v>
      </c>
      <c r="B1108" s="62">
        <v>427</v>
      </c>
      <c r="C1108" s="62" t="s">
        <v>2349</v>
      </c>
      <c r="D1108" s="19" t="s">
        <v>2350</v>
      </c>
      <c r="E1108" s="20" t="s">
        <v>178</v>
      </c>
      <c r="F1108" s="21">
        <v>1989</v>
      </c>
      <c r="G1108" s="40">
        <v>2021</v>
      </c>
      <c r="H1108" s="23">
        <v>99866398617</v>
      </c>
      <c r="I1108" s="23">
        <v>141075648439</v>
      </c>
      <c r="J1108" s="23">
        <v>117586840620</v>
      </c>
      <c r="K1108" s="23">
        <f>(J1108+110760629164)/2</f>
        <v>114173734892</v>
      </c>
      <c r="L1108" s="23">
        <v>117274540670</v>
      </c>
      <c r="M1108" s="23">
        <v>23488807819</v>
      </c>
      <c r="N1108" s="23">
        <v>84766823424</v>
      </c>
      <c r="O1108" s="25">
        <f t="shared" si="361"/>
        <v>-17408142053</v>
      </c>
      <c r="P1108" s="23">
        <v>460915656</v>
      </c>
      <c r="Q1108" s="23">
        <f>3944382955+3919162541</f>
        <v>7863545496</v>
      </c>
      <c r="R1108" s="25">
        <f t="shared" si="362"/>
        <v>76903277928</v>
      </c>
      <c r="S1108" s="26">
        <f t="shared" si="363"/>
        <v>0.83350203894929198</v>
      </c>
      <c r="T1108" s="27">
        <f t="shared" si="364"/>
        <v>0.85156077394508889</v>
      </c>
      <c r="U1108" s="26">
        <f t="shared" si="365"/>
        <v>25.672562097204306</v>
      </c>
      <c r="V1108" s="26">
        <f t="shared" si="366"/>
        <v>0.74243715951118894</v>
      </c>
      <c r="W1108" s="143"/>
      <c r="X1108" s="143"/>
      <c r="Y1108" s="143"/>
      <c r="Z1108" s="30">
        <f>W1108*Y1108</f>
        <v>0</v>
      </c>
      <c r="AA1108" s="31">
        <f t="shared" si="368"/>
        <v>32</v>
      </c>
      <c r="AB1108" s="32">
        <v>1.84E-2</v>
      </c>
      <c r="AC1108" s="32">
        <v>2.58E-2</v>
      </c>
      <c r="AD1108" s="33">
        <f t="shared" si="391"/>
        <v>-0.1233957968339741</v>
      </c>
      <c r="AE1108" s="34">
        <f t="shared" si="392"/>
        <v>3.2671524894623914E-3</v>
      </c>
      <c r="AF1108" s="33">
        <f t="shared" si="393"/>
        <v>0.54512085380385389</v>
      </c>
      <c r="AG1108" s="33">
        <f t="shared" si="394"/>
        <v>0</v>
      </c>
      <c r="AH1108" s="35">
        <f t="shared" si="395"/>
        <v>0.72088698851886879</v>
      </c>
      <c r="AI1108" s="36">
        <f t="shared" si="374"/>
        <v>2.3762848633560649</v>
      </c>
      <c r="AJ1108" s="23"/>
      <c r="AK1108" s="23"/>
      <c r="AL1108" s="44"/>
      <c r="AM1108" s="44"/>
      <c r="AN1108" s="44"/>
      <c r="AO1108" s="44"/>
      <c r="AP1108" s="44"/>
      <c r="AQ1108" s="44"/>
      <c r="AR1108" s="44"/>
    </row>
    <row r="1109" spans="1:44" ht="16.8">
      <c r="A1109" s="62" t="s">
        <v>2351</v>
      </c>
      <c r="B1109" s="62"/>
      <c r="C1109" s="62" t="s">
        <v>2349</v>
      </c>
      <c r="D1109" s="19" t="s">
        <v>2350</v>
      </c>
      <c r="E1109" s="20" t="s">
        <v>178</v>
      </c>
      <c r="F1109" s="21">
        <v>1989</v>
      </c>
      <c r="G1109" s="40">
        <v>2022</v>
      </c>
      <c r="H1109" s="23">
        <v>65416758501</v>
      </c>
      <c r="I1109" s="23">
        <v>103052951717</v>
      </c>
      <c r="J1109" s="23">
        <v>115335150456</v>
      </c>
      <c r="K1109" s="23">
        <f t="shared" ref="K1109:K1110" si="401">SUM(J1108:J1109)/2</f>
        <v>116460995538</v>
      </c>
      <c r="L1109" s="23">
        <v>115258670474</v>
      </c>
      <c r="M1109" s="23">
        <v>-12282198739</v>
      </c>
      <c r="N1109" s="23">
        <v>82459746043</v>
      </c>
      <c r="O1109" s="25">
        <f t="shared" si="361"/>
        <v>-49841911973</v>
      </c>
      <c r="P1109" s="23">
        <v>-35725760067</v>
      </c>
      <c r="Q1109" s="23">
        <f>3762623498+4826199607</f>
        <v>8588823105</v>
      </c>
      <c r="R1109" s="25">
        <f t="shared" si="362"/>
        <v>73870922938</v>
      </c>
      <c r="S1109" s="26">
        <f t="shared" si="363"/>
        <v>1.1191833764522232</v>
      </c>
      <c r="T1109" s="27">
        <f t="shared" si="364"/>
        <v>0.56756475007020568</v>
      </c>
      <c r="U1109" s="26">
        <f t="shared" si="365"/>
        <v>25.358508787414632</v>
      </c>
      <c r="V1109" s="26">
        <f t="shared" si="366"/>
        <v>0.70804603431450364</v>
      </c>
      <c r="W1109" s="143"/>
      <c r="X1109" s="143"/>
      <c r="Y1109" s="143"/>
      <c r="Z1109" s="30"/>
      <c r="AA1109" s="31">
        <f t="shared" si="368"/>
        <v>33</v>
      </c>
      <c r="AB1109" s="32">
        <v>3.15E-2</v>
      </c>
      <c r="AC1109" s="32">
        <v>8.0199999999999994E-2</v>
      </c>
      <c r="AD1109" s="33">
        <f t="shared" si="391"/>
        <v>-0.48365341450746524</v>
      </c>
      <c r="AE1109" s="34">
        <f t="shared" si="392"/>
        <v>-0.34667381643864692</v>
      </c>
      <c r="AF1109" s="33">
        <f t="shared" si="393"/>
        <v>0.71682491095317147</v>
      </c>
      <c r="AG1109" s="33">
        <f t="shared" si="394"/>
        <v>0</v>
      </c>
      <c r="AH1109" s="35">
        <f t="shared" si="395"/>
        <v>0.71495763188394279</v>
      </c>
      <c r="AI1109" s="36">
        <f t="shared" si="374"/>
        <v>2.0147523976063448</v>
      </c>
      <c r="AJ1109" s="23"/>
      <c r="AK1109" s="23"/>
      <c r="AL1109" s="44"/>
      <c r="AM1109" s="44"/>
      <c r="AN1109" s="44"/>
      <c r="AO1109" s="44"/>
      <c r="AP1109" s="44"/>
      <c r="AQ1109" s="44"/>
      <c r="AR1109" s="44"/>
    </row>
    <row r="1110" spans="1:44" ht="16.8">
      <c r="A1110" s="62" t="s">
        <v>2352</v>
      </c>
      <c r="B1110" s="62"/>
      <c r="C1110" s="62" t="s">
        <v>2349</v>
      </c>
      <c r="D1110" s="19" t="s">
        <v>2350</v>
      </c>
      <c r="E1110" s="20" t="s">
        <v>178</v>
      </c>
      <c r="F1110" s="21">
        <v>1989</v>
      </c>
      <c r="G1110" s="40">
        <v>2023</v>
      </c>
      <c r="H1110" s="23">
        <v>47052433576</v>
      </c>
      <c r="I1110" s="23">
        <v>79323875824</v>
      </c>
      <c r="J1110" s="23">
        <v>50426810805</v>
      </c>
      <c r="K1110" s="23">
        <f t="shared" si="401"/>
        <v>82880980630.5</v>
      </c>
      <c r="L1110" s="23">
        <v>50426810805</v>
      </c>
      <c r="M1110" s="23">
        <v>28897065019</v>
      </c>
      <c r="N1110" s="23">
        <v>15125775069</v>
      </c>
      <c r="O1110" s="25">
        <f t="shared" si="361"/>
        <v>-3374377229</v>
      </c>
      <c r="P1110" s="23">
        <v>-9350656242</v>
      </c>
      <c r="Q1110" s="23">
        <f>3365359496+4756828475</f>
        <v>8122187971</v>
      </c>
      <c r="R1110" s="25">
        <f t="shared" si="362"/>
        <v>7003587098</v>
      </c>
      <c r="S1110" s="26">
        <f t="shared" si="363"/>
        <v>0.63570785316749501</v>
      </c>
      <c r="T1110" s="27">
        <f t="shared" si="364"/>
        <v>0.93308366769319029</v>
      </c>
      <c r="U1110" s="26">
        <f t="shared" si="365"/>
        <v>25.096805002540904</v>
      </c>
      <c r="V1110" s="26">
        <f t="shared" si="366"/>
        <v>0.18249995299203484</v>
      </c>
      <c r="W1110" s="143"/>
      <c r="X1110" s="143"/>
      <c r="Y1110" s="143"/>
      <c r="Z1110" s="30"/>
      <c r="AA1110" s="31">
        <f t="shared" si="368"/>
        <v>34</v>
      </c>
      <c r="AB1110" s="32">
        <v>3.2500000000000001E-2</v>
      </c>
      <c r="AC1110" s="32">
        <v>5.0500000000000003E-2</v>
      </c>
      <c r="AD1110" s="33">
        <f t="shared" si="391"/>
        <v>-4.2539237952604662E-2</v>
      </c>
      <c r="AE1110" s="34">
        <f t="shared" si="392"/>
        <v>-0.11787946749786642</v>
      </c>
      <c r="AF1110" s="33">
        <f t="shared" si="393"/>
        <v>8.8291035016231714E-2</v>
      </c>
      <c r="AG1110" s="33">
        <f t="shared" si="394"/>
        <v>0</v>
      </c>
      <c r="AH1110" s="35">
        <f t="shared" si="395"/>
        <v>0.29995502050469203</v>
      </c>
      <c r="AI1110" s="36">
        <f t="shared" si="374"/>
        <v>0.37523709601811805</v>
      </c>
      <c r="AJ1110" s="23"/>
      <c r="AK1110" s="23"/>
      <c r="AL1110" s="44"/>
      <c r="AM1110" s="44"/>
      <c r="AN1110" s="44"/>
      <c r="AO1110" s="44"/>
      <c r="AP1110" s="44"/>
      <c r="AQ1110" s="44"/>
      <c r="AR1110" s="44"/>
    </row>
    <row r="1111" spans="1:44" ht="16.8">
      <c r="A1111" s="62" t="s">
        <v>2353</v>
      </c>
      <c r="B1111" s="62">
        <v>428</v>
      </c>
      <c r="C1111" s="62" t="s">
        <v>2354</v>
      </c>
      <c r="D1111" s="19" t="s">
        <v>2355</v>
      </c>
      <c r="E1111" s="20" t="s">
        <v>178</v>
      </c>
      <c r="F1111" s="21">
        <v>1959</v>
      </c>
      <c r="G1111" s="40">
        <v>2021</v>
      </c>
      <c r="H1111" s="23">
        <v>34838300386</v>
      </c>
      <c r="I1111" s="23">
        <v>42292953043</v>
      </c>
      <c r="J1111" s="23">
        <v>9982757860</v>
      </c>
      <c r="K1111" s="23">
        <f>(J1111+9810618049)/2</f>
        <v>9896687954.5</v>
      </c>
      <c r="L1111" s="23">
        <v>9982757860</v>
      </c>
      <c r="M1111" s="23">
        <v>32310195183</v>
      </c>
      <c r="N1111" s="23">
        <v>10398045440</v>
      </c>
      <c r="O1111" s="25">
        <f t="shared" si="361"/>
        <v>24855542526</v>
      </c>
      <c r="P1111" s="23">
        <v>-4944247430</v>
      </c>
      <c r="Q1111" s="23">
        <f>700107397+3225382254</f>
        <v>3925489651</v>
      </c>
      <c r="R1111" s="25">
        <f t="shared" si="362"/>
        <v>6472555789</v>
      </c>
      <c r="S1111" s="26">
        <f t="shared" si="363"/>
        <v>0.23603832652334189</v>
      </c>
      <c r="T1111" s="27">
        <f t="shared" si="364"/>
        <v>3.4898472821417306</v>
      </c>
      <c r="U1111" s="26">
        <f t="shared" si="365"/>
        <v>24.467886314392068</v>
      </c>
      <c r="V1111" s="26">
        <f t="shared" si="366"/>
        <v>1.0506591182630987</v>
      </c>
      <c r="W1111" s="143"/>
      <c r="X1111" s="143"/>
      <c r="Y1111" s="143"/>
      <c r="Z1111" s="30">
        <f>W1111*Y1111</f>
        <v>0</v>
      </c>
      <c r="AA1111" s="31">
        <f t="shared" si="368"/>
        <v>62</v>
      </c>
      <c r="AB1111" s="32">
        <v>1.84E-2</v>
      </c>
      <c r="AC1111" s="32">
        <v>2.58E-2</v>
      </c>
      <c r="AD1111" s="33">
        <f t="shared" si="391"/>
        <v>0.58769938577542524</v>
      </c>
      <c r="AE1111" s="34">
        <f t="shared" si="392"/>
        <v>-0.11690475774943157</v>
      </c>
      <c r="AF1111" s="33">
        <f t="shared" si="393"/>
        <v>0.15304099910969179</v>
      </c>
      <c r="AG1111" s="33">
        <f t="shared" si="394"/>
        <v>0</v>
      </c>
      <c r="AH1111" s="35">
        <f t="shared" si="395"/>
        <v>1.0416004861406105</v>
      </c>
      <c r="AI1111" s="36">
        <f t="shared" si="374"/>
        <v>2.0882083852838997</v>
      </c>
      <c r="AJ1111" s="23"/>
      <c r="AK1111" s="23"/>
      <c r="AL1111" s="44"/>
      <c r="AM1111" s="44"/>
      <c r="AN1111" s="44"/>
      <c r="AO1111" s="44"/>
      <c r="AP1111" s="44"/>
      <c r="AQ1111" s="44"/>
      <c r="AR1111" s="44"/>
    </row>
    <row r="1112" spans="1:44" ht="16.8">
      <c r="A1112" s="62" t="s">
        <v>2356</v>
      </c>
      <c r="B1112" s="62"/>
      <c r="C1112" s="62" t="s">
        <v>2354</v>
      </c>
      <c r="D1112" s="19" t="s">
        <v>2355</v>
      </c>
      <c r="E1112" s="20" t="s">
        <v>178</v>
      </c>
      <c r="F1112" s="21">
        <v>1959</v>
      </c>
      <c r="G1112" s="40">
        <v>2022</v>
      </c>
      <c r="H1112" s="23">
        <v>26441178120</v>
      </c>
      <c r="I1112" s="23">
        <v>32185242928</v>
      </c>
      <c r="J1112" s="23">
        <v>7176756561</v>
      </c>
      <c r="K1112" s="23">
        <f t="shared" ref="K1112:K1113" si="402">SUM(J1111:J1112)/2</f>
        <v>8579757210.5</v>
      </c>
      <c r="L1112" s="23">
        <v>7176756561</v>
      </c>
      <c r="M1112" s="23">
        <v>25008486367</v>
      </c>
      <c r="N1112" s="23">
        <v>11560503708</v>
      </c>
      <c r="O1112" s="25">
        <f t="shared" si="361"/>
        <v>19264421559</v>
      </c>
      <c r="P1112" s="23">
        <v>-7301708816</v>
      </c>
      <c r="Q1112" s="23">
        <f>909451248+2813241202</f>
        <v>3722692450</v>
      </c>
      <c r="R1112" s="25">
        <f t="shared" si="362"/>
        <v>7837811258</v>
      </c>
      <c r="S1112" s="26">
        <f t="shared" si="363"/>
        <v>0.22298283026959789</v>
      </c>
      <c r="T1112" s="27">
        <f t="shared" si="364"/>
        <v>3.6842796457228193</v>
      </c>
      <c r="U1112" s="26">
        <f t="shared" si="365"/>
        <v>24.194773890286417</v>
      </c>
      <c r="V1112" s="26">
        <f t="shared" si="366"/>
        <v>1.3474161825759043</v>
      </c>
      <c r="W1112" s="143"/>
      <c r="X1112" s="143"/>
      <c r="Y1112" s="143"/>
      <c r="Z1112" s="30"/>
      <c r="AA1112" s="31">
        <f t="shared" si="368"/>
        <v>63</v>
      </c>
      <c r="AB1112" s="32">
        <v>3.15E-2</v>
      </c>
      <c r="AC1112" s="32">
        <v>8.0199999999999994E-2</v>
      </c>
      <c r="AD1112" s="33">
        <f t="shared" si="391"/>
        <v>0.59854827263834787</v>
      </c>
      <c r="AE1112" s="34">
        <f t="shared" si="392"/>
        <v>-0.22686511431137207</v>
      </c>
      <c r="AF1112" s="33">
        <f t="shared" si="393"/>
        <v>0.24352189217690778</v>
      </c>
      <c r="AG1112" s="33">
        <f t="shared" si="394"/>
        <v>0</v>
      </c>
      <c r="AH1112" s="35">
        <f t="shared" si="395"/>
        <v>1.6108256716999712</v>
      </c>
      <c r="AI1112" s="36">
        <f t="shared" si="374"/>
        <v>2.8150946830138635</v>
      </c>
      <c r="AJ1112" s="23"/>
      <c r="AK1112" s="23"/>
      <c r="AL1112" s="44"/>
      <c r="AM1112" s="44"/>
      <c r="AN1112" s="44"/>
      <c r="AO1112" s="44"/>
      <c r="AP1112" s="44"/>
      <c r="AQ1112" s="44"/>
      <c r="AR1112" s="44"/>
    </row>
    <row r="1113" spans="1:44" ht="16.8">
      <c r="A1113" s="62" t="s">
        <v>2357</v>
      </c>
      <c r="B1113" s="62"/>
      <c r="C1113" s="62" t="s">
        <v>2354</v>
      </c>
      <c r="D1113" s="19" t="s">
        <v>2355</v>
      </c>
      <c r="E1113" s="20" t="s">
        <v>178</v>
      </c>
      <c r="F1113" s="21">
        <v>1959</v>
      </c>
      <c r="G1113" s="40">
        <v>2023</v>
      </c>
      <c r="H1113" s="23">
        <v>19022677687</v>
      </c>
      <c r="I1113" s="23">
        <v>23218229533</v>
      </c>
      <c r="J1113" s="23">
        <v>6571389593</v>
      </c>
      <c r="K1113" s="23">
        <f t="shared" si="402"/>
        <v>6874073077</v>
      </c>
      <c r="L1113" s="23">
        <v>6571389593</v>
      </c>
      <c r="M1113" s="23">
        <v>16646839940</v>
      </c>
      <c r="N1113" s="23">
        <v>12777406169</v>
      </c>
      <c r="O1113" s="25">
        <f t="shared" si="361"/>
        <v>12451288094</v>
      </c>
      <c r="P1113" s="23">
        <v>-8361646427</v>
      </c>
      <c r="Q1113" s="23">
        <f>659107422+2855889184</f>
        <v>3514996606</v>
      </c>
      <c r="R1113" s="25">
        <f t="shared" si="362"/>
        <v>9262409563</v>
      </c>
      <c r="S1113" s="26">
        <f t="shared" si="363"/>
        <v>0.28302716120796823</v>
      </c>
      <c r="T1113" s="27">
        <f t="shared" si="364"/>
        <v>2.8947724705385611</v>
      </c>
      <c r="U1113" s="26">
        <f t="shared" si="365"/>
        <v>23.868203562807015</v>
      </c>
      <c r="V1113" s="26">
        <f t="shared" si="366"/>
        <v>1.8587824170435423</v>
      </c>
      <c r="W1113" s="143"/>
      <c r="X1113" s="143"/>
      <c r="Y1113" s="143"/>
      <c r="Z1113" s="30"/>
      <c r="AA1113" s="31">
        <f t="shared" si="368"/>
        <v>64</v>
      </c>
      <c r="AB1113" s="32">
        <v>3.2500000000000001E-2</v>
      </c>
      <c r="AC1113" s="32">
        <v>5.0500000000000003E-2</v>
      </c>
      <c r="AD1113" s="33">
        <f t="shared" si="391"/>
        <v>0.5362720734715376</v>
      </c>
      <c r="AE1113" s="34">
        <f t="shared" si="392"/>
        <v>-0.36013281784106826</v>
      </c>
      <c r="AF1113" s="33">
        <f t="shared" si="393"/>
        <v>0.39892833128535338</v>
      </c>
      <c r="AG1113" s="33">
        <f t="shared" si="394"/>
        <v>0</v>
      </c>
      <c r="AH1113" s="35">
        <f t="shared" si="395"/>
        <v>1.9443994284878188</v>
      </c>
      <c r="AI1113" s="36">
        <f t="shared" si="374"/>
        <v>3.4002034649178343</v>
      </c>
      <c r="AJ1113" s="23"/>
      <c r="AK1113" s="23"/>
      <c r="AL1113" s="44"/>
      <c r="AM1113" s="44"/>
      <c r="AN1113" s="44"/>
      <c r="AO1113" s="44"/>
      <c r="AP1113" s="44"/>
      <c r="AQ1113" s="44"/>
      <c r="AR1113" s="44"/>
    </row>
    <row r="1114" spans="1:44" ht="16.8">
      <c r="A1114" s="62" t="s">
        <v>2358</v>
      </c>
      <c r="B1114" s="62">
        <v>429</v>
      </c>
      <c r="C1114" s="62" t="s">
        <v>2359</v>
      </c>
      <c r="D1114" s="19" t="s">
        <v>2360</v>
      </c>
      <c r="E1114" s="20" t="s">
        <v>39</v>
      </c>
      <c r="F1114" s="21">
        <v>1990</v>
      </c>
      <c r="G1114" s="40">
        <v>2021</v>
      </c>
      <c r="H1114" s="23">
        <v>697015747305</v>
      </c>
      <c r="I1114" s="23">
        <v>946598804603</v>
      </c>
      <c r="J1114" s="23">
        <v>532880053611</v>
      </c>
      <c r="K1114" s="23">
        <f>(J1114+539503783349)/2</f>
        <v>536191918480</v>
      </c>
      <c r="L1114" s="23">
        <v>483769182223</v>
      </c>
      <c r="M1114" s="23">
        <v>413718750992</v>
      </c>
      <c r="N1114" s="23">
        <v>2018167235754</v>
      </c>
      <c r="O1114" s="25">
        <f t="shared" si="361"/>
        <v>213246565082</v>
      </c>
      <c r="P1114" s="23">
        <v>14034309968</v>
      </c>
      <c r="Q1114" s="23">
        <f>133290018652+45174917481</f>
        <v>178464936133</v>
      </c>
      <c r="R1114" s="25">
        <f t="shared" si="362"/>
        <v>1839702299621</v>
      </c>
      <c r="S1114" s="26">
        <f t="shared" si="363"/>
        <v>0.56294181972318025</v>
      </c>
      <c r="T1114" s="27">
        <f t="shared" si="364"/>
        <v>1.4408022935692111</v>
      </c>
      <c r="U1114" s="26">
        <f t="shared" si="365"/>
        <v>27.576141191585521</v>
      </c>
      <c r="V1114" s="26">
        <f t="shared" si="366"/>
        <v>3.7638896935916386</v>
      </c>
      <c r="W1114" s="143"/>
      <c r="X1114" s="143"/>
      <c r="Y1114" s="143"/>
      <c r="Z1114" s="30">
        <f>W1114*Y1114</f>
        <v>0</v>
      </c>
      <c r="AA1114" s="31">
        <f t="shared" si="368"/>
        <v>31</v>
      </c>
      <c r="AB1114" s="32">
        <v>1.84E-2</v>
      </c>
      <c r="AC1114" s="32">
        <v>2.58E-2</v>
      </c>
      <c r="AD1114" s="33">
        <f t="shared" si="391"/>
        <v>0.22527660508871528</v>
      </c>
      <c r="AE1114" s="34">
        <f t="shared" si="392"/>
        <v>1.4826038126982357E-2</v>
      </c>
      <c r="AF1114" s="33">
        <f t="shared" si="393"/>
        <v>1.9434868189935697</v>
      </c>
      <c r="AG1114" s="33">
        <f t="shared" si="394"/>
        <v>0</v>
      </c>
      <c r="AH1114" s="35">
        <f t="shared" si="395"/>
        <v>3.7872823763586632</v>
      </c>
      <c r="AI1114" s="36">
        <f t="shared" si="374"/>
        <v>10.491877258521676</v>
      </c>
      <c r="AJ1114" s="23"/>
      <c r="AK1114" s="158">
        <v>331</v>
      </c>
      <c r="AL1114" s="44"/>
      <c r="AM1114" s="44"/>
      <c r="AN1114" s="44"/>
      <c r="AO1114" s="44"/>
      <c r="AP1114" s="44"/>
      <c r="AQ1114" s="44"/>
      <c r="AR1114" s="44"/>
    </row>
    <row r="1115" spans="1:44" ht="16.8">
      <c r="A1115" s="62" t="s">
        <v>2361</v>
      </c>
      <c r="B1115" s="62"/>
      <c r="C1115" s="62" t="s">
        <v>2359</v>
      </c>
      <c r="D1115" s="19" t="s">
        <v>2360</v>
      </c>
      <c r="E1115" s="20" t="s">
        <v>39</v>
      </c>
      <c r="F1115" s="21">
        <v>1990</v>
      </c>
      <c r="G1115" s="40">
        <v>2022</v>
      </c>
      <c r="H1115" s="23">
        <v>1228031773899</v>
      </c>
      <c r="I1115" s="23">
        <v>1465040250216</v>
      </c>
      <c r="J1115" s="23">
        <v>1038997419598</v>
      </c>
      <c r="K1115" s="23">
        <f t="shared" ref="K1115:K1116" si="403">SUM(J1114:J1115)/2</f>
        <v>785938736604.5</v>
      </c>
      <c r="L1115" s="23">
        <v>991110723535</v>
      </c>
      <c r="M1115" s="23">
        <v>426042830618</v>
      </c>
      <c r="N1115" s="23">
        <v>4449769735079</v>
      </c>
      <c r="O1115" s="25">
        <f t="shared" si="361"/>
        <v>236921050364</v>
      </c>
      <c r="P1115" s="23">
        <v>19324279626</v>
      </c>
      <c r="Q1115" s="23">
        <f>317099830541+55954791736</f>
        <v>373054622277</v>
      </c>
      <c r="R1115" s="25">
        <f t="shared" si="362"/>
        <v>4076715112802</v>
      </c>
      <c r="S1115" s="26">
        <f t="shared" si="363"/>
        <v>0.7091937709184537</v>
      </c>
      <c r="T1115" s="27">
        <f t="shared" si="364"/>
        <v>1.2390459963130784</v>
      </c>
      <c r="U1115" s="26">
        <f t="shared" si="365"/>
        <v>28.012903832570331</v>
      </c>
      <c r="V1115" s="26">
        <f t="shared" si="366"/>
        <v>5.6617259435555889</v>
      </c>
      <c r="W1115" s="143"/>
      <c r="X1115" s="143"/>
      <c r="Y1115" s="143"/>
      <c r="Z1115" s="30"/>
      <c r="AA1115" s="31">
        <f t="shared" si="368"/>
        <v>32</v>
      </c>
      <c r="AB1115" s="32">
        <v>3.15E-2</v>
      </c>
      <c r="AC1115" s="32">
        <v>8.0199999999999994E-2</v>
      </c>
      <c r="AD1115" s="33">
        <f t="shared" si="391"/>
        <v>0.16171641040515389</v>
      </c>
      <c r="AE1115" s="34">
        <f t="shared" si="392"/>
        <v>1.3190272160202358E-2</v>
      </c>
      <c r="AF1115" s="33">
        <f t="shared" si="393"/>
        <v>2.782664238884184</v>
      </c>
      <c r="AG1115" s="33">
        <f t="shared" si="394"/>
        <v>0</v>
      </c>
      <c r="AH1115" s="35">
        <f t="shared" si="395"/>
        <v>4.2827534035653976</v>
      </c>
      <c r="AI1115" s="36">
        <f t="shared" si="374"/>
        <v>13.678071465393671</v>
      </c>
      <c r="AJ1115" s="23"/>
      <c r="AK1115" s="158">
        <v>332</v>
      </c>
      <c r="AL1115" s="44"/>
      <c r="AM1115" s="44"/>
      <c r="AN1115" s="44"/>
      <c r="AO1115" s="44"/>
      <c r="AP1115" s="44"/>
      <c r="AQ1115" s="44"/>
      <c r="AR1115" s="44"/>
    </row>
    <row r="1116" spans="1:44" ht="16.8">
      <c r="A1116" s="62" t="s">
        <v>2362</v>
      </c>
      <c r="B1116" s="62"/>
      <c r="C1116" s="62" t="s">
        <v>2359</v>
      </c>
      <c r="D1116" s="19" t="s">
        <v>2360</v>
      </c>
      <c r="E1116" s="20" t="s">
        <v>39</v>
      </c>
      <c r="F1116" s="21">
        <v>1990</v>
      </c>
      <c r="G1116" s="40">
        <v>2023</v>
      </c>
      <c r="H1116" s="23">
        <v>840491593885</v>
      </c>
      <c r="I1116" s="23">
        <v>1065838106729</v>
      </c>
      <c r="J1116" s="23">
        <v>654024557391</v>
      </c>
      <c r="K1116" s="23">
        <f t="shared" si="403"/>
        <v>846510988494.5</v>
      </c>
      <c r="L1116" s="23">
        <v>606934278533</v>
      </c>
      <c r="M1116" s="23">
        <v>411813549338</v>
      </c>
      <c r="N1116" s="23">
        <v>2849119202776</v>
      </c>
      <c r="O1116" s="25">
        <f t="shared" si="361"/>
        <v>233557315352</v>
      </c>
      <c r="P1116" s="23">
        <v>5295866220</v>
      </c>
      <c r="Q1116" s="23">
        <f>175452451492+44305968447</f>
        <v>219758419939</v>
      </c>
      <c r="R1116" s="25">
        <f t="shared" si="362"/>
        <v>2629360782837</v>
      </c>
      <c r="S1116" s="26">
        <f t="shared" si="363"/>
        <v>0.61362467082188143</v>
      </c>
      <c r="T1116" s="27">
        <f t="shared" si="364"/>
        <v>1.3848148368164728</v>
      </c>
      <c r="U1116" s="26">
        <f t="shared" si="365"/>
        <v>27.694782560278583</v>
      </c>
      <c r="V1116" s="26">
        <f t="shared" si="366"/>
        <v>3.3657202818395682</v>
      </c>
      <c r="W1116" s="143"/>
      <c r="X1116" s="143"/>
      <c r="Y1116" s="143"/>
      <c r="Z1116" s="30"/>
      <c r="AA1116" s="31">
        <f t="shared" si="368"/>
        <v>33</v>
      </c>
      <c r="AB1116" s="32">
        <v>3.2500000000000001E-2</v>
      </c>
      <c r="AC1116" s="32">
        <v>5.0500000000000003E-2</v>
      </c>
      <c r="AD1116" s="33">
        <f t="shared" si="391"/>
        <v>0.21913019798923766</v>
      </c>
      <c r="AE1116" s="34">
        <f t="shared" si="392"/>
        <v>4.9687341694441096E-3</v>
      </c>
      <c r="AF1116" s="33">
        <f t="shared" si="393"/>
        <v>2.4669419926318521</v>
      </c>
      <c r="AG1116" s="33">
        <f t="shared" si="394"/>
        <v>0</v>
      </c>
      <c r="AH1116" s="35">
        <f t="shared" si="395"/>
        <v>4.3562878038426494</v>
      </c>
      <c r="AI1116" s="36">
        <f t="shared" si="374"/>
        <v>12.767108844952068</v>
      </c>
      <c r="AJ1116" s="23"/>
      <c r="AK1116" s="158">
        <v>333</v>
      </c>
      <c r="AL1116" s="44"/>
      <c r="AM1116" s="44"/>
      <c r="AN1116" s="44"/>
      <c r="AO1116" s="44"/>
      <c r="AP1116" s="44"/>
      <c r="AQ1116" s="44"/>
      <c r="AR1116" s="44"/>
    </row>
    <row r="1117" spans="1:44" ht="16.8">
      <c r="A1117" s="45"/>
      <c r="B1117" s="45">
        <v>430</v>
      </c>
      <c r="C1117" s="45" t="s">
        <v>2363</v>
      </c>
      <c r="D1117" s="46" t="s">
        <v>2364</v>
      </c>
      <c r="E1117" s="47" t="s">
        <v>39</v>
      </c>
      <c r="F1117" s="48"/>
      <c r="G1117" s="48"/>
      <c r="H1117" s="49"/>
      <c r="I1117" s="49"/>
      <c r="J1117" s="49"/>
      <c r="K1117" s="49"/>
      <c r="L1117" s="49"/>
      <c r="M1117" s="49"/>
      <c r="N1117" s="49"/>
      <c r="O1117" s="49">
        <f t="shared" si="361"/>
        <v>0</v>
      </c>
      <c r="P1117" s="49"/>
      <c r="Q1117" s="49"/>
      <c r="R1117" s="49">
        <f t="shared" si="362"/>
        <v>0</v>
      </c>
      <c r="S1117" s="50" t="e">
        <f t="shared" si="363"/>
        <v>#DIV/0!</v>
      </c>
      <c r="T1117" s="51" t="e">
        <f t="shared" si="364"/>
        <v>#DIV/0!</v>
      </c>
      <c r="U1117" s="50" t="e">
        <f t="shared" si="365"/>
        <v>#NUM!</v>
      </c>
      <c r="V1117" s="50" t="e">
        <f t="shared" si="366"/>
        <v>#DIV/0!</v>
      </c>
      <c r="W1117" s="52"/>
      <c r="X1117" s="52"/>
      <c r="Y1117" s="52"/>
      <c r="Z1117" s="55">
        <f t="shared" ref="Z1117:Z1118" si="404">W1117*Y1117</f>
        <v>0</v>
      </c>
      <c r="AA1117" s="48">
        <f t="shared" si="368"/>
        <v>0</v>
      </c>
      <c r="AB1117" s="49"/>
      <c r="AC1117" s="49"/>
      <c r="AD1117" s="50" t="e">
        <f t="shared" si="391"/>
        <v>#DIV/0!</v>
      </c>
      <c r="AE1117" s="56" t="e">
        <f t="shared" si="392"/>
        <v>#DIV/0!</v>
      </c>
      <c r="AF1117" s="50" t="e">
        <f t="shared" si="393"/>
        <v>#DIV/0!</v>
      </c>
      <c r="AG1117" s="50" t="e">
        <f t="shared" si="394"/>
        <v>#DIV/0!</v>
      </c>
      <c r="AH1117" s="57" t="e">
        <f t="shared" si="395"/>
        <v>#DIV/0!</v>
      </c>
      <c r="AI1117" s="58" t="e">
        <f t="shared" si="374"/>
        <v>#DIV/0!</v>
      </c>
      <c r="AJ1117" s="49"/>
      <c r="AK1117" s="49">
        <v>334</v>
      </c>
      <c r="AL1117" s="59"/>
      <c r="AM1117" s="59"/>
      <c r="AN1117" s="59"/>
      <c r="AO1117" s="59"/>
      <c r="AP1117" s="59"/>
      <c r="AQ1117" s="59"/>
      <c r="AR1117" s="59"/>
    </row>
    <row r="1118" spans="1:44" ht="16.8">
      <c r="A1118" s="62" t="s">
        <v>2365</v>
      </c>
      <c r="B1118" s="62">
        <v>431</v>
      </c>
      <c r="C1118" s="62" t="s">
        <v>2366</v>
      </c>
      <c r="D1118" s="19" t="s">
        <v>2367</v>
      </c>
      <c r="E1118" s="20" t="s">
        <v>39</v>
      </c>
      <c r="F1118" s="21">
        <v>1970</v>
      </c>
      <c r="G1118" s="40">
        <v>2021</v>
      </c>
      <c r="H1118" s="23">
        <v>158661112561</v>
      </c>
      <c r="I1118" s="23">
        <v>185753796458</v>
      </c>
      <c r="J1118" s="23">
        <v>19226834539</v>
      </c>
      <c r="K1118" s="23">
        <f>(J1118+29569146286)/2</f>
        <v>24397990412.5</v>
      </c>
      <c r="L1118" s="23">
        <v>15027546000</v>
      </c>
      <c r="M1118" s="23">
        <v>466526961919</v>
      </c>
      <c r="N1118" s="23">
        <v>54739151576</v>
      </c>
      <c r="O1118" s="25">
        <f t="shared" si="361"/>
        <v>143633566561</v>
      </c>
      <c r="P1118" s="23">
        <v>11663529548</v>
      </c>
      <c r="Q1118" s="23">
        <f>8725330879</f>
        <v>8725330879</v>
      </c>
      <c r="R1118" s="25">
        <f t="shared" si="362"/>
        <v>46013820697</v>
      </c>
      <c r="S1118" s="26">
        <f t="shared" si="363"/>
        <v>0.10350708790679979</v>
      </c>
      <c r="T1118" s="27">
        <f t="shared" si="364"/>
        <v>10.558018758418706</v>
      </c>
      <c r="U1118" s="26">
        <f t="shared" si="365"/>
        <v>25.947687958871082</v>
      </c>
      <c r="V1118" s="26">
        <f t="shared" si="366"/>
        <v>2.2435926340865802</v>
      </c>
      <c r="W1118" s="143"/>
      <c r="X1118" s="143"/>
      <c r="Y1118" s="143"/>
      <c r="Z1118" s="30">
        <f t="shared" si="404"/>
        <v>0</v>
      </c>
      <c r="AA1118" s="31">
        <f t="shared" si="368"/>
        <v>51</v>
      </c>
      <c r="AB1118" s="32">
        <v>1.84E-2</v>
      </c>
      <c r="AC1118" s="32">
        <v>2.58E-2</v>
      </c>
      <c r="AD1118" s="33">
        <f t="shared" si="391"/>
        <v>0.77324700382894396</v>
      </c>
      <c r="AE1118" s="34">
        <f t="shared" si="392"/>
        <v>6.2790262004885536E-2</v>
      </c>
      <c r="AF1118" s="33">
        <f t="shared" si="393"/>
        <v>0.24771402563179368</v>
      </c>
      <c r="AG1118" s="33">
        <f t="shared" si="394"/>
        <v>0</v>
      </c>
      <c r="AH1118" s="35">
        <f t="shared" si="395"/>
        <v>2.8470183932236104</v>
      </c>
      <c r="AI1118" s="36">
        <f t="shared" si="374"/>
        <v>4.6802774492101022</v>
      </c>
      <c r="AJ1118" s="23"/>
      <c r="AK1118" s="158">
        <v>335</v>
      </c>
      <c r="AL1118" s="44"/>
      <c r="AM1118" s="44"/>
      <c r="AN1118" s="44"/>
      <c r="AO1118" s="44"/>
      <c r="AP1118" s="44"/>
      <c r="AQ1118" s="44"/>
      <c r="AR1118" s="44"/>
    </row>
    <row r="1119" spans="1:44" ht="16.8">
      <c r="A1119" s="62" t="s">
        <v>2368</v>
      </c>
      <c r="B1119" s="62"/>
      <c r="C1119" s="62" t="s">
        <v>2366</v>
      </c>
      <c r="D1119" s="19" t="s">
        <v>2367</v>
      </c>
      <c r="E1119" s="20" t="s">
        <v>39</v>
      </c>
      <c r="F1119" s="21">
        <v>1970</v>
      </c>
      <c r="G1119" s="40">
        <v>2022</v>
      </c>
      <c r="H1119" s="23">
        <v>192097235663</v>
      </c>
      <c r="I1119" s="23">
        <v>217600588007</v>
      </c>
      <c r="J1119" s="23">
        <v>26690316912</v>
      </c>
      <c r="K1119" s="23">
        <f>SUM(J1118:J1119)/2</f>
        <v>22958575725.5</v>
      </c>
      <c r="L1119" s="23">
        <v>22721186038</v>
      </c>
      <c r="M1119" s="23">
        <v>190910271095</v>
      </c>
      <c r="N1119" s="23">
        <v>94055510414</v>
      </c>
      <c r="O1119" s="25">
        <f t="shared" si="361"/>
        <v>169376049625</v>
      </c>
      <c r="P1119" s="23">
        <v>38108392450</v>
      </c>
      <c r="Q1119" s="23">
        <v>13416992843</v>
      </c>
      <c r="R1119" s="25">
        <f t="shared" si="362"/>
        <v>80638517571</v>
      </c>
      <c r="S1119" s="26">
        <f t="shared" si="363"/>
        <v>0.12265737494763294</v>
      </c>
      <c r="T1119" s="27">
        <f t="shared" si="364"/>
        <v>8.4545426168214721</v>
      </c>
      <c r="U1119" s="26">
        <f t="shared" si="365"/>
        <v>26.105927054162599</v>
      </c>
      <c r="V1119" s="26">
        <f t="shared" si="366"/>
        <v>4.0967484890420671</v>
      </c>
      <c r="W1119" s="143"/>
      <c r="X1119" s="143"/>
      <c r="Y1119" s="143"/>
      <c r="Z1119" s="30"/>
      <c r="AA1119" s="31">
        <f t="shared" si="368"/>
        <v>52</v>
      </c>
      <c r="AB1119" s="32">
        <v>3.15E-2</v>
      </c>
      <c r="AC1119" s="32">
        <v>8.0199999999999994E-2</v>
      </c>
      <c r="AD1119" s="33">
        <f t="shared" si="391"/>
        <v>0.77838047762789753</v>
      </c>
      <c r="AE1119" s="34">
        <f t="shared" si="392"/>
        <v>0.17513000676622295</v>
      </c>
      <c r="AF1119" s="33">
        <f t="shared" si="393"/>
        <v>0.37058042126433011</v>
      </c>
      <c r="AG1119" s="33">
        <f t="shared" si="394"/>
        <v>0</v>
      </c>
      <c r="AH1119" s="35">
        <f t="shared" si="395"/>
        <v>3.5239562993616058</v>
      </c>
      <c r="AI1119" s="36">
        <f t="shared" si="374"/>
        <v>5.9261102721600842</v>
      </c>
      <c r="AJ1119" s="23"/>
      <c r="AK1119" s="158">
        <v>336</v>
      </c>
      <c r="AL1119" s="44"/>
      <c r="AM1119" s="44"/>
      <c r="AN1119" s="44"/>
      <c r="AO1119" s="44"/>
      <c r="AP1119" s="44"/>
      <c r="AQ1119" s="44"/>
      <c r="AR1119" s="44"/>
    </row>
    <row r="1120" spans="1:44" ht="16.8">
      <c r="A1120" s="62" t="s">
        <v>2369</v>
      </c>
      <c r="B1120" s="62"/>
      <c r="C1120" s="62" t="s">
        <v>2366</v>
      </c>
      <c r="D1120" s="19" t="s">
        <v>2367</v>
      </c>
      <c r="E1120" s="20" t="s">
        <v>39</v>
      </c>
      <c r="F1120" s="21">
        <v>1970</v>
      </c>
      <c r="G1120" s="40">
        <v>2023</v>
      </c>
      <c r="H1120" s="23">
        <v>255661059251</v>
      </c>
      <c r="I1120" s="23">
        <v>284204982878</v>
      </c>
      <c r="J1120" s="23">
        <v>81292307600</v>
      </c>
      <c r="K1120" s="23">
        <f>(J1120+26750281058)/2</f>
        <v>54021294329</v>
      </c>
      <c r="L1120" s="23">
        <v>77052451726</v>
      </c>
      <c r="M1120" s="23">
        <v>202912675278</v>
      </c>
      <c r="N1120" s="23">
        <v>140258530825</v>
      </c>
      <c r="O1120" s="25">
        <f t="shared" si="361"/>
        <v>178608607525</v>
      </c>
      <c r="P1120" s="23">
        <v>66481743176</v>
      </c>
      <c r="Q1120" s="23">
        <v>18674989124</v>
      </c>
      <c r="R1120" s="25">
        <f t="shared" si="362"/>
        <v>121583541701</v>
      </c>
      <c r="S1120" s="26">
        <f t="shared" si="363"/>
        <v>0.28603406870911957</v>
      </c>
      <c r="T1120" s="27">
        <f t="shared" si="364"/>
        <v>3.3180132951529648</v>
      </c>
      <c r="U1120" s="26">
        <f t="shared" si="365"/>
        <v>26.372961585453599</v>
      </c>
      <c r="V1120" s="26">
        <f t="shared" si="366"/>
        <v>2.5963563547885165</v>
      </c>
      <c r="W1120" s="143"/>
      <c r="X1120" s="143"/>
      <c r="Y1120" s="143"/>
      <c r="Z1120" s="30"/>
      <c r="AA1120" s="31">
        <f t="shared" si="368"/>
        <v>53</v>
      </c>
      <c r="AB1120" s="32">
        <v>3.2500000000000001E-2</v>
      </c>
      <c r="AC1120" s="32">
        <v>5.0500000000000003E-2</v>
      </c>
      <c r="AD1120" s="33">
        <f t="shared" si="391"/>
        <v>0.62844995086405964</v>
      </c>
      <c r="AE1120" s="34">
        <f t="shared" si="392"/>
        <v>0.23392180708013294</v>
      </c>
      <c r="AF1120" s="33">
        <f t="shared" si="393"/>
        <v>0.42780228717239582</v>
      </c>
      <c r="AG1120" s="33">
        <f t="shared" si="394"/>
        <v>0</v>
      </c>
      <c r="AH1120" s="35">
        <f t="shared" si="395"/>
        <v>1.7253604303514691</v>
      </c>
      <c r="AI1120" s="36">
        <f t="shared" si="374"/>
        <v>4.2187384489694333</v>
      </c>
      <c r="AJ1120" s="23"/>
      <c r="AK1120" s="158">
        <v>337</v>
      </c>
      <c r="AL1120" s="44"/>
      <c r="AM1120" s="44"/>
      <c r="AN1120" s="44"/>
      <c r="AO1120" s="44"/>
      <c r="AP1120" s="44"/>
      <c r="AQ1120" s="44"/>
      <c r="AR1120" s="44"/>
    </row>
    <row r="1121" spans="1:44" ht="16.8">
      <c r="A1121" s="62" t="s">
        <v>2370</v>
      </c>
      <c r="B1121" s="62">
        <v>432</v>
      </c>
      <c r="C1121" s="62" t="s">
        <v>2371</v>
      </c>
      <c r="D1121" s="19" t="s">
        <v>2372</v>
      </c>
      <c r="E1121" s="20" t="s">
        <v>39</v>
      </c>
      <c r="F1121" s="21">
        <v>2007</v>
      </c>
      <c r="G1121" s="40">
        <v>2021</v>
      </c>
      <c r="H1121" s="23">
        <v>501855434586</v>
      </c>
      <c r="I1121" s="23">
        <v>537043020927</v>
      </c>
      <c r="J1121" s="23">
        <v>5196229888</v>
      </c>
      <c r="K1121" s="23">
        <f>(J1121+3775139854)/2</f>
        <v>4485684871</v>
      </c>
      <c r="L1121" s="23">
        <v>5196229888</v>
      </c>
      <c r="M1121" s="23">
        <v>531846791039</v>
      </c>
      <c r="N1121" s="23">
        <v>36822225519</v>
      </c>
      <c r="O1121" s="25">
        <f t="shared" si="361"/>
        <v>496659204698</v>
      </c>
      <c r="P1121" s="23">
        <v>8959779462</v>
      </c>
      <c r="Q1121" s="23">
        <v>18293432019</v>
      </c>
      <c r="R1121" s="25">
        <f t="shared" si="362"/>
        <v>18528793500</v>
      </c>
      <c r="S1121" s="26">
        <f t="shared" si="363"/>
        <v>9.6756306022387009E-3</v>
      </c>
      <c r="T1121" s="27">
        <f t="shared" si="364"/>
        <v>96.580683573097531</v>
      </c>
      <c r="U1121" s="26">
        <f t="shared" si="365"/>
        <v>27.009344041704466</v>
      </c>
      <c r="V1121" s="26">
        <f t="shared" si="366"/>
        <v>8.2088302183365744</v>
      </c>
      <c r="W1121" s="143"/>
      <c r="X1121" s="143"/>
      <c r="Y1121" s="143"/>
      <c r="Z1121" s="30">
        <f>W1121*Y1121</f>
        <v>0</v>
      </c>
      <c r="AA1121" s="31">
        <f t="shared" si="368"/>
        <v>14</v>
      </c>
      <c r="AB1121" s="32">
        <v>1.84E-2</v>
      </c>
      <c r="AC1121" s="32">
        <v>2.58E-2</v>
      </c>
      <c r="AD1121" s="33">
        <f t="shared" si="391"/>
        <v>0.92480338696275632</v>
      </c>
      <c r="AE1121" s="34">
        <f t="shared" si="392"/>
        <v>1.6683541379114018E-2</v>
      </c>
      <c r="AF1121" s="33">
        <f t="shared" si="393"/>
        <v>3.4501506914692052E-2</v>
      </c>
      <c r="AG1121" s="33">
        <f t="shared" si="394"/>
        <v>0</v>
      </c>
      <c r="AH1121" s="35">
        <f t="shared" si="395"/>
        <v>7.0863349606675445</v>
      </c>
      <c r="AI1121" s="36">
        <f t="shared" si="374"/>
        <v>8.3333109557720952</v>
      </c>
      <c r="AJ1121" s="23"/>
      <c r="AK1121" s="158">
        <v>338</v>
      </c>
      <c r="AL1121" s="44"/>
      <c r="AM1121" s="44"/>
      <c r="AN1121" s="44"/>
      <c r="AO1121" s="44"/>
      <c r="AP1121" s="44"/>
      <c r="AQ1121" s="44"/>
      <c r="AR1121" s="44"/>
    </row>
    <row r="1122" spans="1:44" ht="16.8">
      <c r="A1122" s="62" t="s">
        <v>2373</v>
      </c>
      <c r="B1122" s="62"/>
      <c r="C1122" s="62" t="s">
        <v>2371</v>
      </c>
      <c r="D1122" s="19" t="s">
        <v>2372</v>
      </c>
      <c r="E1122" s="20" t="s">
        <v>39</v>
      </c>
      <c r="F1122" s="21">
        <v>2007</v>
      </c>
      <c r="G1122" s="40">
        <v>2022</v>
      </c>
      <c r="H1122" s="23">
        <v>486480219448</v>
      </c>
      <c r="I1122" s="23">
        <v>520109029090</v>
      </c>
      <c r="J1122" s="23">
        <v>6872430370</v>
      </c>
      <c r="K1122" s="23">
        <f t="shared" ref="K1122:K1123" si="405">SUM(J1121:J1122)/2</f>
        <v>6034330129</v>
      </c>
      <c r="L1122" s="23">
        <v>6872430370</v>
      </c>
      <c r="M1122" s="23">
        <v>513236598720</v>
      </c>
      <c r="N1122" s="23">
        <v>34714154407</v>
      </c>
      <c r="O1122" s="25">
        <f t="shared" si="361"/>
        <v>479607789078</v>
      </c>
      <c r="P1122" s="23">
        <v>-18610192319</v>
      </c>
      <c r="Q1122" s="23">
        <v>43866797029</v>
      </c>
      <c r="R1122" s="25">
        <f t="shared" si="362"/>
        <v>-9152642622</v>
      </c>
      <c r="S1122" s="26">
        <f t="shared" si="363"/>
        <v>1.3213441770130835E-2</v>
      </c>
      <c r="T1122" s="27">
        <f t="shared" si="364"/>
        <v>70.787216931526359</v>
      </c>
      <c r="U1122" s="26">
        <f t="shared" si="365"/>
        <v>26.977304297870848</v>
      </c>
      <c r="V1122" s="26">
        <f t="shared" si="366"/>
        <v>5.7527768061892193</v>
      </c>
      <c r="W1122" s="143"/>
      <c r="X1122" s="143"/>
      <c r="Y1122" s="143"/>
      <c r="Z1122" s="30"/>
      <c r="AA1122" s="31">
        <f t="shared" si="368"/>
        <v>15</v>
      </c>
      <c r="AB1122" s="32">
        <v>3.15E-2</v>
      </c>
      <c r="AC1122" s="32">
        <v>8.0199999999999994E-2</v>
      </c>
      <c r="AD1122" s="33">
        <f t="shared" si="391"/>
        <v>0.92212932722421237</v>
      </c>
      <c r="AE1122" s="34">
        <f t="shared" si="392"/>
        <v>-3.5781329063948396E-2</v>
      </c>
      <c r="AF1122" s="33">
        <f t="shared" si="393"/>
        <v>-1.7597546110694841E-2</v>
      </c>
      <c r="AG1122" s="33">
        <f t="shared" si="394"/>
        <v>0</v>
      </c>
      <c r="AH1122" s="35">
        <f t="shared" si="395"/>
        <v>5.0512195159570599</v>
      </c>
      <c r="AI1122" s="36">
        <f t="shared" si="374"/>
        <v>6.0496089457712943</v>
      </c>
      <c r="AJ1122" s="23"/>
      <c r="AK1122" s="158">
        <v>339</v>
      </c>
      <c r="AL1122" s="44"/>
      <c r="AM1122" s="44"/>
      <c r="AN1122" s="44"/>
      <c r="AO1122" s="44"/>
      <c r="AP1122" s="44"/>
      <c r="AQ1122" s="44"/>
      <c r="AR1122" s="44"/>
    </row>
    <row r="1123" spans="1:44" ht="16.8">
      <c r="A1123" s="62" t="s">
        <v>2374</v>
      </c>
      <c r="B1123" s="62"/>
      <c r="C1123" s="62" t="s">
        <v>2371</v>
      </c>
      <c r="D1123" s="19" t="s">
        <v>2372</v>
      </c>
      <c r="E1123" s="20" t="s">
        <v>39</v>
      </c>
      <c r="F1123" s="21">
        <v>2007</v>
      </c>
      <c r="G1123" s="40">
        <v>2023</v>
      </c>
      <c r="H1123" s="23">
        <v>485040350317</v>
      </c>
      <c r="I1123" s="23">
        <v>518599151202</v>
      </c>
      <c r="J1123" s="23">
        <v>3715583356</v>
      </c>
      <c r="K1123" s="23">
        <f t="shared" si="405"/>
        <v>5294006863</v>
      </c>
      <c r="L1123" s="23">
        <v>3715583356</v>
      </c>
      <c r="M1123" s="23">
        <v>514883567846</v>
      </c>
      <c r="N1123" s="23">
        <v>42510046856</v>
      </c>
      <c r="O1123" s="25">
        <f t="shared" si="361"/>
        <v>481324766961</v>
      </c>
      <c r="P1123" s="23">
        <v>1646969126</v>
      </c>
      <c r="Q1123" s="23">
        <v>34334574806</v>
      </c>
      <c r="R1123" s="25">
        <f t="shared" si="362"/>
        <v>8175472050</v>
      </c>
      <c r="S1123" s="26">
        <f t="shared" si="363"/>
        <v>7.1646537550014997E-3</v>
      </c>
      <c r="T1123" s="27">
        <f t="shared" si="364"/>
        <v>130.54217974513932</v>
      </c>
      <c r="U1123" s="26">
        <f t="shared" si="365"/>
        <v>26.974397073339262</v>
      </c>
      <c r="V1123" s="26">
        <f t="shared" si="366"/>
        <v>8.0298435487691204</v>
      </c>
      <c r="W1123" s="143"/>
      <c r="X1123" s="143"/>
      <c r="Y1123" s="143"/>
      <c r="Z1123" s="30"/>
      <c r="AA1123" s="31">
        <f t="shared" si="368"/>
        <v>16</v>
      </c>
      <c r="AB1123" s="32">
        <v>3.2500000000000001E-2</v>
      </c>
      <c r="AC1123" s="32">
        <v>5.0500000000000003E-2</v>
      </c>
      <c r="AD1123" s="33">
        <f t="shared" si="391"/>
        <v>0.92812486454209175</v>
      </c>
      <c r="AE1123" s="34">
        <f t="shared" si="392"/>
        <v>3.1758037439565488E-3</v>
      </c>
      <c r="AF1123" s="33">
        <f t="shared" si="393"/>
        <v>1.5764530333401115E-2</v>
      </c>
      <c r="AG1123" s="33">
        <f t="shared" si="394"/>
        <v>0</v>
      </c>
      <c r="AH1123" s="35">
        <f t="shared" si="395"/>
        <v>11.441015523808369</v>
      </c>
      <c r="AI1123" s="36">
        <f t="shared" si="374"/>
        <v>12.611234436600641</v>
      </c>
      <c r="AJ1123" s="23"/>
      <c r="AK1123" s="158">
        <v>340</v>
      </c>
      <c r="AL1123" s="44"/>
      <c r="AM1123" s="44"/>
      <c r="AN1123" s="44"/>
      <c r="AO1123" s="44"/>
      <c r="AP1123" s="44"/>
      <c r="AQ1123" s="44"/>
      <c r="AR1123" s="44"/>
    </row>
    <row r="1124" spans="1:44" ht="16.8">
      <c r="A1124" s="62" t="s">
        <v>2375</v>
      </c>
      <c r="B1124" s="62">
        <v>433</v>
      </c>
      <c r="C1124" s="62" t="s">
        <v>2376</v>
      </c>
      <c r="D1124" s="19" t="s">
        <v>2377</v>
      </c>
      <c r="E1124" s="20" t="s">
        <v>178</v>
      </c>
      <c r="F1124" s="21">
        <v>1983</v>
      </c>
      <c r="G1124" s="40">
        <v>2021</v>
      </c>
      <c r="H1124" s="23">
        <v>3189871920117</v>
      </c>
      <c r="I1124" s="23">
        <v>4264461623844</v>
      </c>
      <c r="J1124" s="23">
        <v>3344947404021</v>
      </c>
      <c r="K1124" s="23">
        <f>(J1124+4155022080596)/2</f>
        <v>3749984742308.5</v>
      </c>
      <c r="L1124" s="23">
        <v>2983686861279</v>
      </c>
      <c r="M1124" s="23">
        <v>919514219823</v>
      </c>
      <c r="N1124" s="23">
        <v>1612656011590</v>
      </c>
      <c r="O1124" s="25">
        <f t="shared" si="361"/>
        <v>206185058838</v>
      </c>
      <c r="P1124" s="23">
        <v>66505766105</v>
      </c>
      <c r="Q1124" s="23">
        <f>7308521193+58386378898</f>
        <v>65694900091</v>
      </c>
      <c r="R1124" s="25">
        <f t="shared" si="362"/>
        <v>1546961111499</v>
      </c>
      <c r="S1124" s="26">
        <f t="shared" si="363"/>
        <v>0.78437741948908735</v>
      </c>
      <c r="T1124" s="27">
        <f t="shared" si="364"/>
        <v>1.06910412131842</v>
      </c>
      <c r="U1124" s="26">
        <f t="shared" si="365"/>
        <v>29.081337057683726</v>
      </c>
      <c r="V1124" s="26">
        <f t="shared" si="366"/>
        <v>0.43004335281568234</v>
      </c>
      <c r="W1124" s="143"/>
      <c r="X1124" s="143"/>
      <c r="Y1124" s="143"/>
      <c r="Z1124" s="30">
        <f>W1124*Y1124</f>
        <v>0</v>
      </c>
      <c r="AA1124" s="31">
        <f t="shared" si="368"/>
        <v>38</v>
      </c>
      <c r="AB1124" s="32">
        <v>1.84E-2</v>
      </c>
      <c r="AC1124" s="32">
        <v>2.58E-2</v>
      </c>
      <c r="AD1124" s="33">
        <f t="shared" si="391"/>
        <v>4.8349610578074353E-2</v>
      </c>
      <c r="AE1124" s="34">
        <f t="shared" si="392"/>
        <v>1.5595348714863443E-2</v>
      </c>
      <c r="AF1124" s="33">
        <f t="shared" si="393"/>
        <v>0.362756485566533</v>
      </c>
      <c r="AG1124" s="33">
        <f t="shared" si="394"/>
        <v>0</v>
      </c>
      <c r="AH1124" s="35">
        <f t="shared" si="395"/>
        <v>0.48211700119750989</v>
      </c>
      <c r="AI1124" s="36">
        <f t="shared" si="374"/>
        <v>1.759066424461567</v>
      </c>
      <c r="AJ1124" s="23"/>
      <c r="AK1124" s="23"/>
      <c r="AL1124" s="44"/>
      <c r="AM1124" s="44"/>
      <c r="AN1124" s="44"/>
      <c r="AO1124" s="44"/>
      <c r="AP1124" s="44"/>
      <c r="AQ1124" s="44"/>
      <c r="AR1124" s="44"/>
    </row>
    <row r="1125" spans="1:44" ht="16.8">
      <c r="A1125" s="62" t="s">
        <v>2378</v>
      </c>
      <c r="B1125" s="62"/>
      <c r="C1125" s="62" t="s">
        <v>2376</v>
      </c>
      <c r="D1125" s="19" t="s">
        <v>2377</v>
      </c>
      <c r="E1125" s="20" t="s">
        <v>178</v>
      </c>
      <c r="F1125" s="21">
        <v>1983</v>
      </c>
      <c r="G1125" s="40">
        <v>2022</v>
      </c>
      <c r="H1125" s="23">
        <v>3163095095452</v>
      </c>
      <c r="I1125" s="23">
        <v>4237763057772</v>
      </c>
      <c r="J1125" s="23">
        <v>3339555350011</v>
      </c>
      <c r="K1125" s="23">
        <f t="shared" ref="K1125:K1126" si="406">SUM(J1124:J1125)/2</f>
        <v>3342251377016</v>
      </c>
      <c r="L1125" s="23">
        <v>2997376890382</v>
      </c>
      <c r="M1125" s="23">
        <v>898207707761</v>
      </c>
      <c r="N1125" s="23">
        <v>1967743464941</v>
      </c>
      <c r="O1125" s="25">
        <f t="shared" si="361"/>
        <v>165718205070</v>
      </c>
      <c r="P1125" s="23">
        <v>66347863428</v>
      </c>
      <c r="Q1125" s="23">
        <f>2975726042+90405609120</f>
        <v>93381335162</v>
      </c>
      <c r="R1125" s="25">
        <f t="shared" si="362"/>
        <v>1874362129779</v>
      </c>
      <c r="S1125" s="26">
        <f t="shared" si="363"/>
        <v>0.78804673703648931</v>
      </c>
      <c r="T1125" s="27">
        <f t="shared" si="364"/>
        <v>1.0552877436273556</v>
      </c>
      <c r="U1125" s="26">
        <f t="shared" si="365"/>
        <v>29.075056665238591</v>
      </c>
      <c r="V1125" s="26">
        <f t="shared" si="366"/>
        <v>0.58874789564686292</v>
      </c>
      <c r="W1125" s="143"/>
      <c r="X1125" s="143"/>
      <c r="Y1125" s="143"/>
      <c r="Z1125" s="30"/>
      <c r="AA1125" s="31">
        <f t="shared" si="368"/>
        <v>39</v>
      </c>
      <c r="AB1125" s="32">
        <v>3.15E-2</v>
      </c>
      <c r="AC1125" s="32">
        <v>8.0199999999999994E-2</v>
      </c>
      <c r="AD1125" s="33">
        <f t="shared" si="391"/>
        <v>3.9105113431501332E-2</v>
      </c>
      <c r="AE1125" s="34">
        <f t="shared" si="392"/>
        <v>1.5656340980725412E-2</v>
      </c>
      <c r="AF1125" s="33">
        <f t="shared" si="393"/>
        <v>0.44229988893348937</v>
      </c>
      <c r="AG1125" s="33">
        <f t="shared" si="394"/>
        <v>0</v>
      </c>
      <c r="AH1125" s="35">
        <f t="shared" si="395"/>
        <v>0.58922319252307598</v>
      </c>
      <c r="AI1125" s="36">
        <f t="shared" si="374"/>
        <v>2.1176578394944077</v>
      </c>
      <c r="AJ1125" s="23"/>
      <c r="AK1125" s="23"/>
      <c r="AL1125" s="44"/>
      <c r="AM1125" s="44"/>
      <c r="AN1125" s="44"/>
      <c r="AO1125" s="44"/>
      <c r="AP1125" s="44"/>
      <c r="AQ1125" s="44"/>
      <c r="AR1125" s="44"/>
    </row>
    <row r="1126" spans="1:44" ht="16.8">
      <c r="A1126" s="62" t="s">
        <v>2379</v>
      </c>
      <c r="B1126" s="62"/>
      <c r="C1126" s="62" t="s">
        <v>2376</v>
      </c>
      <c r="D1126" s="19" t="s">
        <v>2377</v>
      </c>
      <c r="E1126" s="20" t="s">
        <v>178</v>
      </c>
      <c r="F1126" s="21">
        <v>1983</v>
      </c>
      <c r="G1126" s="40">
        <v>2023</v>
      </c>
      <c r="H1126" s="23">
        <v>2906390276288</v>
      </c>
      <c r="I1126" s="23">
        <v>3583844137524</v>
      </c>
      <c r="J1126" s="23">
        <v>2650646869762</v>
      </c>
      <c r="K1126" s="23">
        <f t="shared" si="406"/>
        <v>2995101109886.5</v>
      </c>
      <c r="L1126" s="23">
        <v>2564043456147</v>
      </c>
      <c r="M1126" s="23">
        <v>933197267762</v>
      </c>
      <c r="N1126" s="23">
        <v>2190570867497</v>
      </c>
      <c r="O1126" s="25">
        <f t="shared" si="361"/>
        <v>342346820141</v>
      </c>
      <c r="P1126" s="23">
        <v>42299627346</v>
      </c>
      <c r="Q1126" s="23">
        <f>5745176626+130411652820</f>
        <v>136156829446</v>
      </c>
      <c r="R1126" s="25">
        <f t="shared" si="362"/>
        <v>2054414038051</v>
      </c>
      <c r="S1126" s="26">
        <f t="shared" si="363"/>
        <v>0.73960997410821394</v>
      </c>
      <c r="T1126" s="27">
        <f t="shared" si="364"/>
        <v>1.1335183377334197</v>
      </c>
      <c r="U1126" s="26">
        <f t="shared" si="365"/>
        <v>28.907457121681521</v>
      </c>
      <c r="V1126" s="26">
        <f t="shared" si="366"/>
        <v>0.73138461344966488</v>
      </c>
      <c r="W1126" s="143"/>
      <c r="X1126" s="143"/>
      <c r="Y1126" s="143"/>
      <c r="Z1126" s="30"/>
      <c r="AA1126" s="31">
        <f t="shared" si="368"/>
        <v>40</v>
      </c>
      <c r="AB1126" s="32">
        <v>3.2500000000000001E-2</v>
      </c>
      <c r="AC1126" s="32">
        <v>5.0500000000000003E-2</v>
      </c>
      <c r="AD1126" s="33">
        <f t="shared" si="391"/>
        <v>9.5525030387487775E-2</v>
      </c>
      <c r="AE1126" s="34">
        <f t="shared" si="392"/>
        <v>1.1802864667888123E-2</v>
      </c>
      <c r="AF1126" s="33">
        <f t="shared" si="393"/>
        <v>0.57324313201587773</v>
      </c>
      <c r="AG1126" s="33">
        <f t="shared" si="394"/>
        <v>0</v>
      </c>
      <c r="AH1126" s="35">
        <f t="shared" si="395"/>
        <v>0.82642878328552682</v>
      </c>
      <c r="AI1126" s="36">
        <f t="shared" si="374"/>
        <v>2.8492851659379514</v>
      </c>
      <c r="AJ1126" s="23"/>
      <c r="AK1126" s="23"/>
      <c r="AL1126" s="44"/>
      <c r="AM1126" s="44"/>
      <c r="AN1126" s="44"/>
      <c r="AO1126" s="44"/>
      <c r="AP1126" s="44"/>
      <c r="AQ1126" s="44"/>
      <c r="AR1126" s="44"/>
    </row>
    <row r="1127" spans="1:44" ht="16.8">
      <c r="A1127" s="45"/>
      <c r="B1127" s="45">
        <v>434</v>
      </c>
      <c r="C1127" s="45" t="s">
        <v>2380</v>
      </c>
      <c r="D1127" s="46" t="s">
        <v>2381</v>
      </c>
      <c r="E1127" s="47" t="s">
        <v>39</v>
      </c>
      <c r="F1127" s="48"/>
      <c r="G1127" s="48"/>
      <c r="H1127" s="49"/>
      <c r="I1127" s="49"/>
      <c r="J1127" s="49"/>
      <c r="K1127" s="49"/>
      <c r="L1127" s="49"/>
      <c r="M1127" s="49"/>
      <c r="N1127" s="49"/>
      <c r="O1127" s="49">
        <f t="shared" si="361"/>
        <v>0</v>
      </c>
      <c r="P1127" s="49"/>
      <c r="Q1127" s="49"/>
      <c r="R1127" s="49">
        <f t="shared" si="362"/>
        <v>0</v>
      </c>
      <c r="S1127" s="50" t="e">
        <f t="shared" si="363"/>
        <v>#DIV/0!</v>
      </c>
      <c r="T1127" s="51" t="e">
        <f t="shared" si="364"/>
        <v>#DIV/0!</v>
      </c>
      <c r="U1127" s="50" t="e">
        <f t="shared" si="365"/>
        <v>#NUM!</v>
      </c>
      <c r="V1127" s="50" t="e">
        <f t="shared" si="366"/>
        <v>#DIV/0!</v>
      </c>
      <c r="W1127" s="52"/>
      <c r="X1127" s="52"/>
      <c r="Y1127" s="52"/>
      <c r="Z1127" s="55">
        <f>W1127*Y1127</f>
        <v>0</v>
      </c>
      <c r="AA1127" s="48">
        <f t="shared" si="368"/>
        <v>0</v>
      </c>
      <c r="AB1127" s="49"/>
      <c r="AC1127" s="49"/>
      <c r="AD1127" s="50" t="e">
        <f t="shared" si="391"/>
        <v>#DIV/0!</v>
      </c>
      <c r="AE1127" s="56" t="e">
        <f t="shared" si="392"/>
        <v>#DIV/0!</v>
      </c>
      <c r="AF1127" s="50" t="e">
        <f t="shared" si="393"/>
        <v>#DIV/0!</v>
      </c>
      <c r="AG1127" s="50" t="e">
        <f t="shared" si="394"/>
        <v>#DIV/0!</v>
      </c>
      <c r="AH1127" s="57" t="e">
        <f t="shared" si="395"/>
        <v>#DIV/0!</v>
      </c>
      <c r="AI1127" s="58" t="e">
        <f t="shared" si="374"/>
        <v>#DIV/0!</v>
      </c>
      <c r="AJ1127" s="49"/>
      <c r="AK1127" s="49">
        <v>341</v>
      </c>
      <c r="AL1127" s="59"/>
      <c r="AM1127" s="59"/>
      <c r="AN1127" s="59"/>
      <c r="AO1127" s="59"/>
      <c r="AP1127" s="59"/>
      <c r="AQ1127" s="59"/>
      <c r="AR1127" s="59"/>
    </row>
    <row r="1128" spans="1:44" ht="16.8">
      <c r="A1128" s="64" t="s">
        <v>2382</v>
      </c>
      <c r="B1128" s="62">
        <v>435</v>
      </c>
      <c r="C1128" s="62" t="s">
        <v>2383</v>
      </c>
      <c r="D1128" s="19" t="s">
        <v>2384</v>
      </c>
      <c r="E1128" s="20" t="s">
        <v>414</v>
      </c>
      <c r="F1128" s="21">
        <v>2002</v>
      </c>
      <c r="G1128" s="40">
        <v>2021</v>
      </c>
      <c r="H1128" s="23">
        <v>5354610509760</v>
      </c>
      <c r="I1128" s="23">
        <v>10009526635291</v>
      </c>
      <c r="J1128" s="23">
        <v>4555144898241</v>
      </c>
      <c r="K1128" s="23">
        <f>(J1128+4545451942407)/2</f>
        <v>4550298420324</v>
      </c>
      <c r="L1128" s="23">
        <v>3282339419557</v>
      </c>
      <c r="M1128" s="23">
        <v>5454381737050</v>
      </c>
      <c r="N1128" s="23">
        <v>13154009928330</v>
      </c>
      <c r="O1128" s="25">
        <f t="shared" si="361"/>
        <v>2072271090203</v>
      </c>
      <c r="P1128" s="23">
        <v>324143024419</v>
      </c>
      <c r="Q1128" s="23">
        <f>738538104564+194751557339</f>
        <v>933289661903</v>
      </c>
      <c r="R1128" s="25">
        <f t="shared" si="362"/>
        <v>12220720266427</v>
      </c>
      <c r="S1128" s="26">
        <f t="shared" si="363"/>
        <v>0.45508095079948518</v>
      </c>
      <c r="T1128" s="27">
        <f t="shared" si="364"/>
        <v>1.6313396712892914</v>
      </c>
      <c r="U1128" s="26">
        <f t="shared" si="365"/>
        <v>29.934558418955792</v>
      </c>
      <c r="V1128" s="26">
        <f t="shared" si="366"/>
        <v>2.89080159436958</v>
      </c>
      <c r="W1128" s="143"/>
      <c r="X1128" s="143"/>
      <c r="Y1128" s="143"/>
      <c r="Z1128" s="30">
        <f t="shared" ref="Z1128:Z1145" si="407">X1128*Y1128</f>
        <v>0</v>
      </c>
      <c r="AA1128" s="31">
        <f t="shared" si="368"/>
        <v>19</v>
      </c>
      <c r="AB1128" s="32">
        <v>1.84E-2</v>
      </c>
      <c r="AC1128" s="32">
        <v>2.58E-2</v>
      </c>
      <c r="AD1128" s="33">
        <f t="shared" si="391"/>
        <v>0.20702987920494748</v>
      </c>
      <c r="AE1128" s="34">
        <f t="shared" si="392"/>
        <v>3.2383451908320579E-2</v>
      </c>
      <c r="AF1128" s="33">
        <f t="shared" si="393"/>
        <v>1.2209089112505984</v>
      </c>
      <c r="AG1128" s="33">
        <f t="shared" si="394"/>
        <v>0</v>
      </c>
      <c r="AH1128" s="35">
        <f t="shared" si="395"/>
        <v>2.8877259060210161</v>
      </c>
      <c r="AI1128" s="36">
        <f t="shared" si="374"/>
        <v>7.2104980008655764</v>
      </c>
      <c r="AJ1128" s="23"/>
      <c r="AK1128" s="158">
        <v>342</v>
      </c>
      <c r="AL1128" s="44"/>
      <c r="AM1128" s="44"/>
      <c r="AN1128" s="44"/>
      <c r="AO1128" s="44"/>
      <c r="AP1128" s="44"/>
      <c r="AQ1128" s="44"/>
      <c r="AR1128" s="44"/>
    </row>
    <row r="1129" spans="1:44" ht="16.8">
      <c r="A1129" s="64" t="s">
        <v>2385</v>
      </c>
      <c r="B1129" s="62"/>
      <c r="C1129" s="62" t="s">
        <v>2383</v>
      </c>
      <c r="D1129" s="19" t="s">
        <v>2384</v>
      </c>
      <c r="E1129" s="20" t="s">
        <v>414</v>
      </c>
      <c r="F1129" s="21">
        <v>2002</v>
      </c>
      <c r="G1129" s="40">
        <v>2022</v>
      </c>
      <c r="H1129" s="23">
        <v>5658759199548</v>
      </c>
      <c r="I1129" s="23">
        <v>10795832681712</v>
      </c>
      <c r="J1129" s="23">
        <v>4624647264247</v>
      </c>
      <c r="K1129" s="23">
        <f t="shared" ref="K1129:K1130" si="408">SUM(J1128:J1129)/2</f>
        <v>4589896081244</v>
      </c>
      <c r="L1129" s="23">
        <v>3206482597038</v>
      </c>
      <c r="M1129" s="23">
        <v>6171185417465</v>
      </c>
      <c r="N1129" s="23">
        <v>15314698238896</v>
      </c>
      <c r="O1129" s="25">
        <f t="shared" si="361"/>
        <v>2452276602510</v>
      </c>
      <c r="P1129" s="23">
        <v>117291267937</v>
      </c>
      <c r="Q1129" s="23">
        <f>666097260650+247607549844</f>
        <v>913704810494</v>
      </c>
      <c r="R1129" s="25">
        <f t="shared" si="362"/>
        <v>14400993428402</v>
      </c>
      <c r="S1129" s="26">
        <f t="shared" si="363"/>
        <v>0.42837337337406983</v>
      </c>
      <c r="T1129" s="27">
        <f t="shared" si="364"/>
        <v>1.7647871236772965</v>
      </c>
      <c r="U1129" s="26">
        <f t="shared" si="365"/>
        <v>30.010181312790071</v>
      </c>
      <c r="V1129" s="26">
        <f t="shared" si="366"/>
        <v>3.3366111057453955</v>
      </c>
      <c r="W1129" s="143"/>
      <c r="X1129" s="143"/>
      <c r="Y1129" s="143"/>
      <c r="Z1129" s="30">
        <f t="shared" si="407"/>
        <v>0</v>
      </c>
      <c r="AA1129" s="31">
        <f t="shared" si="368"/>
        <v>20</v>
      </c>
      <c r="AB1129" s="32">
        <v>3.15E-2</v>
      </c>
      <c r="AC1129" s="32">
        <v>8.0199999999999994E-2</v>
      </c>
      <c r="AD1129" s="33">
        <f t="shared" si="391"/>
        <v>0.22715029723127561</v>
      </c>
      <c r="AE1129" s="34">
        <f t="shared" si="392"/>
        <v>1.086449479118826E-2</v>
      </c>
      <c r="AF1129" s="33">
        <f t="shared" si="393"/>
        <v>1.3339400352876065</v>
      </c>
      <c r="AG1129" s="33">
        <f t="shared" si="394"/>
        <v>0</v>
      </c>
      <c r="AH1129" s="35">
        <f t="shared" si="395"/>
        <v>3.3115386674554492</v>
      </c>
      <c r="AI1129" s="36">
        <f t="shared" si="374"/>
        <v>8.0013314332897458</v>
      </c>
      <c r="AJ1129" s="23"/>
      <c r="AK1129" s="158">
        <v>343</v>
      </c>
      <c r="AL1129" s="44"/>
      <c r="AM1129" s="44"/>
      <c r="AN1129" s="44"/>
      <c r="AO1129" s="44"/>
      <c r="AP1129" s="44"/>
      <c r="AQ1129" s="44"/>
      <c r="AR1129" s="44"/>
    </row>
    <row r="1130" spans="1:44" ht="16.8">
      <c r="A1130" s="64" t="s">
        <v>2386</v>
      </c>
      <c r="B1130" s="62"/>
      <c r="C1130" s="62" t="s">
        <v>2383</v>
      </c>
      <c r="D1130" s="19" t="s">
        <v>2384</v>
      </c>
      <c r="E1130" s="20" t="s">
        <v>414</v>
      </c>
      <c r="F1130" s="21">
        <v>2002</v>
      </c>
      <c r="G1130" s="40">
        <v>2023</v>
      </c>
      <c r="H1130" s="23">
        <v>5681580248153</v>
      </c>
      <c r="I1130" s="23">
        <v>11583445505916</v>
      </c>
      <c r="J1130" s="23">
        <v>5619574565686</v>
      </c>
      <c r="K1130" s="23">
        <f t="shared" si="408"/>
        <v>5122110914966.5</v>
      </c>
      <c r="L1130" s="23">
        <v>3737041187457</v>
      </c>
      <c r="M1130" s="23">
        <v>5963870940230</v>
      </c>
      <c r="N1130" s="23">
        <v>12628191473898</v>
      </c>
      <c r="O1130" s="25">
        <f t="shared" si="361"/>
        <v>1944539060696</v>
      </c>
      <c r="P1130" s="23">
        <v>309193823134</v>
      </c>
      <c r="Q1130" s="23">
        <f>511055878824+285281847427</f>
        <v>796337726251</v>
      </c>
      <c r="R1130" s="25">
        <f t="shared" si="362"/>
        <v>11831853747647</v>
      </c>
      <c r="S1130" s="26">
        <f t="shared" si="363"/>
        <v>0.48513842990981576</v>
      </c>
      <c r="T1130" s="27">
        <f t="shared" si="364"/>
        <v>1.5203418863090534</v>
      </c>
      <c r="U1130" s="26">
        <f t="shared" si="365"/>
        <v>30.08059808318832</v>
      </c>
      <c r="V1130" s="26">
        <f t="shared" si="366"/>
        <v>2.4654271810083581</v>
      </c>
      <c r="W1130" s="143"/>
      <c r="X1130" s="143"/>
      <c r="Y1130" s="143"/>
      <c r="Z1130" s="30">
        <f t="shared" si="407"/>
        <v>0</v>
      </c>
      <c r="AA1130" s="31">
        <f t="shared" si="368"/>
        <v>21</v>
      </c>
      <c r="AB1130" s="32">
        <v>3.2500000000000001E-2</v>
      </c>
      <c r="AC1130" s="32">
        <v>5.0500000000000003E-2</v>
      </c>
      <c r="AD1130" s="33">
        <f t="shared" si="391"/>
        <v>0.16787225007471807</v>
      </c>
      <c r="AE1130" s="34">
        <f t="shared" si="392"/>
        <v>2.6692733433768545E-2</v>
      </c>
      <c r="AF1130" s="33">
        <f t="shared" si="393"/>
        <v>1.0214451081592373</v>
      </c>
      <c r="AG1130" s="33">
        <f t="shared" si="394"/>
        <v>0</v>
      </c>
      <c r="AH1130" s="35">
        <f t="shared" si="395"/>
        <v>2.2471792706529263</v>
      </c>
      <c r="AI1130" s="36">
        <f t="shared" si="374"/>
        <v>5.8567646544753469</v>
      </c>
      <c r="AJ1130" s="23"/>
      <c r="AK1130" s="158">
        <v>344</v>
      </c>
      <c r="AL1130" s="44"/>
      <c r="AM1130" s="44"/>
      <c r="AN1130" s="44"/>
      <c r="AO1130" s="44"/>
      <c r="AP1130" s="44"/>
      <c r="AQ1130" s="44"/>
      <c r="AR1130" s="44"/>
    </row>
    <row r="1131" spans="1:44" ht="16.8">
      <c r="A1131" s="64" t="s">
        <v>2387</v>
      </c>
      <c r="B1131" s="62">
        <v>436</v>
      </c>
      <c r="C1131" s="62" t="s">
        <v>2388</v>
      </c>
      <c r="D1131" s="19" t="s">
        <v>2389</v>
      </c>
      <c r="E1131" s="20" t="s">
        <v>414</v>
      </c>
      <c r="F1131" s="21">
        <v>1979</v>
      </c>
      <c r="G1131" s="40">
        <v>2021</v>
      </c>
      <c r="H1131" s="23">
        <v>163042481781</v>
      </c>
      <c r="I1131" s="23">
        <v>201087507683</v>
      </c>
      <c r="J1131" s="23">
        <v>6761017862</v>
      </c>
      <c r="K1131" s="23">
        <f>(J1131+16718282839)/2</f>
        <v>11739650350.5</v>
      </c>
      <c r="L1131" s="23">
        <v>5544333271</v>
      </c>
      <c r="M1131" s="23">
        <v>194326489821</v>
      </c>
      <c r="N1131" s="23">
        <v>134110305244</v>
      </c>
      <c r="O1131" s="25">
        <f t="shared" si="361"/>
        <v>157498148510</v>
      </c>
      <c r="P1131" s="23">
        <v>225510011</v>
      </c>
      <c r="Q1131" s="23">
        <f>6242311631+6424610723</f>
        <v>12666922354</v>
      </c>
      <c r="R1131" s="25">
        <f t="shared" si="362"/>
        <v>121443382890</v>
      </c>
      <c r="S1131" s="26">
        <f t="shared" si="363"/>
        <v>3.3622266941904011E-2</v>
      </c>
      <c r="T1131" s="27">
        <f t="shared" si="364"/>
        <v>29.407049290093081</v>
      </c>
      <c r="U1131" s="26">
        <f t="shared" si="365"/>
        <v>26.027006011870085</v>
      </c>
      <c r="V1131" s="26">
        <f t="shared" si="366"/>
        <v>11.42370524163764</v>
      </c>
      <c r="W1131" s="143"/>
      <c r="X1131" s="143"/>
      <c r="Y1131" s="143"/>
      <c r="Z1131" s="30">
        <f t="shared" si="407"/>
        <v>0</v>
      </c>
      <c r="AA1131" s="31">
        <f t="shared" si="368"/>
        <v>42</v>
      </c>
      <c r="AB1131" s="32">
        <v>1.84E-2</v>
      </c>
      <c r="AC1131" s="32">
        <v>2.58E-2</v>
      </c>
      <c r="AD1131" s="33">
        <f t="shared" si="391"/>
        <v>0.78323188906535413</v>
      </c>
      <c r="AE1131" s="34">
        <f t="shared" si="392"/>
        <v>1.1214521160384579E-3</v>
      </c>
      <c r="AF1131" s="33">
        <f t="shared" si="393"/>
        <v>0.60393300553233153</v>
      </c>
      <c r="AG1131" s="33">
        <f t="shared" si="394"/>
        <v>0</v>
      </c>
      <c r="AH1131" s="35">
        <f t="shared" si="395"/>
        <v>19.835815846273828</v>
      </c>
      <c r="AI1131" s="36">
        <f t="shared" si="374"/>
        <v>22.7702430643714</v>
      </c>
      <c r="AJ1131" s="23"/>
      <c r="AK1131" s="158">
        <v>345</v>
      </c>
      <c r="AL1131" s="44"/>
      <c r="AM1131" s="44"/>
      <c r="AN1131" s="44"/>
      <c r="AO1131" s="44"/>
      <c r="AP1131" s="44"/>
      <c r="AQ1131" s="44"/>
      <c r="AR1131" s="44"/>
    </row>
    <row r="1132" spans="1:44" ht="16.8">
      <c r="A1132" s="64" t="s">
        <v>2390</v>
      </c>
      <c r="B1132" s="62"/>
      <c r="C1132" s="62" t="s">
        <v>2388</v>
      </c>
      <c r="D1132" s="19" t="s">
        <v>2389</v>
      </c>
      <c r="E1132" s="20" t="s">
        <v>414</v>
      </c>
      <c r="F1132" s="21">
        <v>1979</v>
      </c>
      <c r="G1132" s="40">
        <v>2022</v>
      </c>
      <c r="H1132" s="23">
        <v>180897439215</v>
      </c>
      <c r="I1132" s="23">
        <v>218579542224</v>
      </c>
      <c r="J1132" s="23">
        <v>9043271702</v>
      </c>
      <c r="K1132" s="23">
        <f t="shared" ref="K1132:K1133" si="409">SUM(J1131:J1132)/2</f>
        <v>7902144782</v>
      </c>
      <c r="L1132" s="23">
        <v>7937231960</v>
      </c>
      <c r="M1132" s="23">
        <v>209536270522</v>
      </c>
      <c r="N1132" s="23">
        <v>212007837549</v>
      </c>
      <c r="O1132" s="25">
        <f t="shared" si="361"/>
        <v>172960207255</v>
      </c>
      <c r="P1132" s="23">
        <v>16899756334</v>
      </c>
      <c r="Q1132" s="23">
        <f>12763496085+7558596102</f>
        <v>20322092187</v>
      </c>
      <c r="R1132" s="25">
        <f t="shared" si="362"/>
        <v>191685745362</v>
      </c>
      <c r="S1132" s="26">
        <f t="shared" si="363"/>
        <v>4.1372909879793182E-2</v>
      </c>
      <c r="T1132" s="27">
        <f t="shared" si="364"/>
        <v>22.790998187609979</v>
      </c>
      <c r="U1132" s="26">
        <f t="shared" si="365"/>
        <v>26.110415822874877</v>
      </c>
      <c r="V1132" s="26">
        <f t="shared" si="366"/>
        <v>26.829151249155132</v>
      </c>
      <c r="W1132" s="143"/>
      <c r="X1132" s="143"/>
      <c r="Y1132" s="143"/>
      <c r="Z1132" s="30">
        <f t="shared" si="407"/>
        <v>0</v>
      </c>
      <c r="AA1132" s="31">
        <f t="shared" si="368"/>
        <v>43</v>
      </c>
      <c r="AB1132" s="32">
        <v>3.15E-2</v>
      </c>
      <c r="AC1132" s="32">
        <v>8.0199999999999994E-2</v>
      </c>
      <c r="AD1132" s="33">
        <f t="shared" si="391"/>
        <v>0.79129183589263186</v>
      </c>
      <c r="AE1132" s="34">
        <f t="shared" si="392"/>
        <v>7.7316276546508425E-2</v>
      </c>
      <c r="AF1132" s="33">
        <f t="shared" si="393"/>
        <v>0.87696105230909815</v>
      </c>
      <c r="AG1132" s="33">
        <f t="shared" si="394"/>
        <v>0</v>
      </c>
      <c r="AH1132" s="35">
        <f t="shared" si="395"/>
        <v>23.443709813795884</v>
      </c>
      <c r="AI1132" s="36">
        <f t="shared" si="374"/>
        <v>27.395474276652177</v>
      </c>
      <c r="AJ1132" s="23"/>
      <c r="AK1132" s="158">
        <v>346</v>
      </c>
      <c r="AL1132" s="44"/>
      <c r="AM1132" s="44"/>
      <c r="AN1132" s="44"/>
      <c r="AO1132" s="44"/>
      <c r="AP1132" s="44"/>
      <c r="AQ1132" s="44"/>
      <c r="AR1132" s="44"/>
    </row>
    <row r="1133" spans="1:44" ht="16.8">
      <c r="A1133" s="64" t="s">
        <v>2391</v>
      </c>
      <c r="B1133" s="62"/>
      <c r="C1133" s="62" t="s">
        <v>2388</v>
      </c>
      <c r="D1133" s="19" t="s">
        <v>2389</v>
      </c>
      <c r="E1133" s="20" t="s">
        <v>414</v>
      </c>
      <c r="F1133" s="21">
        <v>1979</v>
      </c>
      <c r="G1133" s="40">
        <v>2023</v>
      </c>
      <c r="H1133" s="23">
        <v>173748814806</v>
      </c>
      <c r="I1133" s="23">
        <v>212857323705</v>
      </c>
      <c r="J1133" s="23">
        <v>10221544787</v>
      </c>
      <c r="K1133" s="23">
        <f t="shared" si="409"/>
        <v>9632408244.5</v>
      </c>
      <c r="L1133" s="23">
        <v>9148047007</v>
      </c>
      <c r="M1133" s="23">
        <v>202635778918</v>
      </c>
      <c r="N1133" s="23">
        <v>139259201598</v>
      </c>
      <c r="O1133" s="25">
        <f t="shared" si="361"/>
        <v>164600767799</v>
      </c>
      <c r="P1133" s="23">
        <v>703150885</v>
      </c>
      <c r="Q1133" s="23">
        <f>3971638521+6001675362</f>
        <v>9973313883</v>
      </c>
      <c r="R1133" s="25">
        <f t="shared" si="362"/>
        <v>129285887715</v>
      </c>
      <c r="S1133" s="26">
        <f t="shared" si="363"/>
        <v>4.8020639408048224E-2</v>
      </c>
      <c r="T1133" s="27">
        <f t="shared" si="364"/>
        <v>18.992995409080105</v>
      </c>
      <c r="U1133" s="26">
        <f t="shared" si="365"/>
        <v>26.083887936451045</v>
      </c>
      <c r="V1133" s="26">
        <f t="shared" si="366"/>
        <v>14.457360824331287</v>
      </c>
      <c r="W1133" s="143"/>
      <c r="X1133" s="143"/>
      <c r="Y1133" s="143"/>
      <c r="Z1133" s="30">
        <f t="shared" si="407"/>
        <v>0</v>
      </c>
      <c r="AA1133" s="31">
        <f t="shared" si="368"/>
        <v>44</v>
      </c>
      <c r="AB1133" s="32">
        <v>3.2500000000000001E-2</v>
      </c>
      <c r="AC1133" s="32">
        <v>5.0500000000000003E-2</v>
      </c>
      <c r="AD1133" s="33">
        <f t="shared" si="391"/>
        <v>0.77329154070884121</v>
      </c>
      <c r="AE1133" s="34">
        <f t="shared" si="392"/>
        <v>3.3033906128336942E-3</v>
      </c>
      <c r="AF1133" s="33">
        <f t="shared" si="393"/>
        <v>0.60738284905892148</v>
      </c>
      <c r="AG1133" s="33">
        <f t="shared" si="394"/>
        <v>0</v>
      </c>
      <c r="AH1133" s="35">
        <f t="shared" si="395"/>
        <v>13.624085644580173</v>
      </c>
      <c r="AI1133" s="36">
        <f t="shared" si="374"/>
        <v>16.561023642183191</v>
      </c>
      <c r="AJ1133" s="23"/>
      <c r="AK1133" s="158">
        <v>347</v>
      </c>
      <c r="AL1133" s="44"/>
      <c r="AM1133" s="44"/>
      <c r="AN1133" s="44"/>
      <c r="AO1133" s="44"/>
      <c r="AP1133" s="44"/>
      <c r="AQ1133" s="44"/>
      <c r="AR1133" s="44"/>
    </row>
    <row r="1134" spans="1:44" ht="16.8">
      <c r="A1134" s="64" t="s">
        <v>2392</v>
      </c>
      <c r="B1134" s="62">
        <v>437</v>
      </c>
      <c r="C1134" s="62" t="s">
        <v>2393</v>
      </c>
      <c r="D1134" s="19" t="s">
        <v>2394</v>
      </c>
      <c r="E1134" s="20" t="s">
        <v>414</v>
      </c>
      <c r="F1134" s="21">
        <v>1977</v>
      </c>
      <c r="G1134" s="40">
        <v>2021</v>
      </c>
      <c r="H1134" s="23">
        <v>295336129083</v>
      </c>
      <c r="I1134" s="23">
        <v>594273998812</v>
      </c>
      <c r="J1134" s="23">
        <v>175678304886</v>
      </c>
      <c r="K1134" s="23">
        <f>(J1134+132991764108)/2</f>
        <v>154335034497</v>
      </c>
      <c r="L1134" s="23">
        <v>171507973886</v>
      </c>
      <c r="M1134" s="23">
        <v>418595693926</v>
      </c>
      <c r="N1134" s="23">
        <v>343461764566</v>
      </c>
      <c r="O1134" s="25">
        <f t="shared" si="361"/>
        <v>123828155197</v>
      </c>
      <c r="P1134" s="23">
        <v>33793208794</v>
      </c>
      <c r="Q1134" s="23">
        <f>33913210227+11140817398</f>
        <v>45054027625</v>
      </c>
      <c r="R1134" s="25">
        <f t="shared" si="362"/>
        <v>298407736941</v>
      </c>
      <c r="S1134" s="26">
        <f t="shared" si="363"/>
        <v>0.2956183599437206</v>
      </c>
      <c r="T1134" s="27">
        <f t="shared" si="364"/>
        <v>1.7219964902582756</v>
      </c>
      <c r="U1134" s="26">
        <f t="shared" si="365"/>
        <v>27.110606327414594</v>
      </c>
      <c r="V1134" s="26">
        <f t="shared" si="366"/>
        <v>2.2254296679000403</v>
      </c>
      <c r="W1134" s="143"/>
      <c r="X1134" s="143"/>
      <c r="Y1134" s="143"/>
      <c r="Z1134" s="30">
        <f t="shared" si="407"/>
        <v>0</v>
      </c>
      <c r="AA1134" s="31">
        <f t="shared" si="368"/>
        <v>44</v>
      </c>
      <c r="AB1134" s="32">
        <v>1.84E-2</v>
      </c>
      <c r="AC1134" s="32">
        <v>2.58E-2</v>
      </c>
      <c r="AD1134" s="33">
        <f t="shared" si="391"/>
        <v>0.20836879191171434</v>
      </c>
      <c r="AE1134" s="34">
        <f t="shared" si="392"/>
        <v>5.6864693494171469E-2</v>
      </c>
      <c r="AF1134" s="33">
        <f t="shared" si="393"/>
        <v>0.50213830242874546</v>
      </c>
      <c r="AG1134" s="33">
        <f t="shared" si="394"/>
        <v>0</v>
      </c>
      <c r="AH1134" s="35">
        <f t="shared" si="395"/>
        <v>1.9550607844769274</v>
      </c>
      <c r="AI1134" s="36">
        <f t="shared" si="374"/>
        <v>3.9417703036776848</v>
      </c>
      <c r="AJ1134" s="23"/>
      <c r="AK1134" s="158">
        <v>348</v>
      </c>
      <c r="AL1134" s="44"/>
      <c r="AM1134" s="44"/>
      <c r="AN1134" s="44"/>
      <c r="AO1134" s="44"/>
      <c r="AP1134" s="44"/>
      <c r="AQ1134" s="44"/>
      <c r="AR1134" s="44"/>
    </row>
    <row r="1135" spans="1:44" ht="16.8">
      <c r="A1135" s="64" t="s">
        <v>2395</v>
      </c>
      <c r="B1135" s="62"/>
      <c r="C1135" s="62" t="s">
        <v>2393</v>
      </c>
      <c r="D1135" s="19" t="s">
        <v>2394</v>
      </c>
      <c r="E1135" s="20" t="s">
        <v>414</v>
      </c>
      <c r="F1135" s="21">
        <v>1977</v>
      </c>
      <c r="G1135" s="40">
        <v>2022</v>
      </c>
      <c r="H1135" s="23">
        <v>299925829753</v>
      </c>
      <c r="I1135" s="23">
        <v>622539909687</v>
      </c>
      <c r="J1135" s="23">
        <v>151648445347</v>
      </c>
      <c r="K1135" s="23">
        <f t="shared" ref="K1135:K1136" si="410">SUM(J1134:J1135)/2</f>
        <v>163663375116.5</v>
      </c>
      <c r="L1135" s="23">
        <v>148066249347</v>
      </c>
      <c r="M1135" s="23">
        <v>470891464340</v>
      </c>
      <c r="N1135" s="23">
        <v>617431964793</v>
      </c>
      <c r="O1135" s="25">
        <f t="shared" si="361"/>
        <v>151859580406</v>
      </c>
      <c r="P1135" s="23">
        <v>64289101233</v>
      </c>
      <c r="Q1135" s="23">
        <f>46048809483+15289588029</f>
        <v>61338397512</v>
      </c>
      <c r="R1135" s="25">
        <f t="shared" si="362"/>
        <v>556093567281</v>
      </c>
      <c r="S1135" s="26">
        <f t="shared" si="363"/>
        <v>0.24359634296096078</v>
      </c>
      <c r="T1135" s="27">
        <f t="shared" si="364"/>
        <v>2.025619147346065</v>
      </c>
      <c r="U1135" s="26">
        <f t="shared" si="365"/>
        <v>27.157073575177179</v>
      </c>
      <c r="V1135" s="26">
        <f t="shared" si="366"/>
        <v>3.7725726012523895</v>
      </c>
      <c r="W1135" s="143"/>
      <c r="X1135" s="143"/>
      <c r="Y1135" s="143"/>
      <c r="Z1135" s="30">
        <f t="shared" si="407"/>
        <v>0</v>
      </c>
      <c r="AA1135" s="31">
        <f t="shared" si="368"/>
        <v>45</v>
      </c>
      <c r="AB1135" s="32">
        <v>3.15E-2</v>
      </c>
      <c r="AC1135" s="32">
        <v>8.0199999999999994E-2</v>
      </c>
      <c r="AD1135" s="33">
        <f t="shared" si="391"/>
        <v>0.24393549400286932</v>
      </c>
      <c r="AE1135" s="34">
        <f t="shared" si="392"/>
        <v>0.10326904385186038</v>
      </c>
      <c r="AF1135" s="33">
        <f t="shared" si="393"/>
        <v>0.89326573064302361</v>
      </c>
      <c r="AG1135" s="33">
        <f t="shared" si="394"/>
        <v>0</v>
      </c>
      <c r="AH1135" s="35">
        <f t="shared" si="395"/>
        <v>4.0714691362657902</v>
      </c>
      <c r="AI1135" s="36">
        <f t="shared" si="374"/>
        <v>7.4565453015838159</v>
      </c>
      <c r="AJ1135" s="23"/>
      <c r="AK1135" s="158">
        <v>349</v>
      </c>
      <c r="AL1135" s="44"/>
      <c r="AM1135" s="44"/>
      <c r="AN1135" s="44"/>
      <c r="AO1135" s="44"/>
      <c r="AP1135" s="44"/>
      <c r="AQ1135" s="44"/>
      <c r="AR1135" s="44"/>
    </row>
    <row r="1136" spans="1:44" ht="16.8">
      <c r="A1136" s="64" t="s">
        <v>2396</v>
      </c>
      <c r="B1136" s="62"/>
      <c r="C1136" s="62" t="s">
        <v>2393</v>
      </c>
      <c r="D1136" s="19" t="s">
        <v>2394</v>
      </c>
      <c r="E1136" s="20" t="s">
        <v>414</v>
      </c>
      <c r="F1136" s="21">
        <v>1977</v>
      </c>
      <c r="G1136" s="40">
        <v>2023</v>
      </c>
      <c r="H1136" s="23">
        <v>337587701029</v>
      </c>
      <c r="I1136" s="23">
        <v>651384406231</v>
      </c>
      <c r="J1136" s="23">
        <v>160564993618</v>
      </c>
      <c r="K1136" s="23">
        <f t="shared" si="410"/>
        <v>156106719482.5</v>
      </c>
      <c r="L1136" s="23">
        <v>157455382618</v>
      </c>
      <c r="M1136" s="23">
        <v>490819412613</v>
      </c>
      <c r="N1136" s="23">
        <v>532793012065</v>
      </c>
      <c r="O1136" s="25">
        <f t="shared" si="361"/>
        <v>180132318411</v>
      </c>
      <c r="P1136" s="23">
        <v>63871593981</v>
      </c>
      <c r="Q1136" s="23">
        <f>17661570715+18480972114</f>
        <v>36142542829</v>
      </c>
      <c r="R1136" s="25">
        <f t="shared" si="362"/>
        <v>496650469236</v>
      </c>
      <c r="S1136" s="26">
        <f t="shared" si="363"/>
        <v>0.24649806179280709</v>
      </c>
      <c r="T1136" s="27">
        <f t="shared" si="364"/>
        <v>2.1440213437988089</v>
      </c>
      <c r="U1136" s="26">
        <f t="shared" si="365"/>
        <v>27.202365790648766</v>
      </c>
      <c r="V1136" s="26">
        <f t="shared" si="366"/>
        <v>3.4130049867887178</v>
      </c>
      <c r="W1136" s="143"/>
      <c r="X1136" s="143"/>
      <c r="Y1136" s="143"/>
      <c r="Z1136" s="30">
        <f t="shared" si="407"/>
        <v>0</v>
      </c>
      <c r="AA1136" s="31">
        <f t="shared" si="368"/>
        <v>46</v>
      </c>
      <c r="AB1136" s="32">
        <v>3.2500000000000001E-2</v>
      </c>
      <c r="AC1136" s="32">
        <v>5.0500000000000003E-2</v>
      </c>
      <c r="AD1136" s="33">
        <f t="shared" si="391"/>
        <v>0.27653765839018229</v>
      </c>
      <c r="AE1136" s="34">
        <f t="shared" si="392"/>
        <v>9.8055147421427929E-2</v>
      </c>
      <c r="AF1136" s="33">
        <f t="shared" si="393"/>
        <v>0.7624537285282712</v>
      </c>
      <c r="AG1136" s="33">
        <f t="shared" si="394"/>
        <v>0</v>
      </c>
      <c r="AH1136" s="35">
        <f t="shared" si="395"/>
        <v>3.3182389265531147</v>
      </c>
      <c r="AI1136" s="36">
        <f t="shared" si="374"/>
        <v>6.3034586271546278</v>
      </c>
      <c r="AJ1136" s="23"/>
      <c r="AK1136" s="158">
        <v>350</v>
      </c>
      <c r="AL1136" s="44"/>
      <c r="AM1136" s="44"/>
      <c r="AN1136" s="44"/>
      <c r="AO1136" s="44"/>
      <c r="AP1136" s="44"/>
      <c r="AQ1136" s="44"/>
      <c r="AR1136" s="44"/>
    </row>
    <row r="1137" spans="1:44" ht="16.8">
      <c r="A1137" s="64" t="s">
        <v>2397</v>
      </c>
      <c r="B1137" s="62">
        <v>438</v>
      </c>
      <c r="C1137" s="62" t="s">
        <v>2398</v>
      </c>
      <c r="D1137" s="19" t="s">
        <v>2399</v>
      </c>
      <c r="E1137" s="20" t="s">
        <v>414</v>
      </c>
      <c r="F1137" s="21">
        <v>2008</v>
      </c>
      <c r="G1137" s="40">
        <v>2021</v>
      </c>
      <c r="H1137" s="23">
        <v>809245653379</v>
      </c>
      <c r="I1137" s="23">
        <v>1175563025601</v>
      </c>
      <c r="J1137" s="23">
        <v>700477035724</v>
      </c>
      <c r="K1137" s="23">
        <f>(J1137+406277692502)/2</f>
        <v>553377364113</v>
      </c>
      <c r="L1137" s="23">
        <v>447670757977</v>
      </c>
      <c r="M1137" s="23">
        <v>475085989877</v>
      </c>
      <c r="N1137" s="23">
        <v>352999336076</v>
      </c>
      <c r="O1137" s="25">
        <f t="shared" si="361"/>
        <v>361574895402</v>
      </c>
      <c r="P1137" s="23">
        <v>38497402252</v>
      </c>
      <c r="Q1137" s="23">
        <f>9090607747+16889580038</f>
        <v>25980187785</v>
      </c>
      <c r="R1137" s="25">
        <f t="shared" si="362"/>
        <v>327019148291</v>
      </c>
      <c r="S1137" s="26">
        <f t="shared" si="363"/>
        <v>0.59586514756695841</v>
      </c>
      <c r="T1137" s="27">
        <f t="shared" si="364"/>
        <v>1.8076803967181985</v>
      </c>
      <c r="U1137" s="26">
        <f t="shared" si="365"/>
        <v>27.792768319483294</v>
      </c>
      <c r="V1137" s="26">
        <f t="shared" si="366"/>
        <v>0.63789984731633753</v>
      </c>
      <c r="W1137" s="143"/>
      <c r="X1137" s="143"/>
      <c r="Y1137" s="143"/>
      <c r="Z1137" s="30">
        <f t="shared" si="407"/>
        <v>0</v>
      </c>
      <c r="AA1137" s="31">
        <f t="shared" si="368"/>
        <v>13</v>
      </c>
      <c r="AB1137" s="32">
        <v>1.84E-2</v>
      </c>
      <c r="AC1137" s="32">
        <v>2.58E-2</v>
      </c>
      <c r="AD1137" s="33">
        <f t="shared" si="391"/>
        <v>0.30757593385275694</v>
      </c>
      <c r="AE1137" s="34">
        <f t="shared" si="392"/>
        <v>3.274805468836383E-2</v>
      </c>
      <c r="AF1137" s="33">
        <f t="shared" si="393"/>
        <v>0.27818087262808672</v>
      </c>
      <c r="AG1137" s="33">
        <f t="shared" si="394"/>
        <v>0</v>
      </c>
      <c r="AH1137" s="35">
        <f t="shared" si="395"/>
        <v>0.50394134007711822</v>
      </c>
      <c r="AI1137" s="36">
        <f t="shared" si="374"/>
        <v>1.836876616936822</v>
      </c>
      <c r="AJ1137" s="23"/>
      <c r="AK1137" s="158">
        <v>351</v>
      </c>
      <c r="AL1137" s="44"/>
      <c r="AM1137" s="44"/>
      <c r="AN1137" s="44"/>
      <c r="AO1137" s="44"/>
      <c r="AP1137" s="44"/>
      <c r="AQ1137" s="44"/>
      <c r="AR1137" s="44"/>
    </row>
    <row r="1138" spans="1:44" ht="16.8">
      <c r="A1138" s="64" t="s">
        <v>2400</v>
      </c>
      <c r="B1138" s="62"/>
      <c r="C1138" s="62" t="s">
        <v>2398</v>
      </c>
      <c r="D1138" s="19" t="s">
        <v>2399</v>
      </c>
      <c r="E1138" s="20" t="s">
        <v>414</v>
      </c>
      <c r="F1138" s="21">
        <v>2008</v>
      </c>
      <c r="G1138" s="40">
        <v>2022</v>
      </c>
      <c r="H1138" s="23">
        <v>1889388844329</v>
      </c>
      <c r="I1138" s="23">
        <v>2099774620511</v>
      </c>
      <c r="J1138" s="23">
        <v>883646263614</v>
      </c>
      <c r="K1138" s="23">
        <f>SUM(J1137:J1138)/2</f>
        <v>792061649669</v>
      </c>
      <c r="L1138" s="23">
        <v>872263682283</v>
      </c>
      <c r="M1138" s="23">
        <v>1216128356897</v>
      </c>
      <c r="N1138" s="23">
        <v>642242686748</v>
      </c>
      <c r="O1138" s="25">
        <f t="shared" si="361"/>
        <v>1017125162046</v>
      </c>
      <c r="P1138" s="23">
        <v>81593658179</v>
      </c>
      <c r="Q1138" s="23">
        <f>14415686294+18798960265</f>
        <v>33214646559</v>
      </c>
      <c r="R1138" s="25">
        <f t="shared" si="362"/>
        <v>609028040189</v>
      </c>
      <c r="S1138" s="26">
        <f t="shared" si="363"/>
        <v>0.42082909993404738</v>
      </c>
      <c r="T1138" s="27">
        <f t="shared" si="364"/>
        <v>2.1660753310098273</v>
      </c>
      <c r="U1138" s="26">
        <f t="shared" si="365"/>
        <v>28.372851131332148</v>
      </c>
      <c r="V1138" s="26">
        <f t="shared" si="366"/>
        <v>0.81084936635474159</v>
      </c>
      <c r="W1138" s="143"/>
      <c r="X1138" s="143"/>
      <c r="Y1138" s="143"/>
      <c r="Z1138" s="30">
        <f t="shared" si="407"/>
        <v>0</v>
      </c>
      <c r="AA1138" s="31">
        <f t="shared" si="368"/>
        <v>14</v>
      </c>
      <c r="AB1138" s="32">
        <v>3.15E-2</v>
      </c>
      <c r="AC1138" s="32">
        <v>8.0199999999999994E-2</v>
      </c>
      <c r="AD1138" s="33">
        <f t="shared" si="391"/>
        <v>0.48439730250595797</v>
      </c>
      <c r="AE1138" s="34">
        <f t="shared" si="392"/>
        <v>3.8858293352999673E-2</v>
      </c>
      <c r="AF1138" s="33">
        <f t="shared" si="393"/>
        <v>0.29004448107901565</v>
      </c>
      <c r="AG1138" s="33">
        <f t="shared" si="394"/>
        <v>0</v>
      </c>
      <c r="AH1138" s="35">
        <f t="shared" si="395"/>
        <v>0.72680971243097858</v>
      </c>
      <c r="AI1138" s="36">
        <f t="shared" si="374"/>
        <v>2.3196348736930794</v>
      </c>
      <c r="AJ1138" s="23"/>
      <c r="AK1138" s="158">
        <v>352</v>
      </c>
      <c r="AL1138" s="44"/>
      <c r="AM1138" s="44"/>
      <c r="AN1138" s="44"/>
      <c r="AO1138" s="44"/>
      <c r="AP1138" s="44"/>
      <c r="AQ1138" s="44"/>
      <c r="AR1138" s="44"/>
    </row>
    <row r="1139" spans="1:44" ht="16.8">
      <c r="A1139" s="64" t="s">
        <v>2401</v>
      </c>
      <c r="B1139" s="62"/>
      <c r="C1139" s="62" t="s">
        <v>2398</v>
      </c>
      <c r="D1139" s="19" t="s">
        <v>2399</v>
      </c>
      <c r="E1139" s="20" t="s">
        <v>414</v>
      </c>
      <c r="F1139" s="21">
        <v>2008</v>
      </c>
      <c r="G1139" s="40">
        <v>2023</v>
      </c>
      <c r="H1139" s="23">
        <v>1752179531777</v>
      </c>
      <c r="I1139" s="23">
        <v>2352042742360</v>
      </c>
      <c r="J1139" s="23">
        <v>1067001928819</v>
      </c>
      <c r="K1139" s="23">
        <f>(J1139+883646263614)/2</f>
        <v>975324096216.5</v>
      </c>
      <c r="L1139" s="23">
        <v>884553037561</v>
      </c>
      <c r="M1139" s="23">
        <v>1285040813541</v>
      </c>
      <c r="N1139" s="23">
        <v>651590436819</v>
      </c>
      <c r="O1139" s="25">
        <f t="shared" si="361"/>
        <v>867626494216</v>
      </c>
      <c r="P1139" s="23">
        <v>70154709497</v>
      </c>
      <c r="Q1139" s="23">
        <f>13138682809+17043068730</f>
        <v>30181751539</v>
      </c>
      <c r="R1139" s="25">
        <f t="shared" si="362"/>
        <v>621408685280</v>
      </c>
      <c r="S1139" s="26">
        <f t="shared" si="363"/>
        <v>0.45364903860054356</v>
      </c>
      <c r="T1139" s="27">
        <f t="shared" si="364"/>
        <v>1.9808642979829993</v>
      </c>
      <c r="U1139" s="26">
        <f t="shared" si="365"/>
        <v>28.486305318571915</v>
      </c>
      <c r="V1139" s="26">
        <f t="shared" si="366"/>
        <v>0.66807581125767812</v>
      </c>
      <c r="W1139" s="143"/>
      <c r="X1139" s="143"/>
      <c r="Y1139" s="143"/>
      <c r="Z1139" s="30">
        <f t="shared" si="407"/>
        <v>0</v>
      </c>
      <c r="AA1139" s="31">
        <f t="shared" si="368"/>
        <v>15</v>
      </c>
      <c r="AB1139" s="32">
        <v>3.2500000000000001E-2</v>
      </c>
      <c r="AC1139" s="32">
        <v>5.0500000000000003E-2</v>
      </c>
      <c r="AD1139" s="33">
        <f t="shared" si="391"/>
        <v>0.36888211195747156</v>
      </c>
      <c r="AE1139" s="34">
        <f t="shared" si="392"/>
        <v>2.9827140567440517E-2</v>
      </c>
      <c r="AF1139" s="33">
        <f t="shared" si="393"/>
        <v>0.26419957175458852</v>
      </c>
      <c r="AG1139" s="33">
        <f t="shared" si="394"/>
        <v>0</v>
      </c>
      <c r="AH1139" s="35">
        <f t="shared" si="395"/>
        <v>0.61067409460094046</v>
      </c>
      <c r="AI1139" s="36">
        <f t="shared" si="374"/>
        <v>1.9669492125344652</v>
      </c>
      <c r="AJ1139" s="23"/>
      <c r="AK1139" s="158">
        <v>353</v>
      </c>
      <c r="AL1139" s="44"/>
      <c r="AM1139" s="44"/>
      <c r="AN1139" s="44"/>
      <c r="AO1139" s="44"/>
      <c r="AP1139" s="44"/>
      <c r="AQ1139" s="44"/>
      <c r="AR1139" s="44"/>
    </row>
    <row r="1140" spans="1:44" ht="16.8">
      <c r="A1140" s="64" t="s">
        <v>2402</v>
      </c>
      <c r="B1140" s="62">
        <v>439</v>
      </c>
      <c r="C1140" s="62" t="s">
        <v>2403</v>
      </c>
      <c r="D1140" s="19" t="s">
        <v>2404</v>
      </c>
      <c r="E1140" s="20" t="s">
        <v>414</v>
      </c>
      <c r="F1140" s="21">
        <v>2003</v>
      </c>
      <c r="G1140" s="40">
        <v>2021</v>
      </c>
      <c r="H1140" s="23">
        <v>1158362257259</v>
      </c>
      <c r="I1140" s="23">
        <v>1458179314834</v>
      </c>
      <c r="J1140" s="23">
        <v>751726674397</v>
      </c>
      <c r="K1140" s="23">
        <f>(J1140+965082211504)/2</f>
        <v>858404442950.5</v>
      </c>
      <c r="L1140" s="23">
        <v>751726674397</v>
      </c>
      <c r="M1140" s="23">
        <v>706452640437</v>
      </c>
      <c r="N1140" s="23">
        <v>1224022685706</v>
      </c>
      <c r="O1140" s="25">
        <f t="shared" si="361"/>
        <v>406635582862</v>
      </c>
      <c r="P1140" s="23">
        <v>42088175559</v>
      </c>
      <c r="Q1140" s="23">
        <f>48034687524+28988215361</f>
        <v>77022902885</v>
      </c>
      <c r="R1140" s="25">
        <f t="shared" si="362"/>
        <v>1146999782821</v>
      </c>
      <c r="S1140" s="26">
        <f t="shared" si="363"/>
        <v>0.51552416547794533</v>
      </c>
      <c r="T1140" s="27">
        <f t="shared" si="364"/>
        <v>1.5409354180336676</v>
      </c>
      <c r="U1140" s="26">
        <f t="shared" si="365"/>
        <v>28.008209728807348</v>
      </c>
      <c r="V1140" s="26">
        <f t="shared" si="366"/>
        <v>1.4259277147946721</v>
      </c>
      <c r="W1140" s="143"/>
      <c r="X1140" s="143"/>
      <c r="Y1140" s="143"/>
      <c r="Z1140" s="30">
        <f t="shared" si="407"/>
        <v>0</v>
      </c>
      <c r="AA1140" s="31">
        <f t="shared" si="368"/>
        <v>18</v>
      </c>
      <c r="AB1140" s="32">
        <v>1.84E-2</v>
      </c>
      <c r="AC1140" s="32">
        <v>2.58E-2</v>
      </c>
      <c r="AD1140" s="33">
        <f t="shared" si="391"/>
        <v>0.27886527995927007</v>
      </c>
      <c r="AE1140" s="34">
        <f t="shared" si="392"/>
        <v>2.8863511593422476E-2</v>
      </c>
      <c r="AF1140" s="33">
        <f t="shared" si="393"/>
        <v>0.78659721143525829</v>
      </c>
      <c r="AG1140" s="33">
        <f t="shared" si="394"/>
        <v>0</v>
      </c>
      <c r="AH1140" s="35">
        <f t="shared" si="395"/>
        <v>1.6282815648225517</v>
      </c>
      <c r="AI1140" s="36">
        <f t="shared" si="374"/>
        <v>4.5990996147408199</v>
      </c>
      <c r="AJ1140" s="23"/>
      <c r="AK1140" s="158">
        <v>354</v>
      </c>
      <c r="AL1140" s="44"/>
      <c r="AM1140" s="44"/>
      <c r="AN1140" s="44"/>
      <c r="AO1140" s="44"/>
      <c r="AP1140" s="44"/>
      <c r="AQ1140" s="44"/>
      <c r="AR1140" s="44"/>
    </row>
    <row r="1141" spans="1:44" ht="16.8">
      <c r="A1141" s="64" t="s">
        <v>2405</v>
      </c>
      <c r="B1141" s="62"/>
      <c r="C1141" s="62" t="s">
        <v>2403</v>
      </c>
      <c r="D1141" s="19" t="s">
        <v>2404</v>
      </c>
      <c r="E1141" s="20" t="s">
        <v>414</v>
      </c>
      <c r="F1141" s="21">
        <v>2003</v>
      </c>
      <c r="G1141" s="40">
        <v>2022</v>
      </c>
      <c r="H1141" s="23">
        <v>1208234057630</v>
      </c>
      <c r="I1141" s="23">
        <v>1481370067070</v>
      </c>
      <c r="J1141" s="23">
        <v>656969596548</v>
      </c>
      <c r="K1141" s="23">
        <f t="shared" ref="K1141:K1142" si="411">SUM(J1140:J1141)/2</f>
        <v>704348135472.5</v>
      </c>
      <c r="L1141" s="23">
        <v>656969596548</v>
      </c>
      <c r="M1141" s="23">
        <v>824400470522</v>
      </c>
      <c r="N1141" s="23">
        <v>1174022468086</v>
      </c>
      <c r="O1141" s="25">
        <f t="shared" si="361"/>
        <v>551264461082</v>
      </c>
      <c r="P1141" s="23">
        <v>117947830085</v>
      </c>
      <c r="Q1141" s="23">
        <f>68457004014+43930779726</f>
        <v>112387783740</v>
      </c>
      <c r="R1141" s="25">
        <f t="shared" si="362"/>
        <v>1061634684346</v>
      </c>
      <c r="S1141" s="26">
        <f t="shared" si="363"/>
        <v>0.44348783005141945</v>
      </c>
      <c r="T1141" s="27">
        <f t="shared" si="364"/>
        <v>1.8391019371042128</v>
      </c>
      <c r="U1141" s="26">
        <f t="shared" si="365"/>
        <v>28.023988496482389</v>
      </c>
      <c r="V1141" s="26">
        <f t="shared" si="366"/>
        <v>1.6668212904381821</v>
      </c>
      <c r="W1141" s="143"/>
      <c r="X1141" s="143"/>
      <c r="Y1141" s="143"/>
      <c r="Z1141" s="30">
        <f t="shared" si="407"/>
        <v>0</v>
      </c>
      <c r="AA1141" s="31">
        <f t="shared" si="368"/>
        <v>19</v>
      </c>
      <c r="AB1141" s="32">
        <v>3.15E-2</v>
      </c>
      <c r="AC1141" s="32">
        <v>8.0199999999999994E-2</v>
      </c>
      <c r="AD1141" s="33">
        <f t="shared" si="391"/>
        <v>0.37213149727829004</v>
      </c>
      <c r="AE1141" s="34">
        <f t="shared" si="392"/>
        <v>7.9620773165944195E-2</v>
      </c>
      <c r="AF1141" s="33">
        <f t="shared" si="393"/>
        <v>0.71665730795128457</v>
      </c>
      <c r="AG1141" s="33">
        <f t="shared" si="394"/>
        <v>0</v>
      </c>
      <c r="AH1141" s="35">
        <f t="shared" si="395"/>
        <v>1.7870270926612397</v>
      </c>
      <c r="AI1141" s="36">
        <f t="shared" si="374"/>
        <v>4.7100230880667482</v>
      </c>
      <c r="AJ1141" s="23"/>
      <c r="AK1141" s="158">
        <v>355</v>
      </c>
      <c r="AL1141" s="44"/>
      <c r="AM1141" s="44"/>
      <c r="AN1141" s="44"/>
      <c r="AO1141" s="44"/>
      <c r="AP1141" s="44"/>
      <c r="AQ1141" s="44"/>
      <c r="AR1141" s="44"/>
    </row>
    <row r="1142" spans="1:44" ht="16.8">
      <c r="A1142" s="64" t="s">
        <v>2406</v>
      </c>
      <c r="B1142" s="62"/>
      <c r="C1142" s="62" t="s">
        <v>2403</v>
      </c>
      <c r="D1142" s="19" t="s">
        <v>2404</v>
      </c>
      <c r="E1142" s="20" t="s">
        <v>414</v>
      </c>
      <c r="F1142" s="21">
        <v>2003</v>
      </c>
      <c r="G1142" s="40">
        <v>2023</v>
      </c>
      <c r="H1142" s="23">
        <v>1482105470702</v>
      </c>
      <c r="I1142" s="23">
        <v>1749180174427</v>
      </c>
      <c r="J1142" s="23">
        <v>950038273743</v>
      </c>
      <c r="K1142" s="23">
        <f t="shared" si="411"/>
        <v>803503935145.5</v>
      </c>
      <c r="L1142" s="23">
        <v>950038273743</v>
      </c>
      <c r="M1142" s="23">
        <v>799141900684</v>
      </c>
      <c r="N1142" s="23">
        <v>1117774370779</v>
      </c>
      <c r="O1142" s="25">
        <f t="shared" si="361"/>
        <v>532067196959</v>
      </c>
      <c r="P1142" s="23">
        <v>9852743462</v>
      </c>
      <c r="Q1142" s="23">
        <f>66960002328+43032700058</f>
        <v>109992702386</v>
      </c>
      <c r="R1142" s="25">
        <f t="shared" si="362"/>
        <v>1007781668393</v>
      </c>
      <c r="S1142" s="26">
        <f t="shared" si="363"/>
        <v>0.54313345625142107</v>
      </c>
      <c r="T1142" s="27">
        <f t="shared" si="364"/>
        <v>1.5600481703360642</v>
      </c>
      <c r="U1142" s="26">
        <f t="shared" si="365"/>
        <v>28.190168322340796</v>
      </c>
      <c r="V1142" s="26">
        <f t="shared" si="366"/>
        <v>1.391124948973139</v>
      </c>
      <c r="W1142" s="143"/>
      <c r="X1142" s="143"/>
      <c r="Y1142" s="143"/>
      <c r="Z1142" s="30">
        <f t="shared" si="407"/>
        <v>0</v>
      </c>
      <c r="AA1142" s="31">
        <f t="shared" si="368"/>
        <v>20</v>
      </c>
      <c r="AB1142" s="32">
        <v>3.2500000000000001E-2</v>
      </c>
      <c r="AC1142" s="32">
        <v>5.0500000000000003E-2</v>
      </c>
      <c r="AD1142" s="33">
        <f t="shared" si="391"/>
        <v>0.30418089842191109</v>
      </c>
      <c r="AE1142" s="34">
        <f t="shared" si="392"/>
        <v>5.6327779185054976E-3</v>
      </c>
      <c r="AF1142" s="33">
        <f t="shared" si="393"/>
        <v>0.57614514681035145</v>
      </c>
      <c r="AG1142" s="33">
        <f t="shared" si="394"/>
        <v>0</v>
      </c>
      <c r="AH1142" s="35">
        <f t="shared" si="395"/>
        <v>1.1765571995064434</v>
      </c>
      <c r="AI1142" s="36">
        <f t="shared" si="374"/>
        <v>3.4507391511728045</v>
      </c>
      <c r="AJ1142" s="23"/>
      <c r="AK1142" s="158">
        <v>356</v>
      </c>
      <c r="AL1142" s="44"/>
      <c r="AM1142" s="44"/>
      <c r="AN1142" s="44"/>
      <c r="AO1142" s="44"/>
      <c r="AP1142" s="44"/>
      <c r="AQ1142" s="44"/>
      <c r="AR1142" s="44"/>
    </row>
    <row r="1143" spans="1:44" ht="16.8">
      <c r="A1143" s="64" t="s">
        <v>2407</v>
      </c>
      <c r="B1143" s="62">
        <v>440</v>
      </c>
      <c r="C1143" s="62" t="s">
        <v>2408</v>
      </c>
      <c r="D1143" s="19" t="s">
        <v>2409</v>
      </c>
      <c r="E1143" s="20" t="s">
        <v>414</v>
      </c>
      <c r="F1143" s="21">
        <v>2006</v>
      </c>
      <c r="G1143" s="40">
        <v>2021</v>
      </c>
      <c r="H1143" s="23">
        <v>1605935761362</v>
      </c>
      <c r="I1143" s="23">
        <v>1985168600052</v>
      </c>
      <c r="J1143" s="23">
        <v>1401266277396</v>
      </c>
      <c r="K1143" s="23">
        <f>(J1143+1415747458812)/2</f>
        <v>1408506868104</v>
      </c>
      <c r="L1143" s="23">
        <v>1299461694986</v>
      </c>
      <c r="M1143" s="23">
        <v>583902322656</v>
      </c>
      <c r="N1143" s="23">
        <v>1513151486160</v>
      </c>
      <c r="O1143" s="25">
        <f t="shared" si="361"/>
        <v>306474066376</v>
      </c>
      <c r="P1143" s="23">
        <v>100486275127</v>
      </c>
      <c r="Q1143" s="23">
        <f>17070613409+39298688073</f>
        <v>56369301482</v>
      </c>
      <c r="R1143" s="25">
        <f t="shared" si="362"/>
        <v>1456782184678</v>
      </c>
      <c r="S1143" s="26">
        <f t="shared" si="363"/>
        <v>0.70586764134758873</v>
      </c>
      <c r="T1143" s="27">
        <f t="shared" si="364"/>
        <v>1.2358469415131947</v>
      </c>
      <c r="U1143" s="26">
        <f t="shared" si="365"/>
        <v>28.316724963514659</v>
      </c>
      <c r="V1143" s="26">
        <f t="shared" si="366"/>
        <v>1.0742947162173677</v>
      </c>
      <c r="W1143" s="143"/>
      <c r="X1143" s="143"/>
      <c r="Y1143" s="143"/>
      <c r="Z1143" s="30">
        <f t="shared" si="407"/>
        <v>0</v>
      </c>
      <c r="AA1143" s="31">
        <f t="shared" si="368"/>
        <v>15</v>
      </c>
      <c r="AB1143" s="32">
        <v>1.84E-2</v>
      </c>
      <c r="AC1143" s="32">
        <v>2.58E-2</v>
      </c>
      <c r="AD1143" s="33">
        <f t="shared" si="391"/>
        <v>0.15438188291310478</v>
      </c>
      <c r="AE1143" s="34">
        <f t="shared" si="392"/>
        <v>5.0618509241163616E-2</v>
      </c>
      <c r="AF1143" s="33">
        <f t="shared" si="393"/>
        <v>0.73383297753139998</v>
      </c>
      <c r="AG1143" s="33">
        <f t="shared" si="394"/>
        <v>0</v>
      </c>
      <c r="AH1143" s="35">
        <f t="shared" si="395"/>
        <v>1.0798457870347944</v>
      </c>
      <c r="AI1143" s="36">
        <f t="shared" si="374"/>
        <v>3.7576187853217693</v>
      </c>
      <c r="AJ1143" s="23"/>
      <c r="AK1143" s="158">
        <v>357</v>
      </c>
      <c r="AL1143" s="44"/>
      <c r="AM1143" s="44"/>
      <c r="AN1143" s="44"/>
      <c r="AO1143" s="44"/>
      <c r="AP1143" s="44"/>
      <c r="AQ1143" s="44"/>
      <c r="AR1143" s="44"/>
    </row>
    <row r="1144" spans="1:44" ht="16.8">
      <c r="A1144" s="64" t="s">
        <v>2410</v>
      </c>
      <c r="B1144" s="62"/>
      <c r="C1144" s="62" t="s">
        <v>2408</v>
      </c>
      <c r="D1144" s="19" t="s">
        <v>2409</v>
      </c>
      <c r="E1144" s="20" t="s">
        <v>414</v>
      </c>
      <c r="F1144" s="21">
        <v>2006</v>
      </c>
      <c r="G1144" s="40">
        <v>2022</v>
      </c>
      <c r="H1144" s="23">
        <v>1670194981171</v>
      </c>
      <c r="I1144" s="23">
        <v>2181694751879</v>
      </c>
      <c r="J1144" s="23">
        <v>1524599781838</v>
      </c>
      <c r="K1144" s="23">
        <f t="shared" ref="K1144:K1145" si="412">SUM(J1143:J1144)/2</f>
        <v>1462933029617</v>
      </c>
      <c r="L1144" s="23">
        <v>1364727235938</v>
      </c>
      <c r="M1144" s="23">
        <v>657094970041</v>
      </c>
      <c r="N1144" s="23">
        <v>1692604265015</v>
      </c>
      <c r="O1144" s="25">
        <f t="shared" si="361"/>
        <v>305467745233</v>
      </c>
      <c r="P1144" s="23">
        <v>74943592882</v>
      </c>
      <c r="Q1144" s="23">
        <f>17223196686+29996528239</f>
        <v>47219724925</v>
      </c>
      <c r="R1144" s="25">
        <f t="shared" si="362"/>
        <v>1645384540090</v>
      </c>
      <c r="S1144" s="26">
        <f t="shared" si="363"/>
        <v>0.69881443337796345</v>
      </c>
      <c r="T1144" s="27">
        <f t="shared" si="364"/>
        <v>1.2238306213791117</v>
      </c>
      <c r="U1144" s="26">
        <f t="shared" si="365"/>
        <v>28.411123099822404</v>
      </c>
      <c r="V1144" s="26">
        <f t="shared" si="366"/>
        <v>1.1569936769136511</v>
      </c>
      <c r="W1144" s="143"/>
      <c r="X1144" s="143"/>
      <c r="Y1144" s="143"/>
      <c r="Z1144" s="30">
        <f t="shared" si="407"/>
        <v>0</v>
      </c>
      <c r="AA1144" s="31">
        <f t="shared" si="368"/>
        <v>16</v>
      </c>
      <c r="AB1144" s="32">
        <v>3.15E-2</v>
      </c>
      <c r="AC1144" s="32">
        <v>8.0199999999999994E-2</v>
      </c>
      <c r="AD1144" s="33">
        <f t="shared" si="391"/>
        <v>0.14001397077657804</v>
      </c>
      <c r="AE1144" s="34">
        <f t="shared" si="392"/>
        <v>3.435109004935466E-2</v>
      </c>
      <c r="AF1144" s="33">
        <f t="shared" si="393"/>
        <v>0.75417724623158255</v>
      </c>
      <c r="AG1144" s="33">
        <f t="shared" si="394"/>
        <v>0</v>
      </c>
      <c r="AH1144" s="35">
        <f t="shared" si="395"/>
        <v>1.1101957937934768</v>
      </c>
      <c r="AI1144" s="36">
        <f t="shared" si="374"/>
        <v>3.8150889973586892</v>
      </c>
      <c r="AJ1144" s="23"/>
      <c r="AK1144" s="158">
        <v>358</v>
      </c>
      <c r="AL1144" s="44"/>
      <c r="AM1144" s="44"/>
      <c r="AN1144" s="44"/>
      <c r="AO1144" s="44"/>
      <c r="AP1144" s="44"/>
      <c r="AQ1144" s="44"/>
      <c r="AR1144" s="44"/>
    </row>
    <row r="1145" spans="1:44" ht="16.8">
      <c r="A1145" s="64" t="s">
        <v>2411</v>
      </c>
      <c r="B1145" s="62"/>
      <c r="C1145" s="62" t="s">
        <v>2408</v>
      </c>
      <c r="D1145" s="19" t="s">
        <v>2409</v>
      </c>
      <c r="E1145" s="20" t="s">
        <v>414</v>
      </c>
      <c r="F1145" s="21">
        <v>2006</v>
      </c>
      <c r="G1145" s="40">
        <v>2023</v>
      </c>
      <c r="H1145" s="23">
        <v>1945387034832</v>
      </c>
      <c r="I1145" s="23">
        <v>2503792256902</v>
      </c>
      <c r="J1145" s="23">
        <v>1585541464673</v>
      </c>
      <c r="K1145" s="23">
        <f t="shared" si="412"/>
        <v>1555070623255.5</v>
      </c>
      <c r="L1145" s="23">
        <v>1472931616830</v>
      </c>
      <c r="M1145" s="23">
        <v>918250792229</v>
      </c>
      <c r="N1145" s="23">
        <v>1641849464703</v>
      </c>
      <c r="O1145" s="25">
        <f t="shared" si="361"/>
        <v>472455418002</v>
      </c>
      <c r="P1145" s="23">
        <v>74990043518</v>
      </c>
      <c r="Q1145" s="23">
        <f>13263117610+36537439750</f>
        <v>49800557360</v>
      </c>
      <c r="R1145" s="25">
        <f t="shared" si="362"/>
        <v>1592048907343</v>
      </c>
      <c r="S1145" s="26">
        <f t="shared" si="363"/>
        <v>0.63325599809739286</v>
      </c>
      <c r="T1145" s="27">
        <f t="shared" si="364"/>
        <v>1.3207585556611274</v>
      </c>
      <c r="U1145" s="26">
        <f t="shared" si="365"/>
        <v>28.548827601228648</v>
      </c>
      <c r="V1145" s="26">
        <f t="shared" si="366"/>
        <v>1.0558037944706529</v>
      </c>
      <c r="W1145" s="143"/>
      <c r="X1145" s="143"/>
      <c r="Y1145" s="143"/>
      <c r="Z1145" s="30">
        <f t="shared" si="407"/>
        <v>0</v>
      </c>
      <c r="AA1145" s="31">
        <f t="shared" si="368"/>
        <v>17</v>
      </c>
      <c r="AB1145" s="32">
        <v>3.2500000000000001E-2</v>
      </c>
      <c r="AC1145" s="32">
        <v>5.0500000000000003E-2</v>
      </c>
      <c r="AD1145" s="33">
        <f t="shared" si="391"/>
        <v>0.18869593381783997</v>
      </c>
      <c r="AE1145" s="34">
        <f t="shared" si="392"/>
        <v>2.9950585281698614E-2</v>
      </c>
      <c r="AF1145" s="33">
        <f t="shared" si="393"/>
        <v>0.63585503268265509</v>
      </c>
      <c r="AG1145" s="33">
        <f t="shared" si="394"/>
        <v>0</v>
      </c>
      <c r="AH1145" s="35">
        <f t="shared" si="395"/>
        <v>1.0355134200426686</v>
      </c>
      <c r="AI1145" s="36">
        <f t="shared" si="374"/>
        <v>3.4022009678712162</v>
      </c>
      <c r="AJ1145" s="23"/>
      <c r="AK1145" s="158">
        <v>359</v>
      </c>
      <c r="AL1145" s="44"/>
      <c r="AM1145" s="44"/>
      <c r="AN1145" s="44"/>
      <c r="AO1145" s="44"/>
      <c r="AP1145" s="44"/>
      <c r="AQ1145" s="44"/>
      <c r="AR1145" s="44"/>
    </row>
    <row r="1146" spans="1:44" ht="16.8">
      <c r="A1146" s="62" t="s">
        <v>2412</v>
      </c>
      <c r="B1146" s="62">
        <v>442</v>
      </c>
      <c r="C1146" s="62" t="s">
        <v>2413</v>
      </c>
      <c r="D1146" s="19" t="s">
        <v>2414</v>
      </c>
      <c r="E1146" s="20" t="s">
        <v>178</v>
      </c>
      <c r="F1146" s="21">
        <v>1995</v>
      </c>
      <c r="G1146" s="40">
        <v>2021</v>
      </c>
      <c r="H1146" s="23">
        <v>199000608591</v>
      </c>
      <c r="I1146" s="23">
        <v>426103384538</v>
      </c>
      <c r="J1146" s="23">
        <v>579355131354</v>
      </c>
      <c r="K1146" s="23">
        <f>(J1146+595688213963)/2</f>
        <v>587521672658.5</v>
      </c>
      <c r="L1146" s="23">
        <v>574597353204</v>
      </c>
      <c r="M1146" s="23">
        <v>-153251746816</v>
      </c>
      <c r="N1146" s="23">
        <v>470480428072</v>
      </c>
      <c r="O1146" s="25">
        <f t="shared" si="361"/>
        <v>-375596744613</v>
      </c>
      <c r="P1146" s="23">
        <v>-92357864904</v>
      </c>
      <c r="Q1146" s="23">
        <f>32915807136+9013687777</f>
        <v>41929494913</v>
      </c>
      <c r="R1146" s="25">
        <f t="shared" si="362"/>
        <v>428550933159</v>
      </c>
      <c r="S1146" s="26">
        <f t="shared" si="363"/>
        <v>1.3596586001825879</v>
      </c>
      <c r="T1146" s="27">
        <f t="shared" si="364"/>
        <v>0.34633053473246433</v>
      </c>
      <c r="U1146" s="26">
        <f t="shared" si="365"/>
        <v>26.777947840481048</v>
      </c>
      <c r="V1146" s="26">
        <f t="shared" si="366"/>
        <v>0.80078820912785154</v>
      </c>
      <c r="W1146" s="143"/>
      <c r="X1146" s="143"/>
      <c r="Y1146" s="143"/>
      <c r="Z1146" s="30">
        <f>W1146*Y1146</f>
        <v>0</v>
      </c>
      <c r="AA1146" s="31">
        <f t="shared" si="368"/>
        <v>26</v>
      </c>
      <c r="AB1146" s="32">
        <v>1.84E-2</v>
      </c>
      <c r="AC1146" s="32">
        <v>2.58E-2</v>
      </c>
      <c r="AD1146" s="33">
        <f t="shared" si="391"/>
        <v>-0.88146857838324488</v>
      </c>
      <c r="AE1146" s="34">
        <f t="shared" si="392"/>
        <v>-0.21674989745537565</v>
      </c>
      <c r="AF1146" s="33">
        <f t="shared" si="393"/>
        <v>1.0057440252995262</v>
      </c>
      <c r="AG1146" s="33">
        <f t="shared" si="394"/>
        <v>0</v>
      </c>
      <c r="AH1146" s="35">
        <f t="shared" si="395"/>
        <v>0.81207605251108939</v>
      </c>
      <c r="AI1146" s="36">
        <f t="shared" si="374"/>
        <v>2.7698191855021057</v>
      </c>
      <c r="AJ1146" s="23"/>
      <c r="AK1146" s="23"/>
      <c r="AL1146" s="44"/>
      <c r="AM1146" s="44"/>
      <c r="AN1146" s="44"/>
      <c r="AO1146" s="44"/>
      <c r="AP1146" s="44"/>
      <c r="AQ1146" s="44"/>
      <c r="AR1146" s="44"/>
    </row>
    <row r="1147" spans="1:44" ht="16.8">
      <c r="A1147" s="62" t="s">
        <v>2415</v>
      </c>
      <c r="B1147" s="62"/>
      <c r="C1147" s="62" t="s">
        <v>2413</v>
      </c>
      <c r="D1147" s="19" t="s">
        <v>2414</v>
      </c>
      <c r="E1147" s="20" t="s">
        <v>178</v>
      </c>
      <c r="F1147" s="21">
        <v>1995</v>
      </c>
      <c r="G1147" s="40">
        <v>2022</v>
      </c>
      <c r="H1147" s="23">
        <v>130330367204</v>
      </c>
      <c r="I1147" s="23">
        <v>334484522639</v>
      </c>
      <c r="J1147" s="23">
        <v>507153060960</v>
      </c>
      <c r="K1147" s="23">
        <f t="shared" ref="K1147:K1148" si="413">SUM(J1146:J1147)/2</f>
        <v>543254096157</v>
      </c>
      <c r="L1147" s="23">
        <v>503355970260</v>
      </c>
      <c r="M1147" s="23">
        <v>-172668538321</v>
      </c>
      <c r="N1147" s="23">
        <v>544477541586</v>
      </c>
      <c r="O1147" s="25">
        <f t="shared" si="361"/>
        <v>-373025603056</v>
      </c>
      <c r="P1147" s="23">
        <v>-19416791505</v>
      </c>
      <c r="Q1147" s="23">
        <f>14643161013-1939998841</f>
        <v>12703162172</v>
      </c>
      <c r="R1147" s="25">
        <f t="shared" si="362"/>
        <v>531774379414</v>
      </c>
      <c r="S1147" s="26">
        <f t="shared" si="363"/>
        <v>1.5162228044475363</v>
      </c>
      <c r="T1147" s="27">
        <f t="shared" si="364"/>
        <v>0.25892285957526251</v>
      </c>
      <c r="U1147" s="26">
        <f t="shared" si="365"/>
        <v>26.535856445306681</v>
      </c>
      <c r="V1147" s="26">
        <f t="shared" si="366"/>
        <v>1.0022520684844434</v>
      </c>
      <c r="W1147" s="143"/>
      <c r="X1147" s="143"/>
      <c r="Y1147" s="143"/>
      <c r="Z1147" s="30"/>
      <c r="AA1147" s="31">
        <f t="shared" si="368"/>
        <v>27</v>
      </c>
      <c r="AB1147" s="32">
        <v>3.15E-2</v>
      </c>
      <c r="AC1147" s="32">
        <v>8.0199999999999994E-2</v>
      </c>
      <c r="AD1147" s="33">
        <f t="shared" si="391"/>
        <v>-1.1152253028418786</v>
      </c>
      <c r="AE1147" s="34">
        <f t="shared" si="392"/>
        <v>-5.8049895259147798E-2</v>
      </c>
      <c r="AF1147" s="33">
        <f t="shared" si="393"/>
        <v>1.5898325435761032</v>
      </c>
      <c r="AG1147" s="33">
        <f t="shared" si="394"/>
        <v>0</v>
      </c>
      <c r="AH1147" s="35">
        <f t="shared" si="395"/>
        <v>1.0735960866633592</v>
      </c>
      <c r="AI1147" s="36">
        <f t="shared" si="374"/>
        <v>4.9005032636914381</v>
      </c>
      <c r="AJ1147" s="23"/>
      <c r="AK1147" s="23"/>
      <c r="AL1147" s="44"/>
      <c r="AM1147" s="44"/>
      <c r="AN1147" s="44"/>
      <c r="AO1147" s="44"/>
      <c r="AP1147" s="44"/>
      <c r="AQ1147" s="44"/>
      <c r="AR1147" s="44"/>
    </row>
    <row r="1148" spans="1:44" ht="16.8">
      <c r="A1148" s="62" t="s">
        <v>2416</v>
      </c>
      <c r="B1148" s="62"/>
      <c r="C1148" s="62" t="s">
        <v>2413</v>
      </c>
      <c r="D1148" s="19" t="s">
        <v>2414</v>
      </c>
      <c r="E1148" s="20" t="s">
        <v>178</v>
      </c>
      <c r="F1148" s="21">
        <v>1995</v>
      </c>
      <c r="G1148" s="40">
        <v>2023</v>
      </c>
      <c r="H1148" s="23">
        <v>101762285629</v>
      </c>
      <c r="I1148" s="23">
        <v>288363579364</v>
      </c>
      <c r="J1148" s="23">
        <v>467055119300</v>
      </c>
      <c r="K1148" s="23">
        <f t="shared" si="413"/>
        <v>487104090130</v>
      </c>
      <c r="L1148" s="23">
        <v>463658238800</v>
      </c>
      <c r="M1148" s="23">
        <v>-178691539936</v>
      </c>
      <c r="N1148" s="23">
        <v>452707288307</v>
      </c>
      <c r="O1148" s="25">
        <f t="shared" si="361"/>
        <v>-361895953171</v>
      </c>
      <c r="P1148" s="23">
        <v>-6023001615</v>
      </c>
      <c r="Q1148" s="23">
        <f>3975295707+10143325277</f>
        <v>14118620984</v>
      </c>
      <c r="R1148" s="25">
        <f t="shared" si="362"/>
        <v>438588667323</v>
      </c>
      <c r="S1148" s="26">
        <f t="shared" si="363"/>
        <v>1.6196744413081323</v>
      </c>
      <c r="T1148" s="27">
        <f t="shared" si="364"/>
        <v>0.21947692742907429</v>
      </c>
      <c r="U1148" s="26">
        <f t="shared" si="365"/>
        <v>26.387487949236935</v>
      </c>
      <c r="V1148" s="26">
        <f t="shared" si="366"/>
        <v>0.92938510983592837</v>
      </c>
      <c r="W1148" s="143"/>
      <c r="X1148" s="143"/>
      <c r="Y1148" s="143"/>
      <c r="Z1148" s="30"/>
      <c r="AA1148" s="31">
        <f t="shared" si="368"/>
        <v>28</v>
      </c>
      <c r="AB1148" s="32">
        <v>3.2500000000000001E-2</v>
      </c>
      <c r="AC1148" s="32">
        <v>5.0500000000000003E-2</v>
      </c>
      <c r="AD1148" s="33">
        <f t="shared" si="391"/>
        <v>-1.254998824640682</v>
      </c>
      <c r="AE1148" s="34">
        <f t="shared" si="392"/>
        <v>-2.0886831923379593E-2</v>
      </c>
      <c r="AF1148" s="33">
        <f t="shared" si="393"/>
        <v>1.5209572175873556</v>
      </c>
      <c r="AG1148" s="33">
        <f t="shared" si="394"/>
        <v>0</v>
      </c>
      <c r="AH1148" s="35">
        <f t="shared" si="395"/>
        <v>0.96928021897179106</v>
      </c>
      <c r="AI1148" s="36">
        <f t="shared" si="374"/>
        <v>4.4531988827485147</v>
      </c>
      <c r="AJ1148" s="23"/>
      <c r="AK1148" s="23"/>
      <c r="AL1148" s="44"/>
      <c r="AM1148" s="44"/>
      <c r="AN1148" s="44"/>
      <c r="AO1148" s="44"/>
      <c r="AP1148" s="44"/>
      <c r="AQ1148" s="44"/>
      <c r="AR1148" s="44"/>
    </row>
    <row r="1149" spans="1:44" ht="16.8">
      <c r="A1149" s="64" t="s">
        <v>2417</v>
      </c>
      <c r="B1149" s="62">
        <v>443</v>
      </c>
      <c r="C1149" s="62" t="s">
        <v>2418</v>
      </c>
      <c r="D1149" s="19" t="s">
        <v>2419</v>
      </c>
      <c r="E1149" s="20" t="s">
        <v>414</v>
      </c>
      <c r="F1149" s="21">
        <v>1976</v>
      </c>
      <c r="G1149" s="40">
        <v>2021</v>
      </c>
      <c r="H1149" s="23">
        <v>1301463528118</v>
      </c>
      <c r="I1149" s="23">
        <v>1856416043823</v>
      </c>
      <c r="J1149" s="23">
        <v>1373757471254</v>
      </c>
      <c r="K1149" s="23">
        <f>(J1149+319659586375)/2</f>
        <v>846708528814.5</v>
      </c>
      <c r="L1149" s="23">
        <v>1029553766087</v>
      </c>
      <c r="M1149" s="23">
        <v>482658572569</v>
      </c>
      <c r="N1149" s="23">
        <v>3931417745703</v>
      </c>
      <c r="O1149" s="25">
        <f t="shared" si="361"/>
        <v>271909762031</v>
      </c>
      <c r="P1149" s="23">
        <v>44712467421</v>
      </c>
      <c r="Q1149" s="23">
        <f>176170896878+36235694251</f>
        <v>212406591129</v>
      </c>
      <c r="R1149" s="25">
        <f t="shared" si="362"/>
        <v>3719011154574</v>
      </c>
      <c r="S1149" s="26">
        <f t="shared" si="363"/>
        <v>0.74000517062164595</v>
      </c>
      <c r="T1149" s="27">
        <f t="shared" si="364"/>
        <v>1.2641044800063632</v>
      </c>
      <c r="U1149" s="26">
        <f t="shared" si="365"/>
        <v>28.249668886714677</v>
      </c>
      <c r="V1149" s="26">
        <f t="shared" si="366"/>
        <v>4.643177211415936</v>
      </c>
      <c r="W1149" s="143"/>
      <c r="X1149" s="143"/>
      <c r="Y1149" s="143"/>
      <c r="Z1149" s="30">
        <f t="shared" ref="Z1149:Z1154" si="414">X1149*Y1149</f>
        <v>0</v>
      </c>
      <c r="AA1149" s="31">
        <f t="shared" si="368"/>
        <v>45</v>
      </c>
      <c r="AB1149" s="32">
        <v>1.84E-2</v>
      </c>
      <c r="AC1149" s="32">
        <v>2.58E-2</v>
      </c>
      <c r="AD1149" s="33">
        <f t="shared" si="391"/>
        <v>0.14647027154055625</v>
      </c>
      <c r="AE1149" s="34">
        <f t="shared" si="392"/>
        <v>2.4085370070882187E-2</v>
      </c>
      <c r="AF1149" s="33">
        <f t="shared" si="393"/>
        <v>2.0033284925265327</v>
      </c>
      <c r="AG1149" s="33">
        <f t="shared" si="394"/>
        <v>0</v>
      </c>
      <c r="AH1149" s="35">
        <f t="shared" si="395"/>
        <v>2.8617989914291817</v>
      </c>
      <c r="AI1149" s="36">
        <f t="shared" si="374"/>
        <v>9.6822668607146412</v>
      </c>
      <c r="AJ1149" s="23"/>
      <c r="AK1149" s="158">
        <v>361</v>
      </c>
      <c r="AL1149" s="44"/>
      <c r="AM1149" s="44"/>
      <c r="AN1149" s="44"/>
      <c r="AO1149" s="44"/>
      <c r="AP1149" s="44"/>
      <c r="AQ1149" s="44"/>
      <c r="AR1149" s="44"/>
    </row>
    <row r="1150" spans="1:44" ht="16.8">
      <c r="A1150" s="64" t="s">
        <v>2420</v>
      </c>
      <c r="B1150" s="62"/>
      <c r="C1150" s="62" t="s">
        <v>2418</v>
      </c>
      <c r="D1150" s="19" t="s">
        <v>2419</v>
      </c>
      <c r="E1150" s="20" t="s">
        <v>414</v>
      </c>
      <c r="F1150" s="21">
        <v>1976</v>
      </c>
      <c r="G1150" s="40">
        <v>2022</v>
      </c>
      <c r="H1150" s="23">
        <v>783979014858</v>
      </c>
      <c r="I1150" s="23">
        <v>1580799210745</v>
      </c>
      <c r="J1150" s="23">
        <v>1288785900554</v>
      </c>
      <c r="K1150" s="23">
        <f t="shared" ref="K1150:K1151" si="415">SUM(J1149:J1150)/2</f>
        <v>1331271685904</v>
      </c>
      <c r="L1150" s="23">
        <v>1028891503676</v>
      </c>
      <c r="M1150" s="23">
        <v>292013310190</v>
      </c>
      <c r="N1150" s="23">
        <v>3432577474767</v>
      </c>
      <c r="O1150" s="25">
        <f t="shared" si="361"/>
        <v>-244912488818</v>
      </c>
      <c r="P1150" s="23">
        <v>-232982758970</v>
      </c>
      <c r="Q1150" s="23">
        <f>200410712380+141827661457</f>
        <v>342238373837</v>
      </c>
      <c r="R1150" s="25">
        <f t="shared" si="362"/>
        <v>3090339100930</v>
      </c>
      <c r="S1150" s="26">
        <f t="shared" si="363"/>
        <v>0.81527488867268616</v>
      </c>
      <c r="T1150" s="27">
        <f t="shared" si="364"/>
        <v>0.76196470867629651</v>
      </c>
      <c r="U1150" s="26">
        <f t="shared" si="365"/>
        <v>28.088951664664208</v>
      </c>
      <c r="V1150" s="26">
        <f t="shared" si="366"/>
        <v>2.578419950722612</v>
      </c>
      <c r="W1150" s="143"/>
      <c r="X1150" s="143"/>
      <c r="Y1150" s="143"/>
      <c r="Z1150" s="30">
        <f t="shared" si="414"/>
        <v>0</v>
      </c>
      <c r="AA1150" s="31">
        <f t="shared" si="368"/>
        <v>46</v>
      </c>
      <c r="AB1150" s="32">
        <v>3.15E-2</v>
      </c>
      <c r="AC1150" s="32">
        <v>8.0199999999999994E-2</v>
      </c>
      <c r="AD1150" s="33">
        <f t="shared" si="391"/>
        <v>-0.15492953637203394</v>
      </c>
      <c r="AE1150" s="34">
        <f t="shared" si="392"/>
        <v>-0.14738289175903607</v>
      </c>
      <c r="AF1150" s="33">
        <f t="shared" si="393"/>
        <v>1.9549219660057795</v>
      </c>
      <c r="AG1150" s="33">
        <f t="shared" si="394"/>
        <v>0</v>
      </c>
      <c r="AH1150" s="35">
        <f t="shared" si="395"/>
        <v>2.6634194813052079</v>
      </c>
      <c r="AI1150" s="36">
        <f t="shared" si="374"/>
        <v>8.7224104770151882</v>
      </c>
      <c r="AJ1150" s="23"/>
      <c r="AK1150" s="158">
        <v>362</v>
      </c>
      <c r="AL1150" s="44"/>
      <c r="AM1150" s="44"/>
      <c r="AN1150" s="44"/>
      <c r="AO1150" s="44"/>
      <c r="AP1150" s="44"/>
      <c r="AQ1150" s="44"/>
      <c r="AR1150" s="44"/>
    </row>
    <row r="1151" spans="1:44" ht="16.8">
      <c r="A1151" s="64" t="s">
        <v>2421</v>
      </c>
      <c r="B1151" s="62"/>
      <c r="C1151" s="62" t="s">
        <v>2418</v>
      </c>
      <c r="D1151" s="19" t="s">
        <v>2419</v>
      </c>
      <c r="E1151" s="20" t="s">
        <v>414</v>
      </c>
      <c r="F1151" s="21">
        <v>1976</v>
      </c>
      <c r="G1151" s="40">
        <v>2023</v>
      </c>
      <c r="H1151" s="23">
        <v>344928362108</v>
      </c>
      <c r="I1151" s="23">
        <v>1237079775333</v>
      </c>
      <c r="J1151" s="23">
        <v>1215253196135</v>
      </c>
      <c r="K1151" s="23">
        <f t="shared" si="415"/>
        <v>1252019548344.5</v>
      </c>
      <c r="L1151" s="23">
        <v>1182332669362</v>
      </c>
      <c r="M1151" s="23">
        <v>21826579198</v>
      </c>
      <c r="N1151" s="23">
        <v>788771843867</v>
      </c>
      <c r="O1151" s="25">
        <f t="shared" si="361"/>
        <v>-837404307254</v>
      </c>
      <c r="P1151" s="23">
        <v>-220865607056</v>
      </c>
      <c r="Q1151" s="23">
        <f>46464451126+67091195302</f>
        <v>113555646428</v>
      </c>
      <c r="R1151" s="25">
        <f t="shared" si="362"/>
        <v>675216197439</v>
      </c>
      <c r="S1151" s="26">
        <f t="shared" si="363"/>
        <v>0.98235636889939082</v>
      </c>
      <c r="T1151" s="27">
        <f t="shared" si="364"/>
        <v>0.2917354574107533</v>
      </c>
      <c r="U1151" s="26">
        <f t="shared" si="365"/>
        <v>27.843774698231961</v>
      </c>
      <c r="V1151" s="26">
        <f t="shared" si="366"/>
        <v>0.62999962333652404</v>
      </c>
      <c r="W1151" s="143"/>
      <c r="X1151" s="143"/>
      <c r="Y1151" s="143"/>
      <c r="Z1151" s="30">
        <f t="shared" si="414"/>
        <v>0</v>
      </c>
      <c r="AA1151" s="31">
        <f t="shared" si="368"/>
        <v>47</v>
      </c>
      <c r="AB1151" s="32">
        <v>3.2500000000000001E-2</v>
      </c>
      <c r="AC1151" s="32">
        <v>5.0500000000000003E-2</v>
      </c>
      <c r="AD1151" s="33">
        <f t="shared" si="391"/>
        <v>-0.67692021480877063</v>
      </c>
      <c r="AE1151" s="34">
        <f t="shared" si="392"/>
        <v>-0.17853788531669018</v>
      </c>
      <c r="AF1151" s="33">
        <f t="shared" si="393"/>
        <v>0.54581459571371926</v>
      </c>
      <c r="AG1151" s="33">
        <f t="shared" si="394"/>
        <v>0</v>
      </c>
      <c r="AH1151" s="35">
        <f t="shared" si="395"/>
        <v>0.64905967445764856</v>
      </c>
      <c r="AI1151" s="36">
        <f t="shared" si="374"/>
        <v>1.3879905430990309</v>
      </c>
      <c r="AJ1151" s="23"/>
      <c r="AK1151" s="158">
        <v>363</v>
      </c>
      <c r="AL1151" s="44"/>
      <c r="AM1151" s="44"/>
      <c r="AN1151" s="44"/>
      <c r="AO1151" s="44"/>
      <c r="AP1151" s="44"/>
      <c r="AQ1151" s="44"/>
      <c r="AR1151" s="44"/>
    </row>
    <row r="1152" spans="1:44" ht="16.8">
      <c r="A1152" s="64" t="s">
        <v>2422</v>
      </c>
      <c r="B1152" s="62">
        <v>444</v>
      </c>
      <c r="C1152" s="62" t="s">
        <v>2423</v>
      </c>
      <c r="D1152" s="19" t="s">
        <v>2424</v>
      </c>
      <c r="E1152" s="20" t="s">
        <v>414</v>
      </c>
      <c r="F1152" s="21">
        <v>2000</v>
      </c>
      <c r="G1152" s="40">
        <v>2021</v>
      </c>
      <c r="H1152" s="23">
        <v>2671956883513</v>
      </c>
      <c r="I1152" s="23">
        <v>2739269214518</v>
      </c>
      <c r="J1152" s="23">
        <v>288227817971</v>
      </c>
      <c r="K1152" s="23">
        <f>(J1152+189791546527)/2</f>
        <v>239009682249</v>
      </c>
      <c r="L1152" s="23">
        <v>278916035795</v>
      </c>
      <c r="M1152" s="23">
        <v>2451041396547</v>
      </c>
      <c r="N1152" s="23">
        <v>394171751184</v>
      </c>
      <c r="O1152" s="25">
        <f t="shared" si="361"/>
        <v>2393040847718</v>
      </c>
      <c r="P1152" s="23">
        <v>390130202453</v>
      </c>
      <c r="Q1152" s="23">
        <v>16480534320</v>
      </c>
      <c r="R1152" s="25">
        <f t="shared" si="362"/>
        <v>377691216864</v>
      </c>
      <c r="S1152" s="26">
        <f t="shared" si="363"/>
        <v>0.10522069771142095</v>
      </c>
      <c r="T1152" s="27">
        <f t="shared" si="364"/>
        <v>9.5797894011259253</v>
      </c>
      <c r="U1152" s="26">
        <f t="shared" si="365"/>
        <v>28.638712290725156</v>
      </c>
      <c r="V1152" s="26">
        <f t="shared" si="366"/>
        <v>1.6491873779964794</v>
      </c>
      <c r="W1152" s="143"/>
      <c r="X1152" s="143"/>
      <c r="Y1152" s="143"/>
      <c r="Z1152" s="30">
        <f t="shared" si="414"/>
        <v>0</v>
      </c>
      <c r="AA1152" s="31">
        <f t="shared" si="368"/>
        <v>21</v>
      </c>
      <c r="AB1152" s="32">
        <v>1.84E-2</v>
      </c>
      <c r="AC1152" s="32">
        <v>2.58E-2</v>
      </c>
      <c r="AD1152" s="33">
        <f t="shared" si="391"/>
        <v>0.87360557152798068</v>
      </c>
      <c r="AE1152" s="34">
        <f t="shared" si="392"/>
        <v>0.14242127074817182</v>
      </c>
      <c r="AF1152" s="33">
        <f t="shared" si="393"/>
        <v>0.13788028385901394</v>
      </c>
      <c r="AG1152" s="33">
        <f t="shared" si="394"/>
        <v>0</v>
      </c>
      <c r="AH1152" s="35">
        <f t="shared" si="395"/>
        <v>1.3675701185222153</v>
      </c>
      <c r="AI1152" s="36">
        <f t="shared" si="374"/>
        <v>3.0702915201379786</v>
      </c>
      <c r="AJ1152" s="23"/>
      <c r="AK1152" s="158">
        <v>364</v>
      </c>
      <c r="AL1152" s="44"/>
      <c r="AM1152" s="44"/>
      <c r="AN1152" s="44"/>
      <c r="AO1152" s="44"/>
      <c r="AP1152" s="44"/>
      <c r="AQ1152" s="44"/>
      <c r="AR1152" s="44"/>
    </row>
    <row r="1153" spans="1:44" ht="16.8">
      <c r="A1153" s="64" t="s">
        <v>2425</v>
      </c>
      <c r="B1153" s="62"/>
      <c r="C1153" s="62" t="s">
        <v>2423</v>
      </c>
      <c r="D1153" s="19" t="s">
        <v>2424</v>
      </c>
      <c r="E1153" s="20" t="s">
        <v>414</v>
      </c>
      <c r="F1153" s="21">
        <v>2000</v>
      </c>
      <c r="G1153" s="40">
        <v>2022</v>
      </c>
      <c r="H1153" s="23">
        <v>2659104972007</v>
      </c>
      <c r="I1153" s="23">
        <v>2805191288242</v>
      </c>
      <c r="J1153" s="23">
        <v>307969917729</v>
      </c>
      <c r="K1153" s="23">
        <f t="shared" ref="K1153:K1154" si="416">SUM(J1152:J1153)/2</f>
        <v>298098867850</v>
      </c>
      <c r="L1153" s="23">
        <v>300552402055</v>
      </c>
      <c r="M1153" s="23">
        <v>2497221370513</v>
      </c>
      <c r="N1153" s="23">
        <v>367374466987</v>
      </c>
      <c r="O1153" s="25">
        <f t="shared" si="361"/>
        <v>2358552569952</v>
      </c>
      <c r="P1153" s="23">
        <v>146342776418</v>
      </c>
      <c r="Q1153" s="23">
        <v>123665182999</v>
      </c>
      <c r="R1153" s="25">
        <f t="shared" si="362"/>
        <v>243709283988</v>
      </c>
      <c r="S1153" s="26">
        <f t="shared" si="363"/>
        <v>0.1097857101652427</v>
      </c>
      <c r="T1153" s="27">
        <f t="shared" si="364"/>
        <v>8.8473921812822294</v>
      </c>
      <c r="U1153" s="26">
        <f t="shared" si="365"/>
        <v>28.662492848029697</v>
      </c>
      <c r="V1153" s="26">
        <f t="shared" si="366"/>
        <v>1.2323913526966452</v>
      </c>
      <c r="W1153" s="143"/>
      <c r="X1153" s="143"/>
      <c r="Y1153" s="143"/>
      <c r="Z1153" s="30">
        <f t="shared" si="414"/>
        <v>0</v>
      </c>
      <c r="AA1153" s="31">
        <f t="shared" si="368"/>
        <v>22</v>
      </c>
      <c r="AB1153" s="32">
        <v>3.15E-2</v>
      </c>
      <c r="AC1153" s="32">
        <v>8.0199999999999994E-2</v>
      </c>
      <c r="AD1153" s="33">
        <f t="shared" si="391"/>
        <v>0.84078136840004725</v>
      </c>
      <c r="AE1153" s="34">
        <f t="shared" si="392"/>
        <v>5.2168555146808661E-2</v>
      </c>
      <c r="AF1153" s="33">
        <f t="shared" si="393"/>
        <v>8.6877955528206222E-2</v>
      </c>
      <c r="AG1153" s="33">
        <f t="shared" si="394"/>
        <v>0</v>
      </c>
      <c r="AH1153" s="35">
        <f t="shared" si="395"/>
        <v>1.1928907527594088</v>
      </c>
      <c r="AI1153" s="36">
        <f t="shared" si="374"/>
        <v>2.561561625288078</v>
      </c>
      <c r="AJ1153" s="23"/>
      <c r="AK1153" s="158">
        <v>365</v>
      </c>
      <c r="AL1153" s="44"/>
      <c r="AM1153" s="44"/>
      <c r="AN1153" s="44"/>
      <c r="AO1153" s="44"/>
      <c r="AP1153" s="44"/>
      <c r="AQ1153" s="44"/>
      <c r="AR1153" s="44"/>
    </row>
    <row r="1154" spans="1:44" ht="16.8">
      <c r="A1154" s="64" t="s">
        <v>2426</v>
      </c>
      <c r="B1154" s="62"/>
      <c r="C1154" s="62" t="s">
        <v>2423</v>
      </c>
      <c r="D1154" s="19" t="s">
        <v>2424</v>
      </c>
      <c r="E1154" s="20" t="s">
        <v>414</v>
      </c>
      <c r="F1154" s="21">
        <v>2000</v>
      </c>
      <c r="G1154" s="40">
        <v>2023</v>
      </c>
      <c r="H1154" s="23">
        <v>2835593029414</v>
      </c>
      <c r="I1154" s="23">
        <v>3062598168848</v>
      </c>
      <c r="J1154" s="23">
        <v>567859059590</v>
      </c>
      <c r="K1154" s="23">
        <f t="shared" si="416"/>
        <v>437914488659.5</v>
      </c>
      <c r="L1154" s="23">
        <v>559443632221</v>
      </c>
      <c r="M1154" s="23">
        <v>2494739109258</v>
      </c>
      <c r="N1154" s="23">
        <v>361377046270</v>
      </c>
      <c r="O1154" s="25">
        <f t="shared" si="361"/>
        <v>2276149397193</v>
      </c>
      <c r="P1154" s="23">
        <v>146309079421</v>
      </c>
      <c r="Q1154" s="23">
        <v>61357373934</v>
      </c>
      <c r="R1154" s="25">
        <f t="shared" si="362"/>
        <v>300019672336</v>
      </c>
      <c r="S1154" s="26">
        <f t="shared" si="363"/>
        <v>0.18541742281639281</v>
      </c>
      <c r="T1154" s="27">
        <f t="shared" si="364"/>
        <v>5.0685947003394265</v>
      </c>
      <c r="U1154" s="26">
        <f t="shared" si="365"/>
        <v>28.75028474641968</v>
      </c>
      <c r="V1154" s="26">
        <f t="shared" si="366"/>
        <v>0.82522285886500635</v>
      </c>
      <c r="W1154" s="143"/>
      <c r="X1154" s="143"/>
      <c r="Y1154" s="143"/>
      <c r="Z1154" s="30">
        <f t="shared" si="414"/>
        <v>0</v>
      </c>
      <c r="AA1154" s="31">
        <f t="shared" si="368"/>
        <v>23</v>
      </c>
      <c r="AB1154" s="32">
        <v>3.2500000000000001E-2</v>
      </c>
      <c r="AC1154" s="32">
        <v>5.0500000000000003E-2</v>
      </c>
      <c r="AD1154" s="33">
        <f t="shared" si="391"/>
        <v>0.74320863257394831</v>
      </c>
      <c r="AE1154" s="34">
        <f t="shared" si="392"/>
        <v>4.777286191483434E-2</v>
      </c>
      <c r="AF1154" s="33">
        <f t="shared" si="393"/>
        <v>9.7962467093374112E-2</v>
      </c>
      <c r="AG1154" s="33">
        <f t="shared" si="394"/>
        <v>0</v>
      </c>
      <c r="AH1154" s="35">
        <f t="shared" si="395"/>
        <v>0.63638510325241249</v>
      </c>
      <c r="AI1154" s="36">
        <f t="shared" si="374"/>
        <v>1.9183936104300532</v>
      </c>
      <c r="AJ1154" s="23"/>
      <c r="AK1154" s="158">
        <v>366</v>
      </c>
      <c r="AL1154" s="44"/>
      <c r="AM1154" s="44"/>
      <c r="AN1154" s="44"/>
      <c r="AO1154" s="44"/>
      <c r="AP1154" s="44"/>
      <c r="AQ1154" s="44"/>
      <c r="AR1154" s="44"/>
    </row>
    <row r="1155" spans="1:44" ht="16.8">
      <c r="A1155" s="45"/>
      <c r="B1155" s="45">
        <v>446</v>
      </c>
      <c r="C1155" s="45" t="s">
        <v>2427</v>
      </c>
      <c r="D1155" s="46" t="s">
        <v>2428</v>
      </c>
      <c r="E1155" s="47" t="s">
        <v>178</v>
      </c>
      <c r="F1155" s="48"/>
      <c r="G1155" s="48"/>
      <c r="H1155" s="49"/>
      <c r="I1155" s="49"/>
      <c r="J1155" s="49"/>
      <c r="K1155" s="49"/>
      <c r="L1155" s="49"/>
      <c r="M1155" s="49"/>
      <c r="N1155" s="49"/>
      <c r="O1155" s="49">
        <f t="shared" si="361"/>
        <v>0</v>
      </c>
      <c r="P1155" s="49"/>
      <c r="Q1155" s="49"/>
      <c r="R1155" s="49">
        <f t="shared" si="362"/>
        <v>0</v>
      </c>
      <c r="S1155" s="50" t="e">
        <f t="shared" si="363"/>
        <v>#DIV/0!</v>
      </c>
      <c r="T1155" s="51" t="e">
        <f t="shared" si="364"/>
        <v>#DIV/0!</v>
      </c>
      <c r="U1155" s="50" t="e">
        <f t="shared" si="365"/>
        <v>#NUM!</v>
      </c>
      <c r="V1155" s="50" t="e">
        <f t="shared" si="366"/>
        <v>#DIV/0!</v>
      </c>
      <c r="W1155" s="52"/>
      <c r="X1155" s="52"/>
      <c r="Y1155" s="52"/>
      <c r="Z1155" s="55">
        <f>W1155*Y1155</f>
        <v>0</v>
      </c>
      <c r="AA1155" s="48">
        <f t="shared" si="368"/>
        <v>0</v>
      </c>
      <c r="AB1155" s="49"/>
      <c r="AC1155" s="49"/>
      <c r="AD1155" s="50" t="e">
        <f t="shared" si="391"/>
        <v>#DIV/0!</v>
      </c>
      <c r="AE1155" s="56" t="e">
        <f t="shared" si="392"/>
        <v>#DIV/0!</v>
      </c>
      <c r="AF1155" s="50" t="e">
        <f t="shared" si="393"/>
        <v>#DIV/0!</v>
      </c>
      <c r="AG1155" s="50" t="e">
        <f t="shared" si="394"/>
        <v>#DIV/0!</v>
      </c>
      <c r="AH1155" s="57" t="e">
        <f t="shared" si="395"/>
        <v>#DIV/0!</v>
      </c>
      <c r="AI1155" s="58" t="e">
        <f t="shared" si="374"/>
        <v>#DIV/0!</v>
      </c>
      <c r="AJ1155" s="49"/>
      <c r="AK1155" s="49"/>
      <c r="AL1155" s="59"/>
      <c r="AM1155" s="59"/>
      <c r="AN1155" s="59"/>
      <c r="AO1155" s="59"/>
      <c r="AP1155" s="59"/>
      <c r="AQ1155" s="59"/>
      <c r="AR1155" s="59"/>
    </row>
    <row r="1156" spans="1:44" ht="16.8">
      <c r="A1156" s="64" t="s">
        <v>2429</v>
      </c>
      <c r="B1156" s="62">
        <v>448</v>
      </c>
      <c r="C1156" s="62" t="s">
        <v>2430</v>
      </c>
      <c r="D1156" s="19" t="s">
        <v>2431</v>
      </c>
      <c r="E1156" s="20" t="s">
        <v>414</v>
      </c>
      <c r="F1156" s="21">
        <v>1993</v>
      </c>
      <c r="G1156" s="40">
        <v>2021</v>
      </c>
      <c r="H1156" s="23">
        <v>2916543313685</v>
      </c>
      <c r="I1156" s="23">
        <v>4887179840940</v>
      </c>
      <c r="J1156" s="23">
        <v>2551594214788</v>
      </c>
      <c r="K1156" s="23">
        <f>(J1156+2500105355903)/2</f>
        <v>2525849785345.5</v>
      </c>
      <c r="L1156" s="23">
        <v>2336515879518</v>
      </c>
      <c r="M1156" s="23">
        <v>2335585626152</v>
      </c>
      <c r="N1156" s="23">
        <v>3504425921790</v>
      </c>
      <c r="O1156" s="25">
        <f t="shared" si="361"/>
        <v>580027434167</v>
      </c>
      <c r="P1156" s="23">
        <v>128739197732</v>
      </c>
      <c r="Q1156" s="23">
        <f>280956940056+56474052865</f>
        <v>337430992921</v>
      </c>
      <c r="R1156" s="25">
        <f t="shared" si="362"/>
        <v>3166994928869</v>
      </c>
      <c r="S1156" s="26">
        <f t="shared" si="363"/>
        <v>0.52209951297745294</v>
      </c>
      <c r="T1156" s="27">
        <f t="shared" si="364"/>
        <v>1.2482445932645037</v>
      </c>
      <c r="U1156" s="26">
        <f t="shared" si="365"/>
        <v>29.217636533404416</v>
      </c>
      <c r="V1156" s="26">
        <f t="shared" si="366"/>
        <v>1.3874245183233036</v>
      </c>
      <c r="W1156" s="143"/>
      <c r="X1156" s="143"/>
      <c r="Y1156" s="143"/>
      <c r="Z1156" s="30">
        <f t="shared" ref="Z1156:Z1158" si="417">X1156*Y1156</f>
        <v>0</v>
      </c>
      <c r="AA1156" s="31">
        <f t="shared" si="368"/>
        <v>28</v>
      </c>
      <c r="AB1156" s="32">
        <v>1.84E-2</v>
      </c>
      <c r="AC1156" s="32">
        <v>2.58E-2</v>
      </c>
      <c r="AD1156" s="33">
        <f t="shared" si="391"/>
        <v>0.11868346429736409</v>
      </c>
      <c r="AE1156" s="34">
        <f t="shared" si="392"/>
        <v>2.6342226380447319E-2</v>
      </c>
      <c r="AF1156" s="33">
        <f t="shared" si="393"/>
        <v>0.64802095112993841</v>
      </c>
      <c r="AG1156" s="33">
        <f t="shared" si="394"/>
        <v>0</v>
      </c>
      <c r="AH1156" s="35">
        <f t="shared" si="395"/>
        <v>1.3734260336066666</v>
      </c>
      <c r="AI1156" s="36">
        <f t="shared" si="374"/>
        <v>3.6911944464249262</v>
      </c>
      <c r="AJ1156" s="23"/>
      <c r="AK1156" s="158">
        <v>369</v>
      </c>
      <c r="AL1156" s="44"/>
      <c r="AM1156" s="44"/>
      <c r="AN1156" s="44"/>
      <c r="AO1156" s="44"/>
      <c r="AP1156" s="44"/>
      <c r="AQ1156" s="44"/>
      <c r="AR1156" s="44"/>
    </row>
    <row r="1157" spans="1:44" ht="16.8">
      <c r="A1157" s="64" t="s">
        <v>2432</v>
      </c>
      <c r="B1157" s="62"/>
      <c r="C1157" s="62" t="s">
        <v>2430</v>
      </c>
      <c r="D1157" s="19" t="s">
        <v>2431</v>
      </c>
      <c r="E1157" s="20" t="s">
        <v>414</v>
      </c>
      <c r="F1157" s="21">
        <v>1993</v>
      </c>
      <c r="G1157" s="40">
        <v>2022</v>
      </c>
      <c r="H1157" s="23">
        <v>3255100959692</v>
      </c>
      <c r="I1157" s="23">
        <v>5467653137750</v>
      </c>
      <c r="J1157" s="23">
        <v>2585450152251</v>
      </c>
      <c r="K1157" s="23">
        <f t="shared" ref="K1157:K1158" si="418">SUM(J1156:J1157)/2</f>
        <v>2568522183519.5</v>
      </c>
      <c r="L1157" s="23">
        <v>2417509035225</v>
      </c>
      <c r="M1157" s="23">
        <v>2882202985499</v>
      </c>
      <c r="N1157" s="23">
        <v>4934505844469</v>
      </c>
      <c r="O1157" s="25">
        <f t="shared" si="361"/>
        <v>837591924467</v>
      </c>
      <c r="P1157" s="23">
        <v>673745234347</v>
      </c>
      <c r="Q1157" s="23">
        <f>378198470565+94215760513</f>
        <v>472414231078</v>
      </c>
      <c r="R1157" s="25">
        <f t="shared" si="362"/>
        <v>4462091613391</v>
      </c>
      <c r="S1157" s="26">
        <f t="shared" si="363"/>
        <v>0.47286286951899464</v>
      </c>
      <c r="T1157" s="27">
        <f t="shared" si="364"/>
        <v>1.3464689944329595</v>
      </c>
      <c r="U1157" s="26">
        <f t="shared" si="365"/>
        <v>29.329870597838521</v>
      </c>
      <c r="V1157" s="26">
        <f t="shared" si="366"/>
        <v>1.9211458932028873</v>
      </c>
      <c r="W1157" s="143"/>
      <c r="X1157" s="143"/>
      <c r="Y1157" s="143"/>
      <c r="Z1157" s="30">
        <f t="shared" si="417"/>
        <v>0</v>
      </c>
      <c r="AA1157" s="31">
        <f t="shared" si="368"/>
        <v>29</v>
      </c>
      <c r="AB1157" s="32">
        <v>3.15E-2</v>
      </c>
      <c r="AC1157" s="32">
        <v>8.0199999999999994E-2</v>
      </c>
      <c r="AD1157" s="33">
        <f t="shared" si="391"/>
        <v>0.15319039144675486</v>
      </c>
      <c r="AE1157" s="34">
        <f t="shared" si="392"/>
        <v>0.12322384346133808</v>
      </c>
      <c r="AF1157" s="33">
        <f t="shared" si="393"/>
        <v>0.81608900582658395</v>
      </c>
      <c r="AG1157" s="33">
        <f t="shared" si="394"/>
        <v>0</v>
      </c>
      <c r="AH1157" s="35">
        <f t="shared" si="395"/>
        <v>1.9085673882255338</v>
      </c>
      <c r="AI1157" s="36">
        <f t="shared" si="374"/>
        <v>4.95800295803524</v>
      </c>
      <c r="AJ1157" s="23"/>
      <c r="AK1157" s="158">
        <v>370</v>
      </c>
      <c r="AL1157" s="44"/>
      <c r="AM1157" s="44"/>
      <c r="AN1157" s="44"/>
      <c r="AO1157" s="44"/>
      <c r="AP1157" s="44"/>
      <c r="AQ1157" s="44"/>
      <c r="AR1157" s="44"/>
    </row>
    <row r="1158" spans="1:44" ht="16.8">
      <c r="A1158" s="64" t="s">
        <v>2433</v>
      </c>
      <c r="B1158" s="62"/>
      <c r="C1158" s="62" t="s">
        <v>2430</v>
      </c>
      <c r="D1158" s="19" t="s">
        <v>2431</v>
      </c>
      <c r="E1158" s="20" t="s">
        <v>414</v>
      </c>
      <c r="F1158" s="21">
        <v>1993</v>
      </c>
      <c r="G1158" s="40">
        <v>2023</v>
      </c>
      <c r="H1158" s="23">
        <v>2950604371240</v>
      </c>
      <c r="I1158" s="23">
        <v>5112670123139</v>
      </c>
      <c r="J1158" s="23">
        <v>2264803367530</v>
      </c>
      <c r="K1158" s="23">
        <f t="shared" si="418"/>
        <v>2425126759890.5</v>
      </c>
      <c r="L1158" s="23">
        <v>2103113559761</v>
      </c>
      <c r="M1158" s="23">
        <v>2847866755609</v>
      </c>
      <c r="N1158" s="23">
        <v>4461787494846</v>
      </c>
      <c r="O1158" s="25">
        <f t="shared" si="361"/>
        <v>847490811479</v>
      </c>
      <c r="P1158" s="23">
        <v>39191645110</v>
      </c>
      <c r="Q1158" s="23">
        <f>188416893163+75715825411</f>
        <v>264132718574</v>
      </c>
      <c r="R1158" s="25">
        <f t="shared" si="362"/>
        <v>4197654776272</v>
      </c>
      <c r="S1158" s="26">
        <f t="shared" si="363"/>
        <v>0.44297858320252631</v>
      </c>
      <c r="T1158" s="27">
        <f t="shared" si="364"/>
        <v>1.40296959122612</v>
      </c>
      <c r="U1158" s="26">
        <f t="shared" si="365"/>
        <v>29.262742912663445</v>
      </c>
      <c r="V1158" s="26">
        <f t="shared" si="366"/>
        <v>1.8398161979159637</v>
      </c>
      <c r="W1158" s="143"/>
      <c r="X1158" s="143"/>
      <c r="Y1158" s="143"/>
      <c r="Z1158" s="30">
        <f t="shared" si="417"/>
        <v>0</v>
      </c>
      <c r="AA1158" s="31">
        <f t="shared" si="368"/>
        <v>30</v>
      </c>
      <c r="AB1158" s="32">
        <v>3.2500000000000001E-2</v>
      </c>
      <c r="AC1158" s="32">
        <v>5.0500000000000003E-2</v>
      </c>
      <c r="AD1158" s="33">
        <f t="shared" si="391"/>
        <v>0.16576285797188697</v>
      </c>
      <c r="AE1158" s="34">
        <f t="shared" si="392"/>
        <v>7.6655923746431157E-3</v>
      </c>
      <c r="AF1158" s="33">
        <f t="shared" si="393"/>
        <v>0.82102984842972571</v>
      </c>
      <c r="AG1158" s="33">
        <f t="shared" si="394"/>
        <v>0</v>
      </c>
      <c r="AH1158" s="35">
        <f t="shared" si="395"/>
        <v>1.9700551309723793</v>
      </c>
      <c r="AI1158" s="36">
        <f t="shared" si="374"/>
        <v>4.8891008896812389</v>
      </c>
      <c r="AJ1158" s="23"/>
      <c r="AK1158" s="158">
        <v>371</v>
      </c>
      <c r="AL1158" s="44"/>
      <c r="AM1158" s="44"/>
      <c r="AN1158" s="44"/>
      <c r="AO1158" s="44"/>
      <c r="AP1158" s="44"/>
      <c r="AQ1158" s="44"/>
      <c r="AR1158" s="44"/>
    </row>
    <row r="1159" spans="1:44" ht="16.8">
      <c r="A1159" s="64" t="s">
        <v>2434</v>
      </c>
      <c r="B1159" s="62">
        <v>449</v>
      </c>
      <c r="C1159" s="62" t="s">
        <v>2435</v>
      </c>
      <c r="D1159" s="19" t="s">
        <v>2436</v>
      </c>
      <c r="E1159" s="20" t="s">
        <v>178</v>
      </c>
      <c r="F1159" s="21">
        <v>2003</v>
      </c>
      <c r="G1159" s="40">
        <v>2021</v>
      </c>
      <c r="H1159" s="23">
        <v>219810086573</v>
      </c>
      <c r="I1159" s="23">
        <v>999849947592</v>
      </c>
      <c r="J1159" s="23">
        <v>364592879073</v>
      </c>
      <c r="K1159" s="23">
        <f>(J1159+372054069584)/2</f>
        <v>368323474328.5</v>
      </c>
      <c r="L1159" s="23">
        <v>43215770191</v>
      </c>
      <c r="M1159" s="23">
        <v>635257068519</v>
      </c>
      <c r="N1159" s="23">
        <v>128544187669</v>
      </c>
      <c r="O1159" s="25">
        <f t="shared" si="361"/>
        <v>176594316382</v>
      </c>
      <c r="P1159" s="23">
        <v>-1595270215</v>
      </c>
      <c r="Q1159" s="23">
        <f>5428747780+27721279283</f>
        <v>33150027063</v>
      </c>
      <c r="R1159" s="25">
        <f t="shared" si="362"/>
        <v>95394160606</v>
      </c>
      <c r="S1159" s="26">
        <f t="shared" si="363"/>
        <v>0.3646475953227496</v>
      </c>
      <c r="T1159" s="27">
        <f t="shared" si="364"/>
        <v>5.0863396765002475</v>
      </c>
      <c r="U1159" s="26">
        <f t="shared" si="365"/>
        <v>27.630871052261558</v>
      </c>
      <c r="V1159" s="26">
        <f t="shared" si="366"/>
        <v>0.34899808627009782</v>
      </c>
      <c r="W1159" s="143"/>
      <c r="X1159" s="143"/>
      <c r="Y1159" s="143"/>
      <c r="Z1159" s="30">
        <f>W1159*Y1159</f>
        <v>0</v>
      </c>
      <c r="AA1159" s="31">
        <f t="shared" si="368"/>
        <v>18</v>
      </c>
      <c r="AB1159" s="32">
        <v>1.84E-2</v>
      </c>
      <c r="AC1159" s="32">
        <v>2.58E-2</v>
      </c>
      <c r="AD1159" s="33">
        <f t="shared" si="391"/>
        <v>0.17662081876115804</v>
      </c>
      <c r="AE1159" s="34">
        <f t="shared" si="392"/>
        <v>-1.5955096250612275E-3</v>
      </c>
      <c r="AF1159" s="33">
        <f t="shared" si="393"/>
        <v>9.5408476877699114E-2</v>
      </c>
      <c r="AG1159" s="33">
        <f t="shared" si="394"/>
        <v>0</v>
      </c>
      <c r="AH1159" s="35">
        <f t="shared" si="395"/>
        <v>0.35256911214456949</v>
      </c>
      <c r="AI1159" s="36">
        <f t="shared" si="374"/>
        <v>0.87712835487928054</v>
      </c>
      <c r="AJ1159" s="23"/>
      <c r="AK1159" s="23"/>
      <c r="AL1159" s="44"/>
      <c r="AM1159" s="44"/>
      <c r="AN1159" s="44"/>
      <c r="AO1159" s="44"/>
      <c r="AP1159" s="44"/>
      <c r="AQ1159" s="44"/>
      <c r="AR1159" s="44"/>
    </row>
    <row r="1160" spans="1:44" ht="16.8">
      <c r="A1160" s="64" t="s">
        <v>2437</v>
      </c>
      <c r="B1160" s="62"/>
      <c r="C1160" s="62" t="s">
        <v>2435</v>
      </c>
      <c r="D1160" s="19" t="s">
        <v>2436</v>
      </c>
      <c r="E1160" s="20" t="s">
        <v>178</v>
      </c>
      <c r="F1160" s="21">
        <v>2003</v>
      </c>
      <c r="G1160" s="40">
        <v>2022</v>
      </c>
      <c r="H1160" s="23">
        <v>242773700340</v>
      </c>
      <c r="I1160" s="23">
        <v>973918540819</v>
      </c>
      <c r="J1160" s="23">
        <v>347668563855</v>
      </c>
      <c r="K1160" s="23">
        <f t="shared" ref="K1160:K1161" si="419">SUM(J1159:J1160)/2</f>
        <v>356130721464</v>
      </c>
      <c r="L1160" s="23">
        <v>87491454973</v>
      </c>
      <c r="M1160" s="23">
        <v>626249976964</v>
      </c>
      <c r="N1160" s="23">
        <v>135739780744</v>
      </c>
      <c r="O1160" s="25">
        <f t="shared" si="361"/>
        <v>155282245367</v>
      </c>
      <c r="P1160" s="23">
        <v>-9007091555</v>
      </c>
      <c r="Q1160" s="23">
        <f>5885626283+27250138940</f>
        <v>33135765223</v>
      </c>
      <c r="R1160" s="25">
        <f t="shared" si="362"/>
        <v>102604015521</v>
      </c>
      <c r="S1160" s="26">
        <f t="shared" si="363"/>
        <v>0.35697909967155378</v>
      </c>
      <c r="T1160" s="27">
        <f t="shared" si="364"/>
        <v>2.7748275579017441</v>
      </c>
      <c r="U1160" s="26">
        <f t="shared" si="365"/>
        <v>27.6045935034354</v>
      </c>
      <c r="V1160" s="26">
        <f t="shared" si="366"/>
        <v>0.38115156194892175</v>
      </c>
      <c r="W1160" s="143"/>
      <c r="X1160" s="143"/>
      <c r="Y1160" s="143"/>
      <c r="Z1160" s="30"/>
      <c r="AA1160" s="31">
        <f t="shared" si="368"/>
        <v>19</v>
      </c>
      <c r="AB1160" s="32">
        <v>3.15E-2</v>
      </c>
      <c r="AC1160" s="32">
        <v>8.0199999999999994E-2</v>
      </c>
      <c r="AD1160" s="33">
        <f t="shared" si="391"/>
        <v>0.15944069124756377</v>
      </c>
      <c r="AE1160" s="34">
        <f t="shared" si="392"/>
        <v>-9.248300733062995E-3</v>
      </c>
      <c r="AF1160" s="33">
        <f t="shared" si="393"/>
        <v>0.10535174269782042</v>
      </c>
      <c r="AG1160" s="33">
        <f t="shared" si="394"/>
        <v>0</v>
      </c>
      <c r="AH1160" s="35">
        <f t="shared" si="395"/>
        <v>0.3904286865596861</v>
      </c>
      <c r="AI1160" s="36">
        <f t="shared" si="374"/>
        <v>0.91647064593328187</v>
      </c>
      <c r="AJ1160" s="23"/>
      <c r="AK1160" s="23"/>
      <c r="AL1160" s="44"/>
      <c r="AM1160" s="44"/>
      <c r="AN1160" s="44"/>
      <c r="AO1160" s="44"/>
      <c r="AP1160" s="44"/>
      <c r="AQ1160" s="44"/>
      <c r="AR1160" s="44"/>
    </row>
    <row r="1161" spans="1:44" ht="16.8">
      <c r="A1161" s="64" t="s">
        <v>2438</v>
      </c>
      <c r="B1161" s="62"/>
      <c r="C1161" s="62" t="s">
        <v>2435</v>
      </c>
      <c r="D1161" s="19" t="s">
        <v>2436</v>
      </c>
      <c r="E1161" s="20" t="s">
        <v>178</v>
      </c>
      <c r="F1161" s="21">
        <v>2003</v>
      </c>
      <c r="G1161" s="40">
        <v>2023</v>
      </c>
      <c r="H1161" s="23">
        <v>128897859531</v>
      </c>
      <c r="I1161" s="23">
        <v>890474467592</v>
      </c>
      <c r="J1161" s="23">
        <v>299833546989</v>
      </c>
      <c r="K1161" s="23">
        <f t="shared" si="419"/>
        <v>323751055422</v>
      </c>
      <c r="L1161" s="23">
        <v>114056438107</v>
      </c>
      <c r="M1161" s="23">
        <v>590640920603</v>
      </c>
      <c r="N1161" s="23">
        <v>117910322495</v>
      </c>
      <c r="O1161" s="25">
        <f t="shared" si="361"/>
        <v>14841421424</v>
      </c>
      <c r="P1161" s="23">
        <v>-35609056361</v>
      </c>
      <c r="Q1161" s="23">
        <f>4832639449+27968518839</f>
        <v>32801158288</v>
      </c>
      <c r="R1161" s="25">
        <f t="shared" si="362"/>
        <v>85109164207</v>
      </c>
      <c r="S1161" s="26">
        <f t="shared" si="363"/>
        <v>0.33671212134785045</v>
      </c>
      <c r="T1161" s="27">
        <f t="shared" si="364"/>
        <v>1.130123486848474</v>
      </c>
      <c r="U1161" s="26">
        <f t="shared" si="365"/>
        <v>27.51502026727406</v>
      </c>
      <c r="V1161" s="26">
        <f t="shared" si="366"/>
        <v>0.36420058103380498</v>
      </c>
      <c r="W1161" s="143"/>
      <c r="X1161" s="143"/>
      <c r="Y1161" s="143"/>
      <c r="Z1161" s="30"/>
      <c r="AA1161" s="31">
        <f t="shared" si="368"/>
        <v>20</v>
      </c>
      <c r="AB1161" s="32">
        <v>3.2500000000000001E-2</v>
      </c>
      <c r="AC1161" s="32">
        <v>5.0500000000000003E-2</v>
      </c>
      <c r="AD1161" s="33">
        <f t="shared" si="391"/>
        <v>1.666686914014932E-2</v>
      </c>
      <c r="AE1161" s="34">
        <f t="shared" si="392"/>
        <v>-3.9988857240672117E-2</v>
      </c>
      <c r="AF1161" s="33">
        <f t="shared" si="393"/>
        <v>9.5577321197260368E-2</v>
      </c>
      <c r="AG1161" s="33">
        <f t="shared" si="394"/>
        <v>0</v>
      </c>
      <c r="AH1161" s="35">
        <f t="shared" si="395"/>
        <v>0.39325260191557476</v>
      </c>
      <c r="AI1161" s="36">
        <f t="shared" si="374"/>
        <v>0.67267360469777215</v>
      </c>
      <c r="AJ1161" s="23"/>
      <c r="AK1161" s="23"/>
      <c r="AL1161" s="44"/>
      <c r="AM1161" s="44"/>
      <c r="AN1161" s="44"/>
      <c r="AO1161" s="44"/>
      <c r="AP1161" s="44"/>
      <c r="AQ1161" s="44"/>
      <c r="AR1161" s="44"/>
    </row>
    <row r="1162" spans="1:44" ht="16.8">
      <c r="A1162" s="64" t="s">
        <v>2439</v>
      </c>
      <c r="B1162" s="62">
        <v>450</v>
      </c>
      <c r="C1162" s="62" t="s">
        <v>2440</v>
      </c>
      <c r="D1162" s="19" t="s">
        <v>2441</v>
      </c>
      <c r="E1162" s="20" t="s">
        <v>414</v>
      </c>
      <c r="F1162" s="21">
        <v>2007</v>
      </c>
      <c r="G1162" s="40">
        <v>2021</v>
      </c>
      <c r="H1162" s="23">
        <v>980124008141</v>
      </c>
      <c r="I1162" s="23">
        <v>1172976263260</v>
      </c>
      <c r="J1162" s="23">
        <v>164785368059</v>
      </c>
      <c r="K1162" s="23">
        <f>(J1162+15459978776)/2</f>
        <v>90122673417.5</v>
      </c>
      <c r="L1162" s="23">
        <v>164785368059</v>
      </c>
      <c r="M1162" s="23">
        <v>1008190895201</v>
      </c>
      <c r="N1162" s="23">
        <v>378735930356</v>
      </c>
      <c r="O1162" s="25">
        <f t="shared" si="361"/>
        <v>815338640082</v>
      </c>
      <c r="P1162" s="23">
        <v>268436656833</v>
      </c>
      <c r="Q1162" s="23">
        <v>58727494634</v>
      </c>
      <c r="R1162" s="25">
        <f t="shared" si="362"/>
        <v>320008435722</v>
      </c>
      <c r="S1162" s="26">
        <f t="shared" si="363"/>
        <v>0.14048482754546068</v>
      </c>
      <c r="T1162" s="27">
        <f t="shared" si="364"/>
        <v>5.9478825073235564</v>
      </c>
      <c r="U1162" s="26">
        <f t="shared" si="365"/>
        <v>27.790565449470158</v>
      </c>
      <c r="V1162" s="26">
        <f t="shared" si="366"/>
        <v>4.2024489065196455</v>
      </c>
      <c r="W1162" s="143"/>
      <c r="X1162" s="143"/>
      <c r="Y1162" s="143"/>
      <c r="Z1162" s="30">
        <f t="shared" ref="Z1162:Z1170" si="420">X1162*Y1162</f>
        <v>0</v>
      </c>
      <c r="AA1162" s="31">
        <f t="shared" si="368"/>
        <v>14</v>
      </c>
      <c r="AB1162" s="32">
        <v>1.84E-2</v>
      </c>
      <c r="AC1162" s="32">
        <v>2.58E-2</v>
      </c>
      <c r="AD1162" s="33">
        <f t="shared" si="391"/>
        <v>0.69510242075655149</v>
      </c>
      <c r="AE1162" s="34">
        <f t="shared" si="392"/>
        <v>0.22885088576894652</v>
      </c>
      <c r="AF1162" s="33">
        <f t="shared" si="393"/>
        <v>0.27281748637659126</v>
      </c>
      <c r="AG1162" s="33">
        <f t="shared" si="394"/>
        <v>0</v>
      </c>
      <c r="AH1162" s="35">
        <f t="shared" si="395"/>
        <v>2.2983589794234449</v>
      </c>
      <c r="AI1162" s="36">
        <f t="shared" si="374"/>
        <v>4.3531708294505833</v>
      </c>
      <c r="AJ1162" s="23"/>
      <c r="AK1162" s="158">
        <v>372</v>
      </c>
      <c r="AL1162" s="44"/>
      <c r="AM1162" s="44"/>
      <c r="AN1162" s="44"/>
      <c r="AO1162" s="44"/>
      <c r="AP1162" s="44"/>
      <c r="AQ1162" s="44"/>
      <c r="AR1162" s="44"/>
    </row>
    <row r="1163" spans="1:44" ht="16.8">
      <c r="A1163" s="64" t="s">
        <v>2442</v>
      </c>
      <c r="B1163" s="62"/>
      <c r="C1163" s="62" t="s">
        <v>2440</v>
      </c>
      <c r="D1163" s="19" t="s">
        <v>2441</v>
      </c>
      <c r="E1163" s="20" t="s">
        <v>414</v>
      </c>
      <c r="F1163" s="21">
        <v>2007</v>
      </c>
      <c r="G1163" s="40">
        <v>2022</v>
      </c>
      <c r="H1163" s="23">
        <v>1269364761758</v>
      </c>
      <c r="I1163" s="23">
        <v>1604406994306</v>
      </c>
      <c r="J1163" s="23">
        <v>54966151912</v>
      </c>
      <c r="K1163" s="23">
        <f t="shared" ref="K1163:K1164" si="421">SUM(J1162:J1163)/2</f>
        <v>109875759985.5</v>
      </c>
      <c r="L1163" s="23">
        <v>54966151912</v>
      </c>
      <c r="M1163" s="23">
        <v>1549440842394</v>
      </c>
      <c r="N1163" s="23">
        <v>184487809541</v>
      </c>
      <c r="O1163" s="25">
        <f t="shared" si="361"/>
        <v>1214398609846</v>
      </c>
      <c r="P1163" s="23">
        <v>-190222982007</v>
      </c>
      <c r="Q1163" s="23">
        <v>390195439555</v>
      </c>
      <c r="R1163" s="25">
        <f t="shared" si="362"/>
        <v>-205707630014</v>
      </c>
      <c r="S1163" s="26">
        <f t="shared" si="363"/>
        <v>3.425948160726891E-2</v>
      </c>
      <c r="T1163" s="27">
        <f t="shared" si="364"/>
        <v>23.093571545452814</v>
      </c>
      <c r="U1163" s="26">
        <f t="shared" si="365"/>
        <v>28.103775330285561</v>
      </c>
      <c r="V1163" s="26">
        <f t="shared" si="366"/>
        <v>1.6790583251969893</v>
      </c>
      <c r="W1163" s="143"/>
      <c r="X1163" s="143"/>
      <c r="Y1163" s="143"/>
      <c r="Z1163" s="30">
        <f t="shared" si="420"/>
        <v>0</v>
      </c>
      <c r="AA1163" s="31">
        <f t="shared" si="368"/>
        <v>15</v>
      </c>
      <c r="AB1163" s="32">
        <v>3.15E-2</v>
      </c>
      <c r="AC1163" s="32">
        <v>8.0199999999999994E-2</v>
      </c>
      <c r="AD1163" s="33">
        <f t="shared" si="391"/>
        <v>0.75691430800032045</v>
      </c>
      <c r="AE1163" s="34">
        <f t="shared" si="392"/>
        <v>-0.11856279777020205</v>
      </c>
      <c r="AF1163" s="33">
        <f t="shared" si="393"/>
        <v>-0.12821411944977254</v>
      </c>
      <c r="AG1163" s="33">
        <f t="shared" si="394"/>
        <v>0</v>
      </c>
      <c r="AH1163" s="35">
        <f t="shared" si="395"/>
        <v>3.3563893982675421</v>
      </c>
      <c r="AI1163" s="36">
        <f t="shared" si="374"/>
        <v>3.6755920568053946</v>
      </c>
      <c r="AJ1163" s="23"/>
      <c r="AK1163" s="158">
        <v>373</v>
      </c>
      <c r="AL1163" s="44"/>
      <c r="AM1163" s="44"/>
      <c r="AN1163" s="44"/>
      <c r="AO1163" s="44"/>
      <c r="AP1163" s="44"/>
      <c r="AQ1163" s="44"/>
      <c r="AR1163" s="44"/>
    </row>
    <row r="1164" spans="1:44" ht="16.8">
      <c r="A1164" s="64" t="s">
        <v>2443</v>
      </c>
      <c r="B1164" s="62"/>
      <c r="C1164" s="62" t="s">
        <v>2440</v>
      </c>
      <c r="D1164" s="19" t="s">
        <v>2441</v>
      </c>
      <c r="E1164" s="20" t="s">
        <v>414</v>
      </c>
      <c r="F1164" s="21">
        <v>2007</v>
      </c>
      <c r="G1164" s="40">
        <v>2023</v>
      </c>
      <c r="H1164" s="23">
        <v>1492590229024</v>
      </c>
      <c r="I1164" s="23">
        <v>1827207169259</v>
      </c>
      <c r="J1164" s="23">
        <v>64374225635</v>
      </c>
      <c r="K1164" s="23">
        <f t="shared" si="421"/>
        <v>59670188773.5</v>
      </c>
      <c r="L1164" s="23">
        <v>57388819274</v>
      </c>
      <c r="M1164" s="23">
        <v>1762832943624</v>
      </c>
      <c r="N1164" s="23">
        <v>264672217317</v>
      </c>
      <c r="O1164" s="25">
        <f t="shared" si="361"/>
        <v>1435201409750</v>
      </c>
      <c r="P1164" s="23">
        <v>140238801230</v>
      </c>
      <c r="Q1164" s="23">
        <v>77877974538</v>
      </c>
      <c r="R1164" s="25">
        <f t="shared" si="362"/>
        <v>186794242779</v>
      </c>
      <c r="S1164" s="26">
        <f t="shared" si="363"/>
        <v>3.5230939719389412E-2</v>
      </c>
      <c r="T1164" s="27">
        <f t="shared" si="364"/>
        <v>26.008380167183851</v>
      </c>
      <c r="U1164" s="26">
        <f t="shared" si="365"/>
        <v>28.233809780031645</v>
      </c>
      <c r="V1164" s="26">
        <f t="shared" si="366"/>
        <v>4.435585386224604</v>
      </c>
      <c r="W1164" s="143"/>
      <c r="X1164" s="143"/>
      <c r="Y1164" s="143"/>
      <c r="Z1164" s="30">
        <f t="shared" si="420"/>
        <v>0</v>
      </c>
      <c r="AA1164" s="31">
        <f t="shared" si="368"/>
        <v>16</v>
      </c>
      <c r="AB1164" s="32">
        <v>3.2500000000000001E-2</v>
      </c>
      <c r="AC1164" s="32">
        <v>5.0500000000000003E-2</v>
      </c>
      <c r="AD1164" s="33">
        <f t="shared" si="391"/>
        <v>0.78546178774683073</v>
      </c>
      <c r="AE1164" s="34">
        <f t="shared" si="392"/>
        <v>7.6750356275622544E-2</v>
      </c>
      <c r="AF1164" s="33">
        <f t="shared" si="393"/>
        <v>0.10222937273979281</v>
      </c>
      <c r="AG1164" s="33">
        <f t="shared" si="394"/>
        <v>0</v>
      </c>
      <c r="AH1164" s="35">
        <f t="shared" si="395"/>
        <v>4.1114625411990788</v>
      </c>
      <c r="AI1164" s="36">
        <f t="shared" si="374"/>
        <v>5.4988241153224635</v>
      </c>
      <c r="AJ1164" s="23"/>
      <c r="AK1164" s="158">
        <v>374</v>
      </c>
      <c r="AL1164" s="44"/>
      <c r="AM1164" s="44"/>
      <c r="AN1164" s="44"/>
      <c r="AO1164" s="44"/>
      <c r="AP1164" s="44"/>
      <c r="AQ1164" s="44"/>
      <c r="AR1164" s="44"/>
    </row>
    <row r="1165" spans="1:44" ht="16.8">
      <c r="A1165" s="64" t="s">
        <v>2444</v>
      </c>
      <c r="B1165" s="62">
        <v>451</v>
      </c>
      <c r="C1165" s="62" t="s">
        <v>2445</v>
      </c>
      <c r="D1165" s="19" t="s">
        <v>2446</v>
      </c>
      <c r="E1165" s="20" t="s">
        <v>414</v>
      </c>
      <c r="F1165" s="21">
        <v>1997</v>
      </c>
      <c r="G1165" s="40">
        <v>2021</v>
      </c>
      <c r="H1165" s="23">
        <v>9278479827420</v>
      </c>
      <c r="I1165" s="23">
        <v>18169113930400</v>
      </c>
      <c r="J1165" s="23">
        <v>10592774179941</v>
      </c>
      <c r="K1165" s="23">
        <f>(J1165+10732486502082)/2</f>
        <v>10662630341011.5</v>
      </c>
      <c r="L1165" s="23">
        <v>6531470969868</v>
      </c>
      <c r="M1165" s="23">
        <v>7576339750459</v>
      </c>
      <c r="N1165" s="23">
        <v>11465148423135</v>
      </c>
      <c r="O1165" s="25">
        <f t="shared" si="361"/>
        <v>2747008857552</v>
      </c>
      <c r="P1165" s="23">
        <v>703887618610</v>
      </c>
      <c r="Q1165" s="23">
        <f>236820091115+190895614951</f>
        <v>427715706066</v>
      </c>
      <c r="R1165" s="25">
        <f t="shared" si="362"/>
        <v>11037432717069</v>
      </c>
      <c r="S1165" s="26">
        <f t="shared" si="363"/>
        <v>0.58300994866995126</v>
      </c>
      <c r="T1165" s="27">
        <f t="shared" si="364"/>
        <v>1.4205804282411925</v>
      </c>
      <c r="U1165" s="26">
        <f t="shared" si="365"/>
        <v>30.530744231621959</v>
      </c>
      <c r="V1165" s="26">
        <f t="shared" si="366"/>
        <v>1.075264550721297</v>
      </c>
      <c r="W1165" s="143"/>
      <c r="X1165" s="143"/>
      <c r="Y1165" s="143"/>
      <c r="Z1165" s="30">
        <f t="shared" si="420"/>
        <v>0</v>
      </c>
      <c r="AA1165" s="31">
        <f t="shared" si="368"/>
        <v>24</v>
      </c>
      <c r="AB1165" s="32">
        <v>1.84E-2</v>
      </c>
      <c r="AC1165" s="32">
        <v>2.58E-2</v>
      </c>
      <c r="AD1165" s="33">
        <f t="shared" si="391"/>
        <v>0.15119112952205058</v>
      </c>
      <c r="AE1165" s="34">
        <f t="shared" si="392"/>
        <v>3.8740888592936666E-2</v>
      </c>
      <c r="AF1165" s="33">
        <f t="shared" si="393"/>
        <v>0.60748326854847379</v>
      </c>
      <c r="AG1165" s="33">
        <f t="shared" si="394"/>
        <v>0</v>
      </c>
      <c r="AH1165" s="35">
        <f t="shared" si="395"/>
        <v>1.0823555971622592</v>
      </c>
      <c r="AI1165" s="36">
        <f t="shared" si="374"/>
        <v>3.322716982828795</v>
      </c>
      <c r="AJ1165" s="23"/>
      <c r="AK1165" s="158">
        <v>375</v>
      </c>
      <c r="AL1165" s="44"/>
      <c r="AM1165" s="44"/>
      <c r="AN1165" s="44"/>
      <c r="AO1165" s="44"/>
      <c r="AP1165" s="44"/>
      <c r="AQ1165" s="44"/>
      <c r="AR1165" s="44"/>
    </row>
    <row r="1166" spans="1:44" ht="16.8">
      <c r="A1166" s="64" t="s">
        <v>2447</v>
      </c>
      <c r="B1166" s="62"/>
      <c r="C1166" s="62" t="s">
        <v>2445</v>
      </c>
      <c r="D1166" s="19" t="s">
        <v>2446</v>
      </c>
      <c r="E1166" s="20" t="s">
        <v>414</v>
      </c>
      <c r="F1166" s="21">
        <v>1997</v>
      </c>
      <c r="G1166" s="40">
        <v>2022</v>
      </c>
      <c r="H1166" s="23">
        <v>9248626567434</v>
      </c>
      <c r="I1166" s="23">
        <v>19086345264791</v>
      </c>
      <c r="J1166" s="23">
        <v>11246527040268</v>
      </c>
      <c r="K1166" s="23">
        <f t="shared" ref="K1166:K1167" si="422">SUM(J1165:J1166)/2</f>
        <v>10919650610104.5</v>
      </c>
      <c r="L1166" s="23">
        <v>7597608876479</v>
      </c>
      <c r="M1166" s="23">
        <v>7839818224523</v>
      </c>
      <c r="N1166" s="23">
        <v>13807690797580</v>
      </c>
      <c r="O1166" s="25">
        <f t="shared" si="361"/>
        <v>1651017690955</v>
      </c>
      <c r="P1166" s="23">
        <v>962584745306</v>
      </c>
      <c r="Q1166" s="23">
        <f>370938611104+246384417419</f>
        <v>617323028523</v>
      </c>
      <c r="R1166" s="25">
        <f t="shared" si="362"/>
        <v>13190367769057</v>
      </c>
      <c r="S1166" s="26">
        <f t="shared" si="363"/>
        <v>0.5892446607373657</v>
      </c>
      <c r="T1166" s="27">
        <f t="shared" si="364"/>
        <v>1.2173075394899955</v>
      </c>
      <c r="U1166" s="26">
        <f t="shared" si="365"/>
        <v>30.579994287710267</v>
      </c>
      <c r="V1166" s="26">
        <f t="shared" si="366"/>
        <v>1.2644810068193071</v>
      </c>
      <c r="W1166" s="143"/>
      <c r="X1166" s="143"/>
      <c r="Y1166" s="143"/>
      <c r="Z1166" s="30">
        <f t="shared" si="420"/>
        <v>0</v>
      </c>
      <c r="AA1166" s="31">
        <f t="shared" si="368"/>
        <v>25</v>
      </c>
      <c r="AB1166" s="32">
        <v>3.15E-2</v>
      </c>
      <c r="AC1166" s="32">
        <v>8.0199999999999994E-2</v>
      </c>
      <c r="AD1166" s="33">
        <f t="shared" si="391"/>
        <v>8.6502558140382615E-2</v>
      </c>
      <c r="AE1166" s="34">
        <f t="shared" si="392"/>
        <v>5.0433162135115582E-2</v>
      </c>
      <c r="AF1166" s="33">
        <f t="shared" si="393"/>
        <v>0.6910892361037585</v>
      </c>
      <c r="AG1166" s="33">
        <f t="shared" si="394"/>
        <v>0</v>
      </c>
      <c r="AH1166" s="35">
        <f t="shared" si="395"/>
        <v>1.2277293024008031</v>
      </c>
      <c r="AI1166" s="36">
        <f t="shared" si="374"/>
        <v>3.6827332783008271</v>
      </c>
      <c r="AJ1166" s="23"/>
      <c r="AK1166" s="158">
        <v>376</v>
      </c>
      <c r="AL1166" s="44"/>
      <c r="AM1166" s="44"/>
      <c r="AN1166" s="44"/>
      <c r="AO1166" s="44"/>
      <c r="AP1166" s="44"/>
      <c r="AQ1166" s="44"/>
      <c r="AR1166" s="44"/>
    </row>
    <row r="1167" spans="1:44" ht="16.8">
      <c r="A1167" s="64" t="s">
        <v>2448</v>
      </c>
      <c r="B1167" s="62"/>
      <c r="C1167" s="62" t="s">
        <v>2445</v>
      </c>
      <c r="D1167" s="19" t="s">
        <v>2446</v>
      </c>
      <c r="E1167" s="20" t="s">
        <v>414</v>
      </c>
      <c r="F1167" s="21">
        <v>1997</v>
      </c>
      <c r="G1167" s="40">
        <v>2023</v>
      </c>
      <c r="H1167" s="23">
        <v>11090130251092</v>
      </c>
      <c r="I1167" s="23">
        <v>20307453158579</v>
      </c>
      <c r="J1167" s="23">
        <v>12481170985844</v>
      </c>
      <c r="K1167" s="23">
        <f t="shared" si="422"/>
        <v>11863849013056</v>
      </c>
      <c r="L1167" s="23">
        <v>8203972540991</v>
      </c>
      <c r="M1167" s="23">
        <v>7826282175735</v>
      </c>
      <c r="N1167" s="23">
        <v>11991539015201</v>
      </c>
      <c r="O1167" s="25">
        <f t="shared" si="361"/>
        <v>2886157710101</v>
      </c>
      <c r="P1167" s="23">
        <v>251699371212</v>
      </c>
      <c r="Q1167" s="23">
        <f>164671561165+299639710656</f>
        <v>464311271821</v>
      </c>
      <c r="R1167" s="25">
        <f t="shared" si="362"/>
        <v>11527227743380</v>
      </c>
      <c r="S1167" s="26">
        <f t="shared" si="363"/>
        <v>0.61461035455208024</v>
      </c>
      <c r="T1167" s="27">
        <f t="shared" si="364"/>
        <v>1.3518000207436538</v>
      </c>
      <c r="U1167" s="26">
        <f t="shared" si="365"/>
        <v>30.642009085261893</v>
      </c>
      <c r="V1167" s="26">
        <f t="shared" si="366"/>
        <v>1.0107629490230767</v>
      </c>
      <c r="W1167" s="143"/>
      <c r="X1167" s="143"/>
      <c r="Y1167" s="143"/>
      <c r="Z1167" s="30">
        <f t="shared" si="420"/>
        <v>0</v>
      </c>
      <c r="AA1167" s="31">
        <f t="shared" si="368"/>
        <v>26</v>
      </c>
      <c r="AB1167" s="32">
        <v>3.2500000000000001E-2</v>
      </c>
      <c r="AC1167" s="32">
        <v>5.0500000000000003E-2</v>
      </c>
      <c r="AD1167" s="33">
        <f t="shared" si="391"/>
        <v>0.14212307607277311</v>
      </c>
      <c r="AE1167" s="34">
        <f t="shared" si="392"/>
        <v>1.2394433179114248E-2</v>
      </c>
      <c r="AF1167" s="33">
        <f t="shared" si="393"/>
        <v>0.56763532351225721</v>
      </c>
      <c r="AG1167" s="33">
        <f t="shared" si="394"/>
        <v>0</v>
      </c>
      <c r="AH1167" s="35">
        <f t="shared" si="395"/>
        <v>0.96077034989759091</v>
      </c>
      <c r="AI1167" s="36">
        <f t="shared" si="374"/>
        <v>3.0218668152261272</v>
      </c>
      <c r="AJ1167" s="23"/>
      <c r="AK1167" s="158">
        <v>377</v>
      </c>
      <c r="AL1167" s="44"/>
      <c r="AM1167" s="44"/>
      <c r="AN1167" s="44"/>
      <c r="AO1167" s="44"/>
      <c r="AP1167" s="44"/>
      <c r="AQ1167" s="44"/>
      <c r="AR1167" s="44"/>
    </row>
    <row r="1168" spans="1:44" ht="16.8">
      <c r="A1168" s="64" t="s">
        <v>2449</v>
      </c>
      <c r="B1168" s="62">
        <v>452</v>
      </c>
      <c r="C1168" s="62" t="s">
        <v>2450</v>
      </c>
      <c r="D1168" s="19" t="s">
        <v>2451</v>
      </c>
      <c r="E1168" s="20" t="s">
        <v>414</v>
      </c>
      <c r="F1168" s="21">
        <v>2004</v>
      </c>
      <c r="G1168" s="40">
        <v>2021</v>
      </c>
      <c r="H1168" s="23">
        <v>983135322238</v>
      </c>
      <c r="I1168" s="23">
        <v>2028090103670</v>
      </c>
      <c r="J1168" s="23">
        <v>1536536764497</v>
      </c>
      <c r="K1168" s="23">
        <f>(J1168+1288638251374)/2</f>
        <v>1412587507935.5</v>
      </c>
      <c r="L1168" s="23">
        <v>1305610537867</v>
      </c>
      <c r="M1168" s="23">
        <v>491526339173</v>
      </c>
      <c r="N1168" s="23">
        <v>3453777383517</v>
      </c>
      <c r="O1168" s="25">
        <f t="shared" si="361"/>
        <v>-322475215629</v>
      </c>
      <c r="P1168" s="23">
        <v>25347131026</v>
      </c>
      <c r="Q1168" s="23">
        <f>323383390872+110260087202</f>
        <v>433643478074</v>
      </c>
      <c r="R1168" s="25">
        <f t="shared" si="362"/>
        <v>3020133905443</v>
      </c>
      <c r="S1168" s="26">
        <f t="shared" si="363"/>
        <v>0.75762746522775648</v>
      </c>
      <c r="T1168" s="27">
        <f t="shared" si="364"/>
        <v>0.7530081090216737</v>
      </c>
      <c r="U1168" s="26">
        <f t="shared" si="365"/>
        <v>28.338115630488065</v>
      </c>
      <c r="V1168" s="26">
        <f t="shared" si="366"/>
        <v>2.4450006559697699</v>
      </c>
      <c r="W1168" s="143"/>
      <c r="X1168" s="143"/>
      <c r="Y1168" s="143"/>
      <c r="Z1168" s="30">
        <f t="shared" si="420"/>
        <v>0</v>
      </c>
      <c r="AA1168" s="31">
        <f t="shared" si="368"/>
        <v>17</v>
      </c>
      <c r="AB1168" s="32">
        <v>1.84E-2</v>
      </c>
      <c r="AC1168" s="32">
        <v>2.58E-2</v>
      </c>
      <c r="AD1168" s="33">
        <f t="shared" si="391"/>
        <v>-0.15900438301308897</v>
      </c>
      <c r="AE1168" s="34">
        <f t="shared" si="392"/>
        <v>1.2498030033346265E-2</v>
      </c>
      <c r="AF1168" s="33">
        <f t="shared" si="393"/>
        <v>1.489151739352119</v>
      </c>
      <c r="AG1168" s="33">
        <f t="shared" si="394"/>
        <v>0</v>
      </c>
      <c r="AH1168" s="35">
        <f t="shared" si="395"/>
        <v>2.2477674881066885</v>
      </c>
      <c r="AI1168" s="36">
        <f t="shared" si="374"/>
        <v>6.988660210399658</v>
      </c>
      <c r="AJ1168" s="23"/>
      <c r="AK1168" s="158">
        <v>378</v>
      </c>
      <c r="AL1168" s="44"/>
      <c r="AM1168" s="44"/>
      <c r="AN1168" s="44"/>
      <c r="AO1168" s="44"/>
      <c r="AP1168" s="44"/>
      <c r="AQ1168" s="44"/>
      <c r="AR1168" s="44"/>
    </row>
    <row r="1169" spans="1:44" ht="16.8">
      <c r="A1169" s="64" t="s">
        <v>2452</v>
      </c>
      <c r="B1169" s="62"/>
      <c r="C1169" s="62" t="s">
        <v>2450</v>
      </c>
      <c r="D1169" s="19" t="s">
        <v>2451</v>
      </c>
      <c r="E1169" s="20" t="s">
        <v>414</v>
      </c>
      <c r="F1169" s="21">
        <v>2004</v>
      </c>
      <c r="G1169" s="40">
        <v>2022</v>
      </c>
      <c r="H1169" s="23">
        <v>1097024480300</v>
      </c>
      <c r="I1169" s="23">
        <v>2103068827674</v>
      </c>
      <c r="J1169" s="23">
        <v>1612685896983</v>
      </c>
      <c r="K1169" s="23">
        <f t="shared" ref="K1169:K1170" si="423">SUM(J1168:J1169)/2</f>
        <v>1574611330740</v>
      </c>
      <c r="L1169" s="23">
        <v>1376492455907</v>
      </c>
      <c r="M1169" s="23">
        <v>490382930691</v>
      </c>
      <c r="N1169" s="23">
        <v>4116613290412</v>
      </c>
      <c r="O1169" s="25">
        <f t="shared" si="361"/>
        <v>-279467975607</v>
      </c>
      <c r="P1169" s="23">
        <v>13687118400</v>
      </c>
      <c r="Q1169" s="23">
        <f>273852726352+110728026266</f>
        <v>384580752618</v>
      </c>
      <c r="R1169" s="25">
        <f t="shared" si="362"/>
        <v>3732032537794</v>
      </c>
      <c r="S1169" s="26">
        <f t="shared" si="363"/>
        <v>0.76682506809186801</v>
      </c>
      <c r="T1169" s="27">
        <f t="shared" si="364"/>
        <v>0.79697093550516218</v>
      </c>
      <c r="U1169" s="26">
        <f t="shared" si="365"/>
        <v>28.374418740441655</v>
      </c>
      <c r="V1169" s="26">
        <f t="shared" si="366"/>
        <v>2.6143678824395145</v>
      </c>
      <c r="W1169" s="143"/>
      <c r="X1169" s="143"/>
      <c r="Y1169" s="143"/>
      <c r="Z1169" s="30">
        <f t="shared" si="420"/>
        <v>0</v>
      </c>
      <c r="AA1169" s="31">
        <f t="shared" si="368"/>
        <v>18</v>
      </c>
      <c r="AB1169" s="32">
        <v>3.15E-2</v>
      </c>
      <c r="AC1169" s="32">
        <v>8.0199999999999994E-2</v>
      </c>
      <c r="AD1169" s="33">
        <f t="shared" si="391"/>
        <v>-0.13288579618960564</v>
      </c>
      <c r="AE1169" s="34">
        <f t="shared" si="392"/>
        <v>6.508164744725921E-3</v>
      </c>
      <c r="AF1169" s="33">
        <f t="shared" si="393"/>
        <v>1.7745650968169397</v>
      </c>
      <c r="AG1169" s="33">
        <f t="shared" si="394"/>
        <v>0</v>
      </c>
      <c r="AH1169" s="35">
        <f t="shared" si="395"/>
        <v>2.552644193214145</v>
      </c>
      <c r="AI1169" s="36">
        <f t="shared" si="374"/>
        <v>8.2583574879251351</v>
      </c>
      <c r="AJ1169" s="23"/>
      <c r="AK1169" s="158">
        <v>379</v>
      </c>
      <c r="AL1169" s="44"/>
      <c r="AM1169" s="44"/>
      <c r="AN1169" s="44"/>
      <c r="AO1169" s="44"/>
      <c r="AP1169" s="44"/>
      <c r="AQ1169" s="44"/>
      <c r="AR1169" s="44"/>
    </row>
    <row r="1170" spans="1:44" ht="16.8">
      <c r="A1170" s="64" t="s">
        <v>2453</v>
      </c>
      <c r="B1170" s="62"/>
      <c r="C1170" s="62" t="s">
        <v>2450</v>
      </c>
      <c r="D1170" s="19" t="s">
        <v>2451</v>
      </c>
      <c r="E1170" s="20" t="s">
        <v>414</v>
      </c>
      <c r="F1170" s="21">
        <v>2004</v>
      </c>
      <c r="G1170" s="40">
        <v>2023</v>
      </c>
      <c r="H1170" s="23">
        <v>1309627181665</v>
      </c>
      <c r="I1170" s="23">
        <v>2271855661046</v>
      </c>
      <c r="J1170" s="23">
        <v>1881448429012</v>
      </c>
      <c r="K1170" s="23">
        <f t="shared" si="423"/>
        <v>1747067162997.5</v>
      </c>
      <c r="L1170" s="23">
        <v>1647573925363</v>
      </c>
      <c r="M1170" s="23">
        <v>390407232034</v>
      </c>
      <c r="N1170" s="23">
        <v>3828566252123</v>
      </c>
      <c r="O1170" s="25">
        <f t="shared" si="361"/>
        <v>-337946743698</v>
      </c>
      <c r="P1170" s="23">
        <v>-84200722522</v>
      </c>
      <c r="Q1170" s="23">
        <f>275867289568+182943723971</f>
        <v>458811013539</v>
      </c>
      <c r="R1170" s="25">
        <f t="shared" si="362"/>
        <v>3369755238584</v>
      </c>
      <c r="S1170" s="26">
        <f t="shared" si="363"/>
        <v>0.82815491374383787</v>
      </c>
      <c r="T1170" s="27">
        <f t="shared" si="364"/>
        <v>0.79488219709258734</v>
      </c>
      <c r="U1170" s="26">
        <f t="shared" si="365"/>
        <v>28.451618085300179</v>
      </c>
      <c r="V1170" s="26">
        <f t="shared" si="366"/>
        <v>2.1914247678688001</v>
      </c>
      <c r="W1170" s="143"/>
      <c r="X1170" s="143"/>
      <c r="Y1170" s="143"/>
      <c r="Z1170" s="30">
        <f t="shared" si="420"/>
        <v>0</v>
      </c>
      <c r="AA1170" s="31">
        <f t="shared" si="368"/>
        <v>19</v>
      </c>
      <c r="AB1170" s="32">
        <v>3.2500000000000001E-2</v>
      </c>
      <c r="AC1170" s="32">
        <v>5.0500000000000003E-2</v>
      </c>
      <c r="AD1170" s="33">
        <f t="shared" si="391"/>
        <v>-0.1487536155982743</v>
      </c>
      <c r="AE1170" s="34">
        <f t="shared" si="392"/>
        <v>-3.7062531729340847E-2</v>
      </c>
      <c r="AF1170" s="33">
        <f t="shared" si="393"/>
        <v>1.4832611491843231</v>
      </c>
      <c r="AG1170" s="33">
        <f t="shared" si="394"/>
        <v>0</v>
      </c>
      <c r="AH1170" s="35">
        <f t="shared" si="395"/>
        <v>2.0349036375838825</v>
      </c>
      <c r="AI1170" s="36">
        <f t="shared" si="374"/>
        <v>6.6992735467531421</v>
      </c>
      <c r="AJ1170" s="23"/>
      <c r="AK1170" s="158">
        <v>380</v>
      </c>
      <c r="AL1170" s="44"/>
      <c r="AM1170" s="44"/>
      <c r="AN1170" s="44"/>
      <c r="AO1170" s="44"/>
      <c r="AP1170" s="44"/>
      <c r="AQ1170" s="44"/>
      <c r="AR1170" s="44"/>
    </row>
    <row r="1171" spans="1:44" ht="16.8">
      <c r="A1171" s="145"/>
      <c r="B1171" s="145">
        <v>453</v>
      </c>
      <c r="C1171" s="145" t="s">
        <v>2454</v>
      </c>
      <c r="D1171" s="146" t="s">
        <v>2455</v>
      </c>
      <c r="E1171" s="147" t="s">
        <v>178</v>
      </c>
      <c r="F1171" s="148"/>
      <c r="G1171" s="148"/>
      <c r="H1171" s="149"/>
      <c r="I1171" s="149"/>
      <c r="J1171" s="149"/>
      <c r="K1171" s="149"/>
      <c r="L1171" s="149"/>
      <c r="M1171" s="149"/>
      <c r="N1171" s="149"/>
      <c r="O1171" s="149">
        <f t="shared" si="361"/>
        <v>0</v>
      </c>
      <c r="P1171" s="149"/>
      <c r="Q1171" s="149"/>
      <c r="R1171" s="149">
        <f t="shared" si="362"/>
        <v>0</v>
      </c>
      <c r="S1171" s="150" t="e">
        <f t="shared" si="363"/>
        <v>#DIV/0!</v>
      </c>
      <c r="T1171" s="151" t="e">
        <f t="shared" si="364"/>
        <v>#DIV/0!</v>
      </c>
      <c r="U1171" s="150" t="e">
        <f t="shared" si="365"/>
        <v>#NUM!</v>
      </c>
      <c r="V1171" s="150" t="e">
        <f t="shared" si="366"/>
        <v>#DIV/0!</v>
      </c>
      <c r="W1171" s="152"/>
      <c r="X1171" s="152"/>
      <c r="Y1171" s="152"/>
      <c r="Z1171" s="153">
        <f t="shared" ref="Z1171:Z1172" si="424">W1171*Y1171</f>
        <v>0</v>
      </c>
      <c r="AA1171" s="148">
        <f t="shared" si="368"/>
        <v>0</v>
      </c>
      <c r="AB1171" s="149"/>
      <c r="AC1171" s="149"/>
      <c r="AD1171" s="150" t="e">
        <f t="shared" si="391"/>
        <v>#DIV/0!</v>
      </c>
      <c r="AE1171" s="154" t="e">
        <f t="shared" si="392"/>
        <v>#DIV/0!</v>
      </c>
      <c r="AF1171" s="150" t="e">
        <f t="shared" si="393"/>
        <v>#DIV/0!</v>
      </c>
      <c r="AG1171" s="150" t="e">
        <f t="shared" si="394"/>
        <v>#DIV/0!</v>
      </c>
      <c r="AH1171" s="155" t="e">
        <f t="shared" si="395"/>
        <v>#DIV/0!</v>
      </c>
      <c r="AI1171" s="156" t="e">
        <f t="shared" si="374"/>
        <v>#DIV/0!</v>
      </c>
      <c r="AJ1171" s="149"/>
      <c r="AK1171" s="149"/>
      <c r="AL1171" s="157"/>
      <c r="AM1171" s="157"/>
      <c r="AN1171" s="157"/>
      <c r="AO1171" s="157"/>
      <c r="AP1171" s="157"/>
      <c r="AQ1171" s="157"/>
      <c r="AR1171" s="157"/>
    </row>
    <row r="1172" spans="1:44" ht="16.8">
      <c r="A1172" s="45"/>
      <c r="B1172" s="45">
        <v>454</v>
      </c>
      <c r="C1172" s="45" t="s">
        <v>2456</v>
      </c>
      <c r="D1172" s="46" t="s">
        <v>2457</v>
      </c>
      <c r="E1172" s="47" t="s">
        <v>1371</v>
      </c>
      <c r="F1172" s="48"/>
      <c r="G1172" s="48"/>
      <c r="H1172" s="49"/>
      <c r="I1172" s="49"/>
      <c r="J1172" s="49"/>
      <c r="K1172" s="49"/>
      <c r="L1172" s="49"/>
      <c r="M1172" s="49"/>
      <c r="N1172" s="49"/>
      <c r="O1172" s="49">
        <f t="shared" si="361"/>
        <v>0</v>
      </c>
      <c r="P1172" s="49"/>
      <c r="Q1172" s="49"/>
      <c r="R1172" s="49">
        <f t="shared" si="362"/>
        <v>0</v>
      </c>
      <c r="S1172" s="50" t="e">
        <f t="shared" si="363"/>
        <v>#DIV/0!</v>
      </c>
      <c r="T1172" s="51" t="e">
        <f t="shared" si="364"/>
        <v>#DIV/0!</v>
      </c>
      <c r="U1172" s="50" t="e">
        <f t="shared" si="365"/>
        <v>#NUM!</v>
      </c>
      <c r="V1172" s="50" t="e">
        <f t="shared" si="366"/>
        <v>#DIV/0!</v>
      </c>
      <c r="W1172" s="52"/>
      <c r="X1172" s="52"/>
      <c r="Y1172" s="52"/>
      <c r="Z1172" s="55">
        <f t="shared" si="424"/>
        <v>0</v>
      </c>
      <c r="AA1172" s="48">
        <f t="shared" si="368"/>
        <v>0</v>
      </c>
      <c r="AB1172" s="49"/>
      <c r="AC1172" s="49"/>
      <c r="AD1172" s="50" t="e">
        <f t="shared" si="391"/>
        <v>#DIV/0!</v>
      </c>
      <c r="AE1172" s="56" t="e">
        <f t="shared" si="392"/>
        <v>#DIV/0!</v>
      </c>
      <c r="AF1172" s="50" t="e">
        <f t="shared" si="393"/>
        <v>#DIV/0!</v>
      </c>
      <c r="AG1172" s="50" t="e">
        <f t="shared" si="394"/>
        <v>#DIV/0!</v>
      </c>
      <c r="AH1172" s="57" t="e">
        <f t="shared" si="395"/>
        <v>#DIV/0!</v>
      </c>
      <c r="AI1172" s="58" t="e">
        <f t="shared" si="374"/>
        <v>#DIV/0!</v>
      </c>
      <c r="AJ1172" s="49"/>
      <c r="AK1172" s="49"/>
      <c r="AL1172" s="59"/>
      <c r="AM1172" s="59"/>
      <c r="AN1172" s="59"/>
      <c r="AO1172" s="59"/>
      <c r="AP1172" s="59"/>
      <c r="AQ1172" s="59"/>
      <c r="AR1172" s="59"/>
    </row>
    <row r="1173" spans="1:44" ht="16.8">
      <c r="A1173" s="64" t="s">
        <v>2458</v>
      </c>
      <c r="B1173" s="62">
        <v>455</v>
      </c>
      <c r="C1173" s="62" t="s">
        <v>2459</v>
      </c>
      <c r="D1173" s="19" t="s">
        <v>2460</v>
      </c>
      <c r="E1173" s="20" t="s">
        <v>414</v>
      </c>
      <c r="F1173" s="21">
        <v>1999</v>
      </c>
      <c r="G1173" s="40">
        <v>2021</v>
      </c>
      <c r="H1173" s="23">
        <v>578230851763</v>
      </c>
      <c r="I1173" s="23">
        <v>1639538136486</v>
      </c>
      <c r="J1173" s="23">
        <v>658073870149</v>
      </c>
      <c r="K1173" s="23">
        <f>(J1173+447380119508)/2</f>
        <v>552726994828.5</v>
      </c>
      <c r="L1173" s="23">
        <v>520240164491</v>
      </c>
      <c r="M1173" s="23">
        <v>981464266337</v>
      </c>
      <c r="N1173" s="23">
        <v>1102529287749</v>
      </c>
      <c r="O1173" s="25">
        <f t="shared" si="361"/>
        <v>57990687272</v>
      </c>
      <c r="P1173" s="23">
        <v>22400282622</v>
      </c>
      <c r="Q1173" s="23">
        <f>237232633555+69514930066</f>
        <v>306747563621</v>
      </c>
      <c r="R1173" s="25">
        <f t="shared" si="362"/>
        <v>795781724128</v>
      </c>
      <c r="S1173" s="26">
        <f t="shared" si="363"/>
        <v>0.40137759256972261</v>
      </c>
      <c r="T1173" s="27">
        <f t="shared" si="364"/>
        <v>1.1114690699222305</v>
      </c>
      <c r="U1173" s="26">
        <f t="shared" si="365"/>
        <v>28.125435694007241</v>
      </c>
      <c r="V1173" s="26">
        <f t="shared" si="366"/>
        <v>1.9947085958613122</v>
      </c>
      <c r="W1173" s="143"/>
      <c r="X1173" s="143"/>
      <c r="Y1173" s="143"/>
      <c r="Z1173" s="30">
        <f t="shared" ref="Z1173:Z1175" si="425">X1173*Y1173</f>
        <v>0</v>
      </c>
      <c r="AA1173" s="31">
        <f t="shared" si="368"/>
        <v>22</v>
      </c>
      <c r="AB1173" s="32">
        <v>1.84E-2</v>
      </c>
      <c r="AC1173" s="32">
        <v>2.58E-2</v>
      </c>
      <c r="AD1173" s="33">
        <f t="shared" si="391"/>
        <v>3.5370136248425825E-2</v>
      </c>
      <c r="AE1173" s="34">
        <f t="shared" si="392"/>
        <v>1.3662556620982433E-2</v>
      </c>
      <c r="AF1173" s="33">
        <f t="shared" si="393"/>
        <v>0.48536945034629586</v>
      </c>
      <c r="AG1173" s="33">
        <f t="shared" si="394"/>
        <v>0</v>
      </c>
      <c r="AH1173" s="35">
        <f t="shared" si="395"/>
        <v>1.6753883382413697</v>
      </c>
      <c r="AI1173" s="36">
        <f t="shared" si="374"/>
        <v>3.3386792671516323</v>
      </c>
      <c r="AJ1173" s="23"/>
      <c r="AK1173" s="158">
        <v>381</v>
      </c>
      <c r="AL1173" s="44"/>
      <c r="AM1173" s="44"/>
      <c r="AN1173" s="44"/>
      <c r="AO1173" s="44"/>
      <c r="AP1173" s="44"/>
      <c r="AQ1173" s="44"/>
      <c r="AR1173" s="44"/>
    </row>
    <row r="1174" spans="1:44" ht="16.8">
      <c r="A1174" s="64" t="s">
        <v>2461</v>
      </c>
      <c r="B1174" s="62"/>
      <c r="C1174" s="62" t="s">
        <v>2459</v>
      </c>
      <c r="D1174" s="19" t="s">
        <v>2460</v>
      </c>
      <c r="E1174" s="20" t="s">
        <v>414</v>
      </c>
      <c r="F1174" s="21">
        <v>1999</v>
      </c>
      <c r="G1174" s="40">
        <v>2022</v>
      </c>
      <c r="H1174" s="23">
        <v>694738396887</v>
      </c>
      <c r="I1174" s="23">
        <v>1850377772614</v>
      </c>
      <c r="J1174" s="23">
        <v>487056290781</v>
      </c>
      <c r="K1174" s="23">
        <f t="shared" ref="K1174:K1175" si="426">SUM(J1173:J1174)/2</f>
        <v>572565080465</v>
      </c>
      <c r="L1174" s="23">
        <v>472466240448</v>
      </c>
      <c r="M1174" s="23">
        <v>1363321481833</v>
      </c>
      <c r="N1174" s="23">
        <v>1618776483962</v>
      </c>
      <c r="O1174" s="25">
        <f t="shared" si="361"/>
        <v>222272156439</v>
      </c>
      <c r="P1174" s="23">
        <v>192916695007</v>
      </c>
      <c r="Q1174" s="23">
        <f>324109907761+102159327763</f>
        <v>426269235524</v>
      </c>
      <c r="R1174" s="25">
        <f t="shared" si="362"/>
        <v>1192507248438</v>
      </c>
      <c r="S1174" s="26">
        <f t="shared" si="363"/>
        <v>0.26321992081267986</v>
      </c>
      <c r="T1174" s="27">
        <f t="shared" si="364"/>
        <v>1.4704508754492978</v>
      </c>
      <c r="U1174" s="26">
        <f t="shared" si="365"/>
        <v>28.246410935585484</v>
      </c>
      <c r="V1174" s="26">
        <f t="shared" si="366"/>
        <v>2.827235783655083</v>
      </c>
      <c r="W1174" s="143"/>
      <c r="X1174" s="143"/>
      <c r="Y1174" s="143"/>
      <c r="Z1174" s="30">
        <f t="shared" si="425"/>
        <v>0</v>
      </c>
      <c r="AA1174" s="31">
        <f t="shared" si="368"/>
        <v>23</v>
      </c>
      <c r="AB1174" s="32">
        <v>3.15E-2</v>
      </c>
      <c r="AC1174" s="32">
        <v>8.0199999999999994E-2</v>
      </c>
      <c r="AD1174" s="33">
        <f t="shared" si="391"/>
        <v>0.12012258238759514</v>
      </c>
      <c r="AE1174" s="34">
        <f t="shared" si="392"/>
        <v>0.10425800496645049</v>
      </c>
      <c r="AF1174" s="33">
        <f t="shared" si="393"/>
        <v>0.64446691161522307</v>
      </c>
      <c r="AG1174" s="33">
        <f t="shared" si="394"/>
        <v>0</v>
      </c>
      <c r="AH1174" s="35">
        <f t="shared" si="395"/>
        <v>3.3235921896548639</v>
      </c>
      <c r="AI1174" s="36">
        <f t="shared" si="374"/>
        <v>5.7404413038032445</v>
      </c>
      <c r="AJ1174" s="23"/>
      <c r="AK1174" s="158">
        <v>382</v>
      </c>
      <c r="AL1174" s="44"/>
      <c r="AM1174" s="44"/>
      <c r="AN1174" s="44"/>
      <c r="AO1174" s="44"/>
      <c r="AP1174" s="44"/>
      <c r="AQ1174" s="44"/>
      <c r="AR1174" s="44"/>
    </row>
    <row r="1175" spans="1:44" ht="16.8">
      <c r="A1175" s="64" t="s">
        <v>151</v>
      </c>
      <c r="B1175" s="62"/>
      <c r="C1175" s="62" t="s">
        <v>2459</v>
      </c>
      <c r="D1175" s="19" t="s">
        <v>2460</v>
      </c>
      <c r="E1175" s="20" t="s">
        <v>414</v>
      </c>
      <c r="F1175" s="21">
        <v>1999</v>
      </c>
      <c r="G1175" s="40">
        <v>2023</v>
      </c>
      <c r="H1175" s="23">
        <v>1242220450652</v>
      </c>
      <c r="I1175" s="23">
        <v>2327790710695</v>
      </c>
      <c r="J1175" s="23">
        <v>915458308963</v>
      </c>
      <c r="K1175" s="23">
        <f t="shared" si="426"/>
        <v>701257299872</v>
      </c>
      <c r="L1175" s="23">
        <v>900370872486</v>
      </c>
      <c r="M1175" s="23">
        <v>1412332401732</v>
      </c>
      <c r="N1175" s="23">
        <v>1510715210486</v>
      </c>
      <c r="O1175" s="25">
        <f t="shared" si="361"/>
        <v>341849578166</v>
      </c>
      <c r="P1175" s="23">
        <v>96162359969</v>
      </c>
      <c r="Q1175" s="23">
        <f>327528128662+90641835194</f>
        <v>418169963856</v>
      </c>
      <c r="R1175" s="25">
        <f t="shared" si="362"/>
        <v>1092545246630</v>
      </c>
      <c r="S1175" s="26">
        <f t="shared" si="363"/>
        <v>0.39327346086438969</v>
      </c>
      <c r="T1175" s="27">
        <f t="shared" si="364"/>
        <v>1.3796764073699146</v>
      </c>
      <c r="U1175" s="26">
        <f t="shared" si="365"/>
        <v>28.475940740852202</v>
      </c>
      <c r="V1175" s="26">
        <f t="shared" si="366"/>
        <v>2.1542951649298336</v>
      </c>
      <c r="W1175" s="143"/>
      <c r="X1175" s="143"/>
      <c r="Y1175" s="143"/>
      <c r="Z1175" s="30">
        <f t="shared" si="425"/>
        <v>0</v>
      </c>
      <c r="AA1175" s="31">
        <f t="shared" si="368"/>
        <v>24</v>
      </c>
      <c r="AB1175" s="32">
        <v>3.2500000000000001E-2</v>
      </c>
      <c r="AC1175" s="32">
        <v>5.0500000000000003E-2</v>
      </c>
      <c r="AD1175" s="33">
        <f t="shared" si="391"/>
        <v>0.14685580477462049</v>
      </c>
      <c r="AE1175" s="34">
        <f t="shared" si="392"/>
        <v>4.1310569514339694E-2</v>
      </c>
      <c r="AF1175" s="33">
        <f t="shared" si="393"/>
        <v>0.46934857227942228</v>
      </c>
      <c r="AG1175" s="33">
        <f t="shared" si="394"/>
        <v>0</v>
      </c>
      <c r="AH1175" s="35">
        <f t="shared" si="395"/>
        <v>1.6502283017096504</v>
      </c>
      <c r="AI1175" s="36">
        <f t="shared" si="374"/>
        <v>3.433140353281364</v>
      </c>
      <c r="AJ1175" s="23"/>
      <c r="AK1175" s="158">
        <v>383</v>
      </c>
      <c r="AL1175" s="44"/>
      <c r="AM1175" s="44"/>
      <c r="AN1175" s="44"/>
      <c r="AO1175" s="44"/>
      <c r="AP1175" s="44"/>
      <c r="AQ1175" s="44"/>
      <c r="AR1175" s="44"/>
    </row>
    <row r="1176" spans="1:44" ht="16.8">
      <c r="A1176" s="145"/>
      <c r="B1176" s="145">
        <v>456</v>
      </c>
      <c r="C1176" s="145" t="s">
        <v>2462</v>
      </c>
      <c r="D1176" s="146" t="s">
        <v>2463</v>
      </c>
      <c r="E1176" s="147" t="s">
        <v>178</v>
      </c>
      <c r="F1176" s="148"/>
      <c r="G1176" s="148"/>
      <c r="H1176" s="149"/>
      <c r="I1176" s="149"/>
      <c r="J1176" s="149"/>
      <c r="K1176" s="149"/>
      <c r="L1176" s="149"/>
      <c r="M1176" s="149"/>
      <c r="N1176" s="149"/>
      <c r="O1176" s="149">
        <f t="shared" si="361"/>
        <v>0</v>
      </c>
      <c r="P1176" s="149"/>
      <c r="Q1176" s="149"/>
      <c r="R1176" s="149">
        <f t="shared" si="362"/>
        <v>0</v>
      </c>
      <c r="S1176" s="150" t="e">
        <f t="shared" si="363"/>
        <v>#DIV/0!</v>
      </c>
      <c r="T1176" s="151" t="e">
        <f t="shared" si="364"/>
        <v>#DIV/0!</v>
      </c>
      <c r="U1176" s="150" t="e">
        <f t="shared" si="365"/>
        <v>#NUM!</v>
      </c>
      <c r="V1176" s="150" t="e">
        <f t="shared" si="366"/>
        <v>#DIV/0!</v>
      </c>
      <c r="W1176" s="152"/>
      <c r="X1176" s="152"/>
      <c r="Y1176" s="152"/>
      <c r="Z1176" s="153">
        <f>W1176*Y1176</f>
        <v>0</v>
      </c>
      <c r="AA1176" s="148">
        <f t="shared" si="368"/>
        <v>0</v>
      </c>
      <c r="AB1176" s="149"/>
      <c r="AC1176" s="149"/>
      <c r="AD1176" s="150" t="e">
        <f t="shared" si="391"/>
        <v>#DIV/0!</v>
      </c>
      <c r="AE1176" s="154" t="e">
        <f t="shared" si="392"/>
        <v>#DIV/0!</v>
      </c>
      <c r="AF1176" s="150" t="e">
        <f t="shared" si="393"/>
        <v>#DIV/0!</v>
      </c>
      <c r="AG1176" s="150" t="e">
        <f t="shared" si="394"/>
        <v>#DIV/0!</v>
      </c>
      <c r="AH1176" s="155" t="e">
        <f t="shared" si="395"/>
        <v>#DIV/0!</v>
      </c>
      <c r="AI1176" s="156" t="e">
        <f t="shared" si="374"/>
        <v>#DIV/0!</v>
      </c>
      <c r="AJ1176" s="149"/>
      <c r="AK1176" s="149"/>
      <c r="AL1176" s="157"/>
      <c r="AM1176" s="157"/>
      <c r="AN1176" s="157"/>
      <c r="AO1176" s="157"/>
      <c r="AP1176" s="157"/>
      <c r="AQ1176" s="157"/>
      <c r="AR1176" s="157"/>
    </row>
    <row r="1177" spans="1:44" ht="16.8">
      <c r="A1177" s="64" t="s">
        <v>2464</v>
      </c>
      <c r="B1177" s="62">
        <v>457</v>
      </c>
      <c r="C1177" s="62" t="s">
        <v>2465</v>
      </c>
      <c r="D1177" s="19" t="s">
        <v>2466</v>
      </c>
      <c r="E1177" s="20" t="s">
        <v>414</v>
      </c>
      <c r="F1177" s="21">
        <v>2002</v>
      </c>
      <c r="G1177" s="40">
        <v>2021</v>
      </c>
      <c r="H1177" s="23">
        <v>683943476026</v>
      </c>
      <c r="I1177" s="23">
        <v>808728682634</v>
      </c>
      <c r="J1177" s="23">
        <v>415919594152</v>
      </c>
      <c r="K1177" s="23">
        <f>(J1177+580330952767)/2</f>
        <v>498125273459.5</v>
      </c>
      <c r="L1177" s="23">
        <v>415919594152</v>
      </c>
      <c r="M1177" s="23">
        <v>392809088482</v>
      </c>
      <c r="N1177" s="23">
        <v>111236733368</v>
      </c>
      <c r="O1177" s="25">
        <f t="shared" si="361"/>
        <v>268023881874</v>
      </c>
      <c r="P1177" s="23">
        <v>22134681589</v>
      </c>
      <c r="Q1177" s="23">
        <f>14044320504</f>
        <v>14044320504</v>
      </c>
      <c r="R1177" s="25">
        <f t="shared" si="362"/>
        <v>97192412864</v>
      </c>
      <c r="S1177" s="26">
        <f t="shared" si="363"/>
        <v>0.51428816991795689</v>
      </c>
      <c r="T1177" s="27">
        <f t="shared" si="364"/>
        <v>1.6444127317936583</v>
      </c>
      <c r="U1177" s="26">
        <f t="shared" si="365"/>
        <v>27.418729324001767</v>
      </c>
      <c r="V1177" s="26">
        <f t="shared" si="366"/>
        <v>0.22331075995292596</v>
      </c>
      <c r="W1177" s="143"/>
      <c r="X1177" s="143"/>
      <c r="Y1177" s="143"/>
      <c r="Z1177" s="30">
        <f t="shared" ref="Z1177:Z1224" si="427">X1177*Y1177</f>
        <v>0</v>
      </c>
      <c r="AA1177" s="31">
        <f t="shared" si="368"/>
        <v>19</v>
      </c>
      <c r="AB1177" s="32">
        <v>1.84E-2</v>
      </c>
      <c r="AC1177" s="32">
        <v>2.58E-2</v>
      </c>
      <c r="AD1177" s="33">
        <f t="shared" si="391"/>
        <v>0.33141384450599171</v>
      </c>
      <c r="AE1177" s="34">
        <f t="shared" si="392"/>
        <v>2.7369724932851579E-2</v>
      </c>
      <c r="AF1177" s="33">
        <f t="shared" si="393"/>
        <v>0.12017925782902597</v>
      </c>
      <c r="AG1177" s="33">
        <f t="shared" si="394"/>
        <v>0</v>
      </c>
      <c r="AH1177" s="35">
        <f t="shared" si="395"/>
        <v>0.26744768684148107</v>
      </c>
      <c r="AI1177" s="36">
        <f t="shared" si="374"/>
        <v>1.1000534659904491</v>
      </c>
      <c r="AJ1177" s="23"/>
      <c r="AK1177" s="158">
        <v>384</v>
      </c>
      <c r="AL1177" s="44"/>
      <c r="AM1177" s="44"/>
      <c r="AN1177" s="44"/>
      <c r="AO1177" s="44"/>
      <c r="AP1177" s="44"/>
      <c r="AQ1177" s="44"/>
      <c r="AR1177" s="44"/>
    </row>
    <row r="1178" spans="1:44" ht="16.8">
      <c r="A1178" s="64" t="s">
        <v>2467</v>
      </c>
      <c r="B1178" s="62"/>
      <c r="C1178" s="62" t="s">
        <v>2465</v>
      </c>
      <c r="D1178" s="19" t="s">
        <v>2466</v>
      </c>
      <c r="E1178" s="20" t="s">
        <v>414</v>
      </c>
      <c r="F1178" s="21">
        <v>2002</v>
      </c>
      <c r="G1178" s="40">
        <v>2022</v>
      </c>
      <c r="H1178" s="23">
        <v>486744554496</v>
      </c>
      <c r="I1178" s="23">
        <v>648336563873</v>
      </c>
      <c r="J1178" s="23">
        <v>315712673997</v>
      </c>
      <c r="K1178" s="23">
        <f t="shared" ref="K1178:K1179" si="428">SUM(J1177:J1178)/2</f>
        <v>365816134074.5</v>
      </c>
      <c r="L1178" s="23">
        <v>312816799193</v>
      </c>
      <c r="M1178" s="23">
        <v>332623889876</v>
      </c>
      <c r="N1178" s="23">
        <v>110553230706</v>
      </c>
      <c r="O1178" s="25">
        <f t="shared" si="361"/>
        <v>173927755303</v>
      </c>
      <c r="P1178" s="23">
        <v>-58396060591</v>
      </c>
      <c r="Q1178" s="23">
        <f>350150954+25356644826</f>
        <v>25706795780</v>
      </c>
      <c r="R1178" s="25">
        <f t="shared" si="362"/>
        <v>84846434926</v>
      </c>
      <c r="S1178" s="26">
        <f t="shared" si="363"/>
        <v>0.48695799618490077</v>
      </c>
      <c r="T1178" s="27">
        <f t="shared" si="364"/>
        <v>1.5560051626117783</v>
      </c>
      <c r="U1178" s="26">
        <f t="shared" si="365"/>
        <v>27.197675787155966</v>
      </c>
      <c r="V1178" s="26">
        <f t="shared" si="366"/>
        <v>0.30220982731036505</v>
      </c>
      <c r="W1178" s="143"/>
      <c r="X1178" s="143"/>
      <c r="Y1178" s="143"/>
      <c r="Z1178" s="30">
        <f t="shared" si="427"/>
        <v>0</v>
      </c>
      <c r="AA1178" s="31">
        <f t="shared" si="368"/>
        <v>20</v>
      </c>
      <c r="AB1178" s="32">
        <v>3.15E-2</v>
      </c>
      <c r="AC1178" s="32">
        <v>8.0199999999999994E-2</v>
      </c>
      <c r="AD1178" s="33">
        <f t="shared" si="391"/>
        <v>0.26826769458134403</v>
      </c>
      <c r="AE1178" s="34">
        <f t="shared" si="392"/>
        <v>-9.0070595806222287E-2</v>
      </c>
      <c r="AF1178" s="33">
        <f t="shared" si="393"/>
        <v>0.13086788506751598</v>
      </c>
      <c r="AG1178" s="33">
        <f t="shared" si="394"/>
        <v>0</v>
      </c>
      <c r="AH1178" s="35">
        <f t="shared" si="395"/>
        <v>0.35017039166140829</v>
      </c>
      <c r="AI1178" s="36">
        <f t="shared" si="374"/>
        <v>0.97785681175311256</v>
      </c>
      <c r="AJ1178" s="23"/>
      <c r="AK1178" s="158">
        <v>385</v>
      </c>
      <c r="AL1178" s="44"/>
      <c r="AM1178" s="44"/>
      <c r="AN1178" s="44"/>
      <c r="AO1178" s="44"/>
      <c r="AP1178" s="44"/>
      <c r="AQ1178" s="44"/>
      <c r="AR1178" s="44"/>
    </row>
    <row r="1179" spans="1:44" ht="16.8">
      <c r="A1179" s="64" t="s">
        <v>2468</v>
      </c>
      <c r="B1179" s="62"/>
      <c r="C1179" s="62" t="s">
        <v>2465</v>
      </c>
      <c r="D1179" s="19" t="s">
        <v>2466</v>
      </c>
      <c r="E1179" s="20" t="s">
        <v>414</v>
      </c>
      <c r="F1179" s="21">
        <v>2002</v>
      </c>
      <c r="G1179" s="40">
        <v>2023</v>
      </c>
      <c r="H1179" s="23">
        <v>519463110098</v>
      </c>
      <c r="I1179" s="23">
        <v>687637011450</v>
      </c>
      <c r="J1179" s="23">
        <v>354234034804</v>
      </c>
      <c r="K1179" s="23">
        <f t="shared" si="428"/>
        <v>334973354400.5</v>
      </c>
      <c r="L1179" s="23">
        <v>353502573475</v>
      </c>
      <c r="M1179" s="23">
        <v>333402976646</v>
      </c>
      <c r="N1179" s="23">
        <v>122673733246</v>
      </c>
      <c r="O1179" s="25">
        <f t="shared" si="361"/>
        <v>165960536623</v>
      </c>
      <c r="P1179" s="23">
        <v>779086770</v>
      </c>
      <c r="Q1179" s="23">
        <f>880062189+24045318645</f>
        <v>24925380834</v>
      </c>
      <c r="R1179" s="25">
        <f t="shared" si="362"/>
        <v>97748352412</v>
      </c>
      <c r="S1179" s="26">
        <f t="shared" si="363"/>
        <v>0.51514684187379189</v>
      </c>
      <c r="T1179" s="27">
        <f t="shared" si="364"/>
        <v>1.4694747622105695</v>
      </c>
      <c r="U1179" s="26">
        <f t="shared" si="365"/>
        <v>27.256526936013465</v>
      </c>
      <c r="V1179" s="26">
        <f t="shared" si="366"/>
        <v>0.36621937725628512</v>
      </c>
      <c r="W1179" s="143"/>
      <c r="X1179" s="143"/>
      <c r="Y1179" s="143"/>
      <c r="Z1179" s="30">
        <f t="shared" si="427"/>
        <v>0</v>
      </c>
      <c r="AA1179" s="31">
        <f t="shared" si="368"/>
        <v>21</v>
      </c>
      <c r="AB1179" s="32">
        <v>3.2500000000000001E-2</v>
      </c>
      <c r="AC1179" s="32">
        <v>5.0500000000000003E-2</v>
      </c>
      <c r="AD1179" s="33">
        <f t="shared" si="391"/>
        <v>0.2413490458767539</v>
      </c>
      <c r="AE1179" s="34">
        <f t="shared" si="392"/>
        <v>1.1329913268588649E-3</v>
      </c>
      <c r="AF1179" s="33">
        <f t="shared" si="393"/>
        <v>0.14215109248683533</v>
      </c>
      <c r="AG1179" s="33">
        <f t="shared" si="394"/>
        <v>0</v>
      </c>
      <c r="AH1179" s="35">
        <f t="shared" si="395"/>
        <v>0.34630702076347963</v>
      </c>
      <c r="AI1179" s="36">
        <f t="shared" si="374"/>
        <v>1.1066106688797432</v>
      </c>
      <c r="AJ1179" s="23"/>
      <c r="AK1179" s="158">
        <v>386</v>
      </c>
      <c r="AL1179" s="44"/>
      <c r="AM1179" s="44"/>
      <c r="AN1179" s="44"/>
      <c r="AO1179" s="44"/>
      <c r="AP1179" s="44"/>
      <c r="AQ1179" s="44"/>
      <c r="AR1179" s="44"/>
    </row>
    <row r="1180" spans="1:44" ht="16.8">
      <c r="A1180" s="64" t="s">
        <v>2469</v>
      </c>
      <c r="B1180" s="62">
        <v>458</v>
      </c>
      <c r="C1180" s="62" t="s">
        <v>2470</v>
      </c>
      <c r="D1180" s="19" t="s">
        <v>2471</v>
      </c>
      <c r="E1180" s="20" t="s">
        <v>414</v>
      </c>
      <c r="F1180" s="21">
        <v>2011</v>
      </c>
      <c r="G1180" s="40">
        <v>2021</v>
      </c>
      <c r="H1180" s="23">
        <v>16238689244477</v>
      </c>
      <c r="I1180" s="23">
        <v>37689325905725</v>
      </c>
      <c r="J1180" s="23">
        <v>29339761323132</v>
      </c>
      <c r="K1180" s="23">
        <f>(J1180+21173517662549)/2</f>
        <v>25256639492840.5</v>
      </c>
      <c r="L1180" s="23">
        <v>10197137592712</v>
      </c>
      <c r="M1180" s="23">
        <v>8349564582593</v>
      </c>
      <c r="N1180" s="23">
        <v>2618253996316</v>
      </c>
      <c r="O1180" s="25">
        <f t="shared" si="361"/>
        <v>6041551651765</v>
      </c>
      <c r="P1180" s="23">
        <v>1000342632216</v>
      </c>
      <c r="Q1180" s="23">
        <f>98413395312+369133623849</f>
        <v>467547019161</v>
      </c>
      <c r="R1180" s="25">
        <f t="shared" si="362"/>
        <v>2150706977155</v>
      </c>
      <c r="S1180" s="26">
        <f t="shared" si="363"/>
        <v>0.77846341419110643</v>
      </c>
      <c r="T1180" s="27">
        <f t="shared" si="364"/>
        <v>1.5924752507098618</v>
      </c>
      <c r="U1180" s="26">
        <f t="shared" si="365"/>
        <v>31.26039803781881</v>
      </c>
      <c r="V1180" s="26">
        <f t="shared" si="366"/>
        <v>0.10366596858850508</v>
      </c>
      <c r="W1180" s="143"/>
      <c r="X1180" s="143"/>
      <c r="Y1180" s="143"/>
      <c r="Z1180" s="30">
        <f t="shared" si="427"/>
        <v>0</v>
      </c>
      <c r="AA1180" s="31">
        <f t="shared" si="368"/>
        <v>10</v>
      </c>
      <c r="AB1180" s="32">
        <v>1.84E-2</v>
      </c>
      <c r="AC1180" s="32">
        <v>2.58E-2</v>
      </c>
      <c r="AD1180" s="33">
        <f t="shared" si="391"/>
        <v>0.16029874524360463</v>
      </c>
      <c r="AE1180" s="34">
        <f t="shared" si="392"/>
        <v>2.6541802172801617E-2</v>
      </c>
      <c r="AF1180" s="33">
        <f t="shared" si="393"/>
        <v>5.7064087124686622E-2</v>
      </c>
      <c r="AG1180" s="33">
        <f t="shared" si="394"/>
        <v>0</v>
      </c>
      <c r="AH1180" s="35">
        <f t="shared" si="395"/>
        <v>8.9239103463725891E-2</v>
      </c>
      <c r="AI1180" s="36">
        <f t="shared" si="374"/>
        <v>0.50706760830943953</v>
      </c>
      <c r="AJ1180" s="23"/>
      <c r="AK1180" s="158">
        <v>387</v>
      </c>
      <c r="AL1180" s="44"/>
      <c r="AM1180" s="44"/>
      <c r="AN1180" s="44"/>
      <c r="AO1180" s="44"/>
      <c r="AP1180" s="44"/>
      <c r="AQ1180" s="44"/>
      <c r="AR1180" s="44"/>
    </row>
    <row r="1181" spans="1:44" ht="16.8">
      <c r="A1181" s="64" t="s">
        <v>2472</v>
      </c>
      <c r="B1181" s="62"/>
      <c r="C1181" s="62" t="s">
        <v>2470</v>
      </c>
      <c r="D1181" s="19" t="s">
        <v>2471</v>
      </c>
      <c r="E1181" s="20" t="s">
        <v>414</v>
      </c>
      <c r="F1181" s="21">
        <v>2011</v>
      </c>
      <c r="G1181" s="40">
        <v>2022</v>
      </c>
      <c r="H1181" s="23">
        <v>17761709186975</v>
      </c>
      <c r="I1181" s="23">
        <v>43820407345276</v>
      </c>
      <c r="J1181" s="23">
        <v>30021280555257</v>
      </c>
      <c r="K1181" s="23">
        <f t="shared" ref="K1181:K1182" si="429">SUM(J1180:J1181)/2</f>
        <v>29680520939194.5</v>
      </c>
      <c r="L1181" s="23">
        <v>11380169032120</v>
      </c>
      <c r="M1181" s="23">
        <v>13799126790020</v>
      </c>
      <c r="N1181" s="23">
        <v>4595934767679</v>
      </c>
      <c r="O1181" s="25">
        <f t="shared" si="361"/>
        <v>6381540154855</v>
      </c>
      <c r="P1181" s="23">
        <v>540692752244</v>
      </c>
      <c r="Q1181" s="23">
        <f>215786591177+483455987491</f>
        <v>699242578668</v>
      </c>
      <c r="R1181" s="25">
        <f t="shared" si="362"/>
        <v>3896692189011</v>
      </c>
      <c r="S1181" s="26">
        <f t="shared" si="363"/>
        <v>0.68509816256861888</v>
      </c>
      <c r="T1181" s="27">
        <f t="shared" si="364"/>
        <v>1.5607596984582037</v>
      </c>
      <c r="U1181" s="26">
        <f t="shared" si="365"/>
        <v>31.411120745928425</v>
      </c>
      <c r="V1181" s="26">
        <f t="shared" si="366"/>
        <v>0.15484683631714347</v>
      </c>
      <c r="W1181" s="143"/>
      <c r="X1181" s="143"/>
      <c r="Y1181" s="143"/>
      <c r="Z1181" s="30">
        <f t="shared" si="427"/>
        <v>0</v>
      </c>
      <c r="AA1181" s="31">
        <f t="shared" si="368"/>
        <v>11</v>
      </c>
      <c r="AB1181" s="32">
        <v>3.15E-2</v>
      </c>
      <c r="AC1181" s="32">
        <v>8.0199999999999994E-2</v>
      </c>
      <c r="AD1181" s="33">
        <f t="shared" si="391"/>
        <v>0.14562941199000409</v>
      </c>
      <c r="AE1181" s="34">
        <f t="shared" si="392"/>
        <v>1.2338834460932702E-2</v>
      </c>
      <c r="AF1181" s="33">
        <f t="shared" si="393"/>
        <v>8.8924143454615273E-2</v>
      </c>
      <c r="AG1181" s="33">
        <f t="shared" si="394"/>
        <v>0</v>
      </c>
      <c r="AH1181" s="35">
        <f t="shared" si="395"/>
        <v>0.1530892314609881</v>
      </c>
      <c r="AI1181" s="36">
        <f t="shared" si="374"/>
        <v>0.63856856749452917</v>
      </c>
      <c r="AJ1181" s="23"/>
      <c r="AK1181" s="158">
        <v>388</v>
      </c>
      <c r="AL1181" s="44"/>
      <c r="AM1181" s="44"/>
      <c r="AN1181" s="44"/>
      <c r="AO1181" s="44"/>
      <c r="AP1181" s="44"/>
      <c r="AQ1181" s="44"/>
      <c r="AR1181" s="44"/>
    </row>
    <row r="1182" spans="1:44" ht="16.8">
      <c r="A1182" s="64" t="s">
        <v>2473</v>
      </c>
      <c r="B1182" s="62"/>
      <c r="C1182" s="62" t="s">
        <v>2470</v>
      </c>
      <c r="D1182" s="19" t="s">
        <v>2471</v>
      </c>
      <c r="E1182" s="20" t="s">
        <v>414</v>
      </c>
      <c r="F1182" s="21">
        <v>2011</v>
      </c>
      <c r="G1182" s="40">
        <v>2023</v>
      </c>
      <c r="H1182" s="23">
        <v>19478597669890</v>
      </c>
      <c r="I1182" s="23">
        <v>42009335122263</v>
      </c>
      <c r="J1182" s="23">
        <v>24541590941015</v>
      </c>
      <c r="K1182" s="23">
        <f t="shared" si="429"/>
        <v>27281435748136</v>
      </c>
      <c r="L1182" s="23">
        <v>12090231559815</v>
      </c>
      <c r="M1182" s="23">
        <v>17467744181248</v>
      </c>
      <c r="N1182" s="23">
        <v>4112374748419</v>
      </c>
      <c r="O1182" s="25">
        <f t="shared" si="361"/>
        <v>7388366110075</v>
      </c>
      <c r="P1182" s="23">
        <v>171077335293</v>
      </c>
      <c r="Q1182" s="23">
        <f>192306085574+449868785732</f>
        <v>642174871306</v>
      </c>
      <c r="R1182" s="25">
        <f t="shared" si="362"/>
        <v>3470199877113</v>
      </c>
      <c r="S1182" s="26">
        <f t="shared" si="363"/>
        <v>0.58419374811788194</v>
      </c>
      <c r="T1182" s="27">
        <f t="shared" si="364"/>
        <v>1.6111021177321483</v>
      </c>
      <c r="U1182" s="26">
        <f t="shared" si="365"/>
        <v>31.368912974330538</v>
      </c>
      <c r="V1182" s="26">
        <f t="shared" si="366"/>
        <v>0.15073894154195963</v>
      </c>
      <c r="W1182" s="143"/>
      <c r="X1182" s="143"/>
      <c r="Y1182" s="143"/>
      <c r="Z1182" s="30">
        <f t="shared" si="427"/>
        <v>0</v>
      </c>
      <c r="AA1182" s="31">
        <f t="shared" si="368"/>
        <v>12</v>
      </c>
      <c r="AB1182" s="32">
        <v>3.2500000000000001E-2</v>
      </c>
      <c r="AC1182" s="32">
        <v>5.0500000000000003E-2</v>
      </c>
      <c r="AD1182" s="33">
        <f t="shared" si="391"/>
        <v>0.17587438812283199</v>
      </c>
      <c r="AE1182" s="34">
        <f t="shared" si="392"/>
        <v>4.0723647445288164E-3</v>
      </c>
      <c r="AF1182" s="33">
        <f t="shared" si="393"/>
        <v>8.2605446313620781E-2</v>
      </c>
      <c r="AG1182" s="33">
        <f t="shared" si="394"/>
        <v>0</v>
      </c>
      <c r="AH1182" s="35">
        <f t="shared" si="395"/>
        <v>0.16756756961286548</v>
      </c>
      <c r="AI1182" s="36">
        <f t="shared" si="374"/>
        <v>0.65691611883755274</v>
      </c>
      <c r="AJ1182" s="23"/>
      <c r="AK1182" s="158">
        <v>389</v>
      </c>
      <c r="AL1182" s="44"/>
      <c r="AM1182" s="44"/>
      <c r="AN1182" s="44"/>
      <c r="AO1182" s="44"/>
      <c r="AP1182" s="44"/>
      <c r="AQ1182" s="44"/>
      <c r="AR1182" s="44"/>
    </row>
    <row r="1183" spans="1:44" ht="16.8">
      <c r="A1183" s="64" t="s">
        <v>2474</v>
      </c>
      <c r="B1183" s="62">
        <v>460</v>
      </c>
      <c r="C1183" s="62" t="s">
        <v>2475</v>
      </c>
      <c r="D1183" s="19" t="s">
        <v>2476</v>
      </c>
      <c r="E1183" s="20" t="s">
        <v>414</v>
      </c>
      <c r="F1183" s="21">
        <v>1973</v>
      </c>
      <c r="G1183" s="40">
        <v>2021</v>
      </c>
      <c r="H1183" s="23">
        <v>3044872410581</v>
      </c>
      <c r="I1183" s="23">
        <v>3854080063879</v>
      </c>
      <c r="J1183" s="23">
        <v>2492109264299</v>
      </c>
      <c r="K1183" s="23">
        <f>(J1183+1849444802121)/2</f>
        <v>2170777033210</v>
      </c>
      <c r="L1183" s="23">
        <v>2441142622433</v>
      </c>
      <c r="M1183" s="23">
        <v>1361970799580</v>
      </c>
      <c r="N1183" s="23">
        <v>7882004656693</v>
      </c>
      <c r="O1183" s="25">
        <f t="shared" si="361"/>
        <v>603729788148</v>
      </c>
      <c r="P1183" s="23">
        <v>296756528445</v>
      </c>
      <c r="Q1183" s="23">
        <f>291714253578+164574775238</f>
        <v>456289028816</v>
      </c>
      <c r="R1183" s="25">
        <f t="shared" si="362"/>
        <v>7425715627877</v>
      </c>
      <c r="S1183" s="26">
        <f t="shared" si="363"/>
        <v>0.64661585203053029</v>
      </c>
      <c r="T1183" s="27">
        <f t="shared" si="364"/>
        <v>1.247314426695104</v>
      </c>
      <c r="U1183" s="26">
        <f t="shared" si="365"/>
        <v>28.980153459934055</v>
      </c>
      <c r="V1183" s="26">
        <f t="shared" si="366"/>
        <v>3.6309600369401451</v>
      </c>
      <c r="W1183" s="143"/>
      <c r="X1183" s="143"/>
      <c r="Y1183" s="143"/>
      <c r="Z1183" s="30">
        <f t="shared" si="427"/>
        <v>0</v>
      </c>
      <c r="AA1183" s="31">
        <f t="shared" si="368"/>
        <v>48</v>
      </c>
      <c r="AB1183" s="32">
        <v>1.84E-2</v>
      </c>
      <c r="AC1183" s="32">
        <v>2.58E-2</v>
      </c>
      <c r="AD1183" s="33">
        <f t="shared" si="391"/>
        <v>0.15664692433513344</v>
      </c>
      <c r="AE1183" s="34">
        <f t="shared" si="392"/>
        <v>7.6998018600144158E-2</v>
      </c>
      <c r="AF1183" s="33">
        <f t="shared" si="393"/>
        <v>1.9267154560362898</v>
      </c>
      <c r="AG1183" s="33">
        <f t="shared" si="394"/>
        <v>0</v>
      </c>
      <c r="AH1183" s="35">
        <f t="shared" si="395"/>
        <v>3.1627845414354705</v>
      </c>
      <c r="AI1183" s="36">
        <f t="shared" si="374"/>
        <v>9.8167190815975882</v>
      </c>
      <c r="AJ1183" s="23"/>
      <c r="AK1183" s="158">
        <v>391</v>
      </c>
      <c r="AL1183" s="44"/>
      <c r="AM1183" s="44"/>
      <c r="AN1183" s="44"/>
      <c r="AO1183" s="44"/>
      <c r="AP1183" s="44"/>
      <c r="AQ1183" s="44"/>
      <c r="AR1183" s="44"/>
    </row>
    <row r="1184" spans="1:44" ht="16.8">
      <c r="A1184" s="64" t="s">
        <v>2477</v>
      </c>
      <c r="B1184" s="62"/>
      <c r="C1184" s="62" t="s">
        <v>2475</v>
      </c>
      <c r="D1184" s="19" t="s">
        <v>2476</v>
      </c>
      <c r="E1184" s="20" t="s">
        <v>414</v>
      </c>
      <c r="F1184" s="21">
        <v>1973</v>
      </c>
      <c r="G1184" s="40">
        <v>2022</v>
      </c>
      <c r="H1184" s="23">
        <v>3486914435132</v>
      </c>
      <c r="I1184" s="23">
        <v>4299656387184</v>
      </c>
      <c r="J1184" s="23">
        <v>2939465557161</v>
      </c>
      <c r="K1184" s="23">
        <f t="shared" ref="K1184:K1185" si="430">SUM(J1183:J1184)/2</f>
        <v>2715787410730</v>
      </c>
      <c r="L1184" s="23">
        <v>2917765290534</v>
      </c>
      <c r="M1184" s="23">
        <v>1360190830023</v>
      </c>
      <c r="N1184" s="23">
        <v>8706682357843</v>
      </c>
      <c r="O1184" s="25">
        <f t="shared" si="361"/>
        <v>569149144598</v>
      </c>
      <c r="P1184" s="23">
        <v>193463543209</v>
      </c>
      <c r="Q1184" s="23">
        <f>347239375699+164258019428</f>
        <v>511497395127</v>
      </c>
      <c r="R1184" s="25">
        <f t="shared" si="362"/>
        <v>8195184962716</v>
      </c>
      <c r="S1184" s="26">
        <f t="shared" si="363"/>
        <v>0.68365127174410367</v>
      </c>
      <c r="T1184" s="27">
        <f t="shared" si="364"/>
        <v>1.1950633748521411</v>
      </c>
      <c r="U1184" s="26">
        <f t="shared" si="365"/>
        <v>29.089556225477885</v>
      </c>
      <c r="V1184" s="26">
        <f t="shared" si="366"/>
        <v>3.2059513655020058</v>
      </c>
      <c r="W1184" s="143"/>
      <c r="X1184" s="143"/>
      <c r="Y1184" s="143"/>
      <c r="Z1184" s="30">
        <f t="shared" si="427"/>
        <v>0</v>
      </c>
      <c r="AA1184" s="31">
        <f t="shared" si="368"/>
        <v>49</v>
      </c>
      <c r="AB1184" s="32">
        <v>3.15E-2</v>
      </c>
      <c r="AC1184" s="32">
        <v>8.0199999999999994E-2</v>
      </c>
      <c r="AD1184" s="33">
        <f t="shared" si="391"/>
        <v>0.13237084393405593</v>
      </c>
      <c r="AE1184" s="34">
        <f t="shared" si="392"/>
        <v>4.4995117234404455E-2</v>
      </c>
      <c r="AF1184" s="33">
        <f t="shared" si="393"/>
        <v>1.9060092771932695</v>
      </c>
      <c r="AG1184" s="33">
        <f t="shared" si="394"/>
        <v>0</v>
      </c>
      <c r="AH1184" s="35">
        <f t="shared" si="395"/>
        <v>2.9619950254671816</v>
      </c>
      <c r="AI1184" s="36">
        <f t="shared" si="374"/>
        <v>9.4736638170540033</v>
      </c>
      <c r="AJ1184" s="23"/>
      <c r="AK1184" s="158">
        <v>392</v>
      </c>
      <c r="AL1184" s="44"/>
      <c r="AM1184" s="44"/>
      <c r="AN1184" s="44"/>
      <c r="AO1184" s="44"/>
      <c r="AP1184" s="44"/>
      <c r="AQ1184" s="44"/>
      <c r="AR1184" s="44"/>
    </row>
    <row r="1185" spans="1:44" ht="16.8">
      <c r="A1185" s="64" t="s">
        <v>2478</v>
      </c>
      <c r="B1185" s="62"/>
      <c r="C1185" s="62" t="s">
        <v>2475</v>
      </c>
      <c r="D1185" s="19" t="s">
        <v>2476</v>
      </c>
      <c r="E1185" s="20" t="s">
        <v>414</v>
      </c>
      <c r="F1185" s="21">
        <v>1973</v>
      </c>
      <c r="G1185" s="40">
        <v>2023</v>
      </c>
      <c r="H1185" s="23">
        <v>2743330306053</v>
      </c>
      <c r="I1185" s="23">
        <v>3454647947598</v>
      </c>
      <c r="J1185" s="23">
        <v>2168890124722</v>
      </c>
      <c r="K1185" s="23">
        <f t="shared" si="430"/>
        <v>2554177840941.5</v>
      </c>
      <c r="L1185" s="23">
        <v>2159289937729</v>
      </c>
      <c r="M1185" s="23">
        <v>1285757822876</v>
      </c>
      <c r="N1185" s="23">
        <v>8706345659025</v>
      </c>
      <c r="O1185" s="25">
        <f t="shared" si="361"/>
        <v>584040368324</v>
      </c>
      <c r="P1185" s="23">
        <v>134817816000</v>
      </c>
      <c r="Q1185" s="23">
        <f>423662994344+165628465529</f>
        <v>589291459873</v>
      </c>
      <c r="R1185" s="25">
        <f t="shared" si="362"/>
        <v>8117054199152</v>
      </c>
      <c r="S1185" s="26">
        <f t="shared" si="363"/>
        <v>0.62781798829313962</v>
      </c>
      <c r="T1185" s="27">
        <f t="shared" si="364"/>
        <v>1.2704779743188428</v>
      </c>
      <c r="U1185" s="26">
        <f t="shared" si="365"/>
        <v>28.870741671457971</v>
      </c>
      <c r="V1185" s="26">
        <f t="shared" si="366"/>
        <v>3.4086685427572805</v>
      </c>
      <c r="W1185" s="143"/>
      <c r="X1185" s="143"/>
      <c r="Y1185" s="143"/>
      <c r="Z1185" s="30">
        <f t="shared" si="427"/>
        <v>0</v>
      </c>
      <c r="AA1185" s="31">
        <f t="shared" si="368"/>
        <v>50</v>
      </c>
      <c r="AB1185" s="32">
        <v>3.2500000000000001E-2</v>
      </c>
      <c r="AC1185" s="32">
        <v>5.0500000000000003E-2</v>
      </c>
      <c r="AD1185" s="33">
        <f t="shared" si="391"/>
        <v>0.1690593013189898</v>
      </c>
      <c r="AE1185" s="34">
        <f t="shared" si="392"/>
        <v>3.9025052058846744E-2</v>
      </c>
      <c r="AF1185" s="33">
        <f t="shared" si="393"/>
        <v>2.3496038734701603</v>
      </c>
      <c r="AG1185" s="33">
        <f t="shared" si="394"/>
        <v>0</v>
      </c>
      <c r="AH1185" s="35">
        <f t="shared" si="395"/>
        <v>4.0141939694344568</v>
      </c>
      <c r="AI1185" s="36">
        <f t="shared" si="374"/>
        <v>12.025392986351159</v>
      </c>
      <c r="AJ1185" s="23"/>
      <c r="AK1185" s="158">
        <v>393</v>
      </c>
      <c r="AL1185" s="44"/>
      <c r="AM1185" s="44"/>
      <c r="AN1185" s="44"/>
      <c r="AO1185" s="44"/>
      <c r="AP1185" s="44"/>
      <c r="AQ1185" s="44"/>
      <c r="AR1185" s="44"/>
    </row>
    <row r="1186" spans="1:44" ht="16.8">
      <c r="A1186" s="64" t="s">
        <v>2479</v>
      </c>
      <c r="B1186" s="62">
        <v>462</v>
      </c>
      <c r="C1186" s="62" t="s">
        <v>2480</v>
      </c>
      <c r="D1186" s="19" t="s">
        <v>2481</v>
      </c>
      <c r="E1186" s="20" t="s">
        <v>414</v>
      </c>
      <c r="F1186" s="21">
        <v>1890</v>
      </c>
      <c r="G1186" s="40">
        <v>2021</v>
      </c>
      <c r="H1186" s="23">
        <v>4341875502440</v>
      </c>
      <c r="I1186" s="23">
        <v>7087729500362</v>
      </c>
      <c r="J1186" s="23">
        <v>2252851201633</v>
      </c>
      <c r="K1186" s="23">
        <f>(J1186+1948544585402)/2</f>
        <v>2100697893517.5</v>
      </c>
      <c r="L1186" s="23">
        <v>2104987465003</v>
      </c>
      <c r="M1186" s="23">
        <v>4834878298729</v>
      </c>
      <c r="N1186" s="23">
        <v>7053412626997</v>
      </c>
      <c r="O1186" s="25">
        <f t="shared" si="361"/>
        <v>2236888037437</v>
      </c>
      <c r="P1186" s="23">
        <v>324172819885</v>
      </c>
      <c r="Q1186" s="23">
        <f>989045745823+441868306679</f>
        <v>1430914052502</v>
      </c>
      <c r="R1186" s="25">
        <f t="shared" si="362"/>
        <v>5622498574495</v>
      </c>
      <c r="S1186" s="26">
        <f t="shared" si="363"/>
        <v>0.31785231102822664</v>
      </c>
      <c r="T1186" s="27">
        <f t="shared" si="364"/>
        <v>2.0626609776195566</v>
      </c>
      <c r="U1186" s="26">
        <f t="shared" si="365"/>
        <v>29.589386165461622</v>
      </c>
      <c r="V1186" s="26">
        <f t="shared" si="366"/>
        <v>3.3576520682783468</v>
      </c>
      <c r="W1186" s="143"/>
      <c r="X1186" s="143"/>
      <c r="Y1186" s="143"/>
      <c r="Z1186" s="30">
        <f t="shared" si="427"/>
        <v>0</v>
      </c>
      <c r="AA1186" s="31">
        <f t="shared" si="368"/>
        <v>131</v>
      </c>
      <c r="AB1186" s="32">
        <v>1.84E-2</v>
      </c>
      <c r="AC1186" s="32">
        <v>2.58E-2</v>
      </c>
      <c r="AD1186" s="33">
        <f t="shared" si="391"/>
        <v>0.3156000856582849</v>
      </c>
      <c r="AE1186" s="34">
        <f t="shared" si="392"/>
        <v>4.5737188456252902E-2</v>
      </c>
      <c r="AF1186" s="33">
        <f t="shared" si="393"/>
        <v>0.79327217188633337</v>
      </c>
      <c r="AG1186" s="33">
        <f t="shared" si="394"/>
        <v>0</v>
      </c>
      <c r="AH1186" s="35">
        <f t="shared" si="395"/>
        <v>3.1308825997403948</v>
      </c>
      <c r="AI1186" s="36">
        <f t="shared" si="374"/>
        <v>6.1914329335939904</v>
      </c>
      <c r="AJ1186" s="23"/>
      <c r="AK1186" s="158">
        <v>395</v>
      </c>
      <c r="AL1186" s="44"/>
      <c r="AM1186" s="44"/>
      <c r="AN1186" s="44"/>
      <c r="AO1186" s="44"/>
      <c r="AP1186" s="44"/>
      <c r="AQ1186" s="44"/>
      <c r="AR1186" s="44"/>
    </row>
    <row r="1187" spans="1:44" ht="16.8">
      <c r="A1187" s="64" t="s">
        <v>2482</v>
      </c>
      <c r="B1187" s="62"/>
      <c r="C1187" s="62" t="s">
        <v>2480</v>
      </c>
      <c r="D1187" s="19" t="s">
        <v>2481</v>
      </c>
      <c r="E1187" s="20" t="s">
        <v>414</v>
      </c>
      <c r="F1187" s="21">
        <v>1890</v>
      </c>
      <c r="G1187" s="40">
        <v>2022</v>
      </c>
      <c r="H1187" s="23">
        <v>4843308708749</v>
      </c>
      <c r="I1187" s="23">
        <v>7233178229846</v>
      </c>
      <c r="J1187" s="23">
        <v>1928324905822</v>
      </c>
      <c r="K1187" s="23">
        <f t="shared" ref="K1187:K1188" si="431">SUM(J1186:J1187)/2</f>
        <v>2090588053727.5</v>
      </c>
      <c r="L1187" s="23">
        <v>1815508334712</v>
      </c>
      <c r="M1187" s="23">
        <v>5304853324024</v>
      </c>
      <c r="N1187" s="23">
        <v>8525435643781</v>
      </c>
      <c r="O1187" s="25">
        <f t="shared" si="361"/>
        <v>3027800374037</v>
      </c>
      <c r="P1187" s="23">
        <v>502769144525</v>
      </c>
      <c r="Q1187" s="23">
        <f>1289350725768+554221803654</f>
        <v>1843572529422</v>
      </c>
      <c r="R1187" s="25">
        <f t="shared" si="362"/>
        <v>6681863114359</v>
      </c>
      <c r="S1187" s="26">
        <f t="shared" si="363"/>
        <v>0.26659441320901278</v>
      </c>
      <c r="T1187" s="27">
        <f t="shared" si="364"/>
        <v>2.6677424807952259</v>
      </c>
      <c r="U1187" s="26">
        <f t="shared" si="365"/>
        <v>29.609699644698516</v>
      </c>
      <c r="V1187" s="26">
        <f t="shared" si="366"/>
        <v>4.0780083998759222</v>
      </c>
      <c r="W1187" s="143"/>
      <c r="X1187" s="143"/>
      <c r="Y1187" s="143"/>
      <c r="Z1187" s="30">
        <f t="shared" si="427"/>
        <v>0</v>
      </c>
      <c r="AA1187" s="31">
        <f t="shared" si="368"/>
        <v>132</v>
      </c>
      <c r="AB1187" s="32">
        <v>3.15E-2</v>
      </c>
      <c r="AC1187" s="32">
        <v>8.0199999999999994E-2</v>
      </c>
      <c r="AD1187" s="33">
        <f t="shared" si="391"/>
        <v>0.41859888942643464</v>
      </c>
      <c r="AE1187" s="34">
        <f t="shared" si="392"/>
        <v>6.9508745471035402E-2</v>
      </c>
      <c r="AF1187" s="33">
        <f t="shared" si="393"/>
        <v>0.92377968605665928</v>
      </c>
      <c r="AG1187" s="33">
        <f t="shared" si="394"/>
        <v>0</v>
      </c>
      <c r="AH1187" s="35">
        <f t="shared" si="395"/>
        <v>4.421161401816156</v>
      </c>
      <c r="AI1187" s="36">
        <f t="shared" si="374"/>
        <v>8.0692652767743027</v>
      </c>
      <c r="AJ1187" s="23"/>
      <c r="AK1187" s="158">
        <v>396</v>
      </c>
      <c r="AL1187" s="44"/>
      <c r="AM1187" s="44"/>
      <c r="AN1187" s="44"/>
      <c r="AO1187" s="44"/>
      <c r="AP1187" s="44"/>
      <c r="AQ1187" s="44"/>
      <c r="AR1187" s="44"/>
    </row>
    <row r="1188" spans="1:44" ht="16.8">
      <c r="A1188" s="64" t="s">
        <v>2483</v>
      </c>
      <c r="B1188" s="62"/>
      <c r="C1188" s="62" t="s">
        <v>2480</v>
      </c>
      <c r="D1188" s="19" t="s">
        <v>2481</v>
      </c>
      <c r="E1188" s="20" t="s">
        <v>414</v>
      </c>
      <c r="F1188" s="21">
        <v>1890</v>
      </c>
      <c r="G1188" s="40">
        <v>2023</v>
      </c>
      <c r="H1188" s="23">
        <v>5135871007030</v>
      </c>
      <c r="I1188" s="23">
        <v>7149981347305</v>
      </c>
      <c r="J1188" s="23">
        <v>1842472207856</v>
      </c>
      <c r="K1188" s="23">
        <f t="shared" si="431"/>
        <v>1885398556839</v>
      </c>
      <c r="L1188" s="23">
        <v>1726342324471</v>
      </c>
      <c r="M1188" s="23">
        <v>5307509139449</v>
      </c>
      <c r="N1188" s="23">
        <v>7900964462916</v>
      </c>
      <c r="O1188" s="25">
        <f t="shared" si="361"/>
        <v>3409528682559</v>
      </c>
      <c r="P1188" s="23">
        <v>354684835160</v>
      </c>
      <c r="Q1188" s="23">
        <f>1201367368741+507108723263</f>
        <v>1708476092004</v>
      </c>
      <c r="R1188" s="25">
        <f t="shared" si="362"/>
        <v>6192488370912</v>
      </c>
      <c r="S1188" s="26">
        <f t="shared" si="363"/>
        <v>0.25768909293035736</v>
      </c>
      <c r="T1188" s="27">
        <f t="shared" si="364"/>
        <v>2.9750015012832267</v>
      </c>
      <c r="U1188" s="26">
        <f t="shared" si="365"/>
        <v>29.598130863862529</v>
      </c>
      <c r="V1188" s="26">
        <f t="shared" si="366"/>
        <v>4.1906070386319323</v>
      </c>
      <c r="W1188" s="143"/>
      <c r="X1188" s="143"/>
      <c r="Y1188" s="143"/>
      <c r="Z1188" s="30">
        <f t="shared" si="427"/>
        <v>0</v>
      </c>
      <c r="AA1188" s="31">
        <f t="shared" si="368"/>
        <v>133</v>
      </c>
      <c r="AB1188" s="32">
        <v>3.2500000000000001E-2</v>
      </c>
      <c r="AC1188" s="32">
        <v>5.0500000000000003E-2</v>
      </c>
      <c r="AD1188" s="33">
        <f t="shared" si="391"/>
        <v>0.47685840241305433</v>
      </c>
      <c r="AE1188" s="34">
        <f t="shared" si="392"/>
        <v>4.9606400063363698E-2</v>
      </c>
      <c r="AF1188" s="33">
        <f t="shared" si="393"/>
        <v>0.86608454905215915</v>
      </c>
      <c r="AG1188" s="33">
        <f t="shared" si="394"/>
        <v>0</v>
      </c>
      <c r="AH1188" s="35">
        <f t="shared" si="395"/>
        <v>4.2882407828066986</v>
      </c>
      <c r="AI1188" s="36">
        <f t="shared" si="374"/>
        <v>7.7879988376631974</v>
      </c>
      <c r="AJ1188" s="23"/>
      <c r="AK1188" s="158">
        <v>397</v>
      </c>
      <c r="AL1188" s="44"/>
      <c r="AM1188" s="44"/>
      <c r="AN1188" s="44"/>
      <c r="AO1188" s="44"/>
      <c r="AP1188" s="44"/>
      <c r="AQ1188" s="44"/>
      <c r="AR1188" s="44"/>
    </row>
    <row r="1189" spans="1:44" ht="16.8">
      <c r="A1189" s="64" t="s">
        <v>2484</v>
      </c>
      <c r="B1189" s="62">
        <v>464</v>
      </c>
      <c r="C1189" s="62" t="s">
        <v>2485</v>
      </c>
      <c r="D1189" s="19" t="s">
        <v>2486</v>
      </c>
      <c r="E1189" s="20" t="s">
        <v>414</v>
      </c>
      <c r="F1189" s="21">
        <v>1999</v>
      </c>
      <c r="G1189" s="40">
        <v>2021</v>
      </c>
      <c r="H1189" s="23">
        <v>5200103928530</v>
      </c>
      <c r="I1189" s="23">
        <v>6044474081220</v>
      </c>
      <c r="J1189" s="23">
        <v>3468983953129</v>
      </c>
      <c r="K1189" s="23">
        <f>(J1189+3393495394383)/2</f>
        <v>3431239673756</v>
      </c>
      <c r="L1189" s="23">
        <v>3459312475673</v>
      </c>
      <c r="M1189" s="23">
        <v>2575490128091</v>
      </c>
      <c r="N1189" s="23">
        <v>2155106755219</v>
      </c>
      <c r="O1189" s="25">
        <f t="shared" si="361"/>
        <v>1740791452857</v>
      </c>
      <c r="P1189" s="23">
        <v>400113456473</v>
      </c>
      <c r="Q1189" s="23">
        <v>472802771733</v>
      </c>
      <c r="R1189" s="25">
        <f t="shared" si="362"/>
        <v>1682303983486</v>
      </c>
      <c r="S1189" s="26">
        <f t="shared" si="363"/>
        <v>0.57390997240058139</v>
      </c>
      <c r="T1189" s="27">
        <f t="shared" si="364"/>
        <v>1.5032189098552982</v>
      </c>
      <c r="U1189" s="26">
        <f t="shared" si="365"/>
        <v>29.430165595585219</v>
      </c>
      <c r="V1189" s="26">
        <f t="shared" si="366"/>
        <v>0.6280840046536057</v>
      </c>
      <c r="W1189" s="143"/>
      <c r="X1189" s="143"/>
      <c r="Y1189" s="143"/>
      <c r="Z1189" s="30">
        <f t="shared" si="427"/>
        <v>0</v>
      </c>
      <c r="AA1189" s="31">
        <f t="shared" si="368"/>
        <v>22</v>
      </c>
      <c r="AB1189" s="32">
        <v>1.84E-2</v>
      </c>
      <c r="AC1189" s="32">
        <v>2.58E-2</v>
      </c>
      <c r="AD1189" s="33">
        <f t="shared" si="391"/>
        <v>0.28799717385927537</v>
      </c>
      <c r="AE1189" s="34">
        <f t="shared" si="392"/>
        <v>6.6194916397464679E-2</v>
      </c>
      <c r="AF1189" s="33">
        <f t="shared" si="393"/>
        <v>0.27832098556148466</v>
      </c>
      <c r="AG1189" s="33">
        <f t="shared" si="394"/>
        <v>0</v>
      </c>
      <c r="AH1189" s="35">
        <f t="shared" si="395"/>
        <v>0.621250136736755</v>
      </c>
      <c r="AI1189" s="36">
        <f t="shared" si="374"/>
        <v>1.9779788806772354</v>
      </c>
      <c r="AJ1189" s="23"/>
      <c r="AK1189" s="158">
        <v>399</v>
      </c>
      <c r="AL1189" s="44"/>
      <c r="AM1189" s="44"/>
      <c r="AN1189" s="44"/>
      <c r="AO1189" s="44"/>
      <c r="AP1189" s="44"/>
      <c r="AQ1189" s="44"/>
      <c r="AR1189" s="44"/>
    </row>
    <row r="1190" spans="1:44" ht="16.8">
      <c r="A1190" s="64" t="s">
        <v>2487</v>
      </c>
      <c r="B1190" s="62"/>
      <c r="C1190" s="62" t="s">
        <v>2485</v>
      </c>
      <c r="D1190" s="19" t="s">
        <v>2486</v>
      </c>
      <c r="E1190" s="20" t="s">
        <v>414</v>
      </c>
      <c r="F1190" s="21">
        <v>1999</v>
      </c>
      <c r="G1190" s="40">
        <v>2022</v>
      </c>
      <c r="H1190" s="23">
        <v>5896969002731</v>
      </c>
      <c r="I1190" s="23">
        <v>6656455896995</v>
      </c>
      <c r="J1190" s="23">
        <v>4058086622878</v>
      </c>
      <c r="K1190" s="23">
        <f>SUM(J1189:J1190)/2</f>
        <v>3763535288003.5</v>
      </c>
      <c r="L1190" s="23">
        <v>4054794428691</v>
      </c>
      <c r="M1190" s="23">
        <v>2598369274117</v>
      </c>
      <c r="N1190" s="23">
        <v>2654506923745</v>
      </c>
      <c r="O1190" s="25">
        <f t="shared" si="361"/>
        <v>1842174574040</v>
      </c>
      <c r="P1190" s="23">
        <v>318235150428</v>
      </c>
      <c r="Q1190" s="23">
        <v>533562090716</v>
      </c>
      <c r="R1190" s="25">
        <f t="shared" si="362"/>
        <v>2120944833029</v>
      </c>
      <c r="S1190" s="26">
        <f t="shared" si="363"/>
        <v>0.60964673779480583</v>
      </c>
      <c r="T1190" s="27">
        <f t="shared" si="364"/>
        <v>1.4543200910519907</v>
      </c>
      <c r="U1190" s="26">
        <f t="shared" si="365"/>
        <v>29.526608311241713</v>
      </c>
      <c r="V1190" s="26">
        <f t="shared" si="366"/>
        <v>0.70532271404665814</v>
      </c>
      <c r="W1190" s="143"/>
      <c r="X1190" s="143"/>
      <c r="Y1190" s="143"/>
      <c r="Z1190" s="30">
        <f t="shared" si="427"/>
        <v>0</v>
      </c>
      <c r="AA1190" s="31">
        <f t="shared" si="368"/>
        <v>23</v>
      </c>
      <c r="AB1190" s="32">
        <v>3.15E-2</v>
      </c>
      <c r="AC1190" s="32">
        <v>8.0199999999999994E-2</v>
      </c>
      <c r="AD1190" s="33">
        <f t="shared" si="391"/>
        <v>0.27675006077507913</v>
      </c>
      <c r="AE1190" s="34">
        <f t="shared" si="392"/>
        <v>4.780849679657076E-2</v>
      </c>
      <c r="AF1190" s="33">
        <f t="shared" si="393"/>
        <v>0.31862974319209153</v>
      </c>
      <c r="AG1190" s="33">
        <f t="shared" si="394"/>
        <v>0</v>
      </c>
      <c r="AH1190" s="35">
        <f t="shared" si="395"/>
        <v>0.65412771348444509</v>
      </c>
      <c r="AI1190" s="36">
        <f t="shared" si="374"/>
        <v>2.1046378344636412</v>
      </c>
      <c r="AJ1190" s="23"/>
      <c r="AK1190" s="158">
        <v>400</v>
      </c>
      <c r="AL1190" s="44"/>
      <c r="AM1190" s="44"/>
      <c r="AN1190" s="44"/>
      <c r="AO1190" s="44"/>
      <c r="AP1190" s="44"/>
      <c r="AQ1190" s="44"/>
      <c r="AR1190" s="44"/>
    </row>
    <row r="1191" spans="1:44" ht="16.8">
      <c r="A1191" s="64" t="s">
        <v>2488</v>
      </c>
      <c r="B1191" s="62"/>
      <c r="C1191" s="62" t="s">
        <v>2485</v>
      </c>
      <c r="D1191" s="19" t="s">
        <v>2486</v>
      </c>
      <c r="E1191" s="20" t="s">
        <v>414</v>
      </c>
      <c r="F1191" s="21">
        <v>1999</v>
      </c>
      <c r="G1191" s="40">
        <v>2023</v>
      </c>
      <c r="H1191" s="23">
        <v>6853000653912</v>
      </c>
      <c r="I1191" s="23">
        <v>7550245803469</v>
      </c>
      <c r="J1191" s="23">
        <v>4766256496518</v>
      </c>
      <c r="K1191" s="23">
        <f>(J1191+4068712285220)/2</f>
        <v>4417484390869</v>
      </c>
      <c r="L1191" s="23">
        <v>4761920591151</v>
      </c>
      <c r="M1191" s="23">
        <v>2783989306951</v>
      </c>
      <c r="N1191" s="23">
        <v>3630067773740</v>
      </c>
      <c r="O1191" s="25">
        <f t="shared" si="361"/>
        <v>2091080062761</v>
      </c>
      <c r="P1191" s="23">
        <v>456048422949</v>
      </c>
      <c r="Q1191" s="23">
        <f>704205824987</f>
        <v>704205824987</v>
      </c>
      <c r="R1191" s="25">
        <f t="shared" si="362"/>
        <v>2925861948753</v>
      </c>
      <c r="S1191" s="26">
        <f t="shared" si="363"/>
        <v>0.63127169903900593</v>
      </c>
      <c r="T1191" s="27">
        <f t="shared" si="364"/>
        <v>1.4391253534649067</v>
      </c>
      <c r="U1191" s="26">
        <f t="shared" si="365"/>
        <v>29.652601235410383</v>
      </c>
      <c r="V1191" s="26">
        <f t="shared" si="366"/>
        <v>0.82174999446368147</v>
      </c>
      <c r="W1191" s="143"/>
      <c r="X1191" s="143"/>
      <c r="Y1191" s="143"/>
      <c r="Z1191" s="30">
        <f t="shared" si="427"/>
        <v>0</v>
      </c>
      <c r="AA1191" s="31">
        <f t="shared" si="368"/>
        <v>24</v>
      </c>
      <c r="AB1191" s="32">
        <v>3.2500000000000001E-2</v>
      </c>
      <c r="AC1191" s="32">
        <v>5.0500000000000003E-2</v>
      </c>
      <c r="AD1191" s="33">
        <f t="shared" si="391"/>
        <v>0.27695522996088978</v>
      </c>
      <c r="AE1191" s="34">
        <f t="shared" si="392"/>
        <v>6.0401798142712938E-2</v>
      </c>
      <c r="AF1191" s="33">
        <f t="shared" si="393"/>
        <v>0.38751876758882436</v>
      </c>
      <c r="AG1191" s="33">
        <f t="shared" si="394"/>
        <v>0</v>
      </c>
      <c r="AH1191" s="35">
        <f t="shared" si="395"/>
        <v>0.76161821681060482</v>
      </c>
      <c r="AI1191" s="36">
        <f t="shared" si="374"/>
        <v>2.4573389432065911</v>
      </c>
      <c r="AJ1191" s="23"/>
      <c r="AK1191" s="158">
        <v>401</v>
      </c>
      <c r="AL1191" s="44"/>
      <c r="AM1191" s="44"/>
      <c r="AN1191" s="44"/>
      <c r="AO1191" s="44"/>
      <c r="AP1191" s="44"/>
      <c r="AQ1191" s="44"/>
      <c r="AR1191" s="44"/>
    </row>
    <row r="1192" spans="1:44" ht="16.8">
      <c r="A1192" s="64" t="s">
        <v>2489</v>
      </c>
      <c r="B1192" s="62">
        <v>465</v>
      </c>
      <c r="C1192" s="62" t="s">
        <v>2490</v>
      </c>
      <c r="D1192" s="19" t="s">
        <v>2491</v>
      </c>
      <c r="E1192" s="20" t="s">
        <v>414</v>
      </c>
      <c r="F1192" s="21">
        <v>1957</v>
      </c>
      <c r="G1192" s="40">
        <v>2021</v>
      </c>
      <c r="H1192" s="23">
        <f>(12660583+68851444+135940229)*1000000</f>
        <v>217452256000000</v>
      </c>
      <c r="I1192" s="23">
        <v>1761695792000000</v>
      </c>
      <c r="J1192" s="23">
        <v>1675366766000000</v>
      </c>
      <c r="K1192" s="23">
        <f>(J1192+1437039100000000)/2</f>
        <v>1556202933000000</v>
      </c>
      <c r="L1192" s="23">
        <v>1675366766000000</v>
      </c>
      <c r="M1192" s="23">
        <v>86329026000000</v>
      </c>
      <c r="N1192" s="23">
        <v>62493886000000</v>
      </c>
      <c r="O1192" s="25">
        <f t="shared" si="361"/>
        <v>-1457914510000000</v>
      </c>
      <c r="P1192" s="23">
        <v>10841271000000</v>
      </c>
      <c r="Q1192" s="23">
        <v>19465321000000</v>
      </c>
      <c r="R1192" s="25">
        <f t="shared" si="362"/>
        <v>43028565000000</v>
      </c>
      <c r="S1192" s="26">
        <f t="shared" si="363"/>
        <v>0.9509966326808369</v>
      </c>
      <c r="T1192" s="27">
        <f t="shared" si="364"/>
        <v>0.12979382211285909</v>
      </c>
      <c r="U1192" s="26">
        <f t="shared" si="365"/>
        <v>35.105053258256874</v>
      </c>
      <c r="V1192" s="26">
        <f t="shared" si="366"/>
        <v>4.0157928426163683E-2</v>
      </c>
      <c r="W1192" s="143"/>
      <c r="X1192" s="143"/>
      <c r="Y1192" s="143"/>
      <c r="Z1192" s="30">
        <f t="shared" si="427"/>
        <v>0</v>
      </c>
      <c r="AA1192" s="31">
        <f t="shared" si="368"/>
        <v>64</v>
      </c>
      <c r="AB1192" s="32">
        <v>1.84E-2</v>
      </c>
      <c r="AC1192" s="32">
        <v>2.58E-2</v>
      </c>
      <c r="AD1192" s="33">
        <f t="shared" si="391"/>
        <v>-0.8275631449087324</v>
      </c>
      <c r="AE1192" s="34">
        <f t="shared" si="392"/>
        <v>6.1538836893583271E-3</v>
      </c>
      <c r="AF1192" s="33">
        <f t="shared" si="393"/>
        <v>2.4424514831332469E-2</v>
      </c>
      <c r="AG1192" s="33">
        <f t="shared" si="394"/>
        <v>0</v>
      </c>
      <c r="AH1192" s="35">
        <f t="shared" si="395"/>
        <v>3.7301614946801447E-2</v>
      </c>
      <c r="AI1192" s="36">
        <f t="shared" si="374"/>
        <v>-0.86655782283517868</v>
      </c>
      <c r="AJ1192" s="23"/>
      <c r="AK1192" s="158">
        <v>402</v>
      </c>
      <c r="AL1192" s="44"/>
      <c r="AM1192" s="44"/>
      <c r="AN1192" s="44"/>
      <c r="AO1192" s="44"/>
      <c r="AP1192" s="44"/>
      <c r="AQ1192" s="44"/>
      <c r="AR1192" s="44"/>
    </row>
    <row r="1193" spans="1:44" ht="16.8">
      <c r="A1193" s="64" t="s">
        <v>2492</v>
      </c>
      <c r="B1193" s="62"/>
      <c r="C1193" s="62" t="s">
        <v>2490</v>
      </c>
      <c r="D1193" s="19" t="s">
        <v>2491</v>
      </c>
      <c r="E1193" s="20" t="s">
        <v>414</v>
      </c>
      <c r="F1193" s="21">
        <v>1957</v>
      </c>
      <c r="G1193" s="40">
        <v>2022</v>
      </c>
      <c r="H1193" s="23">
        <f>(13745228+111418448+221177798)*1000000</f>
        <v>346341474000000</v>
      </c>
      <c r="I1193" s="23">
        <v>2120676711000000</v>
      </c>
      <c r="J1193" s="23">
        <v>2016419386000000</v>
      </c>
      <c r="K1193" s="23">
        <f t="shared" ref="K1193:K1194" si="432">SUM(J1192:J1193)/2</f>
        <v>1845893076000000</v>
      </c>
      <c r="L1193" s="23">
        <v>2016419386000000</v>
      </c>
      <c r="M1193" s="23">
        <v>104189995000000</v>
      </c>
      <c r="N1193" s="23">
        <v>69582444000000</v>
      </c>
      <c r="O1193" s="25">
        <f t="shared" si="361"/>
        <v>-1670077912000000</v>
      </c>
      <c r="P1193" s="23">
        <v>18347767000000</v>
      </c>
      <c r="Q1193" s="23">
        <v>22557474000000</v>
      </c>
      <c r="R1193" s="25">
        <f t="shared" si="362"/>
        <v>47024970000000</v>
      </c>
      <c r="S1193" s="26">
        <f t="shared" si="363"/>
        <v>0.9508377092749617</v>
      </c>
      <c r="T1193" s="27">
        <f t="shared" si="364"/>
        <v>0.17176063491783947</v>
      </c>
      <c r="U1193" s="26">
        <f t="shared" si="365"/>
        <v>35.290511635961956</v>
      </c>
      <c r="V1193" s="26">
        <f t="shared" si="366"/>
        <v>3.7695815052724103E-2</v>
      </c>
      <c r="W1193" s="143"/>
      <c r="X1193" s="143"/>
      <c r="Y1193" s="143"/>
      <c r="Z1193" s="30">
        <f t="shared" si="427"/>
        <v>0</v>
      </c>
      <c r="AA1193" s="31">
        <f t="shared" si="368"/>
        <v>65</v>
      </c>
      <c r="AB1193" s="32">
        <v>3.15E-2</v>
      </c>
      <c r="AC1193" s="32">
        <v>8.0199999999999994E-2</v>
      </c>
      <c r="AD1193" s="33">
        <f t="shared" si="391"/>
        <v>-0.78752122062607022</v>
      </c>
      <c r="AE1193" s="34">
        <f t="shared" si="392"/>
        <v>8.6518453778596707E-3</v>
      </c>
      <c r="AF1193" s="33">
        <f t="shared" si="393"/>
        <v>2.2174511445370422E-2</v>
      </c>
      <c r="AG1193" s="33">
        <f t="shared" si="394"/>
        <v>0</v>
      </c>
      <c r="AH1193" s="35">
        <f t="shared" si="395"/>
        <v>3.4507922549798377E-2</v>
      </c>
      <c r="AI1193" s="36">
        <f t="shared" si="374"/>
        <v>-0.82522907090275988</v>
      </c>
      <c r="AJ1193" s="23"/>
      <c r="AK1193" s="158">
        <v>403</v>
      </c>
      <c r="AL1193" s="44"/>
      <c r="AM1193" s="44"/>
      <c r="AN1193" s="44"/>
      <c r="AO1193" s="44"/>
      <c r="AP1193" s="44"/>
      <c r="AQ1193" s="44"/>
      <c r="AR1193" s="44"/>
    </row>
    <row r="1194" spans="1:44" ht="16.8">
      <c r="A1194" s="64" t="s">
        <v>2493</v>
      </c>
      <c r="B1194" s="62"/>
      <c r="C1194" s="62" t="s">
        <v>2490</v>
      </c>
      <c r="D1194" s="19" t="s">
        <v>2491</v>
      </c>
      <c r="E1194" s="20" t="s">
        <v>414</v>
      </c>
      <c r="F1194" s="21">
        <v>1957</v>
      </c>
      <c r="G1194" s="40">
        <v>2023</v>
      </c>
      <c r="H1194" s="23">
        <f>(11029204+51615657+211812201)*1000000</f>
        <v>274457062000000</v>
      </c>
      <c r="I1194" s="23">
        <v>2300868728000000</v>
      </c>
      <c r="J1194" s="23">
        <v>2178001839000000</v>
      </c>
      <c r="K1194" s="23">
        <f t="shared" si="432"/>
        <v>2097210612500000</v>
      </c>
      <c r="L1194" s="23">
        <v>2178001839000000</v>
      </c>
      <c r="M1194" s="23">
        <v>122866889000000</v>
      </c>
      <c r="N1194" s="23">
        <v>73013017000000</v>
      </c>
      <c r="O1194" s="25">
        <f t="shared" si="361"/>
        <v>-1903544777000000</v>
      </c>
      <c r="P1194" s="23">
        <v>21977141000000</v>
      </c>
      <c r="Q1194" s="23">
        <v>25080598000000</v>
      </c>
      <c r="R1194" s="25">
        <f t="shared" si="362"/>
        <v>47932419000000</v>
      </c>
      <c r="S1194" s="26">
        <f t="shared" si="363"/>
        <v>0.9465997831580768</v>
      </c>
      <c r="T1194" s="27">
        <f t="shared" si="364"/>
        <v>0.12601323703473696</v>
      </c>
      <c r="U1194" s="26">
        <f t="shared" si="365"/>
        <v>35.37206315435823</v>
      </c>
      <c r="V1194" s="26">
        <f t="shared" si="366"/>
        <v>3.4814346525246759E-2</v>
      </c>
      <c r="W1194" s="143"/>
      <c r="X1194" s="143"/>
      <c r="Y1194" s="143"/>
      <c r="Z1194" s="30">
        <f t="shared" si="427"/>
        <v>0</v>
      </c>
      <c r="AA1194" s="31">
        <f t="shared" si="368"/>
        <v>66</v>
      </c>
      <c r="AB1194" s="32">
        <v>3.2500000000000001E-2</v>
      </c>
      <c r="AC1194" s="32">
        <v>5.0500000000000003E-2</v>
      </c>
      <c r="AD1194" s="33">
        <f t="shared" si="391"/>
        <v>-0.82731568030594749</v>
      </c>
      <c r="AE1194" s="34">
        <f t="shared" si="392"/>
        <v>9.5516709547803468E-3</v>
      </c>
      <c r="AF1194" s="33">
        <f t="shared" si="393"/>
        <v>2.0832313646013446E-2</v>
      </c>
      <c r="AG1194" s="33">
        <f t="shared" si="394"/>
        <v>0</v>
      </c>
      <c r="AH1194" s="35">
        <f t="shared" si="395"/>
        <v>3.3522936341285614E-2</v>
      </c>
      <c r="AI1194" s="36">
        <f t="shared" si="374"/>
        <v>-0.87713690565731439</v>
      </c>
      <c r="AJ1194" s="23"/>
      <c r="AK1194" s="158">
        <v>404</v>
      </c>
      <c r="AL1194" s="44"/>
      <c r="AM1194" s="44"/>
      <c r="AN1194" s="44"/>
      <c r="AO1194" s="44"/>
      <c r="AP1194" s="44"/>
      <c r="AQ1194" s="44"/>
      <c r="AR1194" s="44"/>
    </row>
    <row r="1195" spans="1:44" ht="16.8">
      <c r="A1195" s="64" t="s">
        <v>2494</v>
      </c>
      <c r="B1195" s="62">
        <v>466</v>
      </c>
      <c r="C1195" s="62" t="s">
        <v>2495</v>
      </c>
      <c r="D1195" s="19" t="s">
        <v>2496</v>
      </c>
      <c r="E1195" s="20" t="s">
        <v>414</v>
      </c>
      <c r="F1195" s="21">
        <v>1985</v>
      </c>
      <c r="G1195" s="40">
        <v>2021</v>
      </c>
      <c r="H1195" s="23">
        <v>188750570122</v>
      </c>
      <c r="I1195" s="23">
        <v>243510949526</v>
      </c>
      <c r="J1195" s="23">
        <v>35404296143</v>
      </c>
      <c r="K1195" s="23">
        <f>(J1195+26390675351)/2</f>
        <v>30897485747</v>
      </c>
      <c r="L1195" s="23">
        <v>35404296143</v>
      </c>
      <c r="M1195" s="23">
        <v>208106653383</v>
      </c>
      <c r="N1195" s="23">
        <v>137444673822</v>
      </c>
      <c r="O1195" s="25">
        <f t="shared" si="361"/>
        <v>153346273979</v>
      </c>
      <c r="P1195" s="23">
        <v>17441618799</v>
      </c>
      <c r="Q1195" s="23">
        <f>4714298156+13469159504</f>
        <v>18183457660</v>
      </c>
      <c r="R1195" s="25">
        <f t="shared" si="362"/>
        <v>119261216162</v>
      </c>
      <c r="S1195" s="26">
        <f t="shared" si="363"/>
        <v>0.14539098226143557</v>
      </c>
      <c r="T1195" s="27">
        <f t="shared" si="364"/>
        <v>5.3312900038917741</v>
      </c>
      <c r="U1195" s="26">
        <f t="shared" si="365"/>
        <v>26.218427745710624</v>
      </c>
      <c r="V1195" s="26">
        <f t="shared" si="366"/>
        <v>4.4484096520813257</v>
      </c>
      <c r="W1195" s="143"/>
      <c r="X1195" s="143"/>
      <c r="Y1195" s="143"/>
      <c r="Z1195" s="30">
        <f t="shared" si="427"/>
        <v>0</v>
      </c>
      <c r="AA1195" s="31">
        <f t="shared" si="368"/>
        <v>36</v>
      </c>
      <c r="AB1195" s="32">
        <v>1.84E-2</v>
      </c>
      <c r="AC1195" s="32">
        <v>2.58E-2</v>
      </c>
      <c r="AD1195" s="33">
        <f t="shared" si="391"/>
        <v>0.62973050812496223</v>
      </c>
      <c r="AE1195" s="34">
        <f t="shared" si="392"/>
        <v>7.1625603829932646E-2</v>
      </c>
      <c r="AF1195" s="33">
        <f t="shared" si="393"/>
        <v>0.48975709878403773</v>
      </c>
      <c r="AG1195" s="33">
        <f t="shared" si="394"/>
        <v>0</v>
      </c>
      <c r="AH1195" s="35">
        <f t="shared" si="395"/>
        <v>3.88214676735425</v>
      </c>
      <c r="AI1195" s="36">
        <f t="shared" si="374"/>
        <v>6.3542976484534348</v>
      </c>
      <c r="AJ1195" s="23"/>
      <c r="AK1195" s="158">
        <v>405</v>
      </c>
      <c r="AL1195" s="44"/>
      <c r="AM1195" s="44"/>
      <c r="AN1195" s="44"/>
      <c r="AO1195" s="44"/>
      <c r="AP1195" s="44"/>
      <c r="AQ1195" s="44"/>
      <c r="AR1195" s="44"/>
    </row>
    <row r="1196" spans="1:44" ht="16.8">
      <c r="A1196" s="64" t="s">
        <v>2497</v>
      </c>
      <c r="B1196" s="62"/>
      <c r="C1196" s="62" t="s">
        <v>2495</v>
      </c>
      <c r="D1196" s="19" t="s">
        <v>2496</v>
      </c>
      <c r="E1196" s="20" t="s">
        <v>414</v>
      </c>
      <c r="F1196" s="21">
        <v>1985</v>
      </c>
      <c r="G1196" s="40">
        <v>2022</v>
      </c>
      <c r="H1196" s="23">
        <v>190015259174</v>
      </c>
      <c r="I1196" s="23">
        <v>239092176132</v>
      </c>
      <c r="J1196" s="23">
        <v>21479143618</v>
      </c>
      <c r="K1196" s="23">
        <f t="shared" ref="K1196:K1197" si="433">SUM(J1195:J1196)/2</f>
        <v>28441719880.5</v>
      </c>
      <c r="L1196" s="23">
        <v>21479143618</v>
      </c>
      <c r="M1196" s="23">
        <v>217613032514</v>
      </c>
      <c r="N1196" s="23">
        <v>183075771767</v>
      </c>
      <c r="O1196" s="25">
        <f t="shared" si="361"/>
        <v>168536115556</v>
      </c>
      <c r="P1196" s="23">
        <v>21339061199</v>
      </c>
      <c r="Q1196" s="23">
        <f>9732636074+13915784530</f>
        <v>23648420604</v>
      </c>
      <c r="R1196" s="25">
        <f t="shared" si="362"/>
        <v>159427351163</v>
      </c>
      <c r="S1196" s="26">
        <f t="shared" si="363"/>
        <v>8.9836246277425716E-2</v>
      </c>
      <c r="T1196" s="27">
        <f t="shared" si="364"/>
        <v>8.8465007056781815</v>
      </c>
      <c r="U1196" s="26">
        <f t="shared" si="365"/>
        <v>26.200114988717218</v>
      </c>
      <c r="V1196" s="26">
        <f t="shared" si="366"/>
        <v>6.4368741600791539</v>
      </c>
      <c r="W1196" s="143"/>
      <c r="X1196" s="143"/>
      <c r="Y1196" s="143"/>
      <c r="Z1196" s="30">
        <f t="shared" si="427"/>
        <v>0</v>
      </c>
      <c r="AA1196" s="31">
        <f t="shared" si="368"/>
        <v>37</v>
      </c>
      <c r="AB1196" s="32">
        <v>3.15E-2</v>
      </c>
      <c r="AC1196" s="32">
        <v>8.0199999999999994E-2</v>
      </c>
      <c r="AD1196" s="33">
        <f t="shared" si="391"/>
        <v>0.70490016981129977</v>
      </c>
      <c r="AE1196" s="34">
        <f t="shared" si="392"/>
        <v>8.9250353333264046E-2</v>
      </c>
      <c r="AF1196" s="33">
        <f t="shared" si="393"/>
        <v>0.66680287804558702</v>
      </c>
      <c r="AG1196" s="33">
        <f t="shared" si="394"/>
        <v>0</v>
      </c>
      <c r="AH1196" s="35">
        <f t="shared" si="395"/>
        <v>8.523420440914526</v>
      </c>
      <c r="AI1196" s="36">
        <f t="shared" si="374"/>
        <v>11.694700636905093</v>
      </c>
      <c r="AJ1196" s="23"/>
      <c r="AK1196" s="158">
        <v>406</v>
      </c>
      <c r="AL1196" s="44"/>
      <c r="AM1196" s="44"/>
      <c r="AN1196" s="44"/>
      <c r="AO1196" s="44"/>
      <c r="AP1196" s="44"/>
      <c r="AQ1196" s="44"/>
      <c r="AR1196" s="44"/>
    </row>
    <row r="1197" spans="1:44" ht="16.8">
      <c r="A1197" s="64" t="s">
        <v>2498</v>
      </c>
      <c r="B1197" s="62"/>
      <c r="C1197" s="62" t="s">
        <v>2495</v>
      </c>
      <c r="D1197" s="19" t="s">
        <v>2496</v>
      </c>
      <c r="E1197" s="20" t="s">
        <v>414</v>
      </c>
      <c r="F1197" s="21">
        <v>1985</v>
      </c>
      <c r="G1197" s="40">
        <v>2023</v>
      </c>
      <c r="H1197" s="23">
        <v>201398044182</v>
      </c>
      <c r="I1197" s="23">
        <v>250776739636</v>
      </c>
      <c r="J1197" s="23">
        <v>22467234052</v>
      </c>
      <c r="K1197" s="23">
        <f t="shared" si="433"/>
        <v>21973188835</v>
      </c>
      <c r="L1197" s="23">
        <v>22467234052</v>
      </c>
      <c r="M1197" s="23">
        <v>228309505584</v>
      </c>
      <c r="N1197" s="23">
        <v>179941814244</v>
      </c>
      <c r="O1197" s="25">
        <f t="shared" si="361"/>
        <v>178930810130</v>
      </c>
      <c r="P1197" s="23">
        <v>24197136802</v>
      </c>
      <c r="Q1197" s="23">
        <f>6427190337+16872990588</f>
        <v>23300180925</v>
      </c>
      <c r="R1197" s="25">
        <f t="shared" si="362"/>
        <v>156641633319</v>
      </c>
      <c r="S1197" s="26">
        <f t="shared" si="363"/>
        <v>8.959058198384337E-2</v>
      </c>
      <c r="T1197" s="27">
        <f t="shared" si="364"/>
        <v>8.96407825350766</v>
      </c>
      <c r="U1197" s="26">
        <f t="shared" si="365"/>
        <v>26.247828896731079</v>
      </c>
      <c r="V1197" s="26">
        <f t="shared" si="366"/>
        <v>8.1891534085111779</v>
      </c>
      <c r="W1197" s="143"/>
      <c r="X1197" s="143"/>
      <c r="Y1197" s="143"/>
      <c r="Z1197" s="30">
        <f t="shared" si="427"/>
        <v>0</v>
      </c>
      <c r="AA1197" s="31">
        <f t="shared" si="368"/>
        <v>38</v>
      </c>
      <c r="AB1197" s="32">
        <v>3.2500000000000001E-2</v>
      </c>
      <c r="AC1197" s="32">
        <v>5.0500000000000003E-2</v>
      </c>
      <c r="AD1197" s="33">
        <f t="shared" si="391"/>
        <v>0.71350640569662216</v>
      </c>
      <c r="AE1197" s="34">
        <f t="shared" si="392"/>
        <v>9.6488760628764492E-2</v>
      </c>
      <c r="AF1197" s="33">
        <f t="shared" si="393"/>
        <v>0.62462584666490129</v>
      </c>
      <c r="AG1197" s="33">
        <f t="shared" si="394"/>
        <v>0</v>
      </c>
      <c r="AH1197" s="35">
        <f t="shared" si="395"/>
        <v>8.0090773001931606</v>
      </c>
      <c r="AI1197" s="36">
        <f t="shared" si="374"/>
        <v>11.061634545903551</v>
      </c>
      <c r="AJ1197" s="23"/>
      <c r="AK1197" s="158">
        <v>407</v>
      </c>
      <c r="AL1197" s="44"/>
      <c r="AM1197" s="44"/>
      <c r="AN1197" s="44"/>
      <c r="AO1197" s="44"/>
      <c r="AP1197" s="44"/>
      <c r="AQ1197" s="44"/>
      <c r="AR1197" s="44"/>
    </row>
    <row r="1198" spans="1:44" ht="16.8">
      <c r="A1198" s="70" t="s">
        <v>2499</v>
      </c>
      <c r="B1198" s="71">
        <v>467</v>
      </c>
      <c r="C1198" s="71" t="s">
        <v>2500</v>
      </c>
      <c r="D1198" s="19" t="s">
        <v>2501</v>
      </c>
      <c r="E1198" s="20" t="s">
        <v>414</v>
      </c>
      <c r="F1198" s="21">
        <v>1994</v>
      </c>
      <c r="G1198" s="40">
        <v>2021</v>
      </c>
      <c r="H1198" s="23">
        <v>6505894692690</v>
      </c>
      <c r="I1198" s="23">
        <v>7387212300491</v>
      </c>
      <c r="J1198" s="23">
        <v>5051855980063</v>
      </c>
      <c r="K1198" s="23">
        <f>AVERAGE(J1198,4248875970735)</f>
        <v>4650365975399</v>
      </c>
      <c r="L1198" s="23">
        <v>5050761675942</v>
      </c>
      <c r="M1198" s="23">
        <v>2335356320428</v>
      </c>
      <c r="N1198" s="159"/>
      <c r="O1198" s="25">
        <f t="shared" si="361"/>
        <v>1455133016748</v>
      </c>
      <c r="P1198" s="23">
        <v>255081627969</v>
      </c>
      <c r="Q1198" s="23">
        <v>132882599763</v>
      </c>
      <c r="R1198" s="25">
        <f t="shared" si="362"/>
        <v>-132882599763</v>
      </c>
      <c r="S1198" s="26">
        <f t="shared" si="363"/>
        <v>0.68386500544017426</v>
      </c>
      <c r="T1198" s="27">
        <f t="shared" si="364"/>
        <v>1.288101698339708</v>
      </c>
      <c r="U1198" s="26">
        <f t="shared" si="365"/>
        <v>29.630771553806451</v>
      </c>
      <c r="V1198" s="26">
        <f t="shared" si="366"/>
        <v>0</v>
      </c>
      <c r="W1198" s="23"/>
      <c r="X1198" s="23"/>
      <c r="Y1198" s="23"/>
      <c r="Z1198" s="30">
        <f t="shared" si="427"/>
        <v>0</v>
      </c>
      <c r="AA1198" s="31">
        <f t="shared" si="368"/>
        <v>27</v>
      </c>
      <c r="AB1198" s="32">
        <v>1.84E-2</v>
      </c>
      <c r="AC1198" s="32">
        <v>2.58E-2</v>
      </c>
      <c r="AD1198" s="33">
        <f t="shared" si="391"/>
        <v>0.19697999157967652</v>
      </c>
      <c r="AE1198" s="34">
        <f t="shared" si="392"/>
        <v>3.4530160714623795E-2</v>
      </c>
      <c r="AF1198" s="33">
        <f t="shared" si="393"/>
        <v>-1.798819288761578E-2</v>
      </c>
      <c r="AG1198" s="33">
        <f t="shared" si="394"/>
        <v>0</v>
      </c>
      <c r="AH1198" s="35">
        <f t="shared" si="395"/>
        <v>0</v>
      </c>
      <c r="AI1198" s="36">
        <f t="shared" si="374"/>
        <v>0.22535717836695304</v>
      </c>
      <c r="AJ1198" s="23"/>
      <c r="AK1198" s="158">
        <v>408</v>
      </c>
      <c r="AL1198" s="23"/>
      <c r="AM1198" s="23"/>
      <c r="AN1198" s="23"/>
      <c r="AO1198" s="23"/>
      <c r="AP1198" s="44"/>
      <c r="AQ1198" s="44"/>
      <c r="AR1198" s="44"/>
    </row>
    <row r="1199" spans="1:44" ht="16.8">
      <c r="A1199" s="70" t="s">
        <v>2502</v>
      </c>
      <c r="B1199" s="71"/>
      <c r="C1199" s="71" t="s">
        <v>2500</v>
      </c>
      <c r="D1199" s="19" t="s">
        <v>2501</v>
      </c>
      <c r="E1199" s="20" t="s">
        <v>414</v>
      </c>
      <c r="F1199" s="21">
        <v>1994</v>
      </c>
      <c r="G1199" s="40">
        <v>2022</v>
      </c>
      <c r="H1199" s="23">
        <v>6287264593775</v>
      </c>
      <c r="I1199" s="23">
        <v>7036881103160</v>
      </c>
      <c r="J1199" s="23">
        <v>4616731719342</v>
      </c>
      <c r="K1199" s="23">
        <f t="shared" ref="K1199:K1200" si="434">AVERAGE(J1198:J1199)</f>
        <v>4834293849702.5</v>
      </c>
      <c r="L1199" s="23">
        <v>4615590758992</v>
      </c>
      <c r="M1199" s="23">
        <v>2411138482944</v>
      </c>
      <c r="N1199" s="159"/>
      <c r="O1199" s="25">
        <f t="shared" si="361"/>
        <v>1671673834783</v>
      </c>
      <c r="P1199" s="23">
        <v>290869393051</v>
      </c>
      <c r="Q1199" s="23">
        <v>138622431580</v>
      </c>
      <c r="R1199" s="25">
        <f t="shared" si="362"/>
        <v>-138622431580</v>
      </c>
      <c r="S1199" s="26">
        <f t="shared" si="363"/>
        <v>0.65607641391991101</v>
      </c>
      <c r="T1199" s="27">
        <f t="shared" si="364"/>
        <v>1.3621798209744396</v>
      </c>
      <c r="U1199" s="26">
        <f t="shared" si="365"/>
        <v>29.582186162814558</v>
      </c>
      <c r="V1199" s="26">
        <f t="shared" si="366"/>
        <v>0</v>
      </c>
      <c r="W1199" s="23"/>
      <c r="X1199" s="23"/>
      <c r="Y1199" s="23"/>
      <c r="Z1199" s="30">
        <f t="shared" si="427"/>
        <v>0</v>
      </c>
      <c r="AA1199" s="31">
        <f t="shared" si="368"/>
        <v>28</v>
      </c>
      <c r="AB1199" s="32">
        <v>3.15E-2</v>
      </c>
      <c r="AC1199" s="32">
        <v>8.0199999999999994E-2</v>
      </c>
      <c r="AD1199" s="33">
        <f t="shared" si="391"/>
        <v>0.23755891427983825</v>
      </c>
      <c r="AE1199" s="34">
        <f t="shared" si="392"/>
        <v>4.1334987587097562E-2</v>
      </c>
      <c r="AF1199" s="33">
        <f t="shared" si="393"/>
        <v>-1.9699413639055214E-2</v>
      </c>
      <c r="AG1199" s="33">
        <f t="shared" si="394"/>
        <v>0</v>
      </c>
      <c r="AH1199" s="35">
        <f t="shared" si="395"/>
        <v>0</v>
      </c>
      <c r="AI1199" s="36">
        <f t="shared" si="374"/>
        <v>0.2779316147488603</v>
      </c>
      <c r="AJ1199" s="23"/>
      <c r="AK1199" s="158">
        <v>409</v>
      </c>
      <c r="AL1199" s="23"/>
      <c r="AM1199" s="23"/>
      <c r="AN1199" s="23"/>
      <c r="AO1199" s="23"/>
      <c r="AP1199" s="44"/>
      <c r="AQ1199" s="44"/>
      <c r="AR1199" s="44"/>
    </row>
    <row r="1200" spans="1:44" ht="16.8">
      <c r="A1200" s="70" t="s">
        <v>2503</v>
      </c>
      <c r="B1200" s="71"/>
      <c r="C1200" s="71" t="s">
        <v>2500</v>
      </c>
      <c r="D1200" s="19" t="s">
        <v>2501</v>
      </c>
      <c r="E1200" s="20" t="s">
        <v>414</v>
      </c>
      <c r="F1200" s="21">
        <v>1994</v>
      </c>
      <c r="G1200" s="40">
        <v>2023</v>
      </c>
      <c r="H1200" s="23">
        <v>6232898854466</v>
      </c>
      <c r="I1200" s="23">
        <v>7004194676943</v>
      </c>
      <c r="J1200" s="23">
        <v>4361324815727</v>
      </c>
      <c r="K1200" s="23">
        <f t="shared" si="434"/>
        <v>4489028267534.5</v>
      </c>
      <c r="L1200" s="23">
        <v>4360050344528</v>
      </c>
      <c r="M1200" s="23">
        <v>2642869861216</v>
      </c>
      <c r="N1200" s="159"/>
      <c r="O1200" s="25">
        <f t="shared" si="361"/>
        <v>1872848509938</v>
      </c>
      <c r="P1200" s="23">
        <v>328992884771</v>
      </c>
      <c r="Q1200" s="23">
        <v>174821461388</v>
      </c>
      <c r="R1200" s="25">
        <f t="shared" si="362"/>
        <v>-174821461388</v>
      </c>
      <c r="S1200" s="26">
        <f t="shared" si="363"/>
        <v>0.62267327178725884</v>
      </c>
      <c r="T1200" s="27">
        <f t="shared" si="364"/>
        <v>1.4295474505904464</v>
      </c>
      <c r="U1200" s="26">
        <f t="shared" si="365"/>
        <v>29.577530325074814</v>
      </c>
      <c r="V1200" s="26">
        <f t="shared" si="366"/>
        <v>0</v>
      </c>
      <c r="W1200" s="23"/>
      <c r="X1200" s="23"/>
      <c r="Y1200" s="23"/>
      <c r="Z1200" s="30">
        <f t="shared" si="427"/>
        <v>0</v>
      </c>
      <c r="AA1200" s="31">
        <f t="shared" si="368"/>
        <v>29</v>
      </c>
      <c r="AB1200" s="32">
        <v>3.2500000000000001E-2</v>
      </c>
      <c r="AC1200" s="32">
        <v>5.0500000000000003E-2</v>
      </c>
      <c r="AD1200" s="33">
        <f t="shared" si="391"/>
        <v>0.2673895567327963</v>
      </c>
      <c r="AE1200" s="34">
        <f t="shared" si="392"/>
        <v>4.6970836755010049E-2</v>
      </c>
      <c r="AF1200" s="33">
        <f t="shared" si="393"/>
        <v>-2.4959537741503966E-2</v>
      </c>
      <c r="AG1200" s="33">
        <f t="shared" si="394"/>
        <v>0</v>
      </c>
      <c r="AH1200" s="35">
        <f t="shared" si="395"/>
        <v>0</v>
      </c>
      <c r="AI1200" s="36">
        <f t="shared" si="374"/>
        <v>0.30426016498940656</v>
      </c>
      <c r="AJ1200" s="23"/>
      <c r="AK1200" s="158">
        <v>410</v>
      </c>
      <c r="AL1200" s="23"/>
      <c r="AM1200" s="23"/>
      <c r="AN1200" s="23"/>
      <c r="AO1200" s="23"/>
      <c r="AP1200" s="44"/>
      <c r="AQ1200" s="44"/>
      <c r="AR1200" s="44"/>
    </row>
    <row r="1201" spans="1:44" ht="16.8">
      <c r="A1201" s="74" t="s">
        <v>2504</v>
      </c>
      <c r="B1201" s="71">
        <v>468</v>
      </c>
      <c r="C1201" s="71" t="s">
        <v>2505</v>
      </c>
      <c r="D1201" s="19" t="s">
        <v>2506</v>
      </c>
      <c r="E1201" s="20" t="s">
        <v>414</v>
      </c>
      <c r="F1201" s="160">
        <v>1977</v>
      </c>
      <c r="G1201" s="40">
        <v>2021</v>
      </c>
      <c r="H1201" s="23">
        <v>2008034358172</v>
      </c>
      <c r="I1201" s="23">
        <v>2838021003777</v>
      </c>
      <c r="J1201" s="23">
        <v>544546223660</v>
      </c>
      <c r="K1201" s="23">
        <f>AVERAGE(J1201,551220912521)</f>
        <v>547883568090.5</v>
      </c>
      <c r="L1201" s="23">
        <v>522694582284</v>
      </c>
      <c r="M1201" s="23">
        <v>2293474780117</v>
      </c>
      <c r="N1201" s="23">
        <v>4564938031907</v>
      </c>
      <c r="O1201" s="25">
        <f t="shared" si="361"/>
        <v>1485339775888</v>
      </c>
      <c r="P1201" s="23">
        <v>214376817966</v>
      </c>
      <c r="Q1201" s="23">
        <f>281415832067+87569890551</f>
        <v>368985722618</v>
      </c>
      <c r="R1201" s="25">
        <f t="shared" si="362"/>
        <v>4195952309289</v>
      </c>
      <c r="S1201" s="26">
        <f t="shared" si="363"/>
        <v>0.19187533247121388</v>
      </c>
      <c r="T1201" s="27">
        <f t="shared" si="364"/>
        <v>3.8416972860089031</v>
      </c>
      <c r="U1201" s="26">
        <f t="shared" si="365"/>
        <v>28.674128095547047</v>
      </c>
      <c r="V1201" s="26">
        <f t="shared" si="366"/>
        <v>8.3319491544834179</v>
      </c>
      <c r="W1201" s="23"/>
      <c r="X1201" s="23"/>
      <c r="Y1201" s="23"/>
      <c r="Z1201" s="30">
        <f t="shared" si="427"/>
        <v>0</v>
      </c>
      <c r="AA1201" s="31">
        <f t="shared" si="368"/>
        <v>44</v>
      </c>
      <c r="AB1201" s="32">
        <v>1.84E-2</v>
      </c>
      <c r="AC1201" s="32">
        <v>2.58E-2</v>
      </c>
      <c r="AD1201" s="33">
        <f t="shared" si="391"/>
        <v>0.52337166423758852</v>
      </c>
      <c r="AE1201" s="34">
        <f t="shared" si="392"/>
        <v>7.5537431781052752E-2</v>
      </c>
      <c r="AF1201" s="33">
        <f t="shared" si="393"/>
        <v>1.4784782437144715</v>
      </c>
      <c r="AG1201" s="33">
        <f t="shared" si="394"/>
        <v>0</v>
      </c>
      <c r="AH1201" s="35">
        <f t="shared" si="395"/>
        <v>8.3830129262951694</v>
      </c>
      <c r="AI1201" s="36">
        <f t="shared" si="374"/>
        <v>13.995789532131505</v>
      </c>
      <c r="AJ1201" s="23" t="s">
        <v>1054</v>
      </c>
      <c r="AK1201" s="158">
        <v>411</v>
      </c>
      <c r="AL1201" s="23"/>
      <c r="AM1201" s="23"/>
      <c r="AN1201" s="23"/>
      <c r="AO1201" s="23"/>
      <c r="AP1201" s="44"/>
      <c r="AQ1201" s="44"/>
      <c r="AR1201" s="44"/>
    </row>
    <row r="1202" spans="1:44" ht="16.8">
      <c r="A1202" s="74" t="s">
        <v>2507</v>
      </c>
      <c r="B1202" s="71"/>
      <c r="C1202" s="71" t="s">
        <v>2505</v>
      </c>
      <c r="D1202" s="19" t="s">
        <v>2506</v>
      </c>
      <c r="E1202" s="20" t="s">
        <v>414</v>
      </c>
      <c r="F1202" s="160">
        <v>1977</v>
      </c>
      <c r="G1202" s="40">
        <v>2022</v>
      </c>
      <c r="H1202" s="23">
        <v>2215147283810</v>
      </c>
      <c r="I1202" s="23">
        <v>3044791993793</v>
      </c>
      <c r="J1202" s="23">
        <v>423473389660</v>
      </c>
      <c r="K1202" s="23">
        <f t="shared" ref="K1202:K1203" si="435">AVERAGE(J1201:J1202)</f>
        <v>484009806660</v>
      </c>
      <c r="L1202" s="23">
        <v>403473029077</v>
      </c>
      <c r="M1202" s="23">
        <v>2621318604133</v>
      </c>
      <c r="N1202" s="23">
        <v>5824833255625</v>
      </c>
      <c r="O1202" s="25">
        <f t="shared" si="361"/>
        <v>1811674254733</v>
      </c>
      <c r="P1202" s="23">
        <v>694268766316</v>
      </c>
      <c r="Q1202" s="23">
        <f>2130750910+503332468504</f>
        <v>505463219414</v>
      </c>
      <c r="R1202" s="25">
        <f t="shared" si="362"/>
        <v>5319370036211</v>
      </c>
      <c r="S1202" s="26">
        <f t="shared" si="363"/>
        <v>0.13908122148352897</v>
      </c>
      <c r="T1202" s="27">
        <f t="shared" si="364"/>
        <v>5.4901991562545183</v>
      </c>
      <c r="U1202" s="26">
        <f t="shared" si="365"/>
        <v>28.744453704015907</v>
      </c>
      <c r="V1202" s="26">
        <f t="shared" si="366"/>
        <v>12.034535613690039</v>
      </c>
      <c r="W1202" s="23"/>
      <c r="X1202" s="23"/>
      <c r="Y1202" s="23"/>
      <c r="Z1202" s="30">
        <f t="shared" si="427"/>
        <v>0</v>
      </c>
      <c r="AA1202" s="31">
        <f t="shared" si="368"/>
        <v>45</v>
      </c>
      <c r="AB1202" s="32">
        <v>3.15E-2</v>
      </c>
      <c r="AC1202" s="32">
        <v>8.0199999999999994E-2</v>
      </c>
      <c r="AD1202" s="33">
        <f t="shared" si="391"/>
        <v>0.59500755993388443</v>
      </c>
      <c r="AE1202" s="34">
        <f t="shared" si="392"/>
        <v>0.22801845503118456</v>
      </c>
      <c r="AF1202" s="33">
        <f t="shared" si="393"/>
        <v>1.7470388936435954</v>
      </c>
      <c r="AG1202" s="33">
        <f t="shared" si="394"/>
        <v>0</v>
      </c>
      <c r="AH1202" s="35">
        <f t="shared" si="395"/>
        <v>13.754897941288981</v>
      </c>
      <c r="AI1202" s="36">
        <f t="shared" si="374"/>
        <v>20.553361199277163</v>
      </c>
      <c r="AJ1202" s="23" t="s">
        <v>1054</v>
      </c>
      <c r="AK1202" s="158">
        <v>412</v>
      </c>
      <c r="AL1202" s="23"/>
      <c r="AM1202" s="23"/>
      <c r="AN1202" s="23"/>
      <c r="AO1202" s="23"/>
      <c r="AP1202" s="44"/>
      <c r="AQ1202" s="44"/>
      <c r="AR1202" s="44"/>
    </row>
    <row r="1203" spans="1:44" ht="16.8">
      <c r="A1203" s="74" t="s">
        <v>2508</v>
      </c>
      <c r="B1203" s="71"/>
      <c r="C1203" s="71" t="s">
        <v>2505</v>
      </c>
      <c r="D1203" s="19" t="s">
        <v>2506</v>
      </c>
      <c r="E1203" s="20" t="s">
        <v>414</v>
      </c>
      <c r="F1203" s="160">
        <v>1977</v>
      </c>
      <c r="G1203" s="40">
        <v>2023</v>
      </c>
      <c r="H1203" s="23">
        <v>2593900147858</v>
      </c>
      <c r="I1203" s="23">
        <v>3255000928111</v>
      </c>
      <c r="J1203" s="23">
        <v>565271946212</v>
      </c>
      <c r="K1203" s="23">
        <f t="shared" si="435"/>
        <v>494372667936</v>
      </c>
      <c r="L1203" s="23">
        <v>546150418753</v>
      </c>
      <c r="M1203" s="23">
        <v>2689728981899</v>
      </c>
      <c r="N1203" s="23">
        <v>5199922785685</v>
      </c>
      <c r="O1203" s="25">
        <f t="shared" si="361"/>
        <v>2047749729105</v>
      </c>
      <c r="P1203" s="23">
        <v>1041006333282</v>
      </c>
      <c r="Q1203" s="23">
        <f>4940850444+676251353235</f>
        <v>681192203679</v>
      </c>
      <c r="R1203" s="25">
        <f t="shared" si="362"/>
        <v>4518730582006</v>
      </c>
      <c r="S1203" s="26">
        <f t="shared" si="363"/>
        <v>0.17366260676922407</v>
      </c>
      <c r="T1203" s="27">
        <f t="shared" si="364"/>
        <v>4.7494244420438827</v>
      </c>
      <c r="U1203" s="26">
        <f t="shared" si="365"/>
        <v>28.811213676722989</v>
      </c>
      <c r="V1203" s="26">
        <f t="shared" si="366"/>
        <v>10.518224657108606</v>
      </c>
      <c r="W1203" s="23"/>
      <c r="X1203" s="23"/>
      <c r="Y1203" s="23"/>
      <c r="Z1203" s="30">
        <f t="shared" si="427"/>
        <v>0</v>
      </c>
      <c r="AA1203" s="31">
        <f t="shared" si="368"/>
        <v>46</v>
      </c>
      <c r="AB1203" s="32">
        <v>3.2500000000000001E-2</v>
      </c>
      <c r="AC1203" s="32">
        <v>5.0500000000000003E-2</v>
      </c>
      <c r="AD1203" s="33">
        <f t="shared" si="391"/>
        <v>0.62910880037548456</v>
      </c>
      <c r="AE1203" s="34">
        <f t="shared" si="392"/>
        <v>0.31981752272068792</v>
      </c>
      <c r="AF1203" s="33">
        <f t="shared" si="393"/>
        <v>1.3882424865016521</v>
      </c>
      <c r="AG1203" s="33">
        <f t="shared" si="394"/>
        <v>0</v>
      </c>
      <c r="AH1203" s="35">
        <f t="shared" si="395"/>
        <v>9.1989755029074392</v>
      </c>
      <c r="AI1203" s="36">
        <f t="shared" si="374"/>
        <v>14.982850800622435</v>
      </c>
      <c r="AJ1203" s="23" t="s">
        <v>1054</v>
      </c>
      <c r="AK1203" s="158">
        <v>413</v>
      </c>
      <c r="AL1203" s="23"/>
      <c r="AM1203" s="23"/>
      <c r="AN1203" s="23"/>
      <c r="AO1203" s="23"/>
      <c r="AP1203" s="44"/>
      <c r="AQ1203" s="44"/>
      <c r="AR1203" s="44"/>
    </row>
    <row r="1204" spans="1:44" ht="16.8">
      <c r="A1204" s="74" t="s">
        <v>2509</v>
      </c>
      <c r="B1204" s="71">
        <v>469</v>
      </c>
      <c r="C1204" s="71" t="s">
        <v>2510</v>
      </c>
      <c r="D1204" s="19" t="s">
        <v>2511</v>
      </c>
      <c r="E1204" s="20" t="s">
        <v>414</v>
      </c>
      <c r="F1204" s="161">
        <v>1975</v>
      </c>
      <c r="G1204" s="40">
        <v>2021</v>
      </c>
      <c r="H1204" s="23">
        <v>201178199648</v>
      </c>
      <c r="I1204" s="23">
        <v>311352234631</v>
      </c>
      <c r="J1204" s="23">
        <v>99808466453</v>
      </c>
      <c r="K1204" s="23">
        <f>AVERAGE(J1204,87426873676)</f>
        <v>93617670064.5</v>
      </c>
      <c r="L1204" s="23">
        <v>99808466453</v>
      </c>
      <c r="M1204" s="23">
        <v>211543768178</v>
      </c>
      <c r="N1204" s="23">
        <v>348107052557</v>
      </c>
      <c r="O1204" s="25">
        <f t="shared" si="361"/>
        <v>101369733195</v>
      </c>
      <c r="P1204" s="23">
        <v>21697184017</v>
      </c>
      <c r="Q1204" s="23">
        <f>38779813672+12066178323</f>
        <v>50845991995</v>
      </c>
      <c r="R1204" s="25">
        <f t="shared" si="362"/>
        <v>297261060562</v>
      </c>
      <c r="S1204" s="26">
        <f t="shared" si="363"/>
        <v>0.32056447762865198</v>
      </c>
      <c r="T1204" s="27">
        <f t="shared" si="364"/>
        <v>2.0156426283008284</v>
      </c>
      <c r="U1204" s="26">
        <f t="shared" si="365"/>
        <v>26.464190695470528</v>
      </c>
      <c r="V1204" s="26">
        <f t="shared" si="366"/>
        <v>3.7183904739048068</v>
      </c>
      <c r="W1204" s="23"/>
      <c r="X1204" s="23"/>
      <c r="Y1204" s="23"/>
      <c r="Z1204" s="30">
        <f t="shared" si="427"/>
        <v>0</v>
      </c>
      <c r="AA1204" s="31">
        <f t="shared" si="368"/>
        <v>46</v>
      </c>
      <c r="AB1204" s="32">
        <v>1.84E-2</v>
      </c>
      <c r="AC1204" s="32">
        <v>2.58E-2</v>
      </c>
      <c r="AD1204" s="33">
        <f t="shared" si="391"/>
        <v>0.32557894859864628</v>
      </c>
      <c r="AE1204" s="34">
        <f t="shared" si="392"/>
        <v>6.9686938469269322E-2</v>
      </c>
      <c r="AF1204" s="33">
        <f t="shared" si="393"/>
        <v>0.95474201723427421</v>
      </c>
      <c r="AG1204" s="33">
        <f t="shared" si="394"/>
        <v>0</v>
      </c>
      <c r="AH1204" s="35">
        <f t="shared" si="395"/>
        <v>3.4877507382695265</v>
      </c>
      <c r="AI1204" s="36">
        <f t="shared" si="374"/>
        <v>7.1266558473179842</v>
      </c>
      <c r="AJ1204" s="23"/>
      <c r="AK1204" s="158">
        <v>414</v>
      </c>
      <c r="AL1204" s="23"/>
      <c r="AM1204" s="23"/>
      <c r="AN1204" s="23"/>
      <c r="AO1204" s="23"/>
      <c r="AP1204" s="44"/>
      <c r="AQ1204" s="44"/>
      <c r="AR1204" s="44"/>
    </row>
    <row r="1205" spans="1:44" ht="16.8">
      <c r="A1205" s="74" t="s">
        <v>2512</v>
      </c>
      <c r="B1205" s="71"/>
      <c r="C1205" s="71" t="s">
        <v>2510</v>
      </c>
      <c r="D1205" s="19" t="s">
        <v>2511</v>
      </c>
      <c r="E1205" s="20" t="s">
        <v>414</v>
      </c>
      <c r="F1205" s="161">
        <v>1975</v>
      </c>
      <c r="G1205" s="40">
        <v>2022</v>
      </c>
      <c r="H1205" s="23">
        <v>208382745606</v>
      </c>
      <c r="I1205" s="23">
        <v>309231204539</v>
      </c>
      <c r="J1205" s="23">
        <v>98933269429</v>
      </c>
      <c r="K1205" s="23">
        <f t="shared" ref="K1205:K1206" si="436">AVERAGE(J1204:J1205)</f>
        <v>99370867941</v>
      </c>
      <c r="L1205" s="23">
        <v>98933269429</v>
      </c>
      <c r="M1205" s="23">
        <v>210297935110</v>
      </c>
      <c r="N1205" s="23">
        <v>332278418317</v>
      </c>
      <c r="O1205" s="25">
        <f t="shared" si="361"/>
        <v>109449476177</v>
      </c>
      <c r="P1205" s="23">
        <v>19420087019</v>
      </c>
      <c r="Q1205" s="23">
        <f>34872268125+11307060248</f>
        <v>46179328373</v>
      </c>
      <c r="R1205" s="25">
        <f t="shared" si="362"/>
        <v>286099089944</v>
      </c>
      <c r="S1205" s="26">
        <f t="shared" si="363"/>
        <v>0.31993300797857421</v>
      </c>
      <c r="T1205" s="27">
        <f t="shared" si="364"/>
        <v>2.1062959589700712</v>
      </c>
      <c r="U1205" s="26">
        <f t="shared" si="365"/>
        <v>26.457355068810134</v>
      </c>
      <c r="V1205" s="26">
        <f t="shared" si="366"/>
        <v>3.3438212345522178</v>
      </c>
      <c r="W1205" s="23"/>
      <c r="X1205" s="23"/>
      <c r="Y1205" s="23"/>
      <c r="Z1205" s="30">
        <f t="shared" si="427"/>
        <v>0</v>
      </c>
      <c r="AA1205" s="31">
        <f t="shared" si="368"/>
        <v>47</v>
      </c>
      <c r="AB1205" s="32">
        <v>3.15E-2</v>
      </c>
      <c r="AC1205" s="32">
        <v>8.0199999999999994E-2</v>
      </c>
      <c r="AD1205" s="33">
        <f t="shared" si="391"/>
        <v>0.35394059386783627</v>
      </c>
      <c r="AE1205" s="34">
        <f t="shared" si="392"/>
        <v>6.2801188023541635E-2</v>
      </c>
      <c r="AF1205" s="33">
        <f t="shared" si="393"/>
        <v>0.92519475959909925</v>
      </c>
      <c r="AG1205" s="33">
        <f t="shared" si="394"/>
        <v>0</v>
      </c>
      <c r="AH1205" s="35">
        <f t="shared" si="395"/>
        <v>3.3586115190043468</v>
      </c>
      <c r="AI1205" s="36">
        <f t="shared" si="374"/>
        <v>6.9244046015557359</v>
      </c>
      <c r="AJ1205" s="23"/>
      <c r="AK1205" s="158">
        <v>415</v>
      </c>
      <c r="AL1205" s="23"/>
      <c r="AM1205" s="23"/>
      <c r="AN1205" s="23"/>
      <c r="AO1205" s="23"/>
      <c r="AP1205" s="44"/>
      <c r="AQ1205" s="44"/>
      <c r="AR1205" s="44"/>
    </row>
    <row r="1206" spans="1:44" ht="16.8">
      <c r="A1206" s="74" t="s">
        <v>2513</v>
      </c>
      <c r="B1206" s="71"/>
      <c r="C1206" s="71" t="s">
        <v>2510</v>
      </c>
      <c r="D1206" s="19" t="s">
        <v>2511</v>
      </c>
      <c r="E1206" s="20" t="s">
        <v>414</v>
      </c>
      <c r="F1206" s="161">
        <v>1975</v>
      </c>
      <c r="G1206" s="40">
        <v>2023</v>
      </c>
      <c r="H1206" s="23">
        <v>197175028420</v>
      </c>
      <c r="I1206" s="23">
        <v>290609559527</v>
      </c>
      <c r="J1206" s="23">
        <v>80799953036</v>
      </c>
      <c r="K1206" s="23">
        <f t="shared" si="436"/>
        <v>89866611232.5</v>
      </c>
      <c r="L1206" s="23">
        <v>80799953036</v>
      </c>
      <c r="M1206" s="23">
        <v>209809606491</v>
      </c>
      <c r="N1206" s="23">
        <v>338061551874</v>
      </c>
      <c r="O1206" s="25">
        <f t="shared" si="361"/>
        <v>116375075384</v>
      </c>
      <c r="P1206" s="23">
        <v>18621364579</v>
      </c>
      <c r="Q1206" s="23">
        <f>39160596214+10444441423</f>
        <v>49605037637</v>
      </c>
      <c r="R1206" s="25">
        <f t="shared" si="362"/>
        <v>288456514237</v>
      </c>
      <c r="S1206" s="26">
        <f t="shared" si="363"/>
        <v>0.27803611542411433</v>
      </c>
      <c r="T1206" s="27">
        <f t="shared" si="364"/>
        <v>2.4402864235843018</v>
      </c>
      <c r="U1206" s="26">
        <f t="shared" si="365"/>
        <v>26.395246483367416</v>
      </c>
      <c r="V1206" s="26">
        <f t="shared" si="366"/>
        <v>3.7618148413249726</v>
      </c>
      <c r="W1206" s="23"/>
      <c r="X1206" s="23"/>
      <c r="Y1206" s="23"/>
      <c r="Z1206" s="30">
        <f t="shared" si="427"/>
        <v>0</v>
      </c>
      <c r="AA1206" s="31">
        <f t="shared" si="368"/>
        <v>48</v>
      </c>
      <c r="AB1206" s="32">
        <v>3.2500000000000001E-2</v>
      </c>
      <c r="AC1206" s="32">
        <v>5.0500000000000003E-2</v>
      </c>
      <c r="AD1206" s="33">
        <f t="shared" si="391"/>
        <v>0.40045164231146979</v>
      </c>
      <c r="AE1206" s="34">
        <f t="shared" si="392"/>
        <v>6.4076916840961395E-2</v>
      </c>
      <c r="AF1206" s="33">
        <f t="shared" si="393"/>
        <v>0.99259127850610174</v>
      </c>
      <c r="AG1206" s="33">
        <f t="shared" si="394"/>
        <v>0</v>
      </c>
      <c r="AH1206" s="35">
        <f t="shared" si="395"/>
        <v>4.1839325293094962</v>
      </c>
      <c r="AI1206" s="36">
        <f t="shared" si="374"/>
        <v>8.0297334027307414</v>
      </c>
      <c r="AJ1206" s="23"/>
      <c r="AK1206" s="158">
        <v>416</v>
      </c>
      <c r="AL1206" s="23"/>
      <c r="AM1206" s="23"/>
      <c r="AN1206" s="23"/>
      <c r="AO1206" s="23"/>
      <c r="AP1206" s="44"/>
      <c r="AQ1206" s="44"/>
      <c r="AR1206" s="44"/>
    </row>
    <row r="1207" spans="1:44" ht="16.8">
      <c r="A1207" s="70" t="s">
        <v>2514</v>
      </c>
      <c r="B1207" s="71">
        <v>470</v>
      </c>
      <c r="C1207" s="71" t="s">
        <v>2515</v>
      </c>
      <c r="D1207" s="19" t="s">
        <v>2516</v>
      </c>
      <c r="E1207" s="20" t="s">
        <v>414</v>
      </c>
      <c r="F1207" s="21">
        <v>1999</v>
      </c>
      <c r="G1207" s="40">
        <v>2021</v>
      </c>
      <c r="H1207" s="23">
        <v>5681234228510</v>
      </c>
      <c r="I1207" s="23">
        <v>6004732402734</v>
      </c>
      <c r="J1207" s="23">
        <v>4285475351346</v>
      </c>
      <c r="K1207" s="23">
        <f>AVERAGE(J1207,1430567787432)</f>
        <v>2858021569389</v>
      </c>
      <c r="L1207" s="23">
        <v>4285475351346</v>
      </c>
      <c r="M1207" s="23">
        <v>1719257051388</v>
      </c>
      <c r="N1207" s="23">
        <v>1333024979176</v>
      </c>
      <c r="O1207" s="25">
        <f t="shared" si="361"/>
        <v>1395758877164</v>
      </c>
      <c r="P1207" s="23">
        <v>356889768929</v>
      </c>
      <c r="Q1207" s="23">
        <v>636640840411</v>
      </c>
      <c r="R1207" s="25">
        <f t="shared" si="362"/>
        <v>696384138765</v>
      </c>
      <c r="S1207" s="26">
        <f t="shared" si="363"/>
        <v>0.71368298600530322</v>
      </c>
      <c r="T1207" s="27">
        <f t="shared" si="364"/>
        <v>1.3256952292878348</v>
      </c>
      <c r="U1207" s="26">
        <f t="shared" si="365"/>
        <v>29.423569008058568</v>
      </c>
      <c r="V1207" s="26">
        <f t="shared" si="366"/>
        <v>0.46641529701995205</v>
      </c>
      <c r="W1207" s="23"/>
      <c r="X1207" s="23"/>
      <c r="Y1207" s="23"/>
      <c r="Z1207" s="30">
        <f t="shared" si="427"/>
        <v>0</v>
      </c>
      <c r="AA1207" s="31">
        <f t="shared" si="368"/>
        <v>22</v>
      </c>
      <c r="AB1207" s="32">
        <v>1.84E-2</v>
      </c>
      <c r="AC1207" s="32">
        <v>2.58E-2</v>
      </c>
      <c r="AD1207" s="33">
        <f t="shared" si="391"/>
        <v>0.23244314376582384</v>
      </c>
      <c r="AE1207" s="34">
        <f t="shared" si="392"/>
        <v>5.9434749959299669E-2</v>
      </c>
      <c r="AF1207" s="33">
        <f t="shared" si="393"/>
        <v>0.11597255165741126</v>
      </c>
      <c r="AG1207" s="33">
        <f t="shared" si="394"/>
        <v>0</v>
      </c>
      <c r="AH1207" s="35">
        <f t="shared" si="395"/>
        <v>0.31105650362854564</v>
      </c>
      <c r="AI1207" s="36">
        <f t="shared" si="374"/>
        <v>1.0559063465600107</v>
      </c>
      <c r="AJ1207" s="23"/>
      <c r="AK1207" s="158">
        <v>417</v>
      </c>
      <c r="AL1207" s="23"/>
      <c r="AM1207" s="23"/>
      <c r="AN1207" s="23"/>
      <c r="AO1207" s="23"/>
      <c r="AP1207" s="44"/>
      <c r="AQ1207" s="44"/>
      <c r="AR1207" s="44"/>
    </row>
    <row r="1208" spans="1:44" ht="16.8">
      <c r="A1208" s="70" t="s">
        <v>2517</v>
      </c>
      <c r="B1208" s="71"/>
      <c r="C1208" s="71" t="s">
        <v>2515</v>
      </c>
      <c r="D1208" s="19" t="s">
        <v>2516</v>
      </c>
      <c r="E1208" s="20" t="s">
        <v>414</v>
      </c>
      <c r="F1208" s="21">
        <v>1999</v>
      </c>
      <c r="G1208" s="40">
        <v>2022</v>
      </c>
      <c r="H1208" s="23">
        <v>5463898960653</v>
      </c>
      <c r="I1208" s="23">
        <v>5591086508708</v>
      </c>
      <c r="J1208" s="23">
        <v>1224689050241</v>
      </c>
      <c r="K1208" s="23">
        <f t="shared" ref="K1208:K1209" si="437">AVERAGE(J1207:J1208)</f>
        <v>2755082200793.5</v>
      </c>
      <c r="L1208" s="23">
        <v>1218880487542</v>
      </c>
      <c r="M1208" s="23">
        <v>4366397458467</v>
      </c>
      <c r="N1208" s="23">
        <v>1089005392430</v>
      </c>
      <c r="O1208" s="25">
        <f t="shared" si="361"/>
        <v>4245018473111</v>
      </c>
      <c r="P1208" s="23">
        <v>112370678169</v>
      </c>
      <c r="Q1208" s="23">
        <v>658148307393</v>
      </c>
      <c r="R1208" s="25">
        <f t="shared" si="362"/>
        <v>430857085037</v>
      </c>
      <c r="S1208" s="26">
        <f t="shared" si="363"/>
        <v>0.21904312307340845</v>
      </c>
      <c r="T1208" s="27">
        <f t="shared" si="364"/>
        <v>4.4827191972459284</v>
      </c>
      <c r="U1208" s="26">
        <f t="shared" si="365"/>
        <v>29.352194750704005</v>
      </c>
      <c r="V1208" s="26">
        <f t="shared" si="366"/>
        <v>0.3952714703453683</v>
      </c>
      <c r="W1208" s="23"/>
      <c r="X1208" s="23"/>
      <c r="Y1208" s="23"/>
      <c r="Z1208" s="30">
        <f t="shared" si="427"/>
        <v>0</v>
      </c>
      <c r="AA1208" s="31">
        <f t="shared" si="368"/>
        <v>23</v>
      </c>
      <c r="AB1208" s="32">
        <v>3.15E-2</v>
      </c>
      <c r="AC1208" s="32">
        <v>8.0199999999999994E-2</v>
      </c>
      <c r="AD1208" s="33">
        <f t="shared" si="391"/>
        <v>0.75924750341449243</v>
      </c>
      <c r="AE1208" s="34">
        <f t="shared" si="392"/>
        <v>2.0098182704557519E-2</v>
      </c>
      <c r="AF1208" s="33">
        <f t="shared" si="393"/>
        <v>7.7061423457846542E-2</v>
      </c>
      <c r="AG1208" s="33">
        <f t="shared" si="394"/>
        <v>0</v>
      </c>
      <c r="AH1208" s="35">
        <f t="shared" si="395"/>
        <v>0.8892097077341391</v>
      </c>
      <c r="AI1208" s="36">
        <f t="shared" si="374"/>
        <v>2.0827468650288039</v>
      </c>
      <c r="AJ1208" s="23"/>
      <c r="AK1208" s="158">
        <v>418</v>
      </c>
      <c r="AL1208" s="23"/>
      <c r="AM1208" s="23"/>
      <c r="AN1208" s="23"/>
      <c r="AO1208" s="23"/>
      <c r="AP1208" s="44"/>
      <c r="AQ1208" s="44"/>
      <c r="AR1208" s="44"/>
    </row>
    <row r="1209" spans="1:44" ht="16.8">
      <c r="A1209" s="70" t="s">
        <v>2518</v>
      </c>
      <c r="B1209" s="71"/>
      <c r="C1209" s="71" t="s">
        <v>2515</v>
      </c>
      <c r="D1209" s="19" t="s">
        <v>2516</v>
      </c>
      <c r="E1209" s="20" t="s">
        <v>414</v>
      </c>
      <c r="F1209" s="21">
        <v>1999</v>
      </c>
      <c r="G1209" s="40">
        <v>2023</v>
      </c>
      <c r="H1209" s="23">
        <v>8239817818241</v>
      </c>
      <c r="I1209" s="23">
        <v>8326378957897</v>
      </c>
      <c r="J1209" s="23">
        <v>3641963845387</v>
      </c>
      <c r="K1209" s="23">
        <f t="shared" si="437"/>
        <v>2433326447814</v>
      </c>
      <c r="L1209" s="23">
        <v>3636264292026</v>
      </c>
      <c r="M1209" s="23">
        <v>4684415112510</v>
      </c>
      <c r="N1209" s="23">
        <v>1258998058599</v>
      </c>
      <c r="O1209" s="25">
        <f t="shared" si="361"/>
        <v>4603553526215</v>
      </c>
      <c r="P1209" s="23">
        <v>408259606627</v>
      </c>
      <c r="Q1209" s="23">
        <v>450810734677</v>
      </c>
      <c r="R1209" s="25">
        <f t="shared" si="362"/>
        <v>808187323922</v>
      </c>
      <c r="S1209" s="26">
        <f t="shared" si="363"/>
        <v>0.437400683274552</v>
      </c>
      <c r="T1209" s="27">
        <f t="shared" si="364"/>
        <v>2.2660118067628301</v>
      </c>
      <c r="U1209" s="26">
        <f t="shared" si="365"/>
        <v>29.750449778666397</v>
      </c>
      <c r="V1209" s="26">
        <f t="shared" si="366"/>
        <v>0.51739792650099692</v>
      </c>
      <c r="W1209" s="23"/>
      <c r="X1209" s="23"/>
      <c r="Y1209" s="23"/>
      <c r="Z1209" s="30">
        <f t="shared" si="427"/>
        <v>0</v>
      </c>
      <c r="AA1209" s="31">
        <f t="shared" si="368"/>
        <v>24</v>
      </c>
      <c r="AB1209" s="32">
        <v>3.2500000000000001E-2</v>
      </c>
      <c r="AC1209" s="32">
        <v>5.0500000000000003E-2</v>
      </c>
      <c r="AD1209" s="33">
        <f t="shared" si="391"/>
        <v>0.55288782188430718</v>
      </c>
      <c r="AE1209" s="34">
        <f t="shared" si="392"/>
        <v>4.9032071287098182E-2</v>
      </c>
      <c r="AF1209" s="33">
        <f t="shared" si="393"/>
        <v>9.706348077701768E-2</v>
      </c>
      <c r="AG1209" s="33">
        <f t="shared" si="394"/>
        <v>0</v>
      </c>
      <c r="AH1209" s="35">
        <f t="shared" si="395"/>
        <v>0.34569208043997407</v>
      </c>
      <c r="AI1209" s="36">
        <f t="shared" si="374"/>
        <v>1.3981118530672385</v>
      </c>
      <c r="AJ1209" s="23"/>
      <c r="AK1209" s="158">
        <v>419</v>
      </c>
      <c r="AL1209" s="23"/>
      <c r="AM1209" s="23"/>
      <c r="AN1209" s="23"/>
      <c r="AO1209" s="23"/>
      <c r="AP1209" s="44"/>
      <c r="AQ1209" s="44"/>
      <c r="AR1209" s="44"/>
    </row>
    <row r="1210" spans="1:44" ht="16.8">
      <c r="A1210" s="70" t="s">
        <v>2519</v>
      </c>
      <c r="B1210" s="71">
        <v>471</v>
      </c>
      <c r="C1210" s="71" t="s">
        <v>2520</v>
      </c>
      <c r="D1210" s="19" t="s">
        <v>2521</v>
      </c>
      <c r="E1210" s="20" t="s">
        <v>414</v>
      </c>
      <c r="F1210" s="161">
        <v>1992</v>
      </c>
      <c r="G1210" s="40">
        <v>2021</v>
      </c>
      <c r="H1210" s="23">
        <v>969731614966</v>
      </c>
      <c r="I1210" s="23">
        <v>1909359553191</v>
      </c>
      <c r="J1210" s="23">
        <v>634081645337</v>
      </c>
      <c r="K1210" s="23">
        <f>AVERAGE(J1210,486356420832)</f>
        <v>560219033084.5</v>
      </c>
      <c r="L1210" s="23">
        <v>380054897948</v>
      </c>
      <c r="M1210" s="23">
        <v>1275277907854</v>
      </c>
      <c r="N1210" s="23">
        <v>1212906923062</v>
      </c>
      <c r="O1210" s="25">
        <f t="shared" si="361"/>
        <v>589676717018</v>
      </c>
      <c r="P1210" s="23">
        <v>127217720754</v>
      </c>
      <c r="Q1210" s="23">
        <f>16963362+37127400606</f>
        <v>37144363968</v>
      </c>
      <c r="R1210" s="25">
        <f t="shared" si="362"/>
        <v>1175762559094</v>
      </c>
      <c r="S1210" s="26">
        <f t="shared" si="363"/>
        <v>0.33209127336823319</v>
      </c>
      <c r="T1210" s="27">
        <f t="shared" si="364"/>
        <v>2.5515566835259702</v>
      </c>
      <c r="U1210" s="26">
        <f t="shared" si="365"/>
        <v>28.277788989291846</v>
      </c>
      <c r="V1210" s="26">
        <f t="shared" si="366"/>
        <v>2.1650583993619019</v>
      </c>
      <c r="W1210" s="23"/>
      <c r="X1210" s="23"/>
      <c r="Y1210" s="23"/>
      <c r="Z1210" s="30">
        <f t="shared" si="427"/>
        <v>0</v>
      </c>
      <c r="AA1210" s="31">
        <f t="shared" si="368"/>
        <v>29</v>
      </c>
      <c r="AB1210" s="32">
        <v>1.84E-2</v>
      </c>
      <c r="AC1210" s="32">
        <v>2.58E-2</v>
      </c>
      <c r="AD1210" s="33">
        <f t="shared" si="391"/>
        <v>0.30883482161990289</v>
      </c>
      <c r="AE1210" s="34">
        <f t="shared" si="392"/>
        <v>6.6628477879605505E-2</v>
      </c>
      <c r="AF1210" s="33">
        <f t="shared" si="393"/>
        <v>0.61578897339111294</v>
      </c>
      <c r="AG1210" s="33">
        <f t="shared" si="394"/>
        <v>0</v>
      </c>
      <c r="AH1210" s="35">
        <f t="shared" si="395"/>
        <v>1.9128560682707785</v>
      </c>
      <c r="AI1210" s="36">
        <f t="shared" si="374"/>
        <v>4.4088413354367821</v>
      </c>
      <c r="AJ1210" s="23"/>
      <c r="AK1210" s="158">
        <v>420</v>
      </c>
      <c r="AL1210" s="44"/>
      <c r="AM1210" s="44"/>
      <c r="AN1210" s="44"/>
      <c r="AO1210" s="44"/>
      <c r="AP1210" s="44"/>
      <c r="AQ1210" s="44"/>
      <c r="AR1210" s="44"/>
    </row>
    <row r="1211" spans="1:44" ht="16.8">
      <c r="A1211" s="74" t="s">
        <v>2522</v>
      </c>
      <c r="B1211" s="75"/>
      <c r="C1211" s="71" t="s">
        <v>2520</v>
      </c>
      <c r="D1211" s="19" t="s">
        <v>2521</v>
      </c>
      <c r="E1211" s="20" t="s">
        <v>414</v>
      </c>
      <c r="F1211" s="161">
        <v>1992</v>
      </c>
      <c r="G1211" s="40">
        <v>2022</v>
      </c>
      <c r="H1211" s="23">
        <v>785309568278</v>
      </c>
      <c r="I1211" s="23">
        <v>1599402011842</v>
      </c>
      <c r="J1211" s="23">
        <v>356419893057</v>
      </c>
      <c r="K1211" s="23">
        <f t="shared" ref="K1211:K1212" si="438">AVERAGE(J1210:J1211)</f>
        <v>495250769197</v>
      </c>
      <c r="L1211" s="23">
        <v>159805614560</v>
      </c>
      <c r="M1211" s="23">
        <v>1242982118785</v>
      </c>
      <c r="N1211" s="23">
        <v>513491554756</v>
      </c>
      <c r="O1211" s="25">
        <f t="shared" si="361"/>
        <v>625503953718</v>
      </c>
      <c r="P1211" s="23">
        <v>70744270207</v>
      </c>
      <c r="Q1211" s="23">
        <f>23158209+33955487751</f>
        <v>33978645960</v>
      </c>
      <c r="R1211" s="25">
        <f t="shared" si="362"/>
        <v>479512908796</v>
      </c>
      <c r="S1211" s="26">
        <f t="shared" si="363"/>
        <v>0.22284572009917519</v>
      </c>
      <c r="T1211" s="27">
        <f t="shared" si="364"/>
        <v>4.9141550529387104</v>
      </c>
      <c r="U1211" s="26">
        <f t="shared" si="365"/>
        <v>28.100650932716363</v>
      </c>
      <c r="V1211" s="26">
        <f t="shared" si="366"/>
        <v>1.0368314128791272</v>
      </c>
      <c r="W1211" s="23"/>
      <c r="X1211" s="23"/>
      <c r="Y1211" s="23"/>
      <c r="Z1211" s="30">
        <f t="shared" si="427"/>
        <v>0</v>
      </c>
      <c r="AA1211" s="31">
        <f t="shared" si="368"/>
        <v>30</v>
      </c>
      <c r="AB1211" s="32">
        <v>3.15E-2</v>
      </c>
      <c r="AC1211" s="32">
        <v>8.0199999999999994E-2</v>
      </c>
      <c r="AD1211" s="33">
        <f t="shared" si="391"/>
        <v>0.39108613662278652</v>
      </c>
      <c r="AE1211" s="34">
        <f t="shared" si="392"/>
        <v>4.4231700149936166E-2</v>
      </c>
      <c r="AF1211" s="33">
        <f t="shared" si="393"/>
        <v>0.2998076188761038</v>
      </c>
      <c r="AG1211" s="33">
        <f t="shared" si="394"/>
        <v>0</v>
      </c>
      <c r="AH1211" s="35">
        <f t="shared" si="395"/>
        <v>1.4406927468380126</v>
      </c>
      <c r="AI1211" s="36">
        <f t="shared" si="374"/>
        <v>2.9612856332864093</v>
      </c>
      <c r="AJ1211" s="23"/>
      <c r="AK1211" s="158">
        <v>421</v>
      </c>
    </row>
    <row r="1212" spans="1:44" ht="16.8">
      <c r="A1212" s="74" t="s">
        <v>2523</v>
      </c>
      <c r="B1212" s="75"/>
      <c r="C1212" s="71" t="s">
        <v>2520</v>
      </c>
      <c r="D1212" s="19" t="s">
        <v>2521</v>
      </c>
      <c r="E1212" s="20" t="s">
        <v>414</v>
      </c>
      <c r="F1212" s="161">
        <v>1992</v>
      </c>
      <c r="G1212" s="40">
        <v>2023</v>
      </c>
      <c r="H1212" s="23">
        <v>650031563605</v>
      </c>
      <c r="I1212" s="23">
        <v>1457404100582</v>
      </c>
      <c r="J1212" s="23">
        <v>255423575295</v>
      </c>
      <c r="K1212" s="23">
        <f t="shared" si="438"/>
        <v>305921734176</v>
      </c>
      <c r="L1212" s="23">
        <v>108787506936</v>
      </c>
      <c r="M1212" s="23">
        <v>1201980525287</v>
      </c>
      <c r="N1212" s="23">
        <v>779821402943</v>
      </c>
      <c r="O1212" s="25">
        <f t="shared" si="361"/>
        <v>541244056669</v>
      </c>
      <c r="P1212" s="23">
        <v>71821405002</v>
      </c>
      <c r="Q1212" s="23">
        <f>37311327498+13777960</f>
        <v>37325105458</v>
      </c>
      <c r="R1212" s="25">
        <f t="shared" si="362"/>
        <v>742496297485</v>
      </c>
      <c r="S1212" s="26">
        <f t="shared" si="363"/>
        <v>0.17525926762042121</v>
      </c>
      <c r="T1212" s="27">
        <f t="shared" si="364"/>
        <v>5.9752409252968306</v>
      </c>
      <c r="U1212" s="26">
        <f t="shared" si="365"/>
        <v>28.007677955807015</v>
      </c>
      <c r="V1212" s="26">
        <f t="shared" si="366"/>
        <v>2.5490879392516796</v>
      </c>
      <c r="W1212" s="23"/>
      <c r="X1212" s="23"/>
      <c r="Y1212" s="23"/>
      <c r="Z1212" s="30">
        <f t="shared" si="427"/>
        <v>0</v>
      </c>
      <c r="AA1212" s="31">
        <f t="shared" si="368"/>
        <v>31</v>
      </c>
      <c r="AB1212" s="32">
        <v>3.2500000000000001E-2</v>
      </c>
      <c r="AC1212" s="32">
        <v>5.0500000000000003E-2</v>
      </c>
      <c r="AD1212" s="33">
        <f t="shared" si="391"/>
        <v>0.37137541773956828</v>
      </c>
      <c r="AE1212" s="34">
        <f t="shared" si="392"/>
        <v>4.9280364295200503E-2</v>
      </c>
      <c r="AF1212" s="33">
        <f t="shared" si="393"/>
        <v>0.50946494331153003</v>
      </c>
      <c r="AG1212" s="33">
        <f t="shared" si="394"/>
        <v>0</v>
      </c>
      <c r="AH1212" s="35">
        <f t="shared" si="395"/>
        <v>3.0530517867912144</v>
      </c>
      <c r="AI1212" s="36">
        <f t="shared" si="374"/>
        <v>5.2489291110200256</v>
      </c>
      <c r="AJ1212" s="23"/>
      <c r="AK1212" s="158">
        <v>422</v>
      </c>
    </row>
    <row r="1213" spans="1:44" ht="16.8">
      <c r="A1213" s="70" t="s">
        <v>2524</v>
      </c>
      <c r="B1213" s="71">
        <v>472</v>
      </c>
      <c r="C1213" s="71" t="s">
        <v>2525</v>
      </c>
      <c r="D1213" s="19" t="s">
        <v>2526</v>
      </c>
      <c r="E1213" s="20" t="s">
        <v>414</v>
      </c>
      <c r="F1213" s="161">
        <v>1992</v>
      </c>
      <c r="G1213" s="40">
        <v>2021</v>
      </c>
      <c r="H1213" s="23">
        <v>88123704387</v>
      </c>
      <c r="I1213" s="23">
        <v>463013346695</v>
      </c>
      <c r="J1213" s="23">
        <v>105055041205</v>
      </c>
      <c r="K1213" s="23">
        <f>AVERAGE(J1213,131108668048)</f>
        <v>118081854626.5</v>
      </c>
      <c r="L1213" s="23">
        <v>16455233759</v>
      </c>
      <c r="M1213" s="23">
        <v>357958305490</v>
      </c>
      <c r="N1213" s="23">
        <v>103253019965</v>
      </c>
      <c r="O1213" s="25">
        <f t="shared" si="361"/>
        <v>71668470628</v>
      </c>
      <c r="P1213" s="23">
        <v>4880093980</v>
      </c>
      <c r="Q1213" s="23">
        <f>12278636445+14322438845</f>
        <v>26601075290</v>
      </c>
      <c r="R1213" s="25">
        <f t="shared" si="362"/>
        <v>76651944675</v>
      </c>
      <c r="S1213" s="26">
        <f t="shared" si="363"/>
        <v>0.22689419636579661</v>
      </c>
      <c r="T1213" s="27">
        <f t="shared" si="364"/>
        <v>5.3553602262746196</v>
      </c>
      <c r="U1213" s="26">
        <f t="shared" si="365"/>
        <v>26.861021717172243</v>
      </c>
      <c r="V1213" s="26">
        <f t="shared" si="366"/>
        <v>0.8744190230717116</v>
      </c>
      <c r="W1213" s="23"/>
      <c r="X1213" s="23"/>
      <c r="Y1213" s="23"/>
      <c r="Z1213" s="30">
        <f t="shared" si="427"/>
        <v>0</v>
      </c>
      <c r="AA1213" s="31">
        <f t="shared" si="368"/>
        <v>29</v>
      </c>
      <c r="AB1213" s="32">
        <v>1.84E-2</v>
      </c>
      <c r="AC1213" s="32">
        <v>2.58E-2</v>
      </c>
      <c r="AD1213" s="33">
        <f t="shared" si="391"/>
        <v>0.15478705125796308</v>
      </c>
      <c r="AE1213" s="34">
        <f t="shared" si="392"/>
        <v>1.0539855956279065E-2</v>
      </c>
      <c r="AF1213" s="33">
        <f t="shared" si="393"/>
        <v>0.16555018386001907</v>
      </c>
      <c r="AG1213" s="33">
        <f t="shared" si="394"/>
        <v>0</v>
      </c>
      <c r="AH1213" s="35">
        <f t="shared" si="395"/>
        <v>0.98284688464893744</v>
      </c>
      <c r="AI1213" s="36">
        <f t="shared" si="374"/>
        <v>1.7296627512353466</v>
      </c>
      <c r="AJ1213" s="23" t="s">
        <v>1054</v>
      </c>
      <c r="AK1213" s="158">
        <v>423</v>
      </c>
      <c r="AL1213" s="44"/>
      <c r="AM1213" s="44"/>
      <c r="AN1213" s="44"/>
      <c r="AO1213" s="44"/>
      <c r="AP1213" s="44"/>
      <c r="AQ1213" s="44"/>
      <c r="AR1213" s="44"/>
    </row>
    <row r="1214" spans="1:44" ht="16.8">
      <c r="A1214" s="74" t="s">
        <v>2527</v>
      </c>
      <c r="B1214" s="75"/>
      <c r="C1214" s="71" t="s">
        <v>2525</v>
      </c>
      <c r="D1214" s="19" t="s">
        <v>2526</v>
      </c>
      <c r="E1214" s="20" t="s">
        <v>414</v>
      </c>
      <c r="F1214" s="161">
        <v>1992</v>
      </c>
      <c r="G1214" s="40">
        <v>2022</v>
      </c>
      <c r="H1214" s="23">
        <v>122502011066</v>
      </c>
      <c r="I1214" s="23">
        <v>470848388319</v>
      </c>
      <c r="J1214" s="23">
        <v>105427307410</v>
      </c>
      <c r="K1214" s="23">
        <f t="shared" ref="K1214:K1215" si="439">AVERAGE(J1213:J1214)</f>
        <v>105241174307.5</v>
      </c>
      <c r="L1214" s="23">
        <v>25015781060</v>
      </c>
      <c r="M1214" s="23">
        <v>365421080909</v>
      </c>
      <c r="N1214" s="23">
        <v>162761152465</v>
      </c>
      <c r="O1214" s="25">
        <f t="shared" si="361"/>
        <v>97486230006</v>
      </c>
      <c r="P1214" s="23">
        <v>17701097083</v>
      </c>
      <c r="Q1214" s="23">
        <f>25193575290+23117237593</f>
        <v>48310812883</v>
      </c>
      <c r="R1214" s="25">
        <f t="shared" si="362"/>
        <v>114450339582</v>
      </c>
      <c r="S1214" s="26">
        <f t="shared" si="363"/>
        <v>0.22390924557773564</v>
      </c>
      <c r="T1214" s="27">
        <f t="shared" si="364"/>
        <v>4.8969892553896539</v>
      </c>
      <c r="U1214" s="26">
        <f t="shared" si="365"/>
        <v>26.877801985978497</v>
      </c>
      <c r="V1214" s="26">
        <f t="shared" si="366"/>
        <v>1.5465539370497203</v>
      </c>
      <c r="W1214" s="23"/>
      <c r="X1214" s="23"/>
      <c r="Y1214" s="23"/>
      <c r="Z1214" s="30">
        <f t="shared" si="427"/>
        <v>0</v>
      </c>
      <c r="AA1214" s="31">
        <f t="shared" si="368"/>
        <v>30</v>
      </c>
      <c r="AB1214" s="32">
        <v>3.15E-2</v>
      </c>
      <c r="AC1214" s="32">
        <v>8.0199999999999994E-2</v>
      </c>
      <c r="AD1214" s="33">
        <f t="shared" si="391"/>
        <v>0.2070437797483827</v>
      </c>
      <c r="AE1214" s="34">
        <f t="shared" si="392"/>
        <v>3.7594048364900635E-2</v>
      </c>
      <c r="AF1214" s="33">
        <f t="shared" si="393"/>
        <v>0.24307259496120404</v>
      </c>
      <c r="AG1214" s="33">
        <f t="shared" si="394"/>
        <v>0</v>
      </c>
      <c r="AH1214" s="35">
        <f t="shared" si="395"/>
        <v>1.5438234785986933</v>
      </c>
      <c r="AI1214" s="36">
        <f t="shared" si="374"/>
        <v>2.6470472453795866</v>
      </c>
      <c r="AJ1214" s="23" t="s">
        <v>1054</v>
      </c>
      <c r="AK1214" s="158">
        <v>424</v>
      </c>
    </row>
    <row r="1215" spans="1:44" ht="16.8">
      <c r="A1215" s="74" t="s">
        <v>2528</v>
      </c>
      <c r="B1215" s="75"/>
      <c r="C1215" s="71" t="s">
        <v>2525</v>
      </c>
      <c r="D1215" s="19" t="s">
        <v>2526</v>
      </c>
      <c r="E1215" s="20" t="s">
        <v>414</v>
      </c>
      <c r="F1215" s="161">
        <v>1992</v>
      </c>
      <c r="G1215" s="40">
        <v>2023</v>
      </c>
      <c r="H1215" s="23">
        <v>164296211956</v>
      </c>
      <c r="I1215" s="23">
        <v>508370039605</v>
      </c>
      <c r="J1215" s="23">
        <v>120527505107</v>
      </c>
      <c r="K1215" s="23">
        <f t="shared" si="439"/>
        <v>112977406258.5</v>
      </c>
      <c r="L1215" s="23">
        <v>44782420363</v>
      </c>
      <c r="M1215" s="23">
        <v>387842534498</v>
      </c>
      <c r="N1215" s="23">
        <v>232433439105</v>
      </c>
      <c r="O1215" s="25">
        <f t="shared" si="361"/>
        <v>119513791593</v>
      </c>
      <c r="P1215" s="23">
        <v>49421453589</v>
      </c>
      <c r="Q1215" s="23">
        <f>38349013445+28422614612</f>
        <v>66771628057</v>
      </c>
      <c r="R1215" s="25">
        <f t="shared" si="362"/>
        <v>165661811048</v>
      </c>
      <c r="S1215" s="26">
        <f t="shared" si="363"/>
        <v>0.23708616896591514</v>
      </c>
      <c r="T1215" s="27">
        <f t="shared" si="364"/>
        <v>3.6687657930106954</v>
      </c>
      <c r="U1215" s="26">
        <f t="shared" si="365"/>
        <v>26.95447544377188</v>
      </c>
      <c r="V1215" s="26">
        <f t="shared" si="366"/>
        <v>2.0573444443677213</v>
      </c>
      <c r="W1215" s="23"/>
      <c r="X1215" s="23"/>
      <c r="Y1215" s="23"/>
      <c r="Z1215" s="30">
        <f t="shared" si="427"/>
        <v>0</v>
      </c>
      <c r="AA1215" s="31">
        <f t="shared" si="368"/>
        <v>31</v>
      </c>
      <c r="AB1215" s="32">
        <v>3.2500000000000001E-2</v>
      </c>
      <c r="AC1215" s="32">
        <v>5.0500000000000003E-2</v>
      </c>
      <c r="AD1215" s="33">
        <f t="shared" si="391"/>
        <v>0.23509212243479452</v>
      </c>
      <c r="AE1215" s="34">
        <f t="shared" si="392"/>
        <v>9.721551180986221E-2</v>
      </c>
      <c r="AF1215" s="33">
        <f t="shared" si="393"/>
        <v>0.32586855664570258</v>
      </c>
      <c r="AG1215" s="33">
        <f t="shared" si="394"/>
        <v>0</v>
      </c>
      <c r="AH1215" s="35">
        <f t="shared" si="395"/>
        <v>1.9284680197989157</v>
      </c>
      <c r="AI1215" s="36">
        <f t="shared" si="374"/>
        <v>3.4220465201852948</v>
      </c>
      <c r="AJ1215" s="23" t="s">
        <v>1054</v>
      </c>
      <c r="AK1215" s="158">
        <v>425</v>
      </c>
    </row>
    <row r="1216" spans="1:44" ht="16.8">
      <c r="A1216" s="70" t="s">
        <v>2529</v>
      </c>
      <c r="B1216" s="71">
        <v>473</v>
      </c>
      <c r="C1216" s="71" t="s">
        <v>2530</v>
      </c>
      <c r="D1216" s="19" t="s">
        <v>2531</v>
      </c>
      <c r="E1216" s="20" t="s">
        <v>414</v>
      </c>
      <c r="F1216" s="161">
        <v>1965</v>
      </c>
      <c r="G1216" s="40">
        <v>2021</v>
      </c>
      <c r="H1216" s="23">
        <v>99467964400489</v>
      </c>
      <c r="I1216" s="23">
        <v>169504122977005</v>
      </c>
      <c r="J1216" s="23">
        <v>147477392612620</v>
      </c>
      <c r="K1216" s="23">
        <f>AVERAGE(J1216,125591034777516)</f>
        <v>136534213695068</v>
      </c>
      <c r="L1216" s="23">
        <v>21707051775852</v>
      </c>
      <c r="M1216" s="23">
        <v>22026730364385</v>
      </c>
      <c r="N1216" s="159"/>
      <c r="O1216" s="25">
        <f t="shared" si="361"/>
        <v>77760912624637</v>
      </c>
      <c r="P1216" s="23">
        <v>1896699438352</v>
      </c>
      <c r="Q1216" s="23">
        <f>2266015074428+3997998677361</f>
        <v>6264013751789</v>
      </c>
      <c r="R1216" s="25">
        <f t="shared" si="362"/>
        <v>-6264013751789</v>
      </c>
      <c r="S1216" s="26">
        <f t="shared" si="363"/>
        <v>0.87005194931232943</v>
      </c>
      <c r="T1216" s="27">
        <f t="shared" si="364"/>
        <v>4.5822880706048759</v>
      </c>
      <c r="U1216" s="26">
        <f t="shared" si="365"/>
        <v>32.763898366801335</v>
      </c>
      <c r="V1216" s="26">
        <f t="shared" si="366"/>
        <v>0</v>
      </c>
      <c r="W1216" s="23"/>
      <c r="X1216" s="23"/>
      <c r="Y1216" s="23"/>
      <c r="Z1216" s="30">
        <f t="shared" si="427"/>
        <v>0</v>
      </c>
      <c r="AA1216" s="31">
        <f t="shared" si="368"/>
        <v>56</v>
      </c>
      <c r="AB1216" s="32">
        <v>1.84E-2</v>
      </c>
      <c r="AC1216" s="32">
        <v>2.58E-2</v>
      </c>
      <c r="AD1216" s="33">
        <f t="shared" si="391"/>
        <v>0.45875528723974507</v>
      </c>
      <c r="AE1216" s="34">
        <f t="shared" si="392"/>
        <v>1.1189695005880813E-2</v>
      </c>
      <c r="AF1216" s="33">
        <f t="shared" si="393"/>
        <v>-3.6954934439198145E-2</v>
      </c>
      <c r="AG1216" s="33">
        <f t="shared" si="394"/>
        <v>0</v>
      </c>
      <c r="AH1216" s="35">
        <f t="shared" si="395"/>
        <v>0</v>
      </c>
      <c r="AI1216" s="36">
        <f t="shared" si="374"/>
        <v>0.44422063404657336</v>
      </c>
      <c r="AJ1216" s="23" t="s">
        <v>1054</v>
      </c>
      <c r="AK1216" s="158">
        <v>426</v>
      </c>
      <c r="AL1216" s="44"/>
      <c r="AM1216" s="44"/>
      <c r="AN1216" s="44"/>
      <c r="AO1216" s="44"/>
      <c r="AP1216" s="44"/>
      <c r="AQ1216" s="44"/>
      <c r="AR1216" s="44"/>
    </row>
    <row r="1217" spans="1:44" ht="16.8">
      <c r="A1217" s="74" t="s">
        <v>2532</v>
      </c>
      <c r="B1217" s="75"/>
      <c r="C1217" s="71" t="s">
        <v>2530</v>
      </c>
      <c r="D1217" s="19" t="s">
        <v>2531</v>
      </c>
      <c r="E1217" s="20" t="s">
        <v>414</v>
      </c>
      <c r="F1217" s="161">
        <v>1965</v>
      </c>
      <c r="G1217" s="40">
        <v>2022</v>
      </c>
      <c r="H1217" s="23">
        <v>117373071556758</v>
      </c>
      <c r="I1217" s="23">
        <v>201663976385114</v>
      </c>
      <c r="J1217" s="23">
        <v>180393018780152</v>
      </c>
      <c r="K1217" s="23">
        <f t="shared" ref="K1217:K1218" si="440">AVERAGE(J1216:J1217)</f>
        <v>163935205696386</v>
      </c>
      <c r="L1217" s="23">
        <v>32503856533023</v>
      </c>
      <c r="M1217" s="23">
        <v>21270957604962</v>
      </c>
      <c r="N1217" s="159"/>
      <c r="O1217" s="25">
        <f t="shared" si="361"/>
        <v>84869215023735</v>
      </c>
      <c r="P1217" s="23">
        <v>1625606380385</v>
      </c>
      <c r="Q1217" s="23">
        <f>2281905372173+4019572408261</f>
        <v>6301477780434</v>
      </c>
      <c r="R1217" s="25">
        <f t="shared" si="362"/>
        <v>-6301477780434</v>
      </c>
      <c r="S1217" s="26">
        <f t="shared" si="363"/>
        <v>0.89452277007401049</v>
      </c>
      <c r="T1217" s="27">
        <f t="shared" si="364"/>
        <v>3.6110506283311419</v>
      </c>
      <c r="U1217" s="26">
        <f t="shared" si="365"/>
        <v>32.937623944963192</v>
      </c>
      <c r="V1217" s="26">
        <f t="shared" si="366"/>
        <v>0</v>
      </c>
      <c r="W1217" s="23"/>
      <c r="X1217" s="23"/>
      <c r="Y1217" s="23"/>
      <c r="Z1217" s="30">
        <f t="shared" si="427"/>
        <v>0</v>
      </c>
      <c r="AA1217" s="31">
        <f t="shared" si="368"/>
        <v>57</v>
      </c>
      <c r="AB1217" s="32">
        <v>3.15E-2</v>
      </c>
      <c r="AC1217" s="32">
        <v>8.0199999999999994E-2</v>
      </c>
      <c r="AD1217" s="33">
        <f t="shared" si="391"/>
        <v>0.42084469693120508</v>
      </c>
      <c r="AE1217" s="34">
        <f t="shared" si="392"/>
        <v>8.0609656197624963E-3</v>
      </c>
      <c r="AF1217" s="33">
        <f t="shared" si="393"/>
        <v>-3.1247414106325977E-2</v>
      </c>
      <c r="AG1217" s="33">
        <f t="shared" si="394"/>
        <v>0</v>
      </c>
      <c r="AH1217" s="35">
        <f t="shared" si="395"/>
        <v>0</v>
      </c>
      <c r="AI1217" s="36">
        <f t="shared" si="374"/>
        <v>0.41318252163423796</v>
      </c>
      <c r="AJ1217" s="23" t="s">
        <v>1054</v>
      </c>
      <c r="AK1217" s="158">
        <v>427</v>
      </c>
    </row>
    <row r="1218" spans="1:44" ht="16.8">
      <c r="A1218" s="74" t="s">
        <v>2533</v>
      </c>
      <c r="B1218" s="75"/>
      <c r="C1218" s="71" t="s">
        <v>2530</v>
      </c>
      <c r="D1218" s="19" t="s">
        <v>2531</v>
      </c>
      <c r="E1218" s="20" t="s">
        <v>414</v>
      </c>
      <c r="F1218" s="161">
        <v>1965</v>
      </c>
      <c r="G1218" s="40">
        <v>2023</v>
      </c>
      <c r="H1218" s="23">
        <v>122398176223278</v>
      </c>
      <c r="I1218" s="23">
        <v>221101602593651</v>
      </c>
      <c r="J1218" s="23">
        <v>198842579484569</v>
      </c>
      <c r="K1218" s="23">
        <f t="shared" si="440"/>
        <v>189617799132360.5</v>
      </c>
      <c r="L1218" s="23">
        <v>30823017939929</v>
      </c>
      <c r="M1218" s="23">
        <v>22259023109082</v>
      </c>
      <c r="N1218" s="159"/>
      <c r="O1218" s="25">
        <f t="shared" si="361"/>
        <v>91575158283349</v>
      </c>
      <c r="P1218" s="23">
        <v>1859989244171</v>
      </c>
      <c r="Q1218" s="23">
        <f>1094026078899+4968385574451</f>
        <v>6062411653350</v>
      </c>
      <c r="R1218" s="25">
        <f t="shared" si="362"/>
        <v>-6062411653350</v>
      </c>
      <c r="S1218" s="26">
        <f t="shared" si="363"/>
        <v>0.89932672197772134</v>
      </c>
      <c r="T1218" s="27">
        <f t="shared" si="364"/>
        <v>3.9709990910630455</v>
      </c>
      <c r="U1218" s="26">
        <f t="shared" si="365"/>
        <v>33.029643452040901</v>
      </c>
      <c r="V1218" s="26">
        <f t="shared" si="366"/>
        <v>0</v>
      </c>
      <c r="W1218" s="23"/>
      <c r="X1218" s="23"/>
      <c r="Y1218" s="23"/>
      <c r="Z1218" s="30">
        <f t="shared" si="427"/>
        <v>0</v>
      </c>
      <c r="AA1218" s="31">
        <f t="shared" si="368"/>
        <v>58</v>
      </c>
      <c r="AB1218" s="32">
        <v>3.2500000000000001E-2</v>
      </c>
      <c r="AC1218" s="32">
        <v>5.0500000000000003E-2</v>
      </c>
      <c r="AD1218" s="33">
        <f t="shared" si="391"/>
        <v>0.41417681830036002</v>
      </c>
      <c r="AE1218" s="34">
        <f t="shared" si="392"/>
        <v>8.412373417253604E-3</v>
      </c>
      <c r="AF1218" s="33">
        <f t="shared" si="393"/>
        <v>-2.7419121264768635E-2</v>
      </c>
      <c r="AG1218" s="33">
        <f t="shared" si="394"/>
        <v>0</v>
      </c>
      <c r="AH1218" s="35">
        <f t="shared" si="395"/>
        <v>0</v>
      </c>
      <c r="AI1218" s="36">
        <f t="shared" si="374"/>
        <v>0.41830640457085055</v>
      </c>
      <c r="AJ1218" s="23" t="s">
        <v>1054</v>
      </c>
      <c r="AK1218" s="158">
        <v>428</v>
      </c>
    </row>
    <row r="1219" spans="1:44" ht="16.8">
      <c r="A1219" s="70" t="s">
        <v>2534</v>
      </c>
      <c r="B1219" s="71">
        <v>474</v>
      </c>
      <c r="C1219" s="71" t="s">
        <v>2535</v>
      </c>
      <c r="D1219" s="19" t="s">
        <v>2536</v>
      </c>
      <c r="E1219" s="20" t="s">
        <v>414</v>
      </c>
      <c r="F1219" s="161">
        <v>1993</v>
      </c>
      <c r="G1219" s="40">
        <v>2021</v>
      </c>
      <c r="H1219" s="23">
        <v>541350866848</v>
      </c>
      <c r="I1219" s="23">
        <v>973034696395</v>
      </c>
      <c r="J1219" s="23">
        <v>389131078397</v>
      </c>
      <c r="K1219" s="23">
        <f>AVERAGE(J1219,425615849859)</f>
        <v>407373464128</v>
      </c>
      <c r="L1219" s="23">
        <v>350739410897</v>
      </c>
      <c r="M1219" s="23">
        <v>583903617998</v>
      </c>
      <c r="N1219" s="23">
        <v>515892584204</v>
      </c>
      <c r="O1219" s="25">
        <f t="shared" si="361"/>
        <v>190611455951</v>
      </c>
      <c r="P1219" s="23">
        <v>75289583290</v>
      </c>
      <c r="Q1219" s="23">
        <f>24841576471+21906132281</f>
        <v>46747708752</v>
      </c>
      <c r="R1219" s="25">
        <f t="shared" si="362"/>
        <v>469144875452</v>
      </c>
      <c r="S1219" s="26">
        <f t="shared" si="363"/>
        <v>0.39991490523276635</v>
      </c>
      <c r="T1219" s="27">
        <f t="shared" si="364"/>
        <v>1.5434560532091901</v>
      </c>
      <c r="U1219" s="26">
        <f t="shared" si="365"/>
        <v>27.603685577689859</v>
      </c>
      <c r="V1219" s="26">
        <f t="shared" si="366"/>
        <v>1.2663873070581309</v>
      </c>
      <c r="W1219" s="23"/>
      <c r="X1219" s="23"/>
      <c r="Y1219" s="23"/>
      <c r="Z1219" s="30">
        <f t="shared" si="427"/>
        <v>0</v>
      </c>
      <c r="AA1219" s="31">
        <f t="shared" si="368"/>
        <v>28</v>
      </c>
      <c r="AB1219" s="32">
        <v>1.84E-2</v>
      </c>
      <c r="AC1219" s="32">
        <v>2.58E-2</v>
      </c>
      <c r="AD1219" s="33">
        <f t="shared" si="391"/>
        <v>0.19589379151349598</v>
      </c>
      <c r="AE1219" s="34">
        <f t="shared" si="392"/>
        <v>7.7376052024599601E-2</v>
      </c>
      <c r="AF1219" s="33">
        <f t="shared" si="393"/>
        <v>0.48214609118270568</v>
      </c>
      <c r="AG1219" s="33">
        <f t="shared" si="394"/>
        <v>0</v>
      </c>
      <c r="AH1219" s="35">
        <f t="shared" si="395"/>
        <v>1.3257552861857904</v>
      </c>
      <c r="AI1219" s="36">
        <f t="shared" si="374"/>
        <v>3.2602364097393535</v>
      </c>
      <c r="AJ1219" s="23" t="s">
        <v>1054</v>
      </c>
      <c r="AK1219" s="158">
        <v>429</v>
      </c>
      <c r="AL1219" s="44"/>
      <c r="AM1219" s="44"/>
      <c r="AN1219" s="44"/>
      <c r="AO1219" s="44"/>
      <c r="AP1219" s="44"/>
      <c r="AQ1219" s="44"/>
      <c r="AR1219" s="44"/>
    </row>
    <row r="1220" spans="1:44" ht="16.8">
      <c r="A1220" s="74" t="s">
        <v>2537</v>
      </c>
      <c r="B1220" s="75"/>
      <c r="C1220" s="71" t="s">
        <v>2535</v>
      </c>
      <c r="D1220" s="19" t="s">
        <v>2538</v>
      </c>
      <c r="E1220" s="20" t="s">
        <v>414</v>
      </c>
      <c r="F1220" s="161">
        <v>1993</v>
      </c>
      <c r="G1220" s="40">
        <v>2022</v>
      </c>
      <c r="H1220" s="23">
        <v>578581008992</v>
      </c>
      <c r="I1220" s="23">
        <v>1010445441574</v>
      </c>
      <c r="J1220" s="23">
        <v>423241046718</v>
      </c>
      <c r="K1220" s="23">
        <f t="shared" ref="K1220:K1221" si="441">AVERAGE(J1219:J1220)</f>
        <v>406186062557.5</v>
      </c>
      <c r="L1220" s="23">
        <v>394137779218</v>
      </c>
      <c r="M1220" s="23">
        <v>587204394856</v>
      </c>
      <c r="N1220" s="23">
        <v>571794811757</v>
      </c>
      <c r="O1220" s="25">
        <f t="shared" si="361"/>
        <v>184443229774</v>
      </c>
      <c r="P1220" s="23">
        <v>20510942791</v>
      </c>
      <c r="Q1220" s="23">
        <f>22087834334+17360703360</f>
        <v>39448537694</v>
      </c>
      <c r="R1220" s="25">
        <f t="shared" si="362"/>
        <v>532346274063</v>
      </c>
      <c r="S1220" s="26">
        <f t="shared" si="363"/>
        <v>0.41886580838912513</v>
      </c>
      <c r="T1220" s="27">
        <f t="shared" si="364"/>
        <v>1.4679663800307337</v>
      </c>
      <c r="U1220" s="26">
        <f t="shared" si="365"/>
        <v>27.6414123808174</v>
      </c>
      <c r="V1220" s="26">
        <f t="shared" si="366"/>
        <v>1.4077164739645796</v>
      </c>
      <c r="W1220" s="23"/>
      <c r="X1220" s="23"/>
      <c r="Y1220" s="23"/>
      <c r="Z1220" s="30">
        <f t="shared" si="427"/>
        <v>0</v>
      </c>
      <c r="AA1220" s="31">
        <f t="shared" si="368"/>
        <v>29</v>
      </c>
      <c r="AB1220" s="32">
        <v>3.15E-2</v>
      </c>
      <c r="AC1220" s="32">
        <v>8.0199999999999994E-2</v>
      </c>
      <c r="AD1220" s="33">
        <f t="shared" si="391"/>
        <v>0.18253655485514136</v>
      </c>
      <c r="AE1220" s="34">
        <f t="shared" si="392"/>
        <v>2.0298911694875393E-2</v>
      </c>
      <c r="AF1220" s="33">
        <f t="shared" si="393"/>
        <v>0.52684316456883495</v>
      </c>
      <c r="AG1220" s="33">
        <f t="shared" si="394"/>
        <v>0</v>
      </c>
      <c r="AH1220" s="35">
        <f t="shared" si="395"/>
        <v>1.3509909215822808</v>
      </c>
      <c r="AI1220" s="36">
        <f t="shared" si="374"/>
        <v>3.3370357068584315</v>
      </c>
      <c r="AJ1220" s="23" t="s">
        <v>1054</v>
      </c>
      <c r="AK1220" s="158">
        <v>430</v>
      </c>
    </row>
    <row r="1221" spans="1:44" ht="16.8">
      <c r="A1221" s="74" t="s">
        <v>2539</v>
      </c>
      <c r="B1221" s="75"/>
      <c r="C1221" s="71" t="s">
        <v>2535</v>
      </c>
      <c r="D1221" s="19" t="s">
        <v>2540</v>
      </c>
      <c r="E1221" s="20" t="s">
        <v>414</v>
      </c>
      <c r="F1221" s="161">
        <v>1993</v>
      </c>
      <c r="G1221" s="40">
        <v>2023</v>
      </c>
      <c r="H1221" s="23">
        <v>462588802109</v>
      </c>
      <c r="I1221" s="23">
        <v>864510257596</v>
      </c>
      <c r="J1221" s="23">
        <v>328578069072</v>
      </c>
      <c r="K1221" s="23">
        <f t="shared" si="441"/>
        <v>375909557895</v>
      </c>
      <c r="L1221" s="23">
        <v>328578069072</v>
      </c>
      <c r="M1221" s="23">
        <v>535932188524</v>
      </c>
      <c r="N1221" s="23">
        <v>494136907209</v>
      </c>
      <c r="O1221" s="25">
        <f t="shared" si="361"/>
        <v>134010733037</v>
      </c>
      <c r="P1221" s="23">
        <v>26982148276</v>
      </c>
      <c r="Q1221" s="23">
        <f>27785326370+40744767798</f>
        <v>68530094168</v>
      </c>
      <c r="R1221" s="25">
        <f t="shared" si="362"/>
        <v>425606813041</v>
      </c>
      <c r="S1221" s="26">
        <f t="shared" si="363"/>
        <v>0.38007422836797616</v>
      </c>
      <c r="T1221" s="27">
        <f t="shared" si="364"/>
        <v>1.4078505099731253</v>
      </c>
      <c r="U1221" s="26">
        <f t="shared" si="365"/>
        <v>27.485429007350433</v>
      </c>
      <c r="V1221" s="26">
        <f t="shared" si="366"/>
        <v>1.3145100911401235</v>
      </c>
      <c r="W1221" s="23"/>
      <c r="X1221" s="23"/>
      <c r="Y1221" s="23"/>
      <c r="Z1221" s="30">
        <f t="shared" si="427"/>
        <v>0</v>
      </c>
      <c r="AA1221" s="31">
        <f t="shared" si="368"/>
        <v>30</v>
      </c>
      <c r="AB1221" s="32">
        <v>3.2500000000000001E-2</v>
      </c>
      <c r="AC1221" s="32">
        <v>5.0500000000000003E-2</v>
      </c>
      <c r="AD1221" s="33">
        <f t="shared" si="391"/>
        <v>0.15501346786752118</v>
      </c>
      <c r="AE1221" s="34">
        <f t="shared" si="392"/>
        <v>3.1210905872917017E-2</v>
      </c>
      <c r="AF1221" s="33">
        <f t="shared" si="393"/>
        <v>0.4923097317833019</v>
      </c>
      <c r="AG1221" s="33">
        <f t="shared" si="394"/>
        <v>0</v>
      </c>
      <c r="AH1221" s="35">
        <f t="shared" si="395"/>
        <v>1.5038645415519858</v>
      </c>
      <c r="AI1221" s="36">
        <f t="shared" si="374"/>
        <v>3.3581980860999914</v>
      </c>
      <c r="AJ1221" s="23" t="s">
        <v>1054</v>
      </c>
      <c r="AK1221" s="158">
        <v>431</v>
      </c>
    </row>
    <row r="1222" spans="1:44" ht="16.8">
      <c r="A1222" s="70" t="s">
        <v>2541</v>
      </c>
      <c r="B1222" s="71">
        <v>475</v>
      </c>
      <c r="C1222" s="71" t="s">
        <v>2542</v>
      </c>
      <c r="D1222" s="19" t="s">
        <v>2543</v>
      </c>
      <c r="E1222" s="20" t="s">
        <v>414</v>
      </c>
      <c r="F1222" s="21">
        <v>1975</v>
      </c>
      <c r="G1222" s="40">
        <v>2021</v>
      </c>
      <c r="H1222" s="23">
        <v>1040506783226</v>
      </c>
      <c r="I1222" s="23">
        <v>1572251007751</v>
      </c>
      <c r="J1222" s="23">
        <v>1227173060017</v>
      </c>
      <c r="K1222" s="23">
        <f>AVERAGE(J1222,1316163960644)</f>
        <v>1271668510330.5</v>
      </c>
      <c r="L1222" s="23">
        <v>811501480617</v>
      </c>
      <c r="M1222" s="23">
        <v>345077947734</v>
      </c>
      <c r="N1222" s="23">
        <v>881942578263</v>
      </c>
      <c r="O1222" s="25">
        <f t="shared" si="361"/>
        <v>229005302609</v>
      </c>
      <c r="P1222" s="23">
        <v>43220042699</v>
      </c>
      <c r="Q1222" s="23">
        <v>32015960586</v>
      </c>
      <c r="R1222" s="25">
        <f t="shared" si="362"/>
        <v>849926617677</v>
      </c>
      <c r="S1222" s="26">
        <f t="shared" si="363"/>
        <v>0.78051981138329118</v>
      </c>
      <c r="T1222" s="27">
        <f t="shared" si="364"/>
        <v>1.2821994883298091</v>
      </c>
      <c r="U1222" s="26">
        <f t="shared" si="365"/>
        <v>28.083529471330863</v>
      </c>
      <c r="V1222" s="26">
        <f t="shared" si="366"/>
        <v>0.69353182146012859</v>
      </c>
      <c r="W1222" s="23"/>
      <c r="X1222" s="23"/>
      <c r="Y1222" s="23"/>
      <c r="Z1222" s="30">
        <f t="shared" si="427"/>
        <v>0</v>
      </c>
      <c r="AA1222" s="31">
        <f t="shared" si="368"/>
        <v>46</v>
      </c>
      <c r="AB1222" s="32">
        <v>1.84E-2</v>
      </c>
      <c r="AC1222" s="32">
        <v>2.58E-2</v>
      </c>
      <c r="AD1222" s="33">
        <f t="shared" si="391"/>
        <v>0.14565441617148447</v>
      </c>
      <c r="AE1222" s="34">
        <f t="shared" si="392"/>
        <v>2.7489276512421119E-2</v>
      </c>
      <c r="AF1222" s="33">
        <f t="shared" si="393"/>
        <v>0.54057947076323598</v>
      </c>
      <c r="AG1222" s="33">
        <f t="shared" si="394"/>
        <v>0</v>
      </c>
      <c r="AH1222" s="35">
        <f t="shared" si="395"/>
        <v>0.71867824270097846</v>
      </c>
      <c r="AI1222" s="36">
        <f t="shared" si="374"/>
        <v>2.7158607827428281</v>
      </c>
      <c r="AJ1222" s="23" t="s">
        <v>1021</v>
      </c>
      <c r="AK1222" s="158">
        <v>432</v>
      </c>
      <c r="AL1222" s="44"/>
      <c r="AM1222" s="44"/>
      <c r="AN1222" s="44"/>
      <c r="AO1222" s="44"/>
      <c r="AP1222" s="44"/>
      <c r="AQ1222" s="44"/>
      <c r="AR1222" s="44"/>
    </row>
    <row r="1223" spans="1:44" ht="16.8">
      <c r="A1223" s="74" t="s">
        <v>2544</v>
      </c>
      <c r="B1223" s="75"/>
      <c r="C1223" s="71" t="s">
        <v>2542</v>
      </c>
      <c r="D1223" s="19" t="s">
        <v>2543</v>
      </c>
      <c r="E1223" s="20" t="s">
        <v>414</v>
      </c>
      <c r="F1223" s="21">
        <v>1975</v>
      </c>
      <c r="G1223" s="40">
        <v>2022</v>
      </c>
      <c r="H1223" s="23">
        <v>1269699670997</v>
      </c>
      <c r="I1223" s="23">
        <v>1844059734141</v>
      </c>
      <c r="J1223" s="23">
        <v>1421360612455</v>
      </c>
      <c r="K1223" s="23">
        <f t="shared" ref="K1223:K1224" si="442">AVERAGE(J1222:J1223)</f>
        <v>1324266836236</v>
      </c>
      <c r="L1223" s="23">
        <v>886933657193</v>
      </c>
      <c r="M1223" s="23">
        <v>422699121686</v>
      </c>
      <c r="N1223" s="23">
        <v>788942499602</v>
      </c>
      <c r="O1223" s="25">
        <f t="shared" si="361"/>
        <v>382766013804</v>
      </c>
      <c r="P1223" s="23">
        <v>15649342966</v>
      </c>
      <c r="Q1223" s="23">
        <v>27243076289</v>
      </c>
      <c r="R1223" s="25">
        <f t="shared" si="362"/>
        <v>761699423313</v>
      </c>
      <c r="S1223" s="26">
        <f t="shared" si="363"/>
        <v>0.7707779667544763</v>
      </c>
      <c r="T1223" s="27">
        <f t="shared" si="364"/>
        <v>1.4315610425873249</v>
      </c>
      <c r="U1223" s="26">
        <f t="shared" si="365"/>
        <v>28.242990634324073</v>
      </c>
      <c r="V1223" s="26">
        <f t="shared" si="366"/>
        <v>0.59575795301529477</v>
      </c>
      <c r="W1223" s="23"/>
      <c r="X1223" s="23"/>
      <c r="Y1223" s="23"/>
      <c r="Z1223" s="30">
        <f t="shared" si="427"/>
        <v>0</v>
      </c>
      <c r="AA1223" s="31">
        <f t="shared" si="368"/>
        <v>47</v>
      </c>
      <c r="AB1223" s="32">
        <v>3.15E-2</v>
      </c>
      <c r="AC1223" s="32">
        <v>8.0199999999999994E-2</v>
      </c>
      <c r="AD1223" s="33">
        <f t="shared" si="391"/>
        <v>0.20756703631528514</v>
      </c>
      <c r="AE1223" s="34">
        <f t="shared" si="392"/>
        <v>8.4863536013868764E-3</v>
      </c>
      <c r="AF1223" s="33">
        <f t="shared" si="393"/>
        <v>0.41305572114116729</v>
      </c>
      <c r="AG1223" s="33">
        <f t="shared" si="394"/>
        <v>0</v>
      </c>
      <c r="AH1223" s="35">
        <f t="shared" si="395"/>
        <v>0.55506146201654205</v>
      </c>
      <c r="AI1223" s="36">
        <f t="shared" si="374"/>
        <v>2.1791066804026777</v>
      </c>
      <c r="AJ1223" s="23" t="s">
        <v>1021</v>
      </c>
      <c r="AK1223" s="158">
        <v>433</v>
      </c>
    </row>
    <row r="1224" spans="1:44" ht="16.8">
      <c r="A1224" s="74" t="s">
        <v>2545</v>
      </c>
      <c r="B1224" s="75"/>
      <c r="C1224" s="71" t="s">
        <v>2542</v>
      </c>
      <c r="D1224" s="19" t="s">
        <v>2543</v>
      </c>
      <c r="E1224" s="20" t="s">
        <v>414</v>
      </c>
      <c r="F1224" s="21">
        <v>1975</v>
      </c>
      <c r="G1224" s="40">
        <v>2023</v>
      </c>
      <c r="H1224" s="23">
        <v>1265888821751</v>
      </c>
      <c r="I1224" s="23">
        <v>1807973717109</v>
      </c>
      <c r="J1224" s="23">
        <v>1370621917241</v>
      </c>
      <c r="K1224" s="23">
        <f t="shared" si="442"/>
        <v>1395991264848</v>
      </c>
      <c r="L1224" s="23">
        <v>1038829167189</v>
      </c>
      <c r="M1224" s="23">
        <v>437351799868</v>
      </c>
      <c r="N1224" s="23">
        <v>986064220977</v>
      </c>
      <c r="O1224" s="25">
        <f t="shared" si="361"/>
        <v>227059654562</v>
      </c>
      <c r="P1224" s="23">
        <v>14631908182</v>
      </c>
      <c r="Q1224" s="23">
        <v>26667258604</v>
      </c>
      <c r="R1224" s="25">
        <f t="shared" si="362"/>
        <v>959396962373</v>
      </c>
      <c r="S1224" s="26">
        <f t="shared" si="363"/>
        <v>0.75809836408056996</v>
      </c>
      <c r="T1224" s="27">
        <f t="shared" si="364"/>
        <v>1.2185726601962936</v>
      </c>
      <c r="U1224" s="26">
        <f t="shared" si="365"/>
        <v>28.223227840795634</v>
      </c>
      <c r="V1224" s="26">
        <f t="shared" si="366"/>
        <v>0.70635414834373322</v>
      </c>
      <c r="W1224" s="23"/>
      <c r="X1224" s="23"/>
      <c r="Y1224" s="23"/>
      <c r="Z1224" s="30">
        <f t="shared" si="427"/>
        <v>0</v>
      </c>
      <c r="AA1224" s="31">
        <f t="shared" si="368"/>
        <v>48</v>
      </c>
      <c r="AB1224" s="32">
        <v>3.2500000000000001E-2</v>
      </c>
      <c r="AC1224" s="32">
        <v>5.0500000000000003E-2</v>
      </c>
      <c r="AD1224" s="33">
        <f t="shared" si="391"/>
        <v>0.1255879177962137</v>
      </c>
      <c r="AE1224" s="34">
        <f t="shared" si="392"/>
        <v>8.0929872174230633E-3</v>
      </c>
      <c r="AF1224" s="33">
        <f t="shared" si="393"/>
        <v>0.53064762684000866</v>
      </c>
      <c r="AG1224" s="33">
        <f t="shared" si="394"/>
        <v>0</v>
      </c>
      <c r="AH1224" s="35">
        <f t="shared" si="395"/>
        <v>0.71942831832275289</v>
      </c>
      <c r="AI1224" s="36">
        <f t="shared" si="374"/>
        <v>2.6326011703546301</v>
      </c>
      <c r="AJ1224" s="23" t="s">
        <v>1021</v>
      </c>
      <c r="AK1224" s="158">
        <v>434</v>
      </c>
    </row>
    <row r="1225" spans="1:44" ht="16.8">
      <c r="A1225" s="70" t="s">
        <v>2546</v>
      </c>
      <c r="B1225" s="71">
        <v>476</v>
      </c>
      <c r="C1225" s="71" t="s">
        <v>2547</v>
      </c>
      <c r="D1225" s="19" t="s">
        <v>2548</v>
      </c>
      <c r="E1225" s="20" t="s">
        <v>1371</v>
      </c>
      <c r="F1225" s="161">
        <v>1975</v>
      </c>
      <c r="G1225" s="40">
        <v>2021</v>
      </c>
      <c r="H1225" s="23">
        <v>5156565401917</v>
      </c>
      <c r="I1225" s="23">
        <v>6648568758458</v>
      </c>
      <c r="J1225" s="23">
        <v>4849530414623</v>
      </c>
      <c r="K1225" s="23">
        <f>AVERAGE(J1225,3849934231017)</f>
        <v>4349732322820</v>
      </c>
      <c r="L1225" s="23">
        <v>4451760389174</v>
      </c>
      <c r="M1225" s="23">
        <v>1799038343835</v>
      </c>
      <c r="N1225" s="23">
        <v>10602405091846</v>
      </c>
      <c r="O1225" s="25">
        <f t="shared" si="361"/>
        <v>704805012743</v>
      </c>
      <c r="P1225" s="23">
        <v>335784640284</v>
      </c>
      <c r="Q1225" s="23">
        <f>226323299363+144021443626</f>
        <v>370344742989</v>
      </c>
      <c r="R1225" s="25">
        <f t="shared" si="362"/>
        <v>10232060348857</v>
      </c>
      <c r="S1225" s="26">
        <f t="shared" si="363"/>
        <v>0.72940968061037992</v>
      </c>
      <c r="T1225" s="27">
        <f t="shared" si="364"/>
        <v>1.1583205184306367</v>
      </c>
      <c r="U1225" s="26">
        <f t="shared" si="365"/>
        <v>29.52542272314021</v>
      </c>
      <c r="V1225" s="26">
        <f t="shared" si="366"/>
        <v>2.4374844944417853</v>
      </c>
      <c r="W1225" s="23"/>
      <c r="X1225" s="23"/>
      <c r="Y1225" s="23"/>
      <c r="Z1225" s="23">
        <f>W1225*Y1225</f>
        <v>0</v>
      </c>
      <c r="AA1225" s="31">
        <f t="shared" si="368"/>
        <v>46</v>
      </c>
      <c r="AB1225" s="32">
        <v>1.84E-2</v>
      </c>
      <c r="AC1225" s="32">
        <v>2.58E-2</v>
      </c>
      <c r="AD1225" s="33">
        <f t="shared" si="391"/>
        <v>0.10600853181316353</v>
      </c>
      <c r="AE1225" s="34">
        <f t="shared" si="392"/>
        <v>5.050480072975562E-2</v>
      </c>
      <c r="AF1225" s="33">
        <f t="shared" si="393"/>
        <v>1.5389869189275134</v>
      </c>
      <c r="AG1225" s="33">
        <f t="shared" si="394"/>
        <v>0</v>
      </c>
      <c r="AH1225" s="35">
        <f t="shared" si="395"/>
        <v>2.1862745844166906</v>
      </c>
      <c r="AI1225" s="36">
        <f t="shared" si="374"/>
        <v>7.4628483760749393</v>
      </c>
      <c r="AJ1225" s="23"/>
      <c r="AK1225" s="23"/>
      <c r="AL1225" s="44"/>
      <c r="AM1225" s="44"/>
      <c r="AN1225" s="44"/>
      <c r="AO1225" s="44"/>
      <c r="AP1225" s="44"/>
      <c r="AQ1225" s="44"/>
      <c r="AR1225" s="44"/>
    </row>
    <row r="1226" spans="1:44" ht="16.8">
      <c r="A1226" s="74" t="s">
        <v>2549</v>
      </c>
      <c r="B1226" s="75"/>
      <c r="C1226" s="71" t="s">
        <v>2547</v>
      </c>
      <c r="D1226" s="19" t="s">
        <v>2548</v>
      </c>
      <c r="E1226" s="20" t="s">
        <v>1371</v>
      </c>
      <c r="F1226" s="161">
        <v>1975</v>
      </c>
      <c r="G1226" s="40">
        <v>2022</v>
      </c>
      <c r="H1226" s="23">
        <v>3307118268005</v>
      </c>
      <c r="I1226" s="23">
        <v>4709948359444</v>
      </c>
      <c r="J1226" s="23">
        <v>2878316817228</v>
      </c>
      <c r="K1226" s="23">
        <f t="shared" ref="K1226:K1227" si="443">AVERAGE(J1225:J1226)</f>
        <v>3863923615925.5</v>
      </c>
      <c r="L1226" s="23">
        <v>2582575236230</v>
      </c>
      <c r="M1226" s="23">
        <v>1831631542216</v>
      </c>
      <c r="N1226" s="23">
        <v>11473997020173</v>
      </c>
      <c r="O1226" s="25">
        <f t="shared" si="361"/>
        <v>724543031775</v>
      </c>
      <c r="P1226" s="23">
        <v>384245471187</v>
      </c>
      <c r="Q1226" s="23">
        <f>237294217947+127626813648</f>
        <v>364921031595</v>
      </c>
      <c r="R1226" s="25">
        <f t="shared" si="362"/>
        <v>11109075988578</v>
      </c>
      <c r="S1226" s="26">
        <f t="shared" si="363"/>
        <v>0.61111430477929474</v>
      </c>
      <c r="T1226" s="27">
        <f t="shared" si="364"/>
        <v>1.2805505998859787</v>
      </c>
      <c r="U1226" s="26">
        <f t="shared" si="365"/>
        <v>29.180698059872142</v>
      </c>
      <c r="V1226" s="26">
        <f t="shared" si="366"/>
        <v>2.9695196284113679</v>
      </c>
      <c r="W1226" s="23"/>
      <c r="X1226" s="23"/>
      <c r="Y1226" s="23"/>
      <c r="Z1226" s="23"/>
      <c r="AA1226" s="31">
        <f t="shared" si="368"/>
        <v>47</v>
      </c>
      <c r="AB1226" s="32">
        <v>3.15E-2</v>
      </c>
      <c r="AC1226" s="32">
        <v>8.0199999999999994E-2</v>
      </c>
      <c r="AD1226" s="33">
        <f t="shared" si="391"/>
        <v>0.15383247893200486</v>
      </c>
      <c r="AE1226" s="34">
        <f t="shared" si="392"/>
        <v>8.1581673908704896E-2</v>
      </c>
      <c r="AF1226" s="33">
        <f t="shared" si="393"/>
        <v>2.3586407197656416</v>
      </c>
      <c r="AG1226" s="33">
        <f t="shared" si="394"/>
        <v>0</v>
      </c>
      <c r="AH1226" s="35">
        <f t="shared" si="395"/>
        <v>3.9863565231930167</v>
      </c>
      <c r="AI1226" s="36">
        <f t="shared" si="374"/>
        <v>12.068684216610226</v>
      </c>
      <c r="AJ1226" s="23"/>
      <c r="AK1226" s="76"/>
    </row>
    <row r="1227" spans="1:44" ht="16.8">
      <c r="A1227" s="70" t="s">
        <v>2550</v>
      </c>
      <c r="B1227" s="71"/>
      <c r="C1227" s="71" t="s">
        <v>2547</v>
      </c>
      <c r="D1227" s="19" t="s">
        <v>2548</v>
      </c>
      <c r="E1227" s="20" t="s">
        <v>1371</v>
      </c>
      <c r="F1227" s="161">
        <v>1975</v>
      </c>
      <c r="G1227" s="40">
        <v>2023</v>
      </c>
      <c r="H1227" s="23">
        <v>2515932014386</v>
      </c>
      <c r="I1227" s="23">
        <v>3883213708312</v>
      </c>
      <c r="J1227" s="23">
        <v>2439830109387</v>
      </c>
      <c r="K1227" s="23">
        <f t="shared" si="443"/>
        <v>2659073463307.5</v>
      </c>
      <c r="L1227" s="23">
        <v>2203622400682</v>
      </c>
      <c r="M1227" s="23">
        <v>1443383598925</v>
      </c>
      <c r="N1227" s="23">
        <v>10218324294638</v>
      </c>
      <c r="O1227" s="25">
        <f t="shared" si="361"/>
        <v>312309613704</v>
      </c>
      <c r="P1227" s="23">
        <v>420446531421</v>
      </c>
      <c r="Q1227" s="23">
        <f>213742602871+136341929531</f>
        <v>350084532402</v>
      </c>
      <c r="R1227" s="25">
        <f t="shared" si="362"/>
        <v>9868239762236</v>
      </c>
      <c r="S1227" s="26">
        <f t="shared" si="363"/>
        <v>0.62830178626650279</v>
      </c>
      <c r="T1227" s="27">
        <f t="shared" si="364"/>
        <v>1.1417255577032359</v>
      </c>
      <c r="U1227" s="26">
        <f t="shared" si="365"/>
        <v>28.987684202071151</v>
      </c>
      <c r="V1227" s="26">
        <f t="shared" si="366"/>
        <v>3.8428138355861341</v>
      </c>
      <c r="W1227" s="23"/>
      <c r="X1227" s="23"/>
      <c r="Y1227" s="23"/>
      <c r="Z1227" s="23"/>
      <c r="AA1227" s="31">
        <f t="shared" si="368"/>
        <v>48</v>
      </c>
      <c r="AB1227" s="32">
        <v>3.2500000000000001E-2</v>
      </c>
      <c r="AC1227" s="32">
        <v>5.0500000000000003E-2</v>
      </c>
      <c r="AD1227" s="33">
        <f t="shared" si="391"/>
        <v>8.042555397749622E-2</v>
      </c>
      <c r="AE1227" s="34">
        <f t="shared" si="392"/>
        <v>0.10827282838465374</v>
      </c>
      <c r="AF1227" s="33">
        <f t="shared" si="393"/>
        <v>2.5412559038697977</v>
      </c>
      <c r="AG1227" s="33">
        <f t="shared" si="394"/>
        <v>0</v>
      </c>
      <c r="AH1227" s="35">
        <f t="shared" si="395"/>
        <v>4.1881294338175552</v>
      </c>
      <c r="AI1227" s="36">
        <f t="shared" si="374"/>
        <v>12.822366541099399</v>
      </c>
      <c r="AJ1227" s="23"/>
      <c r="AK1227" s="23"/>
      <c r="AL1227" s="44"/>
      <c r="AM1227" s="44"/>
      <c r="AN1227" s="44"/>
      <c r="AO1227" s="44"/>
      <c r="AP1227" s="44"/>
      <c r="AQ1227" s="44"/>
      <c r="AR1227" s="44"/>
    </row>
    <row r="1228" spans="1:44" ht="16.8">
      <c r="A1228" s="70" t="s">
        <v>2551</v>
      </c>
      <c r="B1228" s="71">
        <v>477</v>
      </c>
      <c r="C1228" s="71" t="s">
        <v>2552</v>
      </c>
      <c r="D1228" s="19" t="s">
        <v>2553</v>
      </c>
      <c r="E1228" s="20" t="s">
        <v>414</v>
      </c>
      <c r="F1228" s="21">
        <v>1992</v>
      </c>
      <c r="G1228" s="40">
        <v>2021</v>
      </c>
      <c r="H1228" s="23">
        <v>464260074497</v>
      </c>
      <c r="I1228" s="23">
        <v>689162756154</v>
      </c>
      <c r="J1228" s="23">
        <v>409071905910</v>
      </c>
      <c r="K1228" s="23">
        <f>AVERAGE(J1228,417454631298)</f>
        <v>413263268604</v>
      </c>
      <c r="L1228" s="23">
        <v>29032876094</v>
      </c>
      <c r="M1228" s="23">
        <v>280090850244</v>
      </c>
      <c r="N1228" s="23">
        <v>299154973976</v>
      </c>
      <c r="O1228" s="25">
        <f t="shared" si="361"/>
        <v>435227198403</v>
      </c>
      <c r="P1228" s="23">
        <v>32563469753</v>
      </c>
      <c r="Q1228" s="23">
        <f>15124355529+13058807660</f>
        <v>28183163189</v>
      </c>
      <c r="R1228" s="25">
        <f t="shared" si="362"/>
        <v>270971810787</v>
      </c>
      <c r="S1228" s="26">
        <f t="shared" si="363"/>
        <v>0.59357808044198634</v>
      </c>
      <c r="T1228" s="27">
        <f t="shared" si="364"/>
        <v>15.990839935866534</v>
      </c>
      <c r="U1228" s="26">
        <f t="shared" si="365"/>
        <v>27.258743300897414</v>
      </c>
      <c r="V1228" s="26">
        <f t="shared" si="366"/>
        <v>0.72388474055907048</v>
      </c>
      <c r="W1228" s="23"/>
      <c r="X1228" s="23"/>
      <c r="Y1228" s="23"/>
      <c r="Z1228" s="30">
        <f t="shared" ref="Z1228:Z1248" si="444">X1228*Y1228</f>
        <v>0</v>
      </c>
      <c r="AA1228" s="31">
        <f t="shared" si="368"/>
        <v>29</v>
      </c>
      <c r="AB1228" s="32">
        <v>1.84E-2</v>
      </c>
      <c r="AC1228" s="32">
        <v>2.58E-2</v>
      </c>
      <c r="AD1228" s="33">
        <f t="shared" si="391"/>
        <v>0.63153035261491164</v>
      </c>
      <c r="AE1228" s="34">
        <f t="shared" si="392"/>
        <v>4.7250768359460481E-2</v>
      </c>
      <c r="AF1228" s="33">
        <f t="shared" si="393"/>
        <v>0.3931898646108043</v>
      </c>
      <c r="AG1228" s="33">
        <f t="shared" si="394"/>
        <v>0</v>
      </c>
      <c r="AH1228" s="35">
        <f t="shared" si="395"/>
        <v>0.73130168475030199</v>
      </c>
      <c r="AI1228" s="36">
        <f t="shared" si="374"/>
        <v>2.8528157368070945</v>
      </c>
      <c r="AJ1228" s="23"/>
      <c r="AK1228" s="158">
        <v>435</v>
      </c>
      <c r="AL1228" s="44"/>
      <c r="AM1228" s="44"/>
      <c r="AN1228" s="44"/>
      <c r="AO1228" s="44"/>
      <c r="AP1228" s="44"/>
      <c r="AQ1228" s="44"/>
      <c r="AR1228" s="44"/>
    </row>
    <row r="1229" spans="1:44" ht="16.8">
      <c r="A1229" s="70" t="s">
        <v>2554</v>
      </c>
      <c r="B1229" s="71"/>
      <c r="C1229" s="71" t="s">
        <v>2552</v>
      </c>
      <c r="D1229" s="19" t="s">
        <v>2553</v>
      </c>
      <c r="E1229" s="20" t="s">
        <v>414</v>
      </c>
      <c r="F1229" s="21">
        <v>1992</v>
      </c>
      <c r="G1229" s="40">
        <v>2022</v>
      </c>
      <c r="H1229" s="23">
        <v>529486501063</v>
      </c>
      <c r="I1229" s="23">
        <v>778312015479</v>
      </c>
      <c r="J1229" s="23">
        <v>513657819905</v>
      </c>
      <c r="K1229" s="23">
        <f t="shared" ref="K1229:K1230" si="445">AVERAGE(J1228:J1229)</f>
        <v>461364862907.5</v>
      </c>
      <c r="L1229" s="23">
        <v>33842638791</v>
      </c>
      <c r="M1229" s="23">
        <v>264654195574</v>
      </c>
      <c r="N1229" s="23">
        <v>474168351094</v>
      </c>
      <c r="O1229" s="25">
        <f t="shared" si="361"/>
        <v>495643862272</v>
      </c>
      <c r="P1229" s="23">
        <v>24913956670</v>
      </c>
      <c r="Q1229" s="23">
        <f>15657202684+11516930292</f>
        <v>27174132976</v>
      </c>
      <c r="R1229" s="25">
        <f t="shared" si="362"/>
        <v>446994218118</v>
      </c>
      <c r="S1229" s="26">
        <f t="shared" si="363"/>
        <v>0.65996388297934383</v>
      </c>
      <c r="T1229" s="27">
        <f t="shared" si="364"/>
        <v>15.645544200407029</v>
      </c>
      <c r="U1229" s="26">
        <f t="shared" si="365"/>
        <v>27.380393328900002</v>
      </c>
      <c r="V1229" s="26">
        <f t="shared" si="366"/>
        <v>1.0277513291883846</v>
      </c>
      <c r="W1229" s="23"/>
      <c r="X1229" s="23"/>
      <c r="Y1229" s="23"/>
      <c r="Z1229" s="30">
        <f t="shared" si="444"/>
        <v>0</v>
      </c>
      <c r="AA1229" s="31">
        <f t="shared" si="368"/>
        <v>30</v>
      </c>
      <c r="AB1229" s="32">
        <v>3.15E-2</v>
      </c>
      <c r="AC1229" s="32">
        <v>8.0199999999999994E-2</v>
      </c>
      <c r="AD1229" s="33">
        <f t="shared" si="391"/>
        <v>0.63681897801226117</v>
      </c>
      <c r="AE1229" s="34">
        <f t="shared" si="392"/>
        <v>3.2010242903248887E-2</v>
      </c>
      <c r="AF1229" s="33">
        <f t="shared" si="393"/>
        <v>0.5743123698827961</v>
      </c>
      <c r="AG1229" s="33">
        <f t="shared" si="394"/>
        <v>0</v>
      </c>
      <c r="AH1229" s="35">
        <f t="shared" si="395"/>
        <v>0.92312105981701298</v>
      </c>
      <c r="AI1229" s="36">
        <f t="shared" si="374"/>
        <v>3.6273489941095018</v>
      </c>
      <c r="AJ1229" s="23"/>
      <c r="AK1229" s="158">
        <v>436</v>
      </c>
      <c r="AL1229" s="44"/>
      <c r="AM1229" s="44"/>
      <c r="AN1229" s="44"/>
      <c r="AO1229" s="44"/>
      <c r="AP1229" s="44"/>
      <c r="AQ1229" s="44"/>
      <c r="AR1229" s="44"/>
    </row>
    <row r="1230" spans="1:44" ht="16.8">
      <c r="A1230" s="70" t="s">
        <v>2555</v>
      </c>
      <c r="B1230" s="71"/>
      <c r="C1230" s="71" t="s">
        <v>2552</v>
      </c>
      <c r="D1230" s="19" t="s">
        <v>2553</v>
      </c>
      <c r="E1230" s="20" t="s">
        <v>414</v>
      </c>
      <c r="F1230" s="21">
        <v>1992</v>
      </c>
      <c r="G1230" s="40">
        <v>2023</v>
      </c>
      <c r="H1230" s="23">
        <v>481357846342</v>
      </c>
      <c r="I1230" s="23">
        <v>783523603586</v>
      </c>
      <c r="J1230" s="23">
        <v>518627937710</v>
      </c>
      <c r="K1230" s="23">
        <f t="shared" si="445"/>
        <v>516142878807.5</v>
      </c>
      <c r="L1230" s="23">
        <v>34344075766</v>
      </c>
      <c r="M1230" s="23">
        <v>264895665876</v>
      </c>
      <c r="N1230" s="23">
        <v>425126763680</v>
      </c>
      <c r="O1230" s="25">
        <f t="shared" si="361"/>
        <v>447013770576</v>
      </c>
      <c r="P1230" s="23">
        <v>25155426972</v>
      </c>
      <c r="Q1230" s="23">
        <f>18965659570+17311683733</f>
        <v>36277343303</v>
      </c>
      <c r="R1230" s="25">
        <f t="shared" si="362"/>
        <v>388849420377</v>
      </c>
      <c r="S1230" s="26">
        <f t="shared" si="363"/>
        <v>0.66191743980189499</v>
      </c>
      <c r="T1230" s="27">
        <f t="shared" si="364"/>
        <v>14.015746110673776</v>
      </c>
      <c r="U1230" s="26">
        <f t="shared" si="365"/>
        <v>27.387067024116408</v>
      </c>
      <c r="V1230" s="26">
        <f t="shared" si="366"/>
        <v>0.82366100770820616</v>
      </c>
      <c r="W1230" s="23"/>
      <c r="X1230" s="23"/>
      <c r="Y1230" s="23"/>
      <c r="Z1230" s="30">
        <f t="shared" si="444"/>
        <v>0</v>
      </c>
      <c r="AA1230" s="31">
        <f t="shared" si="368"/>
        <v>31</v>
      </c>
      <c r="AB1230" s="32">
        <v>3.2500000000000001E-2</v>
      </c>
      <c r="AC1230" s="32">
        <v>5.0500000000000003E-2</v>
      </c>
      <c r="AD1230" s="33">
        <f t="shared" si="391"/>
        <v>0.57051729970880893</v>
      </c>
      <c r="AE1230" s="34">
        <f t="shared" si="392"/>
        <v>3.2105512657014584E-2</v>
      </c>
      <c r="AF1230" s="33">
        <f t="shared" si="393"/>
        <v>0.49628296913753367</v>
      </c>
      <c r="AG1230" s="33">
        <f t="shared" si="394"/>
        <v>0</v>
      </c>
      <c r="AH1230" s="35">
        <f t="shared" si="395"/>
        <v>0.81971435159691908</v>
      </c>
      <c r="AI1230" s="36">
        <f t="shared" si="374"/>
        <v>3.1870166271211713</v>
      </c>
      <c r="AJ1230" s="23"/>
      <c r="AK1230" s="158">
        <v>437</v>
      </c>
      <c r="AL1230" s="44"/>
      <c r="AM1230" s="44"/>
      <c r="AN1230" s="44"/>
      <c r="AO1230" s="44"/>
      <c r="AP1230" s="44"/>
      <c r="AQ1230" s="44"/>
      <c r="AR1230" s="44"/>
    </row>
    <row r="1231" spans="1:44" ht="16.8">
      <c r="A1231" s="70" t="s">
        <v>2556</v>
      </c>
      <c r="B1231" s="71">
        <v>478</v>
      </c>
      <c r="C1231" s="71" t="s">
        <v>2557</v>
      </c>
      <c r="D1231" s="19" t="s">
        <v>2558</v>
      </c>
      <c r="E1231" s="20" t="s">
        <v>414</v>
      </c>
      <c r="F1231" s="161">
        <v>2007</v>
      </c>
      <c r="G1231" s="40">
        <v>2021</v>
      </c>
      <c r="H1231" s="23">
        <v>1076457268250</v>
      </c>
      <c r="I1231" s="23">
        <v>1201275612763</v>
      </c>
      <c r="J1231" s="23">
        <v>611844183867</v>
      </c>
      <c r="K1231" s="23">
        <f>AVERAGE(J1231,562957865525)</f>
        <v>587401024696</v>
      </c>
      <c r="L1231" s="23">
        <v>500184170503</v>
      </c>
      <c r="M1231" s="23">
        <v>589431428896</v>
      </c>
      <c r="N1231" s="23">
        <v>976200355351</v>
      </c>
      <c r="O1231" s="25">
        <f t="shared" si="361"/>
        <v>576273097747</v>
      </c>
      <c r="P1231" s="23">
        <v>78019685893</v>
      </c>
      <c r="Q1231" s="23">
        <f>55085453206+8898729797</f>
        <v>63984183003</v>
      </c>
      <c r="R1231" s="25">
        <f t="shared" si="362"/>
        <v>912216172348</v>
      </c>
      <c r="S1231" s="26">
        <f t="shared" si="363"/>
        <v>0.50932873136392465</v>
      </c>
      <c r="T1231" s="27">
        <f t="shared" si="364"/>
        <v>2.1521218217831297</v>
      </c>
      <c r="U1231" s="26">
        <f t="shared" si="365"/>
        <v>27.814405118762608</v>
      </c>
      <c r="V1231" s="26">
        <f t="shared" si="366"/>
        <v>1.661897603696243</v>
      </c>
      <c r="W1231" s="23"/>
      <c r="X1231" s="23"/>
      <c r="Y1231" s="23"/>
      <c r="Z1231" s="30">
        <f t="shared" si="444"/>
        <v>0</v>
      </c>
      <c r="AA1231" s="31">
        <f t="shared" si="368"/>
        <v>14</v>
      </c>
      <c r="AB1231" s="32">
        <v>1.84E-2</v>
      </c>
      <c r="AC1231" s="32">
        <v>2.58E-2</v>
      </c>
      <c r="AD1231" s="33">
        <f t="shared" si="391"/>
        <v>0.47971763650603061</v>
      </c>
      <c r="AE1231" s="34">
        <f t="shared" si="392"/>
        <v>6.4947365170887325E-2</v>
      </c>
      <c r="AF1231" s="33">
        <f t="shared" si="393"/>
        <v>0.75937292213054475</v>
      </c>
      <c r="AG1231" s="33">
        <f t="shared" si="394"/>
        <v>0</v>
      </c>
      <c r="AH1231" s="35">
        <f t="shared" si="395"/>
        <v>1.5955048378186465</v>
      </c>
      <c r="AI1231" s="36">
        <f t="shared" si="374"/>
        <v>4.7680229558959226</v>
      </c>
      <c r="AJ1231" s="23" t="s">
        <v>1054</v>
      </c>
      <c r="AK1231" s="158">
        <v>438</v>
      </c>
      <c r="AL1231" s="44"/>
      <c r="AM1231" s="44"/>
      <c r="AN1231" s="44"/>
      <c r="AO1231" s="44"/>
      <c r="AP1231" s="44"/>
      <c r="AQ1231" s="44"/>
      <c r="AR1231" s="44"/>
    </row>
    <row r="1232" spans="1:44" ht="16.8">
      <c r="A1232" s="74" t="s">
        <v>2559</v>
      </c>
      <c r="B1232" s="75"/>
      <c r="C1232" s="71" t="s">
        <v>2557</v>
      </c>
      <c r="D1232" s="19" t="s">
        <v>2558</v>
      </c>
      <c r="E1232" s="20" t="s">
        <v>414</v>
      </c>
      <c r="F1232" s="161">
        <v>2007</v>
      </c>
      <c r="G1232" s="40">
        <v>2022</v>
      </c>
      <c r="H1232" s="23">
        <v>1147312500603</v>
      </c>
      <c r="I1232" s="23">
        <v>1360904187332</v>
      </c>
      <c r="J1232" s="23">
        <v>720941806324</v>
      </c>
      <c r="K1232" s="23">
        <f t="shared" ref="K1232:K1233" si="446">AVERAGE(J1231:J1232)</f>
        <v>666392995095.5</v>
      </c>
      <c r="L1232" s="23">
        <v>551573094915</v>
      </c>
      <c r="M1232" s="23">
        <v>639962381008</v>
      </c>
      <c r="N1232" s="23">
        <v>558825317340</v>
      </c>
      <c r="O1232" s="25">
        <f t="shared" si="361"/>
        <v>595739405688</v>
      </c>
      <c r="P1232" s="23">
        <v>56134697351</v>
      </c>
      <c r="Q1232" s="23">
        <f>21534086526+13344569491</f>
        <v>34878656017</v>
      </c>
      <c r="R1232" s="25">
        <f t="shared" si="362"/>
        <v>523946661323</v>
      </c>
      <c r="S1232" s="26">
        <f t="shared" si="363"/>
        <v>0.52975206707048095</v>
      </c>
      <c r="T1232" s="27">
        <f t="shared" si="364"/>
        <v>2.0800733595967116</v>
      </c>
      <c r="U1232" s="26">
        <f t="shared" si="365"/>
        <v>27.939170438392363</v>
      </c>
      <c r="V1232" s="26">
        <f t="shared" si="366"/>
        <v>0.83858222018062389</v>
      </c>
      <c r="W1232" s="23"/>
      <c r="X1232" s="23"/>
      <c r="Y1232" s="23"/>
      <c r="Z1232" s="30">
        <f t="shared" si="444"/>
        <v>0</v>
      </c>
      <c r="AA1232" s="31">
        <f t="shared" si="368"/>
        <v>15</v>
      </c>
      <c r="AB1232" s="32">
        <v>3.15E-2</v>
      </c>
      <c r="AC1232" s="32">
        <v>8.0199999999999994E-2</v>
      </c>
      <c r="AD1232" s="33">
        <f t="shared" si="391"/>
        <v>0.43775264359787447</v>
      </c>
      <c r="AE1232" s="34">
        <f t="shared" si="392"/>
        <v>4.1248089228860335E-2</v>
      </c>
      <c r="AF1232" s="33">
        <f t="shared" si="393"/>
        <v>0.38499893394418688</v>
      </c>
      <c r="AG1232" s="33">
        <f t="shared" si="394"/>
        <v>0</v>
      </c>
      <c r="AH1232" s="35">
        <f t="shared" si="395"/>
        <v>0.77513235109694434</v>
      </c>
      <c r="AI1232" s="36">
        <f t="shared" si="374"/>
        <v>2.6286793303506149</v>
      </c>
      <c r="AJ1232" s="23" t="s">
        <v>1054</v>
      </c>
      <c r="AK1232" s="158">
        <v>439</v>
      </c>
    </row>
    <row r="1233" spans="1:44" ht="16.8">
      <c r="A1233" s="74" t="s">
        <v>2560</v>
      </c>
      <c r="B1233" s="75"/>
      <c r="C1233" s="71" t="s">
        <v>2557</v>
      </c>
      <c r="D1233" s="19" t="s">
        <v>2558</v>
      </c>
      <c r="E1233" s="20" t="s">
        <v>414</v>
      </c>
      <c r="F1233" s="161">
        <v>2007</v>
      </c>
      <c r="G1233" s="40">
        <v>2023</v>
      </c>
      <c r="H1233" s="23">
        <v>962193787062</v>
      </c>
      <c r="I1233" s="23">
        <v>1176907618226</v>
      </c>
      <c r="J1233" s="23">
        <v>453213056334</v>
      </c>
      <c r="K1233" s="23">
        <f t="shared" si="446"/>
        <v>587077431329</v>
      </c>
      <c r="L1233" s="23">
        <v>256612543477</v>
      </c>
      <c r="M1233" s="23">
        <v>685855226228</v>
      </c>
      <c r="N1233" s="23">
        <v>327040438502</v>
      </c>
      <c r="O1233" s="25">
        <f t="shared" si="361"/>
        <v>705581243585</v>
      </c>
      <c r="P1233" s="23">
        <v>57697557914</v>
      </c>
      <c r="Q1233" s="23">
        <f>8362440284+13203849919</f>
        <v>21566290203</v>
      </c>
      <c r="R1233" s="25">
        <f t="shared" si="362"/>
        <v>305474148299</v>
      </c>
      <c r="S1233" s="26">
        <f t="shared" si="363"/>
        <v>0.38508804711209721</v>
      </c>
      <c r="T1233" s="27">
        <f t="shared" si="364"/>
        <v>3.7495976386214367</v>
      </c>
      <c r="U1233" s="26">
        <f t="shared" si="365"/>
        <v>27.793911451938484</v>
      </c>
      <c r="V1233" s="26">
        <f t="shared" si="366"/>
        <v>0.55706525417211195</v>
      </c>
      <c r="W1233" s="23"/>
      <c r="X1233" s="23"/>
      <c r="Y1233" s="23"/>
      <c r="Z1233" s="30">
        <f t="shared" si="444"/>
        <v>0</v>
      </c>
      <c r="AA1233" s="31">
        <f t="shared" si="368"/>
        <v>16</v>
      </c>
      <c r="AB1233" s="32">
        <v>3.2500000000000001E-2</v>
      </c>
      <c r="AC1233" s="32">
        <v>5.0500000000000003E-2</v>
      </c>
      <c r="AD1233" s="33">
        <f t="shared" si="391"/>
        <v>0.59952134955889813</v>
      </c>
      <c r="AE1233" s="34">
        <f t="shared" si="392"/>
        <v>4.9024712747607023E-2</v>
      </c>
      <c r="AF1233" s="33">
        <f t="shared" si="393"/>
        <v>0.25955660713578643</v>
      </c>
      <c r="AG1233" s="33">
        <f t="shared" si="394"/>
        <v>0</v>
      </c>
      <c r="AH1233" s="35">
        <f t="shared" si="395"/>
        <v>0.72160418578273311</v>
      </c>
      <c r="AI1233" s="36">
        <f t="shared" si="374"/>
        <v>2.3662012066481557</v>
      </c>
      <c r="AJ1233" s="23"/>
      <c r="AK1233" s="158">
        <v>440</v>
      </c>
    </row>
    <row r="1234" spans="1:44" ht="16.8">
      <c r="A1234" s="70" t="s">
        <v>2561</v>
      </c>
      <c r="B1234" s="71">
        <v>479</v>
      </c>
      <c r="C1234" s="71" t="s">
        <v>2562</v>
      </c>
      <c r="D1234" s="19" t="s">
        <v>2563</v>
      </c>
      <c r="E1234" s="20" t="s">
        <v>414</v>
      </c>
      <c r="F1234" s="21">
        <v>1977</v>
      </c>
      <c r="G1234" s="40">
        <v>2021</v>
      </c>
      <c r="H1234" s="23">
        <v>1083605214094</v>
      </c>
      <c r="I1234" s="23">
        <v>1287018991211</v>
      </c>
      <c r="J1234" s="23">
        <v>975950751900</v>
      </c>
      <c r="K1234" s="23">
        <f>AVERAGE(J1234,577185738753)</f>
        <v>776568245326.5</v>
      </c>
      <c r="L1234" s="23">
        <v>901160357579</v>
      </c>
      <c r="M1234" s="23">
        <v>311068239311</v>
      </c>
      <c r="N1234" s="23">
        <v>769063338995</v>
      </c>
      <c r="O1234" s="25">
        <f t="shared" si="361"/>
        <v>182444856515</v>
      </c>
      <c r="P1234" s="23">
        <v>30652671909</v>
      </c>
      <c r="Q1234" s="23">
        <f>1927176758+35921160468</f>
        <v>37848337226</v>
      </c>
      <c r="R1234" s="25">
        <f t="shared" si="362"/>
        <v>731215001769</v>
      </c>
      <c r="S1234" s="26">
        <f t="shared" si="363"/>
        <v>0.75830330287643599</v>
      </c>
      <c r="T1234" s="27">
        <f t="shared" si="364"/>
        <v>1.2024554841772499</v>
      </c>
      <c r="U1234" s="26">
        <f t="shared" si="365"/>
        <v>27.883349800619371</v>
      </c>
      <c r="V1234" s="26">
        <f t="shared" si="366"/>
        <v>0.99033580580114422</v>
      </c>
      <c r="W1234" s="23"/>
      <c r="X1234" s="23"/>
      <c r="Y1234" s="23"/>
      <c r="Z1234" s="30">
        <f t="shared" si="444"/>
        <v>0</v>
      </c>
      <c r="AA1234" s="31">
        <f t="shared" si="368"/>
        <v>44</v>
      </c>
      <c r="AB1234" s="32">
        <v>1.84E-2</v>
      </c>
      <c r="AC1234" s="32">
        <v>2.58E-2</v>
      </c>
      <c r="AD1234" s="33">
        <f t="shared" si="391"/>
        <v>0.14175770346895303</v>
      </c>
      <c r="AE1234" s="34">
        <f t="shared" si="392"/>
        <v>2.3816798445342176E-2</v>
      </c>
      <c r="AF1234" s="33">
        <f t="shared" si="393"/>
        <v>0.56814624085770082</v>
      </c>
      <c r="AG1234" s="33">
        <f t="shared" si="394"/>
        <v>0</v>
      </c>
      <c r="AH1234" s="35">
        <f t="shared" si="395"/>
        <v>0.78801449509390964</v>
      </c>
      <c r="AI1234" s="36">
        <f t="shared" si="374"/>
        <v>2.8663498519105453</v>
      </c>
      <c r="AJ1234" s="23"/>
      <c r="AK1234" s="158">
        <v>441</v>
      </c>
      <c r="AL1234" s="44"/>
      <c r="AM1234" s="44"/>
      <c r="AN1234" s="44"/>
      <c r="AO1234" s="44"/>
      <c r="AP1234" s="44"/>
      <c r="AQ1234" s="44"/>
      <c r="AR1234" s="44"/>
    </row>
    <row r="1235" spans="1:44" ht="16.8">
      <c r="A1235" s="74" t="s">
        <v>2564</v>
      </c>
      <c r="B1235" s="75"/>
      <c r="C1235" s="71" t="s">
        <v>2562</v>
      </c>
      <c r="D1235" s="19" t="s">
        <v>2563</v>
      </c>
      <c r="E1235" s="20" t="s">
        <v>414</v>
      </c>
      <c r="F1235" s="21">
        <v>1977</v>
      </c>
      <c r="G1235" s="40">
        <v>2022</v>
      </c>
      <c r="H1235" s="23">
        <v>1447118040615</v>
      </c>
      <c r="I1235" s="23">
        <v>1656827707937</v>
      </c>
      <c r="J1235" s="23">
        <v>1329668758952</v>
      </c>
      <c r="K1235" s="23">
        <f t="shared" ref="K1235:K1236" si="447">AVERAGE(J1234:J1235)</f>
        <v>1152809755426</v>
      </c>
      <c r="L1235" s="23">
        <v>1050847424449</v>
      </c>
      <c r="M1235" s="23">
        <v>327158948985</v>
      </c>
      <c r="N1235" s="23">
        <v>1325628054013</v>
      </c>
      <c r="O1235" s="25">
        <f t="shared" si="361"/>
        <v>396270616166</v>
      </c>
      <c r="P1235" s="23">
        <v>8564708271</v>
      </c>
      <c r="Q1235" s="23">
        <f>3295361978+43293433278</f>
        <v>46588795256</v>
      </c>
      <c r="R1235" s="25">
        <f t="shared" si="362"/>
        <v>1279039258757</v>
      </c>
      <c r="S1235" s="26">
        <f t="shared" si="363"/>
        <v>0.80253894389998937</v>
      </c>
      <c r="T1235" s="27">
        <f t="shared" si="364"/>
        <v>1.3770962434187628</v>
      </c>
      <c r="U1235" s="26">
        <f t="shared" si="365"/>
        <v>28.135925870654845</v>
      </c>
      <c r="V1235" s="26">
        <f t="shared" si="366"/>
        <v>1.1499105101892013</v>
      </c>
      <c r="W1235" s="23"/>
      <c r="X1235" s="23"/>
      <c r="Y1235" s="23"/>
      <c r="Z1235" s="30">
        <f t="shared" si="444"/>
        <v>0</v>
      </c>
      <c r="AA1235" s="31">
        <f t="shared" si="368"/>
        <v>45</v>
      </c>
      <c r="AB1235" s="32">
        <v>3.15E-2</v>
      </c>
      <c r="AC1235" s="32">
        <v>8.0199999999999994E-2</v>
      </c>
      <c r="AD1235" s="33">
        <f t="shared" si="391"/>
        <v>0.23917430537144782</v>
      </c>
      <c r="AE1235" s="34">
        <f t="shared" si="392"/>
        <v>5.1693415253565213E-3</v>
      </c>
      <c r="AF1235" s="33">
        <f t="shared" si="393"/>
        <v>0.77198084787560473</v>
      </c>
      <c r="AG1235" s="33">
        <f t="shared" si="394"/>
        <v>0</v>
      </c>
      <c r="AH1235" s="35">
        <f t="shared" si="395"/>
        <v>0.99696111914204499</v>
      </c>
      <c r="AI1235" s="36">
        <f t="shared" si="374"/>
        <v>3.8387441617127767</v>
      </c>
      <c r="AJ1235" s="23"/>
      <c r="AK1235" s="158">
        <v>442</v>
      </c>
    </row>
    <row r="1236" spans="1:44" ht="16.8">
      <c r="A1236" s="74" t="s">
        <v>2565</v>
      </c>
      <c r="B1236" s="75"/>
      <c r="C1236" s="71" t="s">
        <v>2562</v>
      </c>
      <c r="D1236" s="19" t="s">
        <v>2563</v>
      </c>
      <c r="E1236" s="20" t="s">
        <v>414</v>
      </c>
      <c r="F1236" s="21">
        <v>1977</v>
      </c>
      <c r="G1236" s="40">
        <v>2023</v>
      </c>
      <c r="H1236" s="23">
        <v>1613192772213</v>
      </c>
      <c r="I1236" s="23">
        <v>1805882232685</v>
      </c>
      <c r="J1236" s="23">
        <v>1467567753766</v>
      </c>
      <c r="K1236" s="23">
        <f t="shared" si="447"/>
        <v>1398618256359</v>
      </c>
      <c r="L1236" s="23">
        <v>1216344692532</v>
      </c>
      <c r="M1236" s="23">
        <v>338314478919</v>
      </c>
      <c r="N1236" s="23">
        <v>1303709579011</v>
      </c>
      <c r="O1236" s="25">
        <f t="shared" si="361"/>
        <v>396848079681</v>
      </c>
      <c r="P1236" s="23">
        <v>10655793482</v>
      </c>
      <c r="Q1236" s="23">
        <f>1869547896+40420645149</f>
        <v>42290193045</v>
      </c>
      <c r="R1236" s="25">
        <f t="shared" si="362"/>
        <v>1261419385966</v>
      </c>
      <c r="S1236" s="26">
        <f t="shared" si="363"/>
        <v>0.81265972232530836</v>
      </c>
      <c r="T1236" s="27">
        <f t="shared" si="364"/>
        <v>1.3262628448313467</v>
      </c>
      <c r="U1236" s="26">
        <f t="shared" si="365"/>
        <v>28.222070359874113</v>
      </c>
      <c r="V1236" s="26">
        <f t="shared" si="366"/>
        <v>0.93214111361947027</v>
      </c>
      <c r="W1236" s="23"/>
      <c r="X1236" s="23"/>
      <c r="Y1236" s="23"/>
      <c r="Z1236" s="30">
        <f t="shared" si="444"/>
        <v>0</v>
      </c>
      <c r="AA1236" s="31">
        <f t="shared" si="368"/>
        <v>46</v>
      </c>
      <c r="AB1236" s="32">
        <v>3.2500000000000001E-2</v>
      </c>
      <c r="AC1236" s="32">
        <v>5.0500000000000003E-2</v>
      </c>
      <c r="AD1236" s="33">
        <f t="shared" si="391"/>
        <v>0.21975302292606486</v>
      </c>
      <c r="AE1236" s="34">
        <f t="shared" si="392"/>
        <v>5.9006026468054239E-3</v>
      </c>
      <c r="AF1236" s="33">
        <f t="shared" si="393"/>
        <v>0.69850589542071728</v>
      </c>
      <c r="AG1236" s="33">
        <f t="shared" si="394"/>
        <v>0</v>
      </c>
      <c r="AH1236" s="35">
        <f t="shared" si="395"/>
        <v>0.88834711424088242</v>
      </c>
      <c r="AI1236" s="36">
        <f t="shared" si="374"/>
        <v>3.4653810403460548</v>
      </c>
      <c r="AJ1236" s="23"/>
      <c r="AK1236" s="158">
        <v>443</v>
      </c>
    </row>
    <row r="1237" spans="1:44" ht="16.8">
      <c r="A1237" s="70" t="s">
        <v>2566</v>
      </c>
      <c r="B1237" s="71">
        <v>481</v>
      </c>
      <c r="C1237" s="71" t="s">
        <v>2567</v>
      </c>
      <c r="D1237" s="19" t="s">
        <v>2568</v>
      </c>
      <c r="E1237" s="20" t="s">
        <v>414</v>
      </c>
      <c r="F1237" s="161">
        <v>2004</v>
      </c>
      <c r="G1237" s="40">
        <v>2021</v>
      </c>
      <c r="H1237" s="23">
        <v>395359537727</v>
      </c>
      <c r="I1237" s="23">
        <v>3272703458543</v>
      </c>
      <c r="J1237" s="23">
        <v>1378509314738</v>
      </c>
      <c r="K1237" s="23">
        <f>AVERAGE(J1237,1638902933324)</f>
        <v>1508706124031</v>
      </c>
      <c r="L1237" s="23">
        <v>325325368538</v>
      </c>
      <c r="M1237" s="23">
        <v>1894194143805</v>
      </c>
      <c r="N1237" s="23">
        <v>787447457857</v>
      </c>
      <c r="O1237" s="25">
        <f t="shared" si="361"/>
        <v>70034169189</v>
      </c>
      <c r="P1237" s="23">
        <v>242074622322</v>
      </c>
      <c r="Q1237" s="23">
        <v>33724943886</v>
      </c>
      <c r="R1237" s="25">
        <f t="shared" si="362"/>
        <v>753722513971</v>
      </c>
      <c r="S1237" s="26">
        <f t="shared" si="363"/>
        <v>0.42121424449244455</v>
      </c>
      <c r="T1237" s="27">
        <f t="shared" si="364"/>
        <v>1.2152742330047328</v>
      </c>
      <c r="U1237" s="26">
        <f t="shared" si="365"/>
        <v>28.816637505003509</v>
      </c>
      <c r="V1237" s="26">
        <f t="shared" si="366"/>
        <v>0.52193561444098702</v>
      </c>
      <c r="W1237" s="23"/>
      <c r="X1237" s="23"/>
      <c r="Y1237" s="23"/>
      <c r="Z1237" s="30">
        <f t="shared" si="444"/>
        <v>0</v>
      </c>
      <c r="AA1237" s="31">
        <f t="shared" si="368"/>
        <v>17</v>
      </c>
      <c r="AB1237" s="32">
        <v>1.84E-2</v>
      </c>
      <c r="AC1237" s="32">
        <v>2.58E-2</v>
      </c>
      <c r="AD1237" s="33">
        <f t="shared" si="391"/>
        <v>2.1399485188975553E-2</v>
      </c>
      <c r="AE1237" s="34">
        <f t="shared" si="392"/>
        <v>7.3967783940244641E-2</v>
      </c>
      <c r="AF1237" s="33">
        <f t="shared" si="393"/>
        <v>0.23030577732409507</v>
      </c>
      <c r="AG1237" s="33">
        <f t="shared" si="394"/>
        <v>0</v>
      </c>
      <c r="AH1237" s="35">
        <f t="shared" si="395"/>
        <v>0.57123114761590321</v>
      </c>
      <c r="AI1237" s="36">
        <f t="shared" si="374"/>
        <v>1.46047449252853</v>
      </c>
      <c r="AJ1237" s="23"/>
      <c r="AK1237" s="158">
        <v>445</v>
      </c>
      <c r="AL1237" s="44"/>
      <c r="AM1237" s="44"/>
      <c r="AN1237" s="44"/>
      <c r="AO1237" s="44"/>
      <c r="AP1237" s="44"/>
      <c r="AQ1237" s="44"/>
      <c r="AR1237" s="44"/>
    </row>
    <row r="1238" spans="1:44" ht="16.8">
      <c r="A1238" s="74" t="s">
        <v>2569</v>
      </c>
      <c r="B1238" s="75"/>
      <c r="C1238" s="71" t="s">
        <v>2567</v>
      </c>
      <c r="D1238" s="19" t="s">
        <v>2568</v>
      </c>
      <c r="E1238" s="20" t="s">
        <v>414</v>
      </c>
      <c r="F1238" s="161">
        <v>2004</v>
      </c>
      <c r="G1238" s="40">
        <v>2022</v>
      </c>
      <c r="H1238" s="23">
        <v>628227540583</v>
      </c>
      <c r="I1238" s="23">
        <v>3259700449355</v>
      </c>
      <c r="J1238" s="23">
        <v>1262523099510</v>
      </c>
      <c r="K1238" s="23">
        <f t="shared" ref="K1238:K1239" si="448">AVERAGE(J1237:J1238)</f>
        <v>1320516207124</v>
      </c>
      <c r="L1238" s="23">
        <v>458135420679</v>
      </c>
      <c r="M1238" s="23">
        <v>1997177349845</v>
      </c>
      <c r="N1238" s="23">
        <v>1100534048069</v>
      </c>
      <c r="O1238" s="25">
        <f t="shared" si="361"/>
        <v>170092119904</v>
      </c>
      <c r="P1238" s="23">
        <v>510295093778</v>
      </c>
      <c r="Q1238" s="23">
        <v>44100123741</v>
      </c>
      <c r="R1238" s="25">
        <f t="shared" si="362"/>
        <v>1056433924328</v>
      </c>
      <c r="S1238" s="26">
        <f t="shared" si="363"/>
        <v>0.38731261326782851</v>
      </c>
      <c r="T1238" s="27">
        <f t="shared" si="364"/>
        <v>1.3712703978485388</v>
      </c>
      <c r="U1238" s="26">
        <f t="shared" si="365"/>
        <v>28.812656420384403</v>
      </c>
      <c r="V1238" s="26">
        <f t="shared" si="366"/>
        <v>0.83341199610559336</v>
      </c>
      <c r="W1238" s="23"/>
      <c r="X1238" s="23"/>
      <c r="Y1238" s="23"/>
      <c r="Z1238" s="30">
        <f t="shared" si="444"/>
        <v>0</v>
      </c>
      <c r="AA1238" s="31">
        <f t="shared" si="368"/>
        <v>18</v>
      </c>
      <c r="AB1238" s="32">
        <v>3.15E-2</v>
      </c>
      <c r="AC1238" s="32">
        <v>8.0199999999999994E-2</v>
      </c>
      <c r="AD1238" s="33">
        <f t="shared" si="391"/>
        <v>5.2180291577913637E-2</v>
      </c>
      <c r="AE1238" s="34">
        <f t="shared" si="392"/>
        <v>0.15654662190784205</v>
      </c>
      <c r="AF1238" s="33">
        <f t="shared" si="393"/>
        <v>0.32408926548359301</v>
      </c>
      <c r="AG1238" s="33">
        <f t="shared" si="394"/>
        <v>0</v>
      </c>
      <c r="AH1238" s="35">
        <f t="shared" si="395"/>
        <v>0.8716941880082274</v>
      </c>
      <c r="AI1238" s="36">
        <f t="shared" si="374"/>
        <v>2.2229703846685593</v>
      </c>
      <c r="AJ1238" s="23"/>
      <c r="AK1238" s="158">
        <v>446</v>
      </c>
    </row>
    <row r="1239" spans="1:44" ht="16.8">
      <c r="A1239" s="70" t="s">
        <v>2570</v>
      </c>
      <c r="B1239" s="71"/>
      <c r="C1239" s="71" t="s">
        <v>2567</v>
      </c>
      <c r="D1239" s="19" t="s">
        <v>2568</v>
      </c>
      <c r="E1239" s="20" t="s">
        <v>414</v>
      </c>
      <c r="F1239" s="161">
        <v>2004</v>
      </c>
      <c r="G1239" s="40">
        <v>2023</v>
      </c>
      <c r="H1239" s="23">
        <v>572564359212</v>
      </c>
      <c r="I1239" s="23">
        <v>2967231114351</v>
      </c>
      <c r="J1239" s="23">
        <v>1028712833207</v>
      </c>
      <c r="K1239" s="23">
        <f t="shared" si="448"/>
        <v>1145617966358.5</v>
      </c>
      <c r="L1239" s="23">
        <v>433121421760</v>
      </c>
      <c r="M1239" s="23">
        <v>1938518281144</v>
      </c>
      <c r="N1239" s="23">
        <v>881377927945</v>
      </c>
      <c r="O1239" s="25">
        <f t="shared" si="361"/>
        <v>139442937452</v>
      </c>
      <c r="P1239" s="23">
        <v>336954868099</v>
      </c>
      <c r="Q1239" s="23">
        <v>39252523956</v>
      </c>
      <c r="R1239" s="25">
        <f t="shared" si="362"/>
        <v>842125403989</v>
      </c>
      <c r="S1239" s="26">
        <f t="shared" si="363"/>
        <v>0.34669117219472223</v>
      </c>
      <c r="T1239" s="27">
        <f t="shared" si="364"/>
        <v>1.3219488356991673</v>
      </c>
      <c r="U1239" s="26">
        <f t="shared" si="365"/>
        <v>28.718650349165156</v>
      </c>
      <c r="V1239" s="26">
        <f t="shared" si="366"/>
        <v>0.76934715919878394</v>
      </c>
      <c r="W1239" s="23"/>
      <c r="X1239" s="23"/>
      <c r="Y1239" s="23"/>
      <c r="Z1239" s="30">
        <f t="shared" si="444"/>
        <v>0</v>
      </c>
      <c r="AA1239" s="31">
        <f t="shared" si="368"/>
        <v>19</v>
      </c>
      <c r="AB1239" s="32">
        <v>3.2500000000000001E-2</v>
      </c>
      <c r="AC1239" s="32">
        <v>5.0500000000000003E-2</v>
      </c>
      <c r="AD1239" s="33">
        <f t="shared" si="391"/>
        <v>4.6994296055195992E-2</v>
      </c>
      <c r="AE1239" s="34">
        <f t="shared" si="392"/>
        <v>0.11355868657123447</v>
      </c>
      <c r="AF1239" s="33">
        <f t="shared" si="393"/>
        <v>0.28380849739545538</v>
      </c>
      <c r="AG1239" s="33">
        <f t="shared" si="394"/>
        <v>0</v>
      </c>
      <c r="AH1239" s="35">
        <f t="shared" si="395"/>
        <v>0.8567774207669937</v>
      </c>
      <c r="AI1239" s="36">
        <f t="shared" si="374"/>
        <v>2.0087207786379597</v>
      </c>
      <c r="AJ1239" s="23"/>
      <c r="AK1239" s="158">
        <v>447</v>
      </c>
      <c r="AL1239" s="44"/>
      <c r="AM1239" s="44"/>
      <c r="AN1239" s="44"/>
      <c r="AO1239" s="44"/>
      <c r="AP1239" s="44"/>
      <c r="AQ1239" s="44"/>
      <c r="AR1239" s="44"/>
    </row>
    <row r="1240" spans="1:44" ht="16.8">
      <c r="A1240" s="70" t="s">
        <v>2571</v>
      </c>
      <c r="B1240" s="71">
        <v>482</v>
      </c>
      <c r="C1240" s="71" t="s">
        <v>2572</v>
      </c>
      <c r="D1240" s="19" t="s">
        <v>2573</v>
      </c>
      <c r="E1240" s="20" t="s">
        <v>414</v>
      </c>
      <c r="F1240" s="161">
        <v>2005</v>
      </c>
      <c r="G1240" s="40">
        <v>2021</v>
      </c>
      <c r="H1240" s="23">
        <v>291217182430</v>
      </c>
      <c r="I1240" s="23">
        <v>707502590681</v>
      </c>
      <c r="J1240" s="23">
        <v>536185112419</v>
      </c>
      <c r="K1240" s="23">
        <f>AVERAGE(J1240,531474453978)</f>
        <v>533829783198.5</v>
      </c>
      <c r="L1240" s="23">
        <v>443794049224</v>
      </c>
      <c r="M1240" s="23">
        <v>171317478262</v>
      </c>
      <c r="N1240" s="23">
        <v>29583834844</v>
      </c>
      <c r="O1240" s="25">
        <f t="shared" si="361"/>
        <v>-152576866794</v>
      </c>
      <c r="P1240" s="23">
        <v>16548612398</v>
      </c>
      <c r="Q1240" s="23">
        <v>6178452887</v>
      </c>
      <c r="R1240" s="25">
        <f t="shared" si="362"/>
        <v>23405381957</v>
      </c>
      <c r="S1240" s="26">
        <f t="shared" si="363"/>
        <v>0.75785604106820303</v>
      </c>
      <c r="T1240" s="27">
        <f t="shared" si="364"/>
        <v>0.65619893493211634</v>
      </c>
      <c r="U1240" s="26">
        <f t="shared" si="365"/>
        <v>27.28500712819703</v>
      </c>
      <c r="V1240" s="26">
        <f t="shared" si="366"/>
        <v>5.5418104750066942E-2</v>
      </c>
      <c r="W1240" s="23"/>
      <c r="X1240" s="23"/>
      <c r="Y1240" s="23"/>
      <c r="Z1240" s="30">
        <f t="shared" si="444"/>
        <v>0</v>
      </c>
      <c r="AA1240" s="31">
        <f t="shared" si="368"/>
        <v>16</v>
      </c>
      <c r="AB1240" s="32">
        <v>1.84E-2</v>
      </c>
      <c r="AC1240" s="32">
        <v>2.58E-2</v>
      </c>
      <c r="AD1240" s="33">
        <f t="shared" si="391"/>
        <v>-0.21565555915086976</v>
      </c>
      <c r="AE1240" s="34">
        <f t="shared" si="392"/>
        <v>2.3390179224745011E-2</v>
      </c>
      <c r="AF1240" s="33">
        <f t="shared" si="393"/>
        <v>3.3081690816808694E-2</v>
      </c>
      <c r="AG1240" s="33">
        <f t="shared" si="394"/>
        <v>0</v>
      </c>
      <c r="AH1240" s="35">
        <f t="shared" si="395"/>
        <v>5.5174666656693398E-2</v>
      </c>
      <c r="AI1240" s="36">
        <f t="shared" si="374"/>
        <v>-6.1696173714238599E-2</v>
      </c>
      <c r="AJ1240" s="23"/>
      <c r="AK1240" s="158">
        <v>448</v>
      </c>
      <c r="AL1240" s="44"/>
      <c r="AM1240" s="44"/>
      <c r="AN1240" s="44"/>
      <c r="AO1240" s="44"/>
      <c r="AP1240" s="44"/>
      <c r="AQ1240" s="44"/>
      <c r="AR1240" s="44"/>
    </row>
    <row r="1241" spans="1:44" ht="16.8">
      <c r="A1241" s="70" t="s">
        <v>2574</v>
      </c>
      <c r="B1241" s="71"/>
      <c r="C1241" s="71" t="s">
        <v>2572</v>
      </c>
      <c r="D1241" s="19" t="s">
        <v>2575</v>
      </c>
      <c r="E1241" s="20" t="s">
        <v>414</v>
      </c>
      <c r="F1241" s="161">
        <v>2005</v>
      </c>
      <c r="G1241" s="40">
        <v>2022</v>
      </c>
      <c r="H1241" s="23">
        <v>614233104797</v>
      </c>
      <c r="I1241" s="23">
        <v>729551648070</v>
      </c>
      <c r="J1241" s="23">
        <v>567677339481</v>
      </c>
      <c r="K1241" s="23">
        <f t="shared" ref="K1241:K1242" si="449">AVERAGE(J1240:J1241)</f>
        <v>551931225950</v>
      </c>
      <c r="L1241" s="23">
        <v>567454061663</v>
      </c>
      <c r="M1241" s="23">
        <v>161874308589</v>
      </c>
      <c r="N1241" s="23">
        <v>83224739215</v>
      </c>
      <c r="O1241" s="25">
        <f t="shared" si="361"/>
        <v>46779043134</v>
      </c>
      <c r="P1241" s="23">
        <v>6656969478</v>
      </c>
      <c r="Q1241" s="23">
        <v>11330657516</v>
      </c>
      <c r="R1241" s="25">
        <f t="shared" si="362"/>
        <v>71894081699</v>
      </c>
      <c r="S1241" s="26">
        <f t="shared" si="363"/>
        <v>0.77811809620712657</v>
      </c>
      <c r="T1241" s="27">
        <f t="shared" si="364"/>
        <v>1.0824367050909949</v>
      </c>
      <c r="U1241" s="26">
        <f t="shared" si="365"/>
        <v>27.315696001676578</v>
      </c>
      <c r="V1241" s="26">
        <f t="shared" si="366"/>
        <v>0.15078824190776879</v>
      </c>
      <c r="W1241" s="23"/>
      <c r="X1241" s="23"/>
      <c r="Y1241" s="23"/>
      <c r="Z1241" s="30">
        <f t="shared" si="444"/>
        <v>0</v>
      </c>
      <c r="AA1241" s="31">
        <f t="shared" si="368"/>
        <v>17</v>
      </c>
      <c r="AB1241" s="32">
        <v>3.15E-2</v>
      </c>
      <c r="AC1241" s="32">
        <v>8.0199999999999994E-2</v>
      </c>
      <c r="AD1241" s="33">
        <f t="shared" si="391"/>
        <v>6.4120262434814737E-2</v>
      </c>
      <c r="AE1241" s="34">
        <f t="shared" si="392"/>
        <v>9.1247405109847243E-3</v>
      </c>
      <c r="AF1241" s="33">
        <f t="shared" si="393"/>
        <v>9.8545568211918844E-2</v>
      </c>
      <c r="AG1241" s="33">
        <f t="shared" si="394"/>
        <v>0</v>
      </c>
      <c r="AH1241" s="35">
        <f t="shared" si="395"/>
        <v>0.14660570966438147</v>
      </c>
      <c r="AI1241" s="36">
        <f t="shared" si="374"/>
        <v>0.56152503640086993</v>
      </c>
      <c r="AJ1241" s="23"/>
      <c r="AK1241" s="158">
        <v>449</v>
      </c>
      <c r="AL1241" s="44"/>
      <c r="AM1241" s="44"/>
      <c r="AN1241" s="44"/>
      <c r="AO1241" s="44"/>
      <c r="AP1241" s="44"/>
      <c r="AQ1241" s="44"/>
      <c r="AR1241" s="44"/>
    </row>
    <row r="1242" spans="1:44" ht="16.8">
      <c r="A1242" s="70" t="s">
        <v>2576</v>
      </c>
      <c r="B1242" s="71"/>
      <c r="C1242" s="71" t="s">
        <v>2572</v>
      </c>
      <c r="D1242" s="19" t="s">
        <v>2577</v>
      </c>
      <c r="E1242" s="20" t="s">
        <v>414</v>
      </c>
      <c r="F1242" s="161">
        <v>2005</v>
      </c>
      <c r="G1242" s="40">
        <v>2023</v>
      </c>
      <c r="H1242" s="23">
        <v>477120970102</v>
      </c>
      <c r="I1242" s="23">
        <v>699078942223</v>
      </c>
      <c r="J1242" s="23">
        <v>544939609792</v>
      </c>
      <c r="K1242" s="23">
        <f t="shared" si="449"/>
        <v>556308474636.5</v>
      </c>
      <c r="L1242" s="23">
        <v>544904872475</v>
      </c>
      <c r="M1242" s="23">
        <v>154139332431</v>
      </c>
      <c r="N1242" s="23">
        <v>66138358271</v>
      </c>
      <c r="O1242" s="25">
        <f t="shared" si="361"/>
        <v>-67783902373</v>
      </c>
      <c r="P1242" s="23">
        <v>7212365906</v>
      </c>
      <c r="Q1242" s="23">
        <v>18800716983</v>
      </c>
      <c r="R1242" s="25">
        <f t="shared" si="362"/>
        <v>47337641288</v>
      </c>
      <c r="S1242" s="26">
        <f t="shared" si="363"/>
        <v>0.77951083472654381</v>
      </c>
      <c r="T1242" s="27">
        <f t="shared" si="364"/>
        <v>0.87560415441851291</v>
      </c>
      <c r="U1242" s="26">
        <f t="shared" si="365"/>
        <v>27.273029508744784</v>
      </c>
      <c r="V1242" s="26">
        <f t="shared" si="366"/>
        <v>0.11888792151551486</v>
      </c>
      <c r="W1242" s="23"/>
      <c r="X1242" s="23"/>
      <c r="Y1242" s="23"/>
      <c r="Z1242" s="30">
        <f t="shared" si="444"/>
        <v>0</v>
      </c>
      <c r="AA1242" s="31">
        <f t="shared" si="368"/>
        <v>18</v>
      </c>
      <c r="AB1242" s="32">
        <v>3.2500000000000001E-2</v>
      </c>
      <c r="AC1242" s="32">
        <v>5.0500000000000003E-2</v>
      </c>
      <c r="AD1242" s="33">
        <f t="shared" si="391"/>
        <v>-9.6961728181160889E-2</v>
      </c>
      <c r="AE1242" s="34">
        <f t="shared" si="392"/>
        <v>1.0316954882184563E-2</v>
      </c>
      <c r="AF1242" s="33">
        <f t="shared" si="393"/>
        <v>6.7714300101031674E-2</v>
      </c>
      <c r="AG1242" s="33">
        <f t="shared" si="394"/>
        <v>0</v>
      </c>
      <c r="AH1242" s="35">
        <f t="shared" si="395"/>
        <v>0.12136823435581164</v>
      </c>
      <c r="AI1242" s="36">
        <f t="shared" si="374"/>
        <v>0.24291508770688147</v>
      </c>
      <c r="AJ1242" s="23"/>
      <c r="AK1242" s="158">
        <v>450</v>
      </c>
      <c r="AL1242" s="44"/>
      <c r="AM1242" s="44"/>
      <c r="AN1242" s="44"/>
      <c r="AO1242" s="44"/>
      <c r="AP1242" s="44"/>
      <c r="AQ1242" s="44"/>
      <c r="AR1242" s="44"/>
    </row>
    <row r="1243" spans="1:44" ht="16.8">
      <c r="A1243" s="70" t="s">
        <v>2578</v>
      </c>
      <c r="B1243" s="71">
        <v>483</v>
      </c>
      <c r="C1243" s="71" t="s">
        <v>2579</v>
      </c>
      <c r="D1243" s="19" t="s">
        <v>2580</v>
      </c>
      <c r="E1243" s="20" t="s">
        <v>414</v>
      </c>
      <c r="F1243" s="21">
        <v>2001</v>
      </c>
      <c r="G1243" s="40">
        <v>2021</v>
      </c>
      <c r="H1243" s="23">
        <v>10497488947013</v>
      </c>
      <c r="I1243" s="23">
        <v>30870173187113</v>
      </c>
      <c r="J1243" s="23">
        <v>22491394695423</v>
      </c>
      <c r="K1243" s="23">
        <f>AVERAGE(J1243,21761422303679)</f>
        <v>22126408499551</v>
      </c>
      <c r="L1243" s="23">
        <v>9158744875875</v>
      </c>
      <c r="M1243" s="23">
        <v>8378778491690</v>
      </c>
      <c r="N1243" s="23">
        <v>2908693562956</v>
      </c>
      <c r="O1243" s="25">
        <f t="shared" si="361"/>
        <v>1338744071138</v>
      </c>
      <c r="P1243" s="23">
        <v>242076368335</v>
      </c>
      <c r="Q1243" s="23">
        <f>62945222581+494236687562</f>
        <v>557181910143</v>
      </c>
      <c r="R1243" s="25">
        <f t="shared" si="362"/>
        <v>2351511652813</v>
      </c>
      <c r="S1243" s="26">
        <f t="shared" si="363"/>
        <v>0.72858012681354867</v>
      </c>
      <c r="T1243" s="27">
        <f t="shared" si="364"/>
        <v>1.1461711281711076</v>
      </c>
      <c r="U1243" s="26">
        <f t="shared" si="365"/>
        <v>31.060811564634623</v>
      </c>
      <c r="V1243" s="26">
        <f t="shared" si="366"/>
        <v>0.13145800697908225</v>
      </c>
      <c r="W1243" s="23"/>
      <c r="X1243" s="23"/>
      <c r="Y1243" s="23"/>
      <c r="Z1243" s="30">
        <f t="shared" si="444"/>
        <v>0</v>
      </c>
      <c r="AA1243" s="31">
        <f t="shared" si="368"/>
        <v>20</v>
      </c>
      <c r="AB1243" s="32">
        <v>1.84E-2</v>
      </c>
      <c r="AC1243" s="32">
        <v>2.58E-2</v>
      </c>
      <c r="AD1243" s="33">
        <f t="shared" si="391"/>
        <v>4.3366911582370694E-2</v>
      </c>
      <c r="AE1243" s="34">
        <f t="shared" si="392"/>
        <v>7.8417560817590978E-3</v>
      </c>
      <c r="AF1243" s="33">
        <f t="shared" si="393"/>
        <v>7.6174229362427334E-2</v>
      </c>
      <c r="AG1243" s="33">
        <f t="shared" si="394"/>
        <v>0</v>
      </c>
      <c r="AH1243" s="35">
        <f t="shared" si="395"/>
        <v>0.12932473074014922</v>
      </c>
      <c r="AI1243" s="36">
        <f t="shared" si="374"/>
        <v>0.44371844004946698</v>
      </c>
      <c r="AJ1243" s="23" t="s">
        <v>1054</v>
      </c>
      <c r="AK1243" s="158">
        <v>451</v>
      </c>
      <c r="AL1243" s="44"/>
      <c r="AM1243" s="44"/>
      <c r="AN1243" s="44"/>
      <c r="AO1243" s="44"/>
      <c r="AP1243" s="44"/>
      <c r="AQ1243" s="44"/>
      <c r="AR1243" s="44"/>
    </row>
    <row r="1244" spans="1:44" ht="16.8">
      <c r="A1244" s="74" t="s">
        <v>2581</v>
      </c>
      <c r="B1244" s="75"/>
      <c r="C1244" s="71" t="s">
        <v>2579</v>
      </c>
      <c r="D1244" s="19" t="s">
        <v>2580</v>
      </c>
      <c r="E1244" s="20" t="s">
        <v>414</v>
      </c>
      <c r="F1244" s="21">
        <v>2001</v>
      </c>
      <c r="G1244" s="40">
        <v>2022</v>
      </c>
      <c r="H1244" s="23">
        <v>7226742091969</v>
      </c>
      <c r="I1244" s="23">
        <v>28559496484792</v>
      </c>
      <c r="J1244" s="23">
        <v>20258490377579</v>
      </c>
      <c r="K1244" s="23">
        <f t="shared" ref="K1244:K1245" si="450">AVERAGE(J1243:J1244)</f>
        <v>21374942536501</v>
      </c>
      <c r="L1244" s="23">
        <v>9570468969755</v>
      </c>
      <c r="M1244" s="23">
        <v>8301006107213</v>
      </c>
      <c r="N1244" s="23">
        <v>5901690577210</v>
      </c>
      <c r="O1244" s="25">
        <f t="shared" si="361"/>
        <v>-2343726877786</v>
      </c>
      <c r="P1244" s="23">
        <v>860548281340</v>
      </c>
      <c r="Q1244" s="23">
        <f>76865705532+461975667642</f>
        <v>538841373174</v>
      </c>
      <c r="R1244" s="25">
        <f t="shared" si="362"/>
        <v>5362849204036</v>
      </c>
      <c r="S1244" s="26">
        <f t="shared" si="363"/>
        <v>0.70934340135746776</v>
      </c>
      <c r="T1244" s="27">
        <f t="shared" si="364"/>
        <v>0.75510846070419912</v>
      </c>
      <c r="U1244" s="26">
        <f t="shared" si="365"/>
        <v>30.983010623160208</v>
      </c>
      <c r="V1244" s="26">
        <f t="shared" si="366"/>
        <v>0.27610322540666277</v>
      </c>
      <c r="W1244" s="23"/>
      <c r="X1244" s="23"/>
      <c r="Y1244" s="23"/>
      <c r="Z1244" s="30">
        <f t="shared" si="444"/>
        <v>0</v>
      </c>
      <c r="AA1244" s="31">
        <f t="shared" si="368"/>
        <v>21</v>
      </c>
      <c r="AB1244" s="32">
        <v>3.15E-2</v>
      </c>
      <c r="AC1244" s="32">
        <v>8.0199999999999994E-2</v>
      </c>
      <c r="AD1244" s="33">
        <f t="shared" si="391"/>
        <v>-8.206471283672806E-2</v>
      </c>
      <c r="AE1244" s="34">
        <f t="shared" si="392"/>
        <v>3.0131773569546088E-2</v>
      </c>
      <c r="AF1244" s="33">
        <f t="shared" si="393"/>
        <v>0.18777814261857628</v>
      </c>
      <c r="AG1244" s="33">
        <f t="shared" si="394"/>
        <v>0</v>
      </c>
      <c r="AH1244" s="35">
        <f t="shared" si="395"/>
        <v>0.29131936621208809</v>
      </c>
      <c r="AI1244" s="36">
        <f t="shared" si="374"/>
        <v>0.85469406444668061</v>
      </c>
      <c r="AJ1244" s="23" t="s">
        <v>1054</v>
      </c>
      <c r="AK1244" s="158">
        <v>452</v>
      </c>
    </row>
    <row r="1245" spans="1:44" ht="16.8">
      <c r="A1245" s="74" t="s">
        <v>2582</v>
      </c>
      <c r="B1245" s="75"/>
      <c r="C1245" s="71" t="s">
        <v>2579</v>
      </c>
      <c r="D1245" s="19" t="s">
        <v>2580</v>
      </c>
      <c r="E1245" s="20" t="s">
        <v>414</v>
      </c>
      <c r="F1245" s="21">
        <v>2001</v>
      </c>
      <c r="G1245" s="40">
        <v>2023</v>
      </c>
      <c r="H1245" s="23">
        <v>6910759134552</v>
      </c>
      <c r="I1245" s="23">
        <v>33184094516398</v>
      </c>
      <c r="J1245" s="23">
        <v>24678766295450</v>
      </c>
      <c r="K1245" s="23">
        <f t="shared" si="450"/>
        <v>22468628336514.5</v>
      </c>
      <c r="L1245" s="23">
        <v>8144174339900</v>
      </c>
      <c r="M1245" s="23">
        <v>8505328220948</v>
      </c>
      <c r="N1245" s="23">
        <v>3195316563683</v>
      </c>
      <c r="O1245" s="25">
        <f t="shared" si="361"/>
        <v>-1233415205348</v>
      </c>
      <c r="P1245" s="23">
        <v>369952270581</v>
      </c>
      <c r="Q1245" s="23">
        <f>79931706748+468374365569</f>
        <v>548306072317</v>
      </c>
      <c r="R1245" s="25">
        <f t="shared" si="362"/>
        <v>2647010491366</v>
      </c>
      <c r="S1245" s="26">
        <f t="shared" si="363"/>
        <v>0.74369262308046191</v>
      </c>
      <c r="T1245" s="27">
        <f t="shared" si="364"/>
        <v>0.84855245555031367</v>
      </c>
      <c r="U1245" s="26">
        <f t="shared" si="365"/>
        <v>31.133091796223717</v>
      </c>
      <c r="V1245" s="26">
        <f t="shared" si="366"/>
        <v>0.14221235563766868</v>
      </c>
      <c r="W1245" s="23"/>
      <c r="X1245" s="23"/>
      <c r="Y1245" s="23"/>
      <c r="Z1245" s="30">
        <f t="shared" si="444"/>
        <v>0</v>
      </c>
      <c r="AA1245" s="31">
        <f t="shared" si="368"/>
        <v>22</v>
      </c>
      <c r="AB1245" s="32">
        <v>3.2500000000000001E-2</v>
      </c>
      <c r="AC1245" s="32">
        <v>5.0500000000000003E-2</v>
      </c>
      <c r="AD1245" s="33">
        <f t="shared" si="391"/>
        <v>-3.7168867293893008E-2</v>
      </c>
      <c r="AE1245" s="34">
        <f t="shared" si="392"/>
        <v>1.1148481704034057E-2</v>
      </c>
      <c r="AF1245" s="33">
        <f t="shared" si="393"/>
        <v>7.9767446722343843E-2</v>
      </c>
      <c r="AG1245" s="33">
        <f t="shared" si="394"/>
        <v>0</v>
      </c>
      <c r="AH1245" s="35">
        <f t="shared" si="395"/>
        <v>0.12947634924003951</v>
      </c>
      <c r="AI1245" s="36">
        <f t="shared" si="374"/>
        <v>0.36371415705675025</v>
      </c>
      <c r="AJ1245" s="23" t="s">
        <v>1054</v>
      </c>
      <c r="AK1245" s="158">
        <v>453</v>
      </c>
    </row>
    <row r="1246" spans="1:44" ht="16.8">
      <c r="A1246" s="70" t="s">
        <v>2583</v>
      </c>
      <c r="B1246" s="71">
        <v>484</v>
      </c>
      <c r="C1246" s="71" t="s">
        <v>2584</v>
      </c>
      <c r="D1246" s="19" t="s">
        <v>2585</v>
      </c>
      <c r="E1246" s="20" t="s">
        <v>414</v>
      </c>
      <c r="F1246" s="21">
        <v>1992</v>
      </c>
      <c r="G1246" s="40">
        <v>2021</v>
      </c>
      <c r="H1246" s="23">
        <v>1006964597913</v>
      </c>
      <c r="I1246" s="23">
        <v>1050169038970</v>
      </c>
      <c r="J1246" s="23">
        <v>276178090451</v>
      </c>
      <c r="K1246" s="23">
        <f>AVERAGE(J1246,180981529656)</f>
        <v>228579810053.5</v>
      </c>
      <c r="L1246" s="23">
        <v>275672095369</v>
      </c>
      <c r="M1246" s="23">
        <v>773990948519</v>
      </c>
      <c r="N1246" s="23">
        <v>2142096427823</v>
      </c>
      <c r="O1246" s="25">
        <f t="shared" si="361"/>
        <v>731292502544</v>
      </c>
      <c r="P1246" s="23">
        <v>135420824476</v>
      </c>
      <c r="Q1246" s="23">
        <f>27059013149+76074878920</f>
        <v>103133892069</v>
      </c>
      <c r="R1246" s="25">
        <f t="shared" si="362"/>
        <v>2038962535754</v>
      </c>
      <c r="S1246" s="26">
        <f t="shared" si="363"/>
        <v>0.26298441508223663</v>
      </c>
      <c r="T1246" s="27">
        <f t="shared" si="364"/>
        <v>3.6527621577553244</v>
      </c>
      <c r="U1246" s="26">
        <f t="shared" si="365"/>
        <v>27.6799722566358</v>
      </c>
      <c r="V1246" s="26">
        <f t="shared" si="366"/>
        <v>9.3713282346399449</v>
      </c>
      <c r="W1246" s="23"/>
      <c r="X1246" s="23"/>
      <c r="Y1246" s="23"/>
      <c r="Z1246" s="30">
        <f t="shared" si="444"/>
        <v>0</v>
      </c>
      <c r="AA1246" s="31">
        <f t="shared" si="368"/>
        <v>29</v>
      </c>
      <c r="AB1246" s="32">
        <v>1.84E-2</v>
      </c>
      <c r="AC1246" s="32">
        <v>2.58E-2</v>
      </c>
      <c r="AD1246" s="33">
        <f t="shared" si="391"/>
        <v>0.69635694388900249</v>
      </c>
      <c r="AE1246" s="34">
        <f t="shared" si="392"/>
        <v>0.12895145395718388</v>
      </c>
      <c r="AF1246" s="33">
        <f t="shared" si="393"/>
        <v>1.9415565114677187</v>
      </c>
      <c r="AG1246" s="33">
        <f t="shared" si="394"/>
        <v>0</v>
      </c>
      <c r="AH1246" s="35">
        <f t="shared" si="395"/>
        <v>7.7562142033966106</v>
      </c>
      <c r="AI1246" s="36">
        <f t="shared" si="374"/>
        <v>15.179511059446941</v>
      </c>
      <c r="AJ1246" s="23"/>
      <c r="AK1246" s="158">
        <v>454</v>
      </c>
      <c r="AR1246" s="44"/>
    </row>
    <row r="1247" spans="1:44" ht="16.8">
      <c r="A1247" s="74" t="s">
        <v>2586</v>
      </c>
      <c r="B1247" s="75"/>
      <c r="C1247" s="71" t="s">
        <v>2584</v>
      </c>
      <c r="D1247" s="19" t="s">
        <v>2585</v>
      </c>
      <c r="E1247" s="20" t="s">
        <v>414</v>
      </c>
      <c r="F1247" s="21">
        <v>1992</v>
      </c>
      <c r="G1247" s="40">
        <v>2022</v>
      </c>
      <c r="H1247" s="23">
        <v>1340988754015</v>
      </c>
      <c r="I1247" s="23">
        <v>1385113013339</v>
      </c>
      <c r="J1247" s="23">
        <v>543472403975</v>
      </c>
      <c r="K1247" s="23">
        <f t="shared" ref="K1247:K1248" si="451">AVERAGE(J1246:J1247)</f>
        <v>409825247213</v>
      </c>
      <c r="L1247" s="23">
        <v>542966408893</v>
      </c>
      <c r="M1247" s="23">
        <v>841640609364</v>
      </c>
      <c r="N1247" s="23">
        <v>2304869186924</v>
      </c>
      <c r="O1247" s="25">
        <f t="shared" si="361"/>
        <v>798022345122</v>
      </c>
      <c r="P1247" s="23">
        <v>140450356519</v>
      </c>
      <c r="Q1247" s="23">
        <f>31695752718+78098236348</f>
        <v>109793989066</v>
      </c>
      <c r="R1247" s="25">
        <f t="shared" si="362"/>
        <v>2195075197858</v>
      </c>
      <c r="S1247" s="26">
        <f t="shared" si="363"/>
        <v>0.39236683125580285</v>
      </c>
      <c r="T1247" s="27">
        <f t="shared" si="364"/>
        <v>2.4697453324028058</v>
      </c>
      <c r="U1247" s="26">
        <f t="shared" si="365"/>
        <v>27.956802850317608</v>
      </c>
      <c r="V1247" s="26">
        <f t="shared" si="366"/>
        <v>5.6240292724720344</v>
      </c>
      <c r="W1247" s="23"/>
      <c r="X1247" s="23"/>
      <c r="Y1247" s="23"/>
      <c r="Z1247" s="30">
        <f t="shared" si="444"/>
        <v>0</v>
      </c>
      <c r="AA1247" s="31">
        <f t="shared" si="368"/>
        <v>30</v>
      </c>
      <c r="AB1247" s="32">
        <v>3.15E-2</v>
      </c>
      <c r="AC1247" s="32">
        <v>8.0199999999999994E-2</v>
      </c>
      <c r="AD1247" s="33">
        <f t="shared" si="391"/>
        <v>0.57614240674720141</v>
      </c>
      <c r="AE1247" s="34">
        <f t="shared" si="392"/>
        <v>0.10139992561359715</v>
      </c>
      <c r="AF1247" s="33">
        <f t="shared" si="393"/>
        <v>1.5847625260313438</v>
      </c>
      <c r="AG1247" s="33">
        <f t="shared" si="394"/>
        <v>0</v>
      </c>
      <c r="AH1247" s="35">
        <f t="shared" si="395"/>
        <v>4.2410050079194548</v>
      </c>
      <c r="AI1247" s="36">
        <f t="shared" si="374"/>
        <v>10.304052127778567</v>
      </c>
      <c r="AJ1247" s="23"/>
      <c r="AK1247" s="158">
        <v>455</v>
      </c>
    </row>
    <row r="1248" spans="1:44" ht="16.8">
      <c r="A1248" s="74" t="s">
        <v>2587</v>
      </c>
      <c r="B1248" s="75"/>
      <c r="C1248" s="71" t="s">
        <v>2584</v>
      </c>
      <c r="D1248" s="19" t="s">
        <v>2585</v>
      </c>
      <c r="E1248" s="20" t="s">
        <v>414</v>
      </c>
      <c r="F1248" s="21">
        <v>1992</v>
      </c>
      <c r="G1248" s="40">
        <v>2023</v>
      </c>
      <c r="H1248" s="23">
        <v>1452788973105</v>
      </c>
      <c r="I1248" s="23">
        <v>1566793217359</v>
      </c>
      <c r="J1248" s="23">
        <v>691195896843</v>
      </c>
      <c r="K1248" s="23">
        <f t="shared" si="451"/>
        <v>617334150409</v>
      </c>
      <c r="L1248" s="23">
        <v>690689901761</v>
      </c>
      <c r="M1248" s="23">
        <v>875597320516</v>
      </c>
      <c r="N1248" s="23">
        <v>2970911732676</v>
      </c>
      <c r="O1248" s="25">
        <f t="shared" si="361"/>
        <v>762099071344</v>
      </c>
      <c r="P1248" s="23">
        <v>140365487304</v>
      </c>
      <c r="Q1248" s="23">
        <f>33976048564+78418027049</f>
        <v>112394075613</v>
      </c>
      <c r="R1248" s="25">
        <f t="shared" si="362"/>
        <v>2858517657063</v>
      </c>
      <c r="S1248" s="26">
        <f t="shared" si="363"/>
        <v>0.44115323527381978</v>
      </c>
      <c r="T1248" s="27">
        <f t="shared" si="364"/>
        <v>2.1033881766635556</v>
      </c>
      <c r="U1248" s="26">
        <f t="shared" si="365"/>
        <v>28.080052109751822</v>
      </c>
      <c r="V1248" s="26">
        <f t="shared" si="366"/>
        <v>4.8124856379769261</v>
      </c>
      <c r="W1248" s="23"/>
      <c r="X1248" s="23"/>
      <c r="Y1248" s="23"/>
      <c r="Z1248" s="30">
        <f t="shared" si="444"/>
        <v>0</v>
      </c>
      <c r="AA1248" s="31">
        <f t="shared" si="368"/>
        <v>31</v>
      </c>
      <c r="AB1248" s="32">
        <v>3.2500000000000001E-2</v>
      </c>
      <c r="AC1248" s="32">
        <v>5.0500000000000003E-2</v>
      </c>
      <c r="AD1248" s="33">
        <f t="shared" si="391"/>
        <v>0.48640692524097129</v>
      </c>
      <c r="AE1248" s="34">
        <f t="shared" si="392"/>
        <v>8.9587755262689528E-2</v>
      </c>
      <c r="AF1248" s="33">
        <f t="shared" si="393"/>
        <v>1.8244383658242673</v>
      </c>
      <c r="AG1248" s="33">
        <f t="shared" si="394"/>
        <v>0</v>
      </c>
      <c r="AH1248" s="35">
        <f t="shared" si="395"/>
        <v>4.2982195731275015</v>
      </c>
      <c r="AI1248" s="36">
        <f t="shared" si="374"/>
        <v>11.027977348004514</v>
      </c>
      <c r="AJ1248" s="23"/>
      <c r="AK1248" s="158">
        <v>456</v>
      </c>
    </row>
    <row r="1249" spans="1:44" ht="16.8">
      <c r="A1249" s="145"/>
      <c r="B1249" s="145">
        <v>485</v>
      </c>
      <c r="C1249" s="145" t="s">
        <v>2588</v>
      </c>
      <c r="D1249" s="146" t="s">
        <v>2589</v>
      </c>
      <c r="E1249" s="147" t="s">
        <v>178</v>
      </c>
      <c r="F1249" s="148"/>
      <c r="G1249" s="148">
        <v>2021</v>
      </c>
      <c r="H1249" s="149"/>
      <c r="I1249" s="149"/>
      <c r="J1249" s="149"/>
      <c r="K1249" s="149"/>
      <c r="L1249" s="149"/>
      <c r="M1249" s="149"/>
      <c r="N1249" s="149"/>
      <c r="O1249" s="149">
        <f t="shared" si="361"/>
        <v>0</v>
      </c>
      <c r="P1249" s="149"/>
      <c r="Q1249" s="149"/>
      <c r="R1249" s="149">
        <f t="shared" si="362"/>
        <v>0</v>
      </c>
      <c r="S1249" s="150" t="e">
        <f t="shared" si="363"/>
        <v>#DIV/0!</v>
      </c>
      <c r="T1249" s="151" t="e">
        <f t="shared" si="364"/>
        <v>#DIV/0!</v>
      </c>
      <c r="U1249" s="150" t="e">
        <f t="shared" si="365"/>
        <v>#NUM!</v>
      </c>
      <c r="V1249" s="150" t="e">
        <f t="shared" si="366"/>
        <v>#DIV/0!</v>
      </c>
      <c r="W1249" s="149"/>
      <c r="X1249" s="149"/>
      <c r="Y1249" s="149"/>
      <c r="Z1249" s="149">
        <f>W1249*Y1249</f>
        <v>0</v>
      </c>
      <c r="AA1249" s="149">
        <f t="shared" si="368"/>
        <v>2021</v>
      </c>
      <c r="AB1249" s="149"/>
      <c r="AC1249" s="149"/>
      <c r="AD1249" s="150" t="e">
        <f t="shared" si="391"/>
        <v>#DIV/0!</v>
      </c>
      <c r="AE1249" s="154" t="e">
        <f t="shared" si="392"/>
        <v>#DIV/0!</v>
      </c>
      <c r="AF1249" s="150" t="e">
        <f t="shared" si="393"/>
        <v>#DIV/0!</v>
      </c>
      <c r="AG1249" s="150" t="e">
        <f t="shared" si="394"/>
        <v>#DIV/0!</v>
      </c>
      <c r="AH1249" s="155" t="e">
        <f t="shared" si="395"/>
        <v>#DIV/0!</v>
      </c>
      <c r="AI1249" s="156" t="e">
        <f t="shared" si="374"/>
        <v>#DIV/0!</v>
      </c>
      <c r="AJ1249" s="162" t="s">
        <v>2590</v>
      </c>
      <c r="AK1249" s="149"/>
      <c r="AL1249" s="157"/>
      <c r="AM1249" s="157"/>
      <c r="AN1249" s="157"/>
      <c r="AO1249" s="157"/>
      <c r="AP1249" s="157"/>
      <c r="AQ1249" s="157"/>
      <c r="AR1249" s="157"/>
    </row>
    <row r="1250" spans="1:44" ht="16.8">
      <c r="A1250" s="70" t="s">
        <v>2591</v>
      </c>
      <c r="B1250" s="71">
        <v>486</v>
      </c>
      <c r="C1250" s="71" t="s">
        <v>2592</v>
      </c>
      <c r="D1250" s="19" t="s">
        <v>2593</v>
      </c>
      <c r="E1250" s="20" t="s">
        <v>414</v>
      </c>
      <c r="F1250" s="161">
        <v>2007</v>
      </c>
      <c r="G1250" s="40">
        <v>2021</v>
      </c>
      <c r="H1250" s="23">
        <v>331841899362</v>
      </c>
      <c r="I1250" s="23">
        <v>678550929158</v>
      </c>
      <c r="J1250" s="23">
        <v>30296931847</v>
      </c>
      <c r="K1250" s="23">
        <f>AVERAGE(J1250,58556604540)</f>
        <v>44426768193.5</v>
      </c>
      <c r="L1250" s="23">
        <v>29620008639</v>
      </c>
      <c r="M1250" s="23">
        <v>648253997311</v>
      </c>
      <c r="N1250" s="23">
        <v>264280885731</v>
      </c>
      <c r="O1250" s="25">
        <f t="shared" si="361"/>
        <v>302221890723</v>
      </c>
      <c r="P1250" s="23">
        <v>84854029017</v>
      </c>
      <c r="Q1250" s="23">
        <f>103881001+19582778722</f>
        <v>19686659723</v>
      </c>
      <c r="R1250" s="25">
        <f t="shared" si="362"/>
        <v>244594226008</v>
      </c>
      <c r="S1250" s="26">
        <f t="shared" si="363"/>
        <v>4.464945893537401E-2</v>
      </c>
      <c r="T1250" s="27">
        <f t="shared" si="364"/>
        <v>11.203301910083551</v>
      </c>
      <c r="U1250" s="26">
        <f t="shared" si="365"/>
        <v>27.243225374801568</v>
      </c>
      <c r="V1250" s="26">
        <f t="shared" si="366"/>
        <v>5.9486858143705001</v>
      </c>
      <c r="W1250" s="23"/>
      <c r="X1250" s="23"/>
      <c r="Y1250" s="23"/>
      <c r="Z1250" s="30">
        <f t="shared" ref="Z1250:Z1259" si="452">X1250*Y1250</f>
        <v>0</v>
      </c>
      <c r="AA1250" s="31">
        <f t="shared" si="368"/>
        <v>14</v>
      </c>
      <c r="AB1250" s="32">
        <v>1.84E-2</v>
      </c>
      <c r="AC1250" s="32">
        <v>2.58E-2</v>
      </c>
      <c r="AD1250" s="33">
        <f t="shared" si="391"/>
        <v>0.44539308360836077</v>
      </c>
      <c r="AE1250" s="34">
        <f t="shared" si="392"/>
        <v>0.12505182053511243</v>
      </c>
      <c r="AF1250" s="33">
        <f t="shared" si="393"/>
        <v>0.36046553839593437</v>
      </c>
      <c r="AG1250" s="33">
        <f t="shared" si="394"/>
        <v>0</v>
      </c>
      <c r="AH1250" s="35">
        <f t="shared" si="395"/>
        <v>8.7230247295542256</v>
      </c>
      <c r="AI1250" s="36">
        <f t="shared" si="374"/>
        <v>10.622105255339999</v>
      </c>
      <c r="AJ1250" s="23"/>
      <c r="AK1250" s="158">
        <v>457</v>
      </c>
      <c r="AL1250" s="44"/>
      <c r="AM1250" s="44"/>
      <c r="AN1250" s="44"/>
      <c r="AO1250" s="44"/>
      <c r="AP1250" s="44"/>
      <c r="AQ1250" s="44"/>
      <c r="AR1250" s="44"/>
    </row>
    <row r="1251" spans="1:44" ht="16.8">
      <c r="A1251" s="74" t="s">
        <v>2594</v>
      </c>
      <c r="B1251" s="75"/>
      <c r="C1251" s="71" t="s">
        <v>2592</v>
      </c>
      <c r="D1251" s="19" t="s">
        <v>2593</v>
      </c>
      <c r="E1251" s="20" t="s">
        <v>414</v>
      </c>
      <c r="F1251" s="161">
        <v>2007</v>
      </c>
      <c r="G1251" s="40">
        <v>2022</v>
      </c>
      <c r="H1251" s="23">
        <v>383507653388</v>
      </c>
      <c r="I1251" s="23">
        <v>703998424827</v>
      </c>
      <c r="J1251" s="23">
        <v>53623687047</v>
      </c>
      <c r="K1251" s="23">
        <f t="shared" ref="K1251:K1252" si="453">AVERAGE(J1250:J1251)</f>
        <v>41960309447</v>
      </c>
      <c r="L1251" s="23">
        <v>53623687047</v>
      </c>
      <c r="M1251" s="23">
        <v>650374737780</v>
      </c>
      <c r="N1251" s="23">
        <v>263727304688</v>
      </c>
      <c r="O1251" s="25">
        <f t="shared" si="361"/>
        <v>329883966341</v>
      </c>
      <c r="P1251" s="23">
        <v>90631796057</v>
      </c>
      <c r="Q1251" s="23">
        <f>3450859328+23556431798</f>
        <v>27007291126</v>
      </c>
      <c r="R1251" s="25">
        <f t="shared" si="362"/>
        <v>236720013562</v>
      </c>
      <c r="S1251" s="26">
        <f t="shared" si="363"/>
        <v>7.6170180437800605E-2</v>
      </c>
      <c r="T1251" s="27">
        <f t="shared" si="364"/>
        <v>7.1518329773158618</v>
      </c>
      <c r="U1251" s="26">
        <f t="shared" si="365"/>
        <v>27.280041955640304</v>
      </c>
      <c r="V1251" s="26">
        <f t="shared" si="366"/>
        <v>6.285161100184772</v>
      </c>
      <c r="W1251" s="23"/>
      <c r="X1251" s="23"/>
      <c r="Y1251" s="23"/>
      <c r="Z1251" s="30">
        <f t="shared" si="452"/>
        <v>0</v>
      </c>
      <c r="AA1251" s="31">
        <f t="shared" si="368"/>
        <v>15</v>
      </c>
      <c r="AB1251" s="32">
        <v>3.15E-2</v>
      </c>
      <c r="AC1251" s="32">
        <v>8.0199999999999994E-2</v>
      </c>
      <c r="AD1251" s="33">
        <f t="shared" si="391"/>
        <v>0.46858622790536131</v>
      </c>
      <c r="AE1251" s="34">
        <f t="shared" si="392"/>
        <v>0.12873863471963276</v>
      </c>
      <c r="AF1251" s="33">
        <f t="shared" si="393"/>
        <v>0.33625077161241007</v>
      </c>
      <c r="AG1251" s="33">
        <f t="shared" si="394"/>
        <v>0</v>
      </c>
      <c r="AH1251" s="35">
        <f t="shared" si="395"/>
        <v>4.9181121107328698</v>
      </c>
      <c r="AI1251" s="36">
        <f t="shared" si="374"/>
        <v>6.7702772191477427</v>
      </c>
      <c r="AJ1251" s="23"/>
      <c r="AK1251" s="158">
        <v>458</v>
      </c>
    </row>
    <row r="1252" spans="1:44" ht="16.8">
      <c r="A1252" s="70" t="s">
        <v>2595</v>
      </c>
      <c r="B1252" s="71"/>
      <c r="C1252" s="71" t="s">
        <v>2592</v>
      </c>
      <c r="D1252" s="19" t="s">
        <v>2593</v>
      </c>
      <c r="E1252" s="20" t="s">
        <v>414</v>
      </c>
      <c r="F1252" s="161">
        <v>2007</v>
      </c>
      <c r="G1252" s="40">
        <v>2023</v>
      </c>
      <c r="H1252" s="23">
        <v>385962838236</v>
      </c>
      <c r="I1252" s="23">
        <v>675101992524</v>
      </c>
      <c r="J1252" s="23">
        <v>56370722240</v>
      </c>
      <c r="K1252" s="23">
        <f t="shared" si="453"/>
        <v>54997204643.5</v>
      </c>
      <c r="L1252" s="23">
        <v>56370722240</v>
      </c>
      <c r="M1252" s="23">
        <v>618731270284</v>
      </c>
      <c r="N1252" s="23">
        <v>306291069080</v>
      </c>
      <c r="O1252" s="25">
        <f t="shared" si="361"/>
        <v>329592115996</v>
      </c>
      <c r="P1252" s="23">
        <v>98500287751</v>
      </c>
      <c r="Q1252" s="23">
        <f>1750327065+24819714448</f>
        <v>26570041513</v>
      </c>
      <c r="R1252" s="25">
        <f t="shared" si="362"/>
        <v>279721027567</v>
      </c>
      <c r="S1252" s="26">
        <f t="shared" si="363"/>
        <v>8.3499564309160307E-2</v>
      </c>
      <c r="T1252" s="27">
        <f t="shared" si="364"/>
        <v>6.8468670064710526</v>
      </c>
      <c r="U1252" s="26">
        <f t="shared" si="365"/>
        <v>27.238129616440037</v>
      </c>
      <c r="V1252" s="26">
        <f t="shared" si="366"/>
        <v>5.5692115820326489</v>
      </c>
      <c r="W1252" s="23"/>
      <c r="X1252" s="23"/>
      <c r="Y1252" s="23"/>
      <c r="Z1252" s="30">
        <f t="shared" si="452"/>
        <v>0</v>
      </c>
      <c r="AA1252" s="31">
        <f t="shared" si="368"/>
        <v>16</v>
      </c>
      <c r="AB1252" s="32">
        <v>3.2500000000000001E-2</v>
      </c>
      <c r="AC1252" s="32">
        <v>5.0500000000000003E-2</v>
      </c>
      <c r="AD1252" s="33">
        <f t="shared" si="391"/>
        <v>0.48821084761393729</v>
      </c>
      <c r="AE1252" s="34">
        <f t="shared" si="392"/>
        <v>0.14590430607786764</v>
      </c>
      <c r="AF1252" s="33">
        <f t="shared" si="393"/>
        <v>0.41433891569658765</v>
      </c>
      <c r="AG1252" s="33">
        <f t="shared" si="394"/>
        <v>0</v>
      </c>
      <c r="AH1252" s="35">
        <f t="shared" si="395"/>
        <v>5.4335133010351866</v>
      </c>
      <c r="AI1252" s="36">
        <f t="shared" si="374"/>
        <v>7.5909507684796651</v>
      </c>
      <c r="AJ1252" s="23"/>
      <c r="AK1252" s="158">
        <v>459</v>
      </c>
      <c r="AL1252" s="44"/>
      <c r="AM1252" s="44"/>
      <c r="AN1252" s="44"/>
      <c r="AO1252" s="44"/>
      <c r="AP1252" s="44"/>
      <c r="AQ1252" s="44"/>
      <c r="AR1252" s="44"/>
    </row>
    <row r="1253" spans="1:44" ht="16.8">
      <c r="A1253" s="145"/>
      <c r="B1253" s="145">
        <v>487</v>
      </c>
      <c r="C1253" s="145" t="s">
        <v>2596</v>
      </c>
      <c r="D1253" s="146" t="s">
        <v>2597</v>
      </c>
      <c r="E1253" s="147"/>
      <c r="F1253" s="148"/>
      <c r="G1253" s="148"/>
      <c r="H1253" s="149"/>
      <c r="I1253" s="149"/>
      <c r="J1253" s="149"/>
      <c r="K1253" s="149"/>
      <c r="L1253" s="149"/>
      <c r="M1253" s="149"/>
      <c r="N1253" s="149"/>
      <c r="O1253" s="149">
        <f t="shared" si="361"/>
        <v>0</v>
      </c>
      <c r="P1253" s="149"/>
      <c r="Q1253" s="149"/>
      <c r="R1253" s="149">
        <f t="shared" si="362"/>
        <v>0</v>
      </c>
      <c r="S1253" s="150" t="e">
        <f t="shared" si="363"/>
        <v>#DIV/0!</v>
      </c>
      <c r="T1253" s="151" t="e">
        <f t="shared" si="364"/>
        <v>#DIV/0!</v>
      </c>
      <c r="U1253" s="150" t="e">
        <f t="shared" si="365"/>
        <v>#NUM!</v>
      </c>
      <c r="V1253" s="150" t="e">
        <f t="shared" si="366"/>
        <v>#DIV/0!</v>
      </c>
      <c r="W1253" s="149"/>
      <c r="X1253" s="149"/>
      <c r="Y1253" s="149"/>
      <c r="Z1253" s="153">
        <f t="shared" si="452"/>
        <v>0</v>
      </c>
      <c r="AA1253" s="148">
        <f t="shared" si="368"/>
        <v>0</v>
      </c>
      <c r="AB1253" s="149"/>
      <c r="AC1253" s="149"/>
      <c r="AD1253" s="150" t="e">
        <f t="shared" si="391"/>
        <v>#DIV/0!</v>
      </c>
      <c r="AE1253" s="154" t="e">
        <f t="shared" si="392"/>
        <v>#DIV/0!</v>
      </c>
      <c r="AF1253" s="150" t="e">
        <f t="shared" si="393"/>
        <v>#DIV/0!</v>
      </c>
      <c r="AG1253" s="150" t="e">
        <f t="shared" si="394"/>
        <v>#DIV/0!</v>
      </c>
      <c r="AH1253" s="155" t="e">
        <f t="shared" si="395"/>
        <v>#DIV/0!</v>
      </c>
      <c r="AI1253" s="156" t="e">
        <f t="shared" si="374"/>
        <v>#DIV/0!</v>
      </c>
      <c r="AJ1253" s="149"/>
      <c r="AK1253" s="149">
        <v>460</v>
      </c>
      <c r="AL1253" s="157"/>
      <c r="AM1253" s="157"/>
      <c r="AN1253" s="157"/>
      <c r="AO1253" s="157"/>
      <c r="AP1253" s="157"/>
      <c r="AQ1253" s="157"/>
      <c r="AR1253" s="157"/>
    </row>
    <row r="1254" spans="1:44" ht="16.8">
      <c r="A1254" s="70" t="s">
        <v>2598</v>
      </c>
      <c r="B1254" s="71">
        <v>488</v>
      </c>
      <c r="C1254" s="71" t="s">
        <v>2599</v>
      </c>
      <c r="D1254" s="19" t="s">
        <v>2600</v>
      </c>
      <c r="E1254" s="20" t="s">
        <v>414</v>
      </c>
      <c r="F1254" s="21">
        <v>2005</v>
      </c>
      <c r="G1254" s="40">
        <v>2021</v>
      </c>
      <c r="H1254" s="23">
        <v>211783968471</v>
      </c>
      <c r="I1254" s="23">
        <v>458366752817</v>
      </c>
      <c r="J1254" s="23">
        <v>232588754936</v>
      </c>
      <c r="K1254" s="23">
        <f>AVERAGE(J1258,266401398836)</f>
        <v>1852764995883</v>
      </c>
      <c r="L1254" s="23">
        <v>174925293531</v>
      </c>
      <c r="M1254" s="23">
        <v>225777997881</v>
      </c>
      <c r="N1254" s="23">
        <v>1181399295447</v>
      </c>
      <c r="O1254" s="25">
        <f t="shared" si="361"/>
        <v>36858674940</v>
      </c>
      <c r="P1254" s="23">
        <v>27730376763</v>
      </c>
      <c r="Q1254" s="23">
        <f>32613717104+50753937063</f>
        <v>83367654167</v>
      </c>
      <c r="R1254" s="25">
        <f t="shared" si="362"/>
        <v>1098031641280</v>
      </c>
      <c r="S1254" s="26">
        <f t="shared" si="363"/>
        <v>0.50742937507262786</v>
      </c>
      <c r="T1254" s="27">
        <f t="shared" si="364"/>
        <v>1.2107109509207024</v>
      </c>
      <c r="U1254" s="26">
        <f t="shared" si="365"/>
        <v>26.850935470957879</v>
      </c>
      <c r="V1254" s="26">
        <f t="shared" si="366"/>
        <v>0.63764120008321012</v>
      </c>
      <c r="W1254" s="23"/>
      <c r="X1254" s="23"/>
      <c r="Y1254" s="23"/>
      <c r="Z1254" s="30">
        <f t="shared" si="452"/>
        <v>0</v>
      </c>
      <c r="AA1254" s="31">
        <f t="shared" si="368"/>
        <v>16</v>
      </c>
      <c r="AB1254" s="32">
        <v>1.84E-2</v>
      </c>
      <c r="AC1254" s="32">
        <v>2.58E-2</v>
      </c>
      <c r="AD1254" s="33">
        <f t="shared" si="391"/>
        <v>8.0413063804205695E-2</v>
      </c>
      <c r="AE1254" s="34">
        <f t="shared" si="392"/>
        <v>6.0498228967473075E-2</v>
      </c>
      <c r="AF1254" s="33">
        <f t="shared" si="393"/>
        <v>2.3955307284653391</v>
      </c>
      <c r="AG1254" s="33">
        <f t="shared" si="394"/>
        <v>0</v>
      </c>
      <c r="AH1254" s="35">
        <f t="shared" si="395"/>
        <v>5.0793482933948306</v>
      </c>
      <c r="AI1254" s="36">
        <f t="shared" si="374"/>
        <v>13.165792894449957</v>
      </c>
      <c r="AJ1254" s="23"/>
      <c r="AK1254" s="158">
        <v>461</v>
      </c>
      <c r="AL1254" s="44"/>
      <c r="AM1254" s="44"/>
      <c r="AN1254" s="44"/>
      <c r="AO1254" s="44"/>
      <c r="AP1254" s="44"/>
      <c r="AQ1254" s="44"/>
      <c r="AR1254" s="44"/>
    </row>
    <row r="1255" spans="1:44" ht="16.8">
      <c r="A1255" s="74" t="s">
        <v>2601</v>
      </c>
      <c r="B1255" s="75"/>
      <c r="C1255" s="71" t="s">
        <v>2599</v>
      </c>
      <c r="D1255" s="19" t="s">
        <v>2600</v>
      </c>
      <c r="E1255" s="20" t="s">
        <v>414</v>
      </c>
      <c r="F1255" s="21">
        <v>2005</v>
      </c>
      <c r="G1255" s="40">
        <v>2022</v>
      </c>
      <c r="H1255" s="23">
        <v>268156015970</v>
      </c>
      <c r="I1255" s="23">
        <v>505946584764</v>
      </c>
      <c r="J1255" s="23">
        <v>261563551763</v>
      </c>
      <c r="K1255" s="23">
        <f t="shared" ref="K1255:K1256" si="454">AVERAGE(J1254:J1255)</f>
        <v>247076153349.5</v>
      </c>
      <c r="L1255" s="23">
        <v>179188050616</v>
      </c>
      <c r="M1255" s="23">
        <v>244383033001</v>
      </c>
      <c r="N1255" s="23">
        <v>1253770526801</v>
      </c>
      <c r="O1255" s="25">
        <f t="shared" si="361"/>
        <v>88967965354</v>
      </c>
      <c r="P1255" s="23">
        <v>30122538065</v>
      </c>
      <c r="Q1255" s="23">
        <f>32855117706+65926519899</f>
        <v>98781637605</v>
      </c>
      <c r="R1255" s="25">
        <f t="shared" si="362"/>
        <v>1154988889196</v>
      </c>
      <c r="S1255" s="26">
        <f t="shared" si="363"/>
        <v>0.51697858951851006</v>
      </c>
      <c r="T1255" s="27">
        <f t="shared" si="364"/>
        <v>1.4965061288861183</v>
      </c>
      <c r="U1255" s="26">
        <f t="shared" si="365"/>
        <v>26.949696936954126</v>
      </c>
      <c r="V1255" s="26">
        <f t="shared" si="366"/>
        <v>5.0744295222513314</v>
      </c>
      <c r="W1255" s="23"/>
      <c r="X1255" s="23"/>
      <c r="Y1255" s="23"/>
      <c r="Z1255" s="30">
        <f t="shared" si="452"/>
        <v>0</v>
      </c>
      <c r="AA1255" s="31">
        <f t="shared" si="368"/>
        <v>17</v>
      </c>
      <c r="AB1255" s="32">
        <v>3.15E-2</v>
      </c>
      <c r="AC1255" s="32">
        <v>8.0199999999999994E-2</v>
      </c>
      <c r="AD1255" s="33">
        <f t="shared" si="391"/>
        <v>0.17584458129211272</v>
      </c>
      <c r="AE1255" s="34">
        <f t="shared" si="392"/>
        <v>5.9536992584011079E-2</v>
      </c>
      <c r="AF1255" s="33">
        <f t="shared" si="393"/>
        <v>2.2828277212993688</v>
      </c>
      <c r="AG1255" s="33">
        <f t="shared" si="394"/>
        <v>0</v>
      </c>
      <c r="AH1255" s="35">
        <f t="shared" si="395"/>
        <v>4.7933686415798036</v>
      </c>
      <c r="AI1255" s="36">
        <f t="shared" si="374"/>
        <v>12.621065409035872</v>
      </c>
      <c r="AJ1255" s="23"/>
      <c r="AK1255" s="158">
        <v>462</v>
      </c>
    </row>
    <row r="1256" spans="1:44" ht="16.8">
      <c r="A1256" s="74" t="s">
        <v>2602</v>
      </c>
      <c r="B1256" s="75"/>
      <c r="C1256" s="71" t="s">
        <v>2599</v>
      </c>
      <c r="D1256" s="19" t="s">
        <v>2600</v>
      </c>
      <c r="E1256" s="20" t="s">
        <v>414</v>
      </c>
      <c r="F1256" s="21">
        <v>2005</v>
      </c>
      <c r="G1256" s="40">
        <v>2023</v>
      </c>
      <c r="H1256" s="23">
        <v>322315097221</v>
      </c>
      <c r="I1256" s="23">
        <v>576264899165</v>
      </c>
      <c r="J1256" s="23">
        <v>347614633130</v>
      </c>
      <c r="K1256" s="23">
        <f t="shared" si="454"/>
        <v>304589092446.5</v>
      </c>
      <c r="L1256" s="23">
        <v>262743743879</v>
      </c>
      <c r="M1256" s="23">
        <v>228650266035</v>
      </c>
      <c r="N1256" s="23">
        <v>1304827538601</v>
      </c>
      <c r="O1256" s="25">
        <f t="shared" si="361"/>
        <v>59571353342</v>
      </c>
      <c r="P1256" s="23">
        <v>48561329804</v>
      </c>
      <c r="Q1256" s="23">
        <f>36803244291+74769855742</f>
        <v>111573100033</v>
      </c>
      <c r="R1256" s="25">
        <f t="shared" si="362"/>
        <v>1193254438568</v>
      </c>
      <c r="S1256" s="26">
        <f t="shared" si="363"/>
        <v>0.60322020937539123</v>
      </c>
      <c r="T1256" s="27">
        <f t="shared" si="364"/>
        <v>1.2267279611020314</v>
      </c>
      <c r="U1256" s="26">
        <f t="shared" si="365"/>
        <v>27.079833286306972</v>
      </c>
      <c r="V1256" s="26">
        <f t="shared" si="366"/>
        <v>4.2838945023291943</v>
      </c>
      <c r="W1256" s="23"/>
      <c r="X1256" s="23"/>
      <c r="Y1256" s="23"/>
      <c r="Z1256" s="30">
        <f t="shared" si="452"/>
        <v>0</v>
      </c>
      <c r="AA1256" s="31">
        <f t="shared" si="368"/>
        <v>18</v>
      </c>
      <c r="AB1256" s="32">
        <v>3.2500000000000001E-2</v>
      </c>
      <c r="AC1256" s="32">
        <v>5.0500000000000003E-2</v>
      </c>
      <c r="AD1256" s="33">
        <f t="shared" si="391"/>
        <v>0.10337494688348724</v>
      </c>
      <c r="AE1256" s="34">
        <f t="shared" si="392"/>
        <v>8.4269109352946375E-2</v>
      </c>
      <c r="AF1256" s="33">
        <f t="shared" si="393"/>
        <v>2.0706699996772482</v>
      </c>
      <c r="AG1256" s="33">
        <f t="shared" si="394"/>
        <v>0</v>
      </c>
      <c r="AH1256" s="35">
        <f t="shared" si="395"/>
        <v>3.7536611357584135</v>
      </c>
      <c r="AI1256" s="36">
        <f t="shared" si="374"/>
        <v>10.828898824047641</v>
      </c>
      <c r="AJ1256" s="23"/>
      <c r="AK1256" s="158">
        <v>463</v>
      </c>
    </row>
    <row r="1257" spans="1:44" ht="16.8">
      <c r="A1257" s="70" t="s">
        <v>2603</v>
      </c>
      <c r="B1257" s="71">
        <v>489</v>
      </c>
      <c r="C1257" s="71" t="s">
        <v>2604</v>
      </c>
      <c r="D1257" s="19" t="s">
        <v>2605</v>
      </c>
      <c r="E1257" s="20" t="s">
        <v>414</v>
      </c>
      <c r="F1257" s="161">
        <v>1991</v>
      </c>
      <c r="G1257" s="40">
        <v>2021</v>
      </c>
      <c r="H1257" s="23">
        <v>3513116361563</v>
      </c>
      <c r="I1257" s="23">
        <v>6255925211575</v>
      </c>
      <c r="J1257" s="23">
        <v>3566050774658</v>
      </c>
      <c r="K1257" s="23">
        <f>AVERAGE(J1259,2660453107935)</f>
        <v>3085039011293.5</v>
      </c>
      <c r="L1257" s="23">
        <v>2595640668907</v>
      </c>
      <c r="M1257" s="23">
        <v>2689874436917</v>
      </c>
      <c r="N1257" s="23">
        <v>6290873013090</v>
      </c>
      <c r="O1257" s="25">
        <f t="shared" si="361"/>
        <v>917475692656</v>
      </c>
      <c r="P1257" s="23">
        <v>317712334340</v>
      </c>
      <c r="Q1257" s="23">
        <f>464702792072+363604772419</f>
        <v>828307564491</v>
      </c>
      <c r="R1257" s="25">
        <f t="shared" si="362"/>
        <v>5462565448599</v>
      </c>
      <c r="S1257" s="26">
        <f t="shared" si="363"/>
        <v>0.57002771837168531</v>
      </c>
      <c r="T1257" s="27">
        <f t="shared" si="364"/>
        <v>1.3534679139706731</v>
      </c>
      <c r="U1257" s="26">
        <f t="shared" si="365"/>
        <v>29.464550164428584</v>
      </c>
      <c r="V1257" s="26">
        <f t="shared" si="366"/>
        <v>2.0391550933588851</v>
      </c>
      <c r="W1257" s="23"/>
      <c r="X1257" s="23"/>
      <c r="Y1257" s="23"/>
      <c r="Z1257" s="30">
        <f t="shared" si="452"/>
        <v>0</v>
      </c>
      <c r="AA1257" s="31">
        <f t="shared" si="368"/>
        <v>30</v>
      </c>
      <c r="AB1257" s="32">
        <v>1.84E-2</v>
      </c>
      <c r="AC1257" s="32">
        <v>2.58E-2</v>
      </c>
      <c r="AD1257" s="33">
        <f t="shared" si="391"/>
        <v>0.14665707495326899</v>
      </c>
      <c r="AE1257" s="34">
        <f t="shared" si="392"/>
        <v>5.0785826811381003E-2</v>
      </c>
      <c r="AF1257" s="33">
        <f t="shared" si="393"/>
        <v>0.87318266505039266</v>
      </c>
      <c r="AG1257" s="33">
        <f t="shared" si="394"/>
        <v>0</v>
      </c>
      <c r="AH1257" s="35">
        <f t="shared" si="395"/>
        <v>1.7641007968242748</v>
      </c>
      <c r="AI1257" s="36">
        <f t="shared" si="374"/>
        <v>4.8926922389704268</v>
      </c>
      <c r="AJ1257" s="23"/>
      <c r="AK1257" s="158">
        <v>464</v>
      </c>
      <c r="AL1257" s="44"/>
      <c r="AM1257" s="44"/>
      <c r="AN1257" s="44"/>
      <c r="AO1257" s="44"/>
      <c r="AP1257" s="44"/>
      <c r="AQ1257" s="44"/>
      <c r="AR1257" s="44"/>
    </row>
    <row r="1258" spans="1:44" ht="16.8">
      <c r="A1258" s="74" t="s">
        <v>2606</v>
      </c>
      <c r="B1258" s="75"/>
      <c r="C1258" s="71" t="s">
        <v>2604</v>
      </c>
      <c r="D1258" s="19" t="s">
        <v>2605</v>
      </c>
      <c r="E1258" s="20" t="s">
        <v>414</v>
      </c>
      <c r="F1258" s="161">
        <v>1991</v>
      </c>
      <c r="G1258" s="40">
        <v>2022</v>
      </c>
      <c r="H1258" s="23">
        <v>3535833245440</v>
      </c>
      <c r="I1258" s="23">
        <v>6561871141160</v>
      </c>
      <c r="J1258" s="23">
        <v>3439128592930</v>
      </c>
      <c r="K1258" s="23">
        <f t="shared" ref="K1258:K1259" si="455">AVERAGE(J1257:J1258)</f>
        <v>3502589683794</v>
      </c>
      <c r="L1258" s="23">
        <v>2931044401899</v>
      </c>
      <c r="M1258" s="23">
        <v>3122742548230</v>
      </c>
      <c r="N1258" s="23">
        <v>7668581525819</v>
      </c>
      <c r="O1258" s="25">
        <f t="shared" si="361"/>
        <v>604788843541</v>
      </c>
      <c r="P1258" s="23">
        <v>355088776946</v>
      </c>
      <c r="Q1258" s="23">
        <f>566391899339+478326111772</f>
        <v>1044718011111</v>
      </c>
      <c r="R1258" s="25">
        <f t="shared" si="362"/>
        <v>6623863514708</v>
      </c>
      <c r="S1258" s="26">
        <f t="shared" si="363"/>
        <v>0.52410791357326703</v>
      </c>
      <c r="T1258" s="27">
        <f t="shared" si="364"/>
        <v>1.2063390248026138</v>
      </c>
      <c r="U1258" s="26">
        <f t="shared" si="365"/>
        <v>29.512296913145722</v>
      </c>
      <c r="V1258" s="26">
        <f t="shared" si="366"/>
        <v>2.1894033324258535</v>
      </c>
      <c r="W1258" s="23"/>
      <c r="X1258" s="23"/>
      <c r="Y1258" s="23"/>
      <c r="Z1258" s="30">
        <f t="shared" si="452"/>
        <v>0</v>
      </c>
      <c r="AA1258" s="31">
        <f t="shared" si="368"/>
        <v>31</v>
      </c>
      <c r="AB1258" s="32">
        <v>3.15E-2</v>
      </c>
      <c r="AC1258" s="32">
        <v>8.0199999999999994E-2</v>
      </c>
      <c r="AD1258" s="33">
        <f t="shared" si="391"/>
        <v>9.2167131985783884E-2</v>
      </c>
      <c r="AE1258" s="34">
        <f t="shared" si="392"/>
        <v>5.4113951540235183E-2</v>
      </c>
      <c r="AF1258" s="33">
        <f t="shared" si="393"/>
        <v>1.009447362225562</v>
      </c>
      <c r="AG1258" s="33">
        <f t="shared" si="394"/>
        <v>0</v>
      </c>
      <c r="AH1258" s="35">
        <f t="shared" si="395"/>
        <v>2.2298036606085949</v>
      </c>
      <c r="AI1258" s="36">
        <f t="shared" si="374"/>
        <v>5.7473400464922193</v>
      </c>
      <c r="AJ1258" s="23"/>
      <c r="AK1258" s="158">
        <v>465</v>
      </c>
    </row>
    <row r="1259" spans="1:44" ht="16.8">
      <c r="A1259" s="74" t="s">
        <v>2607</v>
      </c>
      <c r="B1259" s="75"/>
      <c r="C1259" s="71" t="s">
        <v>2604</v>
      </c>
      <c r="D1259" s="19" t="s">
        <v>2605</v>
      </c>
      <c r="E1259" s="20" t="s">
        <v>414</v>
      </c>
      <c r="F1259" s="161">
        <v>1991</v>
      </c>
      <c r="G1259" s="40">
        <v>2023</v>
      </c>
      <c r="H1259" s="23">
        <v>3172994142785</v>
      </c>
      <c r="I1259" s="23">
        <v>6853772829898</v>
      </c>
      <c r="J1259" s="23">
        <v>3509624914652</v>
      </c>
      <c r="K1259" s="23">
        <f t="shared" si="455"/>
        <v>3474376753791</v>
      </c>
      <c r="L1259" s="23">
        <v>2774430728562</v>
      </c>
      <c r="M1259" s="23">
        <v>3344147915246</v>
      </c>
      <c r="N1259" s="23">
        <v>7344139447707</v>
      </c>
      <c r="O1259" s="25">
        <f t="shared" si="361"/>
        <v>398563414223</v>
      </c>
      <c r="P1259" s="23">
        <v>401878448972</v>
      </c>
      <c r="Q1259" s="23">
        <f>490804425400+485577842954</f>
        <v>976382268354</v>
      </c>
      <c r="R1259" s="25">
        <f t="shared" si="362"/>
        <v>6367757179353</v>
      </c>
      <c r="S1259" s="26">
        <f t="shared" si="363"/>
        <v>0.51207196412201939</v>
      </c>
      <c r="T1259" s="27">
        <f t="shared" si="364"/>
        <v>1.1436559255633596</v>
      </c>
      <c r="U1259" s="26">
        <f t="shared" si="365"/>
        <v>29.555820394667403</v>
      </c>
      <c r="V1259" s="26">
        <f t="shared" si="366"/>
        <v>2.1138005369433763</v>
      </c>
      <c r="W1259" s="23"/>
      <c r="X1259" s="23"/>
      <c r="Y1259" s="23"/>
      <c r="Z1259" s="30">
        <f t="shared" si="452"/>
        <v>0</v>
      </c>
      <c r="AA1259" s="31">
        <f t="shared" si="368"/>
        <v>32</v>
      </c>
      <c r="AB1259" s="32">
        <v>3.2500000000000001E-2</v>
      </c>
      <c r="AC1259" s="32">
        <v>5.0500000000000003E-2</v>
      </c>
      <c r="AD1259" s="33">
        <f t="shared" si="391"/>
        <v>5.8152410958874974E-2</v>
      </c>
      <c r="AE1259" s="34">
        <f t="shared" si="392"/>
        <v>5.8636091237062621E-2</v>
      </c>
      <c r="AF1259" s="33">
        <f t="shared" si="393"/>
        <v>0.92908786698840251</v>
      </c>
      <c r="AG1259" s="33">
        <f t="shared" si="394"/>
        <v>0</v>
      </c>
      <c r="AH1259" s="35">
        <f t="shared" si="395"/>
        <v>2.0925710371631592</v>
      </c>
      <c r="AI1259" s="36">
        <f t="shared" si="374"/>
        <v>5.3104344191074251</v>
      </c>
      <c r="AJ1259" s="23"/>
      <c r="AK1259" s="158">
        <v>466</v>
      </c>
    </row>
    <row r="1260" spans="1:44" ht="16.8">
      <c r="A1260" s="70" t="s">
        <v>2608</v>
      </c>
      <c r="B1260" s="71">
        <v>490</v>
      </c>
      <c r="C1260" s="71" t="s">
        <v>2609</v>
      </c>
      <c r="D1260" s="19" t="s">
        <v>2610</v>
      </c>
      <c r="E1260" s="20" t="s">
        <v>178</v>
      </c>
      <c r="F1260" s="161">
        <v>2003</v>
      </c>
      <c r="G1260" s="40">
        <v>2021</v>
      </c>
      <c r="H1260" s="23">
        <v>582805891228</v>
      </c>
      <c r="I1260" s="23">
        <v>629063542560</v>
      </c>
      <c r="J1260" s="23">
        <v>415043214313</v>
      </c>
      <c r="K1260" s="23">
        <f>AVERAGE(J1268,276711027640)</f>
        <v>279116150213</v>
      </c>
      <c r="L1260" s="23">
        <v>402115542709</v>
      </c>
      <c r="M1260" s="23">
        <v>214020328247</v>
      </c>
      <c r="N1260" s="23">
        <v>636882124635</v>
      </c>
      <c r="O1260" s="25">
        <f t="shared" si="361"/>
        <v>180690348519</v>
      </c>
      <c r="P1260" s="23">
        <v>29551356995</v>
      </c>
      <c r="Q1260" s="23">
        <f>12163982641+28983017864</f>
        <v>41147000505</v>
      </c>
      <c r="R1260" s="25">
        <f t="shared" si="362"/>
        <v>595735124130</v>
      </c>
      <c r="S1260" s="26">
        <f t="shared" si="363"/>
        <v>0.65977947573303097</v>
      </c>
      <c r="T1260" s="27">
        <f t="shared" si="364"/>
        <v>1.4493493270658295</v>
      </c>
      <c r="U1260" s="26">
        <f t="shared" si="365"/>
        <v>27.167498110102546</v>
      </c>
      <c r="V1260" s="26">
        <f t="shared" si="366"/>
        <v>2.2817817032406777</v>
      </c>
      <c r="W1260" s="23"/>
      <c r="X1260" s="23"/>
      <c r="Y1260" s="23"/>
      <c r="Z1260" s="23">
        <f>W1260*Y1260</f>
        <v>0</v>
      </c>
      <c r="AA1260" s="31">
        <f t="shared" si="368"/>
        <v>18</v>
      </c>
      <c r="AB1260" s="32">
        <v>1.84E-2</v>
      </c>
      <c r="AC1260" s="32">
        <v>2.58E-2</v>
      </c>
      <c r="AD1260" s="33">
        <f t="shared" si="391"/>
        <v>0.28723703774609666</v>
      </c>
      <c r="AE1260" s="34">
        <f t="shared" si="392"/>
        <v>4.6976743994318185E-2</v>
      </c>
      <c r="AF1260" s="33">
        <f t="shared" si="393"/>
        <v>0.94701899541917711</v>
      </c>
      <c r="AG1260" s="33">
        <f t="shared" si="394"/>
        <v>0</v>
      </c>
      <c r="AH1260" s="35">
        <f t="shared" si="395"/>
        <v>1.5344959336082598</v>
      </c>
      <c r="AI1260" s="36">
        <f t="shared" si="374"/>
        <v>5.0701105053789055</v>
      </c>
      <c r="AJ1260" s="23"/>
      <c r="AK1260" s="23"/>
      <c r="AL1260" s="44"/>
      <c r="AM1260" s="44"/>
      <c r="AN1260" s="44"/>
      <c r="AO1260" s="44"/>
      <c r="AP1260" s="44"/>
      <c r="AQ1260" s="44"/>
      <c r="AR1260" s="44"/>
    </row>
    <row r="1261" spans="1:44" ht="16.8">
      <c r="A1261" s="74" t="s">
        <v>2611</v>
      </c>
      <c r="B1261" s="75"/>
      <c r="C1261" s="71" t="s">
        <v>2609</v>
      </c>
      <c r="D1261" s="19" t="s">
        <v>2610</v>
      </c>
      <c r="E1261" s="20" t="s">
        <v>178</v>
      </c>
      <c r="F1261" s="161">
        <v>2003</v>
      </c>
      <c r="G1261" s="40">
        <v>2022</v>
      </c>
      <c r="H1261" s="23">
        <v>492094834203</v>
      </c>
      <c r="I1261" s="23">
        <v>538327455709</v>
      </c>
      <c r="J1261" s="23">
        <v>304326654955</v>
      </c>
      <c r="K1261" s="23">
        <f t="shared" ref="K1261:K1262" si="456">AVERAGE(J1260:J1261)</f>
        <v>359684934634</v>
      </c>
      <c r="L1261" s="23">
        <v>291509148407</v>
      </c>
      <c r="M1261" s="23">
        <v>234000800754</v>
      </c>
      <c r="N1261" s="23">
        <v>620560127945</v>
      </c>
      <c r="O1261" s="25">
        <f t="shared" si="361"/>
        <v>200585685796</v>
      </c>
      <c r="P1261" s="23">
        <v>21458040357</v>
      </c>
      <c r="Q1261" s="23">
        <f>17742058029+30434784444</f>
        <v>48176842473</v>
      </c>
      <c r="R1261" s="25">
        <f t="shared" si="362"/>
        <v>572383285472</v>
      </c>
      <c r="S1261" s="26">
        <f t="shared" si="363"/>
        <v>0.5653188440002358</v>
      </c>
      <c r="T1261" s="27">
        <f t="shared" si="364"/>
        <v>1.6880939651195639</v>
      </c>
      <c r="U1261" s="26">
        <f t="shared" si="365"/>
        <v>27.01173286568784</v>
      </c>
      <c r="V1261" s="26">
        <f t="shared" si="366"/>
        <v>1.7252880735092657</v>
      </c>
      <c r="W1261" s="23"/>
      <c r="X1261" s="23"/>
      <c r="Y1261" s="23"/>
      <c r="Z1261" s="23"/>
      <c r="AA1261" s="31">
        <f t="shared" si="368"/>
        <v>19</v>
      </c>
      <c r="AB1261" s="32">
        <v>3.15E-2</v>
      </c>
      <c r="AC1261" s="32">
        <v>8.0199999999999994E-2</v>
      </c>
      <c r="AD1261" s="33">
        <f t="shared" si="391"/>
        <v>0.372609057310332</v>
      </c>
      <c r="AE1261" s="34">
        <f t="shared" si="392"/>
        <v>3.9860572091272688E-2</v>
      </c>
      <c r="AF1261" s="33">
        <f t="shared" si="393"/>
        <v>1.0632622939845173</v>
      </c>
      <c r="AG1261" s="33">
        <f t="shared" si="394"/>
        <v>0</v>
      </c>
      <c r="AH1261" s="35">
        <f t="shared" si="395"/>
        <v>2.0391251237482324</v>
      </c>
      <c r="AI1261" s="36">
        <f t="shared" si="374"/>
        <v>6.0508263635973192</v>
      </c>
      <c r="AJ1261" s="23"/>
      <c r="AK1261" s="76"/>
    </row>
    <row r="1262" spans="1:44" ht="16.8">
      <c r="A1262" s="74" t="s">
        <v>2612</v>
      </c>
      <c r="B1262" s="75"/>
      <c r="C1262" s="71" t="s">
        <v>2609</v>
      </c>
      <c r="D1262" s="19" t="s">
        <v>2610</v>
      </c>
      <c r="E1262" s="20" t="s">
        <v>178</v>
      </c>
      <c r="F1262" s="161">
        <v>2003</v>
      </c>
      <c r="G1262" s="40">
        <v>2023</v>
      </c>
      <c r="H1262" s="23">
        <v>433103435960</v>
      </c>
      <c r="I1262" s="23">
        <v>477873449332</v>
      </c>
      <c r="J1262" s="23">
        <v>229633742327</v>
      </c>
      <c r="K1262" s="23">
        <f t="shared" si="456"/>
        <v>266980198641</v>
      </c>
      <c r="L1262" s="23">
        <v>216336235771</v>
      </c>
      <c r="M1262" s="23">
        <v>248239707005</v>
      </c>
      <c r="N1262" s="23">
        <v>627156341166</v>
      </c>
      <c r="O1262" s="25">
        <f t="shared" si="361"/>
        <v>216767200189</v>
      </c>
      <c r="P1262" s="23">
        <v>14238906251</v>
      </c>
      <c r="Q1262" s="23">
        <f>14840023031+32361900558</f>
        <v>47201923589</v>
      </c>
      <c r="R1262" s="25">
        <f t="shared" si="362"/>
        <v>579954417577</v>
      </c>
      <c r="S1262" s="26">
        <f t="shared" si="363"/>
        <v>0.48053253983454353</v>
      </c>
      <c r="T1262" s="27">
        <f t="shared" si="364"/>
        <v>2.00199210463501</v>
      </c>
      <c r="U1262" s="26">
        <f t="shared" si="365"/>
        <v>26.892611784033843</v>
      </c>
      <c r="V1262" s="26">
        <f t="shared" si="366"/>
        <v>2.3490743671567857</v>
      </c>
      <c r="W1262" s="23"/>
      <c r="X1262" s="23"/>
      <c r="Y1262" s="23"/>
      <c r="Z1262" s="23"/>
      <c r="AA1262" s="31">
        <f t="shared" si="368"/>
        <v>20</v>
      </c>
      <c r="AB1262" s="32">
        <v>3.2500000000000001E-2</v>
      </c>
      <c r="AC1262" s="32">
        <v>5.0500000000000003E-2</v>
      </c>
      <c r="AD1262" s="33">
        <f t="shared" si="391"/>
        <v>0.45360795937085457</v>
      </c>
      <c r="AE1262" s="34">
        <f t="shared" si="392"/>
        <v>2.9796395407411715E-2</v>
      </c>
      <c r="AF1262" s="33">
        <f t="shared" si="393"/>
        <v>1.2136150656365088</v>
      </c>
      <c r="AG1262" s="33">
        <f t="shared" si="394"/>
        <v>0</v>
      </c>
      <c r="AH1262" s="35">
        <f t="shared" si="395"/>
        <v>2.731115796880256</v>
      </c>
      <c r="AI1262" s="36">
        <f t="shared" si="374"/>
        <v>7.3220900182961373</v>
      </c>
      <c r="AJ1262" s="23"/>
      <c r="AK1262" s="76"/>
    </row>
    <row r="1263" spans="1:44" ht="16.8">
      <c r="A1263" s="70" t="s">
        <v>2613</v>
      </c>
      <c r="B1263" s="71">
        <v>491</v>
      </c>
      <c r="C1263" s="71" t="s">
        <v>2614</v>
      </c>
      <c r="D1263" s="19" t="s">
        <v>2615</v>
      </c>
      <c r="E1263" s="20" t="s">
        <v>414</v>
      </c>
      <c r="F1263" s="21">
        <v>1980</v>
      </c>
      <c r="G1263" s="40">
        <v>2021</v>
      </c>
      <c r="H1263" s="23">
        <v>360315172330</v>
      </c>
      <c r="I1263" s="23">
        <v>472853385638</v>
      </c>
      <c r="J1263" s="23">
        <v>221691975708</v>
      </c>
      <c r="K1263" s="23">
        <f>AVERAGE(J1263,407850898592)</f>
        <v>314771437150</v>
      </c>
      <c r="L1263" s="23">
        <v>221241975708</v>
      </c>
      <c r="M1263" s="23">
        <v>251161409930</v>
      </c>
      <c r="N1263" s="23">
        <v>3861622463032</v>
      </c>
      <c r="O1263" s="25">
        <f t="shared" si="361"/>
        <v>139073196622</v>
      </c>
      <c r="P1263" s="23">
        <v>28536551900</v>
      </c>
      <c r="Q1263" s="23">
        <f>113231516107+21652176394</f>
        <v>134883692501</v>
      </c>
      <c r="R1263" s="25">
        <f t="shared" si="362"/>
        <v>3726738770531</v>
      </c>
      <c r="S1263" s="26">
        <f t="shared" si="363"/>
        <v>0.46883871923404102</v>
      </c>
      <c r="T1263" s="27">
        <f t="shared" si="364"/>
        <v>1.6286022178971673</v>
      </c>
      <c r="U1263" s="26">
        <f t="shared" si="365"/>
        <v>26.882051210449973</v>
      </c>
      <c r="V1263" s="26">
        <f t="shared" si="366"/>
        <v>12.268020561191506</v>
      </c>
      <c r="W1263" s="23"/>
      <c r="X1263" s="23"/>
      <c r="Y1263" s="23"/>
      <c r="Z1263" s="30">
        <f t="shared" ref="Z1263:Z1265" si="457">X1263*Y1263</f>
        <v>0</v>
      </c>
      <c r="AA1263" s="31">
        <f t="shared" si="368"/>
        <v>41</v>
      </c>
      <c r="AB1263" s="32">
        <v>1.84E-2</v>
      </c>
      <c r="AC1263" s="32">
        <v>2.58E-2</v>
      </c>
      <c r="AD1263" s="33">
        <f t="shared" si="391"/>
        <v>0.29411483738105149</v>
      </c>
      <c r="AE1263" s="34">
        <f t="shared" si="392"/>
        <v>6.0349682939241096E-2</v>
      </c>
      <c r="AF1263" s="33">
        <f t="shared" si="393"/>
        <v>7.881383286497309</v>
      </c>
      <c r="AG1263" s="33">
        <f t="shared" si="394"/>
        <v>0</v>
      </c>
      <c r="AH1263" s="35">
        <f t="shared" si="395"/>
        <v>17.418864398223906</v>
      </c>
      <c r="AI1263" s="36">
        <f t="shared" si="374"/>
        <v>43.864856604637225</v>
      </c>
      <c r="AJ1263" s="23"/>
      <c r="AK1263" s="158">
        <v>467</v>
      </c>
      <c r="AL1263" s="44"/>
      <c r="AM1263" s="44"/>
      <c r="AN1263" s="44"/>
      <c r="AO1263" s="44"/>
      <c r="AP1263" s="44"/>
      <c r="AQ1263" s="44"/>
      <c r="AR1263" s="44"/>
    </row>
    <row r="1264" spans="1:44" ht="16.8">
      <c r="A1264" s="74" t="s">
        <v>2616</v>
      </c>
      <c r="B1264" s="75"/>
      <c r="C1264" s="71" t="s">
        <v>2614</v>
      </c>
      <c r="D1264" s="19" t="s">
        <v>2615</v>
      </c>
      <c r="E1264" s="20" t="s">
        <v>414</v>
      </c>
      <c r="F1264" s="21">
        <v>1980</v>
      </c>
      <c r="G1264" s="40">
        <v>2022</v>
      </c>
      <c r="H1264" s="23">
        <v>378704195799</v>
      </c>
      <c r="I1264" s="23">
        <v>488642888563</v>
      </c>
      <c r="J1264" s="23">
        <v>238167694354</v>
      </c>
      <c r="K1264" s="23">
        <f t="shared" ref="K1264:K1265" si="458">AVERAGE(J1263:J1264)</f>
        <v>229929835031</v>
      </c>
      <c r="L1264" s="23">
        <v>237717694354</v>
      </c>
      <c r="M1264" s="23">
        <v>250475194209</v>
      </c>
      <c r="N1264" s="23">
        <v>4524496458337</v>
      </c>
      <c r="O1264" s="25">
        <f t="shared" si="361"/>
        <v>140986501445</v>
      </c>
      <c r="P1264" s="23">
        <v>23975746201</v>
      </c>
      <c r="Q1264" s="23">
        <f>127438690662+23838992386</f>
        <v>151277683048</v>
      </c>
      <c r="R1264" s="25">
        <f t="shared" si="362"/>
        <v>4373218775289</v>
      </c>
      <c r="S1264" s="26">
        <f t="shared" si="363"/>
        <v>0.48740644738410716</v>
      </c>
      <c r="T1264" s="27">
        <f t="shared" si="364"/>
        <v>1.5930837493108458</v>
      </c>
      <c r="U1264" s="26">
        <f t="shared" si="365"/>
        <v>26.914897770392983</v>
      </c>
      <c r="V1264" s="26">
        <f t="shared" si="366"/>
        <v>19.677726719227152</v>
      </c>
      <c r="W1264" s="23"/>
      <c r="X1264" s="23"/>
      <c r="Y1264" s="23"/>
      <c r="Z1264" s="30">
        <f t="shared" si="457"/>
        <v>0</v>
      </c>
      <c r="AA1264" s="31">
        <f t="shared" si="368"/>
        <v>42</v>
      </c>
      <c r="AB1264" s="32">
        <v>3.15E-2</v>
      </c>
      <c r="AC1264" s="32">
        <v>8.0199999999999994E-2</v>
      </c>
      <c r="AD1264" s="33">
        <f t="shared" si="391"/>
        <v>0.28852666179101227</v>
      </c>
      <c r="AE1264" s="34">
        <f t="shared" si="392"/>
        <v>4.906598819335696E-2</v>
      </c>
      <c r="AF1264" s="33">
        <f t="shared" si="393"/>
        <v>8.9497235663241774</v>
      </c>
      <c r="AG1264" s="33">
        <f t="shared" si="394"/>
        <v>0</v>
      </c>
      <c r="AH1264" s="35">
        <f t="shared" si="395"/>
        <v>18.997103996867121</v>
      </c>
      <c r="AI1264" s="36">
        <f t="shared" si="374"/>
        <v>48.946116143356818</v>
      </c>
      <c r="AJ1264" s="23"/>
      <c r="AK1264" s="158">
        <v>468</v>
      </c>
    </row>
    <row r="1265" spans="1:44" ht="16.8">
      <c r="A1265" s="74" t="s">
        <v>2617</v>
      </c>
      <c r="B1265" s="75"/>
      <c r="C1265" s="71" t="s">
        <v>2614</v>
      </c>
      <c r="D1265" s="19" t="s">
        <v>2615</v>
      </c>
      <c r="E1265" s="20" t="s">
        <v>414</v>
      </c>
      <c r="F1265" s="21">
        <v>1980</v>
      </c>
      <c r="G1265" s="40">
        <v>2023</v>
      </c>
      <c r="H1265" s="23">
        <v>415221272393</v>
      </c>
      <c r="I1265" s="23">
        <v>530920061966</v>
      </c>
      <c r="J1265" s="23">
        <v>286078382025</v>
      </c>
      <c r="K1265" s="23">
        <f t="shared" si="458"/>
        <v>262123038189.5</v>
      </c>
      <c r="L1265" s="23">
        <v>283817538225</v>
      </c>
      <c r="M1265" s="23">
        <v>244841679941</v>
      </c>
      <c r="N1265" s="23">
        <v>4260772905349</v>
      </c>
      <c r="O1265" s="25">
        <f t="shared" si="361"/>
        <v>131403734168</v>
      </c>
      <c r="P1265" s="23">
        <v>14800745483</v>
      </c>
      <c r="Q1265" s="23">
        <f>136211033382+24930393422</f>
        <v>161141426804</v>
      </c>
      <c r="R1265" s="25">
        <f t="shared" si="362"/>
        <v>4099631478545</v>
      </c>
      <c r="S1265" s="26">
        <f t="shared" si="363"/>
        <v>0.53883513266695959</v>
      </c>
      <c r="T1265" s="27">
        <f t="shared" si="364"/>
        <v>1.4629866603374877</v>
      </c>
      <c r="U1265" s="26">
        <f t="shared" si="365"/>
        <v>26.99787730441879</v>
      </c>
      <c r="V1265" s="26">
        <f t="shared" si="366"/>
        <v>16.254858538106461</v>
      </c>
      <c r="W1265" s="23"/>
      <c r="X1265" s="23"/>
      <c r="Y1265" s="23"/>
      <c r="Z1265" s="30">
        <f t="shared" si="457"/>
        <v>0</v>
      </c>
      <c r="AA1265" s="31">
        <f t="shared" si="368"/>
        <v>43</v>
      </c>
      <c r="AB1265" s="32">
        <v>3.2500000000000001E-2</v>
      </c>
      <c r="AC1265" s="32">
        <v>5.0500000000000003E-2</v>
      </c>
      <c r="AD1265" s="33">
        <f t="shared" si="391"/>
        <v>0.24750191899211951</v>
      </c>
      <c r="AE1265" s="34">
        <f t="shared" si="392"/>
        <v>2.7877540412002431E-2</v>
      </c>
      <c r="AF1265" s="33">
        <f t="shared" si="393"/>
        <v>7.7217490395146147</v>
      </c>
      <c r="AG1265" s="33">
        <f t="shared" si="394"/>
        <v>0</v>
      </c>
      <c r="AH1265" s="35">
        <f t="shared" si="395"/>
        <v>14.893725541892421</v>
      </c>
      <c r="AI1265" s="36">
        <f t="shared" si="374"/>
        <v>40.711528231657994</v>
      </c>
      <c r="AJ1265" s="23"/>
      <c r="AK1265" s="158">
        <v>469</v>
      </c>
    </row>
    <row r="1266" spans="1:44" ht="16.8">
      <c r="A1266" s="70" t="s">
        <v>2618</v>
      </c>
      <c r="B1266" s="71">
        <v>492</v>
      </c>
      <c r="C1266" s="71" t="s">
        <v>2619</v>
      </c>
      <c r="D1266" s="19" t="s">
        <v>2620</v>
      </c>
      <c r="E1266" s="20" t="s">
        <v>178</v>
      </c>
      <c r="F1266" s="160">
        <v>2002</v>
      </c>
      <c r="G1266" s="40">
        <v>2021</v>
      </c>
      <c r="H1266" s="23">
        <v>296083932663</v>
      </c>
      <c r="I1266" s="23">
        <v>380255936177</v>
      </c>
      <c r="J1266" s="23">
        <v>246029127005</v>
      </c>
      <c r="K1266" s="23">
        <f>AVERAGE(J1266,189320428004)</f>
        <v>217674777504.5</v>
      </c>
      <c r="L1266" s="23">
        <v>246029127005</v>
      </c>
      <c r="M1266" s="23">
        <v>134226809172</v>
      </c>
      <c r="N1266" s="23">
        <v>821128882854</v>
      </c>
      <c r="O1266" s="25">
        <f t="shared" si="361"/>
        <v>50054805658</v>
      </c>
      <c r="P1266" s="23">
        <v>28464155147</v>
      </c>
      <c r="Q1266" s="23">
        <f>40478912898+16033015435</f>
        <v>56511928333</v>
      </c>
      <c r="R1266" s="25">
        <f t="shared" si="362"/>
        <v>764616954521</v>
      </c>
      <c r="S1266" s="26">
        <f t="shared" si="363"/>
        <v>0.64700929978507782</v>
      </c>
      <c r="T1266" s="27">
        <f t="shared" si="364"/>
        <v>1.2034507306810984</v>
      </c>
      <c r="U1266" s="26">
        <f t="shared" si="365"/>
        <v>26.664110379211824</v>
      </c>
      <c r="V1266" s="26">
        <f t="shared" si="366"/>
        <v>3.7722739045272471</v>
      </c>
      <c r="W1266" s="23"/>
      <c r="X1266" s="23"/>
      <c r="Y1266" s="23"/>
      <c r="Z1266" s="23">
        <f>W1266*Y1266</f>
        <v>0</v>
      </c>
      <c r="AA1266" s="31">
        <f t="shared" si="368"/>
        <v>19</v>
      </c>
      <c r="AB1266" s="32">
        <v>1.84E-2</v>
      </c>
      <c r="AC1266" s="32">
        <v>2.58E-2</v>
      </c>
      <c r="AD1266" s="33">
        <f t="shared" si="391"/>
        <v>0.13163451479873989</v>
      </c>
      <c r="AE1266" s="34">
        <f t="shared" si="392"/>
        <v>7.4855255208299026E-2</v>
      </c>
      <c r="AF1266" s="33">
        <f t="shared" si="393"/>
        <v>2.0107955768114274</v>
      </c>
      <c r="AG1266" s="33">
        <f t="shared" si="394"/>
        <v>0</v>
      </c>
      <c r="AH1266" s="35">
        <f t="shared" si="395"/>
        <v>3.3375271166056382</v>
      </c>
      <c r="AI1266" s="36">
        <f t="shared" si="374"/>
        <v>10.235911295133455</v>
      </c>
      <c r="AJ1266" s="23"/>
      <c r="AK1266" s="23"/>
      <c r="AL1266" s="44"/>
      <c r="AM1266" s="44"/>
      <c r="AN1266" s="44"/>
      <c r="AO1266" s="44"/>
      <c r="AP1266" s="44"/>
      <c r="AQ1266" s="44"/>
      <c r="AR1266" s="44"/>
    </row>
    <row r="1267" spans="1:44" ht="16.8">
      <c r="A1267" s="74" t="s">
        <v>2621</v>
      </c>
      <c r="B1267" s="75"/>
      <c r="C1267" s="71" t="s">
        <v>2619</v>
      </c>
      <c r="D1267" s="19" t="s">
        <v>2620</v>
      </c>
      <c r="E1267" s="20" t="s">
        <v>178</v>
      </c>
      <c r="F1267" s="160">
        <v>2002</v>
      </c>
      <c r="G1267" s="40">
        <v>2022</v>
      </c>
      <c r="H1267" s="23">
        <v>324365837238</v>
      </c>
      <c r="I1267" s="23">
        <v>413106004230</v>
      </c>
      <c r="J1267" s="23">
        <v>267131145944</v>
      </c>
      <c r="K1267" s="23">
        <f t="shared" ref="K1267:K1268" si="459">AVERAGE(J1266:J1267)</f>
        <v>256580136474.5</v>
      </c>
      <c r="L1267" s="23">
        <v>267131145944</v>
      </c>
      <c r="M1267" s="23">
        <v>145974858286</v>
      </c>
      <c r="N1267" s="23">
        <v>692691083799</v>
      </c>
      <c r="O1267" s="25">
        <f t="shared" si="361"/>
        <v>57234691294</v>
      </c>
      <c r="P1267" s="23">
        <v>31939352422</v>
      </c>
      <c r="Q1267" s="23">
        <f>43078229865+16440091708</f>
        <v>59518321573</v>
      </c>
      <c r="R1267" s="25">
        <f t="shared" si="362"/>
        <v>633172762226</v>
      </c>
      <c r="S1267" s="26">
        <f t="shared" si="363"/>
        <v>0.64664067626398536</v>
      </c>
      <c r="T1267" s="27">
        <f t="shared" si="364"/>
        <v>1.2142569002642558</v>
      </c>
      <c r="U1267" s="26">
        <f t="shared" si="365"/>
        <v>26.746970065811407</v>
      </c>
      <c r="V1267" s="26">
        <f t="shared" si="366"/>
        <v>2.6997065841370871</v>
      </c>
      <c r="W1267" s="23"/>
      <c r="X1267" s="23"/>
      <c r="Y1267" s="23"/>
      <c r="Z1267" s="23"/>
      <c r="AA1267" s="31">
        <f t="shared" si="368"/>
        <v>20</v>
      </c>
      <c r="AB1267" s="32">
        <v>3.15E-2</v>
      </c>
      <c r="AC1267" s="32">
        <v>8.0199999999999994E-2</v>
      </c>
      <c r="AD1267" s="33">
        <f t="shared" si="391"/>
        <v>0.13854722688110371</v>
      </c>
      <c r="AE1267" s="34">
        <f t="shared" si="392"/>
        <v>7.7315149368338679E-2</v>
      </c>
      <c r="AF1267" s="33">
        <f t="shared" si="393"/>
        <v>1.5327125622543025</v>
      </c>
      <c r="AG1267" s="33">
        <f t="shared" si="394"/>
        <v>0</v>
      </c>
      <c r="AH1267" s="35">
        <f t="shared" si="395"/>
        <v>2.5930749533197908</v>
      </c>
      <c r="AI1267" s="36">
        <f t="shared" si="374"/>
        <v>7.925524290131988</v>
      </c>
      <c r="AJ1267" s="23"/>
      <c r="AK1267" s="76"/>
    </row>
    <row r="1268" spans="1:44" ht="16.8">
      <c r="A1268" s="70" t="s">
        <v>2622</v>
      </c>
      <c r="B1268" s="71"/>
      <c r="C1268" s="71" t="s">
        <v>2619</v>
      </c>
      <c r="D1268" s="19" t="s">
        <v>2620</v>
      </c>
      <c r="E1268" s="20" t="s">
        <v>178</v>
      </c>
      <c r="F1268" s="160">
        <v>2002</v>
      </c>
      <c r="G1268" s="40">
        <v>2023</v>
      </c>
      <c r="H1268" s="23">
        <v>344206187768</v>
      </c>
      <c r="I1268" s="23">
        <v>434052088075</v>
      </c>
      <c r="J1268" s="23">
        <v>281521272786</v>
      </c>
      <c r="K1268" s="23">
        <f t="shared" si="459"/>
        <v>274326209365</v>
      </c>
      <c r="L1268" s="23">
        <v>281521272786</v>
      </c>
      <c r="M1268" s="23">
        <v>152530815289</v>
      </c>
      <c r="N1268" s="23">
        <v>570631901944</v>
      </c>
      <c r="O1268" s="25">
        <f t="shared" si="361"/>
        <v>62684914982</v>
      </c>
      <c r="P1268" s="23">
        <v>24731683148</v>
      </c>
      <c r="Q1268" s="23">
        <f>29174487257+16298768111</f>
        <v>45473255368</v>
      </c>
      <c r="R1268" s="25">
        <f t="shared" si="362"/>
        <v>525158646576</v>
      </c>
      <c r="S1268" s="26">
        <f t="shared" si="363"/>
        <v>0.64858868444691331</v>
      </c>
      <c r="T1268" s="27">
        <f t="shared" si="364"/>
        <v>1.22266493171779</v>
      </c>
      <c r="U1268" s="26">
        <f t="shared" si="365"/>
        <v>26.796430382451149</v>
      </c>
      <c r="V1268" s="26">
        <f t="shared" si="366"/>
        <v>2.0801217035181483</v>
      </c>
      <c r="W1268" s="23"/>
      <c r="X1268" s="23"/>
      <c r="Y1268" s="23"/>
      <c r="Z1268" s="23"/>
      <c r="AA1268" s="31">
        <f t="shared" si="368"/>
        <v>21</v>
      </c>
      <c r="AB1268" s="32">
        <v>3.2500000000000001E-2</v>
      </c>
      <c r="AC1268" s="32">
        <v>5.0500000000000003E-2</v>
      </c>
      <c r="AD1268" s="33">
        <f t="shared" si="391"/>
        <v>0.14441795513530314</v>
      </c>
      <c r="AE1268" s="34">
        <f t="shared" si="392"/>
        <v>5.6978606548545398E-2</v>
      </c>
      <c r="AF1268" s="33">
        <f t="shared" si="393"/>
        <v>1.2098977542189768</v>
      </c>
      <c r="AG1268" s="33">
        <f t="shared" si="394"/>
        <v>0</v>
      </c>
      <c r="AH1268" s="35">
        <f t="shared" si="395"/>
        <v>2.0269583761713421</v>
      </c>
      <c r="AI1268" s="36">
        <f t="shared" si="374"/>
        <v>6.2726925604242929</v>
      </c>
      <c r="AJ1268" s="23"/>
      <c r="AK1268" s="23"/>
      <c r="AL1268" s="44"/>
      <c r="AM1268" s="44"/>
      <c r="AN1268" s="44"/>
      <c r="AO1268" s="44"/>
      <c r="AP1268" s="44"/>
      <c r="AQ1268" s="44"/>
      <c r="AR1268" s="44"/>
    </row>
    <row r="1269" spans="1:44" ht="18.75" customHeight="1">
      <c r="A1269" s="70" t="s">
        <v>2623</v>
      </c>
      <c r="B1269" s="71">
        <v>493</v>
      </c>
      <c r="C1269" s="71" t="s">
        <v>2624</v>
      </c>
      <c r="D1269" s="19" t="s">
        <v>2625</v>
      </c>
      <c r="E1269" s="20" t="s">
        <v>414</v>
      </c>
      <c r="F1269" s="21">
        <v>2007</v>
      </c>
      <c r="G1269" s="40">
        <v>2021</v>
      </c>
      <c r="H1269" s="23">
        <v>829603569101</v>
      </c>
      <c r="I1269" s="23">
        <v>1122618736889</v>
      </c>
      <c r="J1269" s="23">
        <v>600879628247</v>
      </c>
      <c r="K1269" s="23">
        <f>AVERAGE(J1269,554331047412)</f>
        <v>577605337829.5</v>
      </c>
      <c r="L1269" s="23">
        <v>578883645903</v>
      </c>
      <c r="M1269" s="23">
        <v>521739108642</v>
      </c>
      <c r="N1269" s="23">
        <v>3057743882845</v>
      </c>
      <c r="O1269" s="25">
        <f t="shared" si="361"/>
        <v>250719923198</v>
      </c>
      <c r="P1269" s="23">
        <v>82295062636</v>
      </c>
      <c r="Q1269" s="23">
        <f>26782423836+76464820254</f>
        <v>103247244090</v>
      </c>
      <c r="R1269" s="25">
        <f t="shared" si="362"/>
        <v>2954496638755</v>
      </c>
      <c r="S1269" s="26">
        <f t="shared" si="363"/>
        <v>0.53524817331319186</v>
      </c>
      <c r="T1269" s="27">
        <f t="shared" si="364"/>
        <v>1.4331093562107844</v>
      </c>
      <c r="U1269" s="26">
        <f t="shared" si="365"/>
        <v>27.746685229934322</v>
      </c>
      <c r="V1269" s="26">
        <f t="shared" si="366"/>
        <v>5.2938289911503515</v>
      </c>
      <c r="W1269" s="23"/>
      <c r="X1269" s="23"/>
      <c r="Y1269" s="23"/>
      <c r="Z1269" s="30">
        <f t="shared" ref="Z1269:Z1274" si="460">X1269*Y1269</f>
        <v>0</v>
      </c>
      <c r="AA1269" s="31">
        <f t="shared" si="368"/>
        <v>14</v>
      </c>
      <c r="AB1269" s="32">
        <v>1.84E-2</v>
      </c>
      <c r="AC1269" s="32">
        <v>2.58E-2</v>
      </c>
      <c r="AD1269" s="33">
        <f t="shared" si="391"/>
        <v>0.22333488205692595</v>
      </c>
      <c r="AE1269" s="34">
        <f t="shared" si="392"/>
        <v>7.3306332712792591E-2</v>
      </c>
      <c r="AF1269" s="33">
        <f t="shared" si="393"/>
        <v>2.6317898870479377</v>
      </c>
      <c r="AG1269" s="33">
        <f t="shared" si="394"/>
        <v>0</v>
      </c>
      <c r="AH1269" s="35">
        <f t="shared" si="395"/>
        <v>5.0887794145486849</v>
      </c>
      <c r="AI1269" s="36">
        <f t="shared" si="374"/>
        <v>14.1443167660731</v>
      </c>
      <c r="AJ1269" s="23"/>
      <c r="AK1269" s="158">
        <v>470</v>
      </c>
      <c r="AL1269" s="44"/>
      <c r="AM1269" s="44"/>
      <c r="AN1269" s="44"/>
      <c r="AO1269" s="44"/>
      <c r="AP1269" s="44"/>
      <c r="AQ1269" s="44"/>
      <c r="AR1269" s="44"/>
    </row>
    <row r="1270" spans="1:44" ht="16.8">
      <c r="A1270" s="70" t="s">
        <v>2626</v>
      </c>
      <c r="B1270" s="71"/>
      <c r="C1270" s="71" t="s">
        <v>2624</v>
      </c>
      <c r="D1270" s="19" t="s">
        <v>2625</v>
      </c>
      <c r="E1270" s="20" t="s">
        <v>414</v>
      </c>
      <c r="F1270" s="21">
        <v>2007</v>
      </c>
      <c r="G1270" s="40">
        <v>2022</v>
      </c>
      <c r="H1270" s="23">
        <v>1035551933372</v>
      </c>
      <c r="I1270" s="23">
        <v>1273280117629</v>
      </c>
      <c r="J1270" s="23">
        <v>705902938864</v>
      </c>
      <c r="K1270" s="23">
        <f t="shared" ref="K1270:K1271" si="461">AVERAGE(J1269:J1270)</f>
        <v>653391283555.5</v>
      </c>
      <c r="L1270" s="23">
        <v>639710952445</v>
      </c>
      <c r="M1270" s="23">
        <v>567377178765</v>
      </c>
      <c r="N1270" s="23">
        <v>4185416899775</v>
      </c>
      <c r="O1270" s="25">
        <f t="shared" si="361"/>
        <v>395840980927</v>
      </c>
      <c r="P1270" s="23">
        <v>117610813558</v>
      </c>
      <c r="Q1270" s="23">
        <f>35807847288+109411662802</f>
        <v>145219510090</v>
      </c>
      <c r="R1270" s="25">
        <f t="shared" si="362"/>
        <v>4040197389685</v>
      </c>
      <c r="S1270" s="26">
        <f t="shared" si="363"/>
        <v>0.55439720536787751</v>
      </c>
      <c r="T1270" s="27">
        <f t="shared" si="364"/>
        <v>1.6187809969707108</v>
      </c>
      <c r="U1270" s="26">
        <f t="shared" si="365"/>
        <v>27.872617456567635</v>
      </c>
      <c r="V1270" s="26">
        <f t="shared" si="366"/>
        <v>6.4056821771475079</v>
      </c>
      <c r="W1270" s="23"/>
      <c r="X1270" s="23"/>
      <c r="Y1270" s="23"/>
      <c r="Z1270" s="30">
        <f t="shared" si="460"/>
        <v>0</v>
      </c>
      <c r="AA1270" s="31">
        <f t="shared" si="368"/>
        <v>15</v>
      </c>
      <c r="AB1270" s="32">
        <v>3.15E-2</v>
      </c>
      <c r="AC1270" s="32">
        <v>8.0199999999999994E-2</v>
      </c>
      <c r="AD1270" s="33">
        <f t="shared" si="391"/>
        <v>0.31088287286233862</v>
      </c>
      <c r="AE1270" s="34">
        <f t="shared" si="392"/>
        <v>9.2368373564966536E-2</v>
      </c>
      <c r="AF1270" s="33">
        <f t="shared" si="393"/>
        <v>3.1730624972047243</v>
      </c>
      <c r="AG1270" s="33">
        <f t="shared" si="394"/>
        <v>0</v>
      </c>
      <c r="AH1270" s="35">
        <f t="shared" si="395"/>
        <v>5.9291676933808128</v>
      </c>
      <c r="AI1270" s="36">
        <f t="shared" si="374"/>
        <v>16.902649104582164</v>
      </c>
      <c r="AJ1270" s="23"/>
      <c r="AK1270" s="158">
        <v>471</v>
      </c>
      <c r="AL1270" s="44"/>
      <c r="AM1270" s="44"/>
      <c r="AN1270" s="44"/>
      <c r="AO1270" s="44"/>
      <c r="AP1270" s="44"/>
      <c r="AQ1270" s="44"/>
      <c r="AR1270" s="44"/>
    </row>
    <row r="1271" spans="1:44" ht="16.8">
      <c r="A1271" s="70" t="s">
        <v>2627</v>
      </c>
      <c r="B1271" s="71"/>
      <c r="C1271" s="71" t="s">
        <v>2624</v>
      </c>
      <c r="D1271" s="19" t="s">
        <v>2625</v>
      </c>
      <c r="E1271" s="20" t="s">
        <v>414</v>
      </c>
      <c r="F1271" s="21">
        <v>2007</v>
      </c>
      <c r="G1271" s="40">
        <v>2023</v>
      </c>
      <c r="H1271" s="23">
        <v>961005007492</v>
      </c>
      <c r="I1271" s="23">
        <v>1158577334973</v>
      </c>
      <c r="J1271" s="23">
        <v>555942098901</v>
      </c>
      <c r="K1271" s="23">
        <f t="shared" si="461"/>
        <v>630922518882.5</v>
      </c>
      <c r="L1271" s="23">
        <v>529158871282</v>
      </c>
      <c r="M1271" s="23">
        <v>602635236072</v>
      </c>
      <c r="N1271" s="23">
        <v>3112008051235</v>
      </c>
      <c r="O1271" s="25">
        <f t="shared" si="361"/>
        <v>431846136210</v>
      </c>
      <c r="P1271" s="23">
        <v>110268725490</v>
      </c>
      <c r="Q1271" s="23">
        <f>38718792390+109380639638</f>
        <v>148099432028</v>
      </c>
      <c r="R1271" s="25">
        <f t="shared" si="362"/>
        <v>2963908619207</v>
      </c>
      <c r="S1271" s="26">
        <f t="shared" si="363"/>
        <v>0.47984893379081678</v>
      </c>
      <c r="T1271" s="27">
        <f t="shared" si="364"/>
        <v>1.8160992088515133</v>
      </c>
      <c r="U1271" s="26">
        <f t="shared" si="365"/>
        <v>27.778213932991385</v>
      </c>
      <c r="V1271" s="26">
        <f t="shared" si="366"/>
        <v>4.9324726223864035</v>
      </c>
      <c r="W1271" s="23"/>
      <c r="X1271" s="23"/>
      <c r="Y1271" s="23"/>
      <c r="Z1271" s="30">
        <f t="shared" si="460"/>
        <v>0</v>
      </c>
      <c r="AA1271" s="31">
        <f t="shared" si="368"/>
        <v>16</v>
      </c>
      <c r="AB1271" s="32">
        <v>3.2500000000000001E-2</v>
      </c>
      <c r="AC1271" s="32">
        <v>5.0500000000000003E-2</v>
      </c>
      <c r="AD1271" s="33">
        <f t="shared" si="391"/>
        <v>0.3727382913287044</v>
      </c>
      <c r="AE1271" s="34">
        <f t="shared" si="392"/>
        <v>9.5175973291907828E-2</v>
      </c>
      <c r="AF1271" s="33">
        <f t="shared" si="393"/>
        <v>2.5582311424002371</v>
      </c>
      <c r="AG1271" s="33">
        <f t="shared" si="394"/>
        <v>0</v>
      </c>
      <c r="AH1271" s="35">
        <f t="shared" si="395"/>
        <v>5.5977197218683274</v>
      </c>
      <c r="AI1271" s="36">
        <f t="shared" si="374"/>
        <v>14.620414803992226</v>
      </c>
      <c r="AJ1271" s="23"/>
      <c r="AK1271" s="158">
        <v>472</v>
      </c>
      <c r="AL1271" s="44"/>
      <c r="AM1271" s="44"/>
      <c r="AN1271" s="44"/>
      <c r="AO1271" s="44"/>
      <c r="AP1271" s="44"/>
      <c r="AQ1271" s="44"/>
      <c r="AR1271" s="44"/>
    </row>
    <row r="1272" spans="1:44" ht="16.8">
      <c r="A1272" s="70" t="s">
        <v>2628</v>
      </c>
      <c r="B1272" s="71">
        <v>494</v>
      </c>
      <c r="C1272" s="71" t="s">
        <v>2629</v>
      </c>
      <c r="D1272" s="19" t="s">
        <v>2630</v>
      </c>
      <c r="E1272" s="20" t="s">
        <v>414</v>
      </c>
      <c r="F1272" s="21">
        <v>1975</v>
      </c>
      <c r="G1272" s="40">
        <v>2021</v>
      </c>
      <c r="H1272" s="23">
        <v>228016833488</v>
      </c>
      <c r="I1272" s="23">
        <v>535098819975</v>
      </c>
      <c r="J1272" s="23">
        <v>62844806712</v>
      </c>
      <c r="K1272" s="23">
        <f>AVERAGE(J1274,55987914622)</f>
        <v>53499539210</v>
      </c>
      <c r="L1272" s="23">
        <v>48724178712</v>
      </c>
      <c r="M1272" s="23">
        <v>472254013263</v>
      </c>
      <c r="N1272" s="23">
        <v>2660299645974</v>
      </c>
      <c r="O1272" s="25">
        <f t="shared" si="361"/>
        <v>179292654776</v>
      </c>
      <c r="P1272" s="23">
        <v>40194501770</v>
      </c>
      <c r="Q1272" s="23">
        <f>119485431602+13770672295</f>
        <v>133256103897</v>
      </c>
      <c r="R1272" s="25">
        <f t="shared" si="362"/>
        <v>2527043542077</v>
      </c>
      <c r="S1272" s="26">
        <f t="shared" si="363"/>
        <v>0.11744523509682965</v>
      </c>
      <c r="T1272" s="27">
        <f t="shared" si="364"/>
        <v>4.6797470889302648</v>
      </c>
      <c r="U1272" s="26">
        <f t="shared" si="365"/>
        <v>27.005717277019226</v>
      </c>
      <c r="V1272" s="26">
        <f t="shared" si="366"/>
        <v>49.725655309508596</v>
      </c>
      <c r="W1272" s="23"/>
      <c r="X1272" s="23"/>
      <c r="Y1272" s="23"/>
      <c r="Z1272" s="30">
        <f t="shared" si="460"/>
        <v>0</v>
      </c>
      <c r="AA1272" s="31">
        <f t="shared" si="368"/>
        <v>46</v>
      </c>
      <c r="AB1272" s="32">
        <v>1.84E-2</v>
      </c>
      <c r="AC1272" s="32">
        <v>2.58E-2</v>
      </c>
      <c r="AD1272" s="33">
        <f t="shared" si="391"/>
        <v>0.33506456767065307</v>
      </c>
      <c r="AE1272" s="34">
        <f t="shared" si="392"/>
        <v>7.511603515006425E-2</v>
      </c>
      <c r="AF1272" s="33">
        <f t="shared" si="393"/>
        <v>4.7225735653744563</v>
      </c>
      <c r="AG1272" s="33">
        <f t="shared" si="394"/>
        <v>0</v>
      </c>
      <c r="AH1272" s="35">
        <f t="shared" si="395"/>
        <v>42.331256712514083</v>
      </c>
      <c r="AI1272" s="36">
        <f t="shared" si="374"/>
        <v>58.422989408664662</v>
      </c>
      <c r="AJ1272" s="23"/>
      <c r="AK1272" s="158">
        <v>473</v>
      </c>
      <c r="AL1272" s="44"/>
      <c r="AM1272" s="44"/>
      <c r="AN1272" s="44"/>
      <c r="AO1272" s="44"/>
      <c r="AP1272" s="44"/>
      <c r="AQ1272" s="44"/>
      <c r="AR1272" s="44"/>
    </row>
    <row r="1273" spans="1:44" ht="16.8">
      <c r="A1273" s="74" t="s">
        <v>2631</v>
      </c>
      <c r="B1273" s="75"/>
      <c r="C1273" s="71" t="s">
        <v>2629</v>
      </c>
      <c r="D1273" s="19" t="s">
        <v>2630</v>
      </c>
      <c r="E1273" s="20" t="s">
        <v>414</v>
      </c>
      <c r="F1273" s="21">
        <v>1975</v>
      </c>
      <c r="G1273" s="40">
        <v>2022</v>
      </c>
      <c r="H1273" s="23">
        <v>234010461584</v>
      </c>
      <c r="I1273" s="23">
        <v>526039922156</v>
      </c>
      <c r="J1273" s="23">
        <v>91302670194</v>
      </c>
      <c r="K1273" s="23">
        <f t="shared" ref="K1273:K1274" si="462">AVERAGE(J1272:J1273)</f>
        <v>77073738453</v>
      </c>
      <c r="L1273" s="23">
        <v>77182042194</v>
      </c>
      <c r="M1273" s="23">
        <v>434737251962</v>
      </c>
      <c r="N1273" s="23">
        <v>4815945175081</v>
      </c>
      <c r="O1273" s="25">
        <f t="shared" si="361"/>
        <v>156828419390</v>
      </c>
      <c r="P1273" s="23">
        <v>1278494699</v>
      </c>
      <c r="Q1273" s="23">
        <f>121723024289+15760050617</f>
        <v>137483074906</v>
      </c>
      <c r="R1273" s="25">
        <f t="shared" si="362"/>
        <v>4678462100175</v>
      </c>
      <c r="S1273" s="26">
        <f t="shared" si="363"/>
        <v>0.17356604764861117</v>
      </c>
      <c r="T1273" s="27">
        <f t="shared" si="364"/>
        <v>3.0319288649528837</v>
      </c>
      <c r="U1273" s="26">
        <f t="shared" si="365"/>
        <v>26.988642944439022</v>
      </c>
      <c r="V1273" s="26">
        <f t="shared" si="366"/>
        <v>62.484904349330229</v>
      </c>
      <c r="W1273" s="23"/>
      <c r="X1273" s="23"/>
      <c r="Y1273" s="23"/>
      <c r="Z1273" s="30">
        <f t="shared" si="460"/>
        <v>0</v>
      </c>
      <c r="AA1273" s="31">
        <f t="shared" si="368"/>
        <v>47</v>
      </c>
      <c r="AB1273" s="32">
        <v>3.15E-2</v>
      </c>
      <c r="AC1273" s="32">
        <v>8.0199999999999994E-2</v>
      </c>
      <c r="AD1273" s="33">
        <f t="shared" si="391"/>
        <v>0.29813026119240371</v>
      </c>
      <c r="AE1273" s="34">
        <f t="shared" si="392"/>
        <v>2.4304138244109455E-3</v>
      </c>
      <c r="AF1273" s="33">
        <f t="shared" si="393"/>
        <v>8.8937396253122714</v>
      </c>
      <c r="AG1273" s="33">
        <f t="shared" si="394"/>
        <v>0</v>
      </c>
      <c r="AH1273" s="35">
        <f t="shared" si="395"/>
        <v>52.747035380762412</v>
      </c>
      <c r="AI1273" s="36">
        <f t="shared" si="374"/>
        <v>82.457535037077974</v>
      </c>
      <c r="AJ1273" s="23"/>
      <c r="AK1273" s="158">
        <v>474</v>
      </c>
    </row>
    <row r="1274" spans="1:44" ht="16.8">
      <c r="A1274" s="74" t="s">
        <v>2632</v>
      </c>
      <c r="B1274" s="75"/>
      <c r="C1274" s="71" t="s">
        <v>2629</v>
      </c>
      <c r="D1274" s="19" t="s">
        <v>2630</v>
      </c>
      <c r="E1274" s="20" t="s">
        <v>414</v>
      </c>
      <c r="F1274" s="21">
        <v>1975</v>
      </c>
      <c r="G1274" s="40">
        <v>2023</v>
      </c>
      <c r="H1274" s="23">
        <v>199890601067</v>
      </c>
      <c r="I1274" s="23">
        <v>490195787645</v>
      </c>
      <c r="J1274" s="23">
        <v>51011163798</v>
      </c>
      <c r="K1274" s="23">
        <f t="shared" si="462"/>
        <v>71156916996</v>
      </c>
      <c r="L1274" s="23">
        <v>51011163798</v>
      </c>
      <c r="M1274" s="23">
        <v>439184623847</v>
      </c>
      <c r="N1274" s="23">
        <v>4342646964846</v>
      </c>
      <c r="O1274" s="25">
        <f t="shared" si="361"/>
        <v>148879437269</v>
      </c>
      <c r="P1274" s="23">
        <v>34457590900</v>
      </c>
      <c r="Q1274" s="23">
        <f>143535126468+17389651449</f>
        <v>160924777917</v>
      </c>
      <c r="R1274" s="25">
        <f t="shared" si="362"/>
        <v>4181722186929</v>
      </c>
      <c r="S1274" s="26">
        <f t="shared" si="363"/>
        <v>0.10406283587843131</v>
      </c>
      <c r="T1274" s="27">
        <f t="shared" si="364"/>
        <v>3.9185657841203207</v>
      </c>
      <c r="U1274" s="26">
        <f t="shared" si="365"/>
        <v>26.918070714868048</v>
      </c>
      <c r="V1274" s="26">
        <f t="shared" si="366"/>
        <v>61.029161298403594</v>
      </c>
      <c r="W1274" s="23"/>
      <c r="X1274" s="23"/>
      <c r="Y1274" s="23"/>
      <c r="Z1274" s="30">
        <f t="shared" si="460"/>
        <v>0</v>
      </c>
      <c r="AA1274" s="31">
        <f t="shared" si="368"/>
        <v>48</v>
      </c>
      <c r="AB1274" s="32">
        <v>3.2500000000000001E-2</v>
      </c>
      <c r="AC1274" s="32">
        <v>5.0500000000000003E-2</v>
      </c>
      <c r="AD1274" s="33">
        <f t="shared" si="391"/>
        <v>0.30371423219331811</v>
      </c>
      <c r="AE1274" s="34">
        <f t="shared" si="392"/>
        <v>7.0293527134415529E-2</v>
      </c>
      <c r="AF1274" s="33">
        <f t="shared" si="393"/>
        <v>8.5307183217930973</v>
      </c>
      <c r="AG1274" s="33">
        <f t="shared" si="394"/>
        <v>0</v>
      </c>
      <c r="AH1274" s="35">
        <f t="shared" si="395"/>
        <v>85.131305414683808</v>
      </c>
      <c r="AI1274" s="36">
        <f t="shared" si="374"/>
        <v>113.7455438932212</v>
      </c>
      <c r="AJ1274" s="23"/>
      <c r="AK1274" s="158">
        <v>475</v>
      </c>
    </row>
    <row r="1275" spans="1:44" ht="16.8">
      <c r="A1275" s="70" t="s">
        <v>2633</v>
      </c>
      <c r="B1275" s="71">
        <v>495</v>
      </c>
      <c r="C1275" s="71" t="s">
        <v>2634</v>
      </c>
      <c r="D1275" s="19" t="s">
        <v>2635</v>
      </c>
      <c r="E1275" s="20" t="s">
        <v>949</v>
      </c>
      <c r="F1275" s="21">
        <v>2005</v>
      </c>
      <c r="G1275" s="40">
        <v>2021</v>
      </c>
      <c r="H1275" s="23">
        <v>1878394818249</v>
      </c>
      <c r="I1275" s="23">
        <v>5437629621394</v>
      </c>
      <c r="J1275" s="23">
        <v>2874130539884</v>
      </c>
      <c r="K1275" s="23">
        <f>AVERAGE(J1275,2640250866815)</f>
        <v>2757190703349.5</v>
      </c>
      <c r="L1275" s="23">
        <v>692267324104</v>
      </c>
      <c r="M1275" s="23">
        <v>2563499081510</v>
      </c>
      <c r="N1275" s="23">
        <v>1371467020430</v>
      </c>
      <c r="O1275" s="25">
        <f t="shared" si="361"/>
        <v>1186127494145</v>
      </c>
      <c r="P1275" s="23">
        <v>888621403310</v>
      </c>
      <c r="Q1275" s="23">
        <v>187785947201</v>
      </c>
      <c r="R1275" s="25">
        <f t="shared" si="362"/>
        <v>1183681073229</v>
      </c>
      <c r="S1275" s="26">
        <f t="shared" si="363"/>
        <v>0.52856313136443134</v>
      </c>
      <c r="T1275" s="27">
        <f t="shared" si="364"/>
        <v>2.7133951767551676</v>
      </c>
      <c r="U1275" s="26">
        <f t="shared" si="365"/>
        <v>29.324364350476507</v>
      </c>
      <c r="V1275" s="26">
        <f t="shared" si="366"/>
        <v>0.49741463975049299</v>
      </c>
      <c r="W1275" s="23"/>
      <c r="X1275" s="23"/>
      <c r="Y1275" s="23"/>
      <c r="Z1275" s="23">
        <f>W1275*Y1275</f>
        <v>0</v>
      </c>
      <c r="AA1275" s="31">
        <f t="shared" si="368"/>
        <v>16</v>
      </c>
      <c r="AB1275" s="32">
        <v>1.84E-2</v>
      </c>
      <c r="AC1275" s="32">
        <v>2.58E-2</v>
      </c>
      <c r="AD1275" s="33">
        <f t="shared" si="391"/>
        <v>0.21813318977781396</v>
      </c>
      <c r="AE1275" s="34">
        <f t="shared" si="392"/>
        <v>0.16342073020453193</v>
      </c>
      <c r="AF1275" s="33">
        <f t="shared" si="393"/>
        <v>0.21768328401255646</v>
      </c>
      <c r="AG1275" s="33">
        <f t="shared" si="394"/>
        <v>0</v>
      </c>
      <c r="AH1275" s="35">
        <f t="shared" si="395"/>
        <v>0.47717631520151915</v>
      </c>
      <c r="AI1275" s="36">
        <f t="shared" si="374"/>
        <v>1.6860800024626768</v>
      </c>
      <c r="AJ1275" s="23"/>
      <c r="AK1275" s="23"/>
      <c r="AL1275" s="44"/>
      <c r="AM1275" s="44"/>
      <c r="AN1275" s="44"/>
      <c r="AO1275" s="44"/>
      <c r="AP1275" s="44"/>
      <c r="AQ1275" s="44"/>
      <c r="AR1275" s="44"/>
    </row>
    <row r="1276" spans="1:44" ht="16.8">
      <c r="A1276" s="74" t="s">
        <v>2636</v>
      </c>
      <c r="B1276" s="75"/>
      <c r="C1276" s="71" t="s">
        <v>2634</v>
      </c>
      <c r="D1276" s="19" t="s">
        <v>2635</v>
      </c>
      <c r="E1276" s="20" t="s">
        <v>949</v>
      </c>
      <c r="F1276" s="21">
        <v>2005</v>
      </c>
      <c r="G1276" s="40">
        <v>2022</v>
      </c>
      <c r="H1276" s="23">
        <v>1695327819471</v>
      </c>
      <c r="I1276" s="23">
        <v>5396366262641</v>
      </c>
      <c r="J1276" s="23">
        <v>2709199038617</v>
      </c>
      <c r="K1276" s="23">
        <f t="shared" ref="K1276:K1277" si="463">AVERAGE(J1275:J1276)</f>
        <v>2791664789250.5</v>
      </c>
      <c r="L1276" s="23">
        <v>415389351122</v>
      </c>
      <c r="M1276" s="23">
        <v>2687167224024</v>
      </c>
      <c r="N1276" s="23">
        <v>1112481083695</v>
      </c>
      <c r="O1276" s="25">
        <f t="shared" si="361"/>
        <v>1279938468349</v>
      </c>
      <c r="P1276" s="23">
        <v>203600385089</v>
      </c>
      <c r="Q1276" s="23">
        <v>226554685119</v>
      </c>
      <c r="R1276" s="25">
        <f t="shared" si="362"/>
        <v>885926398576</v>
      </c>
      <c r="S1276" s="26">
        <f t="shared" si="363"/>
        <v>0.50204135649071169</v>
      </c>
      <c r="T1276" s="27">
        <f t="shared" si="364"/>
        <v>4.0812982203125419</v>
      </c>
      <c r="U1276" s="26">
        <f t="shared" si="365"/>
        <v>29.316746928664571</v>
      </c>
      <c r="V1276" s="26">
        <f t="shared" si="366"/>
        <v>0.39850095469151098</v>
      </c>
      <c r="W1276" s="23"/>
      <c r="X1276" s="23"/>
      <c r="Y1276" s="23"/>
      <c r="Z1276" s="23"/>
      <c r="AA1276" s="31">
        <f t="shared" si="368"/>
        <v>17</v>
      </c>
      <c r="AB1276" s="32">
        <v>3.15E-2</v>
      </c>
      <c r="AC1276" s="32">
        <v>8.0199999999999994E-2</v>
      </c>
      <c r="AD1276" s="33">
        <f t="shared" si="391"/>
        <v>0.23718524763784171</v>
      </c>
      <c r="AE1276" s="34">
        <f t="shared" si="392"/>
        <v>3.772916351110632E-2</v>
      </c>
      <c r="AF1276" s="33">
        <f t="shared" si="393"/>
        <v>0.16417091714275608</v>
      </c>
      <c r="AG1276" s="33">
        <f t="shared" si="394"/>
        <v>0</v>
      </c>
      <c r="AH1276" s="35">
        <f t="shared" si="395"/>
        <v>0.41063099013312165</v>
      </c>
      <c r="AI1276" s="36">
        <f t="shared" si="374"/>
        <v>1.2898381427851757</v>
      </c>
      <c r="AJ1276" s="23"/>
      <c r="AK1276" s="76"/>
    </row>
    <row r="1277" spans="1:44" ht="16.8">
      <c r="A1277" s="74" t="s">
        <v>2637</v>
      </c>
      <c r="B1277" s="75"/>
      <c r="C1277" s="71" t="s">
        <v>2634</v>
      </c>
      <c r="D1277" s="19" t="s">
        <v>2635</v>
      </c>
      <c r="E1277" s="20" t="s">
        <v>949</v>
      </c>
      <c r="F1277" s="21">
        <v>2005</v>
      </c>
      <c r="G1277" s="40">
        <v>2023</v>
      </c>
      <c r="H1277" s="23">
        <v>1162444989312</v>
      </c>
      <c r="I1277" s="23">
        <v>5366625020386</v>
      </c>
      <c r="J1277" s="23">
        <v>2522832265851</v>
      </c>
      <c r="K1277" s="23">
        <f t="shared" si="463"/>
        <v>2616015652234</v>
      </c>
      <c r="L1277" s="23">
        <v>563898126138</v>
      </c>
      <c r="M1277" s="23">
        <v>2843792754535</v>
      </c>
      <c r="N1277" s="23">
        <v>942456102174</v>
      </c>
      <c r="O1277" s="25">
        <f t="shared" ref="O1277:O1531" si="464">H1277-L1277</f>
        <v>598546863174</v>
      </c>
      <c r="P1277" s="23">
        <v>297938818696</v>
      </c>
      <c r="Q1277" s="23">
        <v>64525970689</v>
      </c>
      <c r="R1277" s="25">
        <f t="shared" ref="R1277:R1531" si="465">N1277-Q1277</f>
        <v>877930131485</v>
      </c>
      <c r="S1277" s="26">
        <f t="shared" ref="S1277:S1531" si="466">J1277/I1277</f>
        <v>0.47009661682484061</v>
      </c>
      <c r="T1277" s="27">
        <f t="shared" ref="T1277:T1531" si="467">H1277/L1277</f>
        <v>2.0614450295717432</v>
      </c>
      <c r="U1277" s="26">
        <f t="shared" ref="U1277:U1531" si="468">LN(I1277)</f>
        <v>29.311220339044223</v>
      </c>
      <c r="V1277" s="26">
        <f t="shared" ref="V1277:V1531" si="469">N1277/K1277</f>
        <v>0.36026393854683947</v>
      </c>
      <c r="W1277" s="23"/>
      <c r="X1277" s="23"/>
      <c r="Y1277" s="23"/>
      <c r="Z1277" s="23"/>
      <c r="AA1277" s="31">
        <f t="shared" ref="AA1277:AA1419" si="470">G1277-F1277</f>
        <v>18</v>
      </c>
      <c r="AB1277" s="32">
        <v>3.2500000000000001E-2</v>
      </c>
      <c r="AC1277" s="32">
        <v>5.0500000000000003E-2</v>
      </c>
      <c r="AD1277" s="33">
        <f t="shared" si="391"/>
        <v>0.11153133690174405</v>
      </c>
      <c r="AE1277" s="34">
        <f t="shared" si="392"/>
        <v>5.5516980889149296E-2</v>
      </c>
      <c r="AF1277" s="33">
        <f t="shared" si="393"/>
        <v>0.16359073498708021</v>
      </c>
      <c r="AG1277" s="33">
        <f t="shared" si="394"/>
        <v>0</v>
      </c>
      <c r="AH1277" s="35">
        <f t="shared" si="395"/>
        <v>0.37357065506536613</v>
      </c>
      <c r="AI1277" s="36">
        <f t="shared" si="374"/>
        <v>1.1249814580496327</v>
      </c>
      <c r="AJ1277" s="23"/>
      <c r="AK1277" s="76"/>
    </row>
    <row r="1278" spans="1:44" ht="16.8">
      <c r="A1278" s="70" t="s">
        <v>2638</v>
      </c>
      <c r="B1278" s="71">
        <v>496</v>
      </c>
      <c r="C1278" s="71" t="s">
        <v>2639</v>
      </c>
      <c r="D1278" s="19" t="s">
        <v>2640</v>
      </c>
      <c r="E1278" s="20" t="s">
        <v>414</v>
      </c>
      <c r="F1278" s="21">
        <v>1976</v>
      </c>
      <c r="G1278" s="40">
        <v>2021</v>
      </c>
      <c r="H1278" s="23">
        <v>2803430323458</v>
      </c>
      <c r="I1278" s="23">
        <v>4153312769340</v>
      </c>
      <c r="J1278" s="23">
        <v>2896010558812</v>
      </c>
      <c r="K1278" s="23">
        <f>AVERAGE(J1278,2537802959814)</f>
        <v>2716906759313</v>
      </c>
      <c r="L1278" s="23">
        <v>2663650367392</v>
      </c>
      <c r="M1278" s="23">
        <v>1257302210528</v>
      </c>
      <c r="N1278" s="23">
        <v>4963912733608</v>
      </c>
      <c r="O1278" s="25">
        <f t="shared" si="464"/>
        <v>139779956066</v>
      </c>
      <c r="P1278" s="23">
        <v>42015244948</v>
      </c>
      <c r="Q1278" s="23">
        <f>208433562499+173310960030</f>
        <v>381744522529</v>
      </c>
      <c r="R1278" s="25">
        <f t="shared" si="465"/>
        <v>4582168211079</v>
      </c>
      <c r="S1278" s="26">
        <f t="shared" si="466"/>
        <v>0.69727726266861501</v>
      </c>
      <c r="T1278" s="27">
        <f t="shared" si="467"/>
        <v>1.0524768407209764</v>
      </c>
      <c r="U1278" s="26">
        <f t="shared" si="468"/>
        <v>29.05492738940524</v>
      </c>
      <c r="V1278" s="26">
        <f t="shared" si="469"/>
        <v>1.8270456711820249</v>
      </c>
      <c r="W1278" s="23"/>
      <c r="X1278" s="23"/>
      <c r="Y1278" s="23"/>
      <c r="Z1278" s="30">
        <f t="shared" ref="Z1278:Z1295" si="471">X1278*Y1278</f>
        <v>0</v>
      </c>
      <c r="AA1278" s="31">
        <f t="shared" si="470"/>
        <v>45</v>
      </c>
      <c r="AB1278" s="32">
        <v>1.84E-2</v>
      </c>
      <c r="AC1278" s="32">
        <v>2.58E-2</v>
      </c>
      <c r="AD1278" s="33">
        <f t="shared" si="391"/>
        <v>3.36550517210897E-2</v>
      </c>
      <c r="AE1278" s="34">
        <f t="shared" si="392"/>
        <v>1.0116080170546994E-2</v>
      </c>
      <c r="AF1278" s="33">
        <f t="shared" si="393"/>
        <v>1.1032562355777384</v>
      </c>
      <c r="AG1278" s="33">
        <f t="shared" si="394"/>
        <v>0</v>
      </c>
      <c r="AH1278" s="35">
        <f t="shared" si="395"/>
        <v>1.7140520149361242</v>
      </c>
      <c r="AI1278" s="36">
        <f t="shared" si="374"/>
        <v>5.409346166646734</v>
      </c>
      <c r="AJ1278" s="23"/>
      <c r="AK1278" s="158">
        <v>476</v>
      </c>
      <c r="AL1278" s="44"/>
      <c r="AM1278" s="44"/>
      <c r="AN1278" s="44"/>
      <c r="AO1278" s="44"/>
      <c r="AP1278" s="44"/>
      <c r="AQ1278" s="44"/>
      <c r="AR1278" s="44"/>
    </row>
    <row r="1279" spans="1:44" ht="16.8">
      <c r="A1279" s="74" t="s">
        <v>2641</v>
      </c>
      <c r="B1279" s="75"/>
      <c r="C1279" s="71" t="s">
        <v>2639</v>
      </c>
      <c r="D1279" s="19" t="s">
        <v>2640</v>
      </c>
      <c r="E1279" s="20" t="s">
        <v>414</v>
      </c>
      <c r="F1279" s="21">
        <v>1976</v>
      </c>
      <c r="G1279" s="40">
        <v>2022</v>
      </c>
      <c r="H1279" s="23">
        <v>3012424468182</v>
      </c>
      <c r="I1279" s="23">
        <v>4204237007261</v>
      </c>
      <c r="J1279" s="23">
        <v>2902802808054</v>
      </c>
      <c r="K1279" s="23">
        <f t="shared" ref="K1279:K1280" si="472">AVERAGE(J1278:J1279)</f>
        <v>2899406683433</v>
      </c>
      <c r="L1279" s="23">
        <v>2751263290340</v>
      </c>
      <c r="M1279" s="23">
        <v>1301434199207</v>
      </c>
      <c r="N1279" s="23">
        <v>5559782272838</v>
      </c>
      <c r="O1279" s="25">
        <f t="shared" si="464"/>
        <v>261161177842</v>
      </c>
      <c r="P1279" s="23">
        <v>79184939323</v>
      </c>
      <c r="Q1279" s="23">
        <f>173746047966+165987201172</f>
        <v>339733249138</v>
      </c>
      <c r="R1279" s="25">
        <f t="shared" si="465"/>
        <v>5220049023700</v>
      </c>
      <c r="S1279" s="26">
        <f t="shared" si="466"/>
        <v>0.69044699502922036</v>
      </c>
      <c r="T1279" s="27">
        <f t="shared" si="467"/>
        <v>1.0949240949635635</v>
      </c>
      <c r="U1279" s="26">
        <f t="shared" si="468"/>
        <v>29.067113943962383</v>
      </c>
      <c r="V1279" s="26">
        <f t="shared" si="469"/>
        <v>1.9175586179773241</v>
      </c>
      <c r="W1279" s="23"/>
      <c r="X1279" s="23"/>
      <c r="Y1279" s="23"/>
      <c r="Z1279" s="30">
        <f t="shared" si="471"/>
        <v>0</v>
      </c>
      <c r="AA1279" s="31">
        <f t="shared" si="470"/>
        <v>46</v>
      </c>
      <c r="AB1279" s="32">
        <v>3.15E-2</v>
      </c>
      <c r="AC1279" s="32">
        <v>8.0199999999999994E-2</v>
      </c>
      <c r="AD1279" s="33">
        <f t="shared" si="391"/>
        <v>6.2118566910228205E-2</v>
      </c>
      <c r="AE1279" s="34">
        <f t="shared" si="392"/>
        <v>1.8834556469162485E-2</v>
      </c>
      <c r="AF1279" s="33">
        <f t="shared" si="393"/>
        <v>1.2416162587134418</v>
      </c>
      <c r="AG1279" s="33">
        <f t="shared" si="394"/>
        <v>0</v>
      </c>
      <c r="AH1279" s="35">
        <f t="shared" si="395"/>
        <v>1.9153151765638545</v>
      </c>
      <c r="AI1279" s="36">
        <f t="shared" si="374"/>
        <v>6.1135594896673142</v>
      </c>
      <c r="AJ1279" s="23"/>
      <c r="AK1279" s="158">
        <v>477</v>
      </c>
    </row>
    <row r="1280" spans="1:44" ht="16.8">
      <c r="A1280" s="74" t="s">
        <v>2642</v>
      </c>
      <c r="B1280" s="75"/>
      <c r="C1280" s="71" t="s">
        <v>2639</v>
      </c>
      <c r="D1280" s="19" t="s">
        <v>2640</v>
      </c>
      <c r="E1280" s="20" t="s">
        <v>414</v>
      </c>
      <c r="F1280" s="21">
        <v>1976</v>
      </c>
      <c r="G1280" s="40">
        <v>2023</v>
      </c>
      <c r="H1280" s="23">
        <v>2862554201964</v>
      </c>
      <c r="I1280" s="23">
        <v>3884300875457</v>
      </c>
      <c r="J1280" s="23">
        <v>2560100408248</v>
      </c>
      <c r="K1280" s="23">
        <f t="shared" si="472"/>
        <v>2731451608151</v>
      </c>
      <c r="L1280" s="23">
        <v>2458352534924</v>
      </c>
      <c r="M1280" s="23">
        <v>1324200467209</v>
      </c>
      <c r="N1280" s="23">
        <v>5497560551978</v>
      </c>
      <c r="O1280" s="25">
        <f t="shared" si="464"/>
        <v>404201667040</v>
      </c>
      <c r="P1280" s="23">
        <v>60374641748</v>
      </c>
      <c r="Q1280" s="23">
        <f>200104869967+186393721555</f>
        <v>386498591522</v>
      </c>
      <c r="R1280" s="25">
        <f t="shared" si="465"/>
        <v>5111061960456</v>
      </c>
      <c r="S1280" s="26">
        <f t="shared" si="466"/>
        <v>0.65908911032716955</v>
      </c>
      <c r="T1280" s="27">
        <f t="shared" si="467"/>
        <v>1.1644197328486476</v>
      </c>
      <c r="U1280" s="26">
        <f t="shared" si="468"/>
        <v>28.987964128717021</v>
      </c>
      <c r="V1280" s="26">
        <f t="shared" si="469"/>
        <v>2.0126882480995008</v>
      </c>
      <c r="W1280" s="23"/>
      <c r="X1280" s="23"/>
      <c r="Y1280" s="23"/>
      <c r="Z1280" s="30">
        <f t="shared" si="471"/>
        <v>0</v>
      </c>
      <c r="AA1280" s="31">
        <f t="shared" si="470"/>
        <v>47</v>
      </c>
      <c r="AB1280" s="32">
        <v>3.2500000000000001E-2</v>
      </c>
      <c r="AC1280" s="32">
        <v>5.0500000000000003E-2</v>
      </c>
      <c r="AD1280" s="33">
        <f t="shared" si="391"/>
        <v>0.10406033929913949</v>
      </c>
      <c r="AE1280" s="34">
        <f t="shared" si="392"/>
        <v>1.55432454085825E-2</v>
      </c>
      <c r="AF1280" s="33">
        <f t="shared" si="393"/>
        <v>1.3158254533654445</v>
      </c>
      <c r="AG1280" s="33">
        <f t="shared" si="394"/>
        <v>0</v>
      </c>
      <c r="AH1280" s="35">
        <f t="shared" si="395"/>
        <v>2.1474003653396725</v>
      </c>
      <c r="AI1280" s="36">
        <f t="shared" si="374"/>
        <v>6.636257312176622</v>
      </c>
      <c r="AJ1280" s="23"/>
      <c r="AK1280" s="158">
        <v>478</v>
      </c>
    </row>
    <row r="1281" spans="1:44" ht="16.8">
      <c r="A1281" s="70" t="s">
        <v>2643</v>
      </c>
      <c r="B1281" s="71">
        <v>497</v>
      </c>
      <c r="C1281" s="71" t="s">
        <v>2644</v>
      </c>
      <c r="D1281" s="19" t="s">
        <v>2645</v>
      </c>
      <c r="E1281" s="20" t="s">
        <v>414</v>
      </c>
      <c r="F1281" s="161">
        <v>1976</v>
      </c>
      <c r="G1281" s="40">
        <v>2021</v>
      </c>
      <c r="H1281" s="23">
        <v>935732715920</v>
      </c>
      <c r="I1281" s="23">
        <v>1455842350328</v>
      </c>
      <c r="J1281" s="23">
        <v>296131689228</v>
      </c>
      <c r="K1281" s="23">
        <f>AVERAGE(J1281,294647449543)</f>
        <v>295389569385.5</v>
      </c>
      <c r="L1281" s="23">
        <v>296131689228</v>
      </c>
      <c r="M1281" s="23">
        <v>1159710661100</v>
      </c>
      <c r="N1281" s="23">
        <v>1576769245615</v>
      </c>
      <c r="O1281" s="25">
        <f t="shared" si="464"/>
        <v>639601026692</v>
      </c>
      <c r="P1281" s="23">
        <v>218053054337</v>
      </c>
      <c r="Q1281" s="23">
        <f>79107567239+66226408319</f>
        <v>145333975558</v>
      </c>
      <c r="R1281" s="25">
        <f t="shared" si="465"/>
        <v>1431435270057</v>
      </c>
      <c r="S1281" s="26">
        <f t="shared" si="466"/>
        <v>0.20340917350101939</v>
      </c>
      <c r="T1281" s="27">
        <f t="shared" si="467"/>
        <v>3.1598533691527808</v>
      </c>
      <c r="U1281" s="26">
        <f t="shared" si="468"/>
        <v>28.00660578396716</v>
      </c>
      <c r="V1281" s="26">
        <f t="shared" si="469"/>
        <v>5.3379313592391187</v>
      </c>
      <c r="W1281" s="23"/>
      <c r="X1281" s="23"/>
      <c r="Y1281" s="23"/>
      <c r="Z1281" s="30">
        <f t="shared" si="471"/>
        <v>0</v>
      </c>
      <c r="AA1281" s="31">
        <f t="shared" si="470"/>
        <v>45</v>
      </c>
      <c r="AB1281" s="32">
        <v>1.84E-2</v>
      </c>
      <c r="AC1281" s="32">
        <v>2.58E-2</v>
      </c>
      <c r="AD1281" s="33">
        <f t="shared" si="391"/>
        <v>0.43933398870275925</v>
      </c>
      <c r="AE1281" s="34">
        <f t="shared" si="392"/>
        <v>0.14977793047981661</v>
      </c>
      <c r="AF1281" s="33">
        <f t="shared" si="393"/>
        <v>0.98323508018192962</v>
      </c>
      <c r="AG1281" s="33">
        <f t="shared" si="394"/>
        <v>0</v>
      </c>
      <c r="AH1281" s="35">
        <f t="shared" si="395"/>
        <v>5.3245542539724671</v>
      </c>
      <c r="AI1281" s="36">
        <f t="shared" si="374"/>
        <v>9.3061199076878882</v>
      </c>
      <c r="AJ1281" s="23"/>
      <c r="AK1281" s="158">
        <v>479</v>
      </c>
      <c r="AL1281" s="44"/>
      <c r="AM1281" s="44"/>
      <c r="AN1281" s="44"/>
      <c r="AO1281" s="44"/>
      <c r="AP1281" s="44"/>
      <c r="AQ1281" s="44"/>
      <c r="AR1281" s="44"/>
    </row>
    <row r="1282" spans="1:44" ht="16.8">
      <c r="A1282" s="74" t="s">
        <v>2646</v>
      </c>
      <c r="B1282" s="75"/>
      <c r="C1282" s="71" t="s">
        <v>2644</v>
      </c>
      <c r="D1282" s="19" t="s">
        <v>2645</v>
      </c>
      <c r="E1282" s="20" t="s">
        <v>414</v>
      </c>
      <c r="F1282" s="161">
        <v>1976</v>
      </c>
      <c r="G1282" s="40">
        <v>2022</v>
      </c>
      <c r="H1282" s="23">
        <v>1247956593498</v>
      </c>
      <c r="I1282" s="23">
        <v>1718419083128</v>
      </c>
      <c r="J1282" s="23">
        <v>289501873256</v>
      </c>
      <c r="K1282" s="23">
        <f t="shared" ref="K1282:K1283" si="473">AVERAGE(J1281:J1282)</f>
        <v>292816781242</v>
      </c>
      <c r="L1282" s="23">
        <v>289501873256</v>
      </c>
      <c r="M1282" s="23">
        <v>1428917209872</v>
      </c>
      <c r="N1282" s="23">
        <v>2104285557537</v>
      </c>
      <c r="O1282" s="25">
        <f t="shared" si="464"/>
        <v>958454720242</v>
      </c>
      <c r="P1282" s="23">
        <v>407914025598</v>
      </c>
      <c r="Q1282" s="23">
        <f>84802258584+78619006358</f>
        <v>163421264942</v>
      </c>
      <c r="R1282" s="25">
        <f t="shared" si="465"/>
        <v>1940864292595</v>
      </c>
      <c r="S1282" s="26">
        <f t="shared" si="466"/>
        <v>0.16846988962030507</v>
      </c>
      <c r="T1282" s="27">
        <f t="shared" si="467"/>
        <v>4.3107029998194868</v>
      </c>
      <c r="U1282" s="26">
        <f t="shared" si="468"/>
        <v>28.172425846371549</v>
      </c>
      <c r="V1282" s="26">
        <f t="shared" si="469"/>
        <v>7.1863557430402256</v>
      </c>
      <c r="W1282" s="23"/>
      <c r="X1282" s="23"/>
      <c r="Y1282" s="23"/>
      <c r="Z1282" s="30">
        <f t="shared" si="471"/>
        <v>0</v>
      </c>
      <c r="AA1282" s="31">
        <f t="shared" si="470"/>
        <v>46</v>
      </c>
      <c r="AB1282" s="32">
        <v>3.15E-2</v>
      </c>
      <c r="AC1282" s="32">
        <v>8.0199999999999994E-2</v>
      </c>
      <c r="AD1282" s="33">
        <f t="shared" si="391"/>
        <v>0.55775376894520179</v>
      </c>
      <c r="AE1282" s="34">
        <f t="shared" si="392"/>
        <v>0.23737749982122125</v>
      </c>
      <c r="AF1282" s="33">
        <f t="shared" si="393"/>
        <v>1.129447590317775</v>
      </c>
      <c r="AG1282" s="33">
        <f t="shared" si="394"/>
        <v>0</v>
      </c>
      <c r="AH1282" s="35">
        <f t="shared" si="395"/>
        <v>7.268642285005968</v>
      </c>
      <c r="AI1282" s="36">
        <f t="shared" si="374"/>
        <v>11.997452355538577</v>
      </c>
      <c r="AJ1282" s="23"/>
      <c r="AK1282" s="158">
        <v>480</v>
      </c>
    </row>
    <row r="1283" spans="1:44" ht="16.8">
      <c r="A1283" s="74" t="s">
        <v>2647</v>
      </c>
      <c r="B1283" s="75"/>
      <c r="C1283" s="71" t="s">
        <v>2644</v>
      </c>
      <c r="D1283" s="19" t="s">
        <v>2645</v>
      </c>
      <c r="E1283" s="20" t="s">
        <v>414</v>
      </c>
      <c r="F1283" s="161">
        <v>1976</v>
      </c>
      <c r="G1283" s="40">
        <v>2023</v>
      </c>
      <c r="H1283" s="23">
        <v>1303628520779</v>
      </c>
      <c r="I1283" s="23">
        <v>1721955384253</v>
      </c>
      <c r="J1283" s="23">
        <v>285728284256</v>
      </c>
      <c r="K1283" s="23">
        <f t="shared" si="473"/>
        <v>287615078756</v>
      </c>
      <c r="L1283" s="23">
        <v>285728284256</v>
      </c>
      <c r="M1283" s="23">
        <v>1436227099997</v>
      </c>
      <c r="N1283" s="23">
        <v>1588441460119</v>
      </c>
      <c r="O1283" s="25">
        <f t="shared" si="464"/>
        <v>1017900236523</v>
      </c>
      <c r="P1283" s="23">
        <v>230619245583</v>
      </c>
      <c r="Q1283" s="23">
        <f>82664123071+77417859086</f>
        <v>160081982157</v>
      </c>
      <c r="R1283" s="25">
        <f t="shared" si="465"/>
        <v>1428359477962</v>
      </c>
      <c r="S1283" s="26">
        <f t="shared" si="466"/>
        <v>0.16593245496889081</v>
      </c>
      <c r="T1283" s="27">
        <f t="shared" si="467"/>
        <v>4.5624762846754301</v>
      </c>
      <c r="U1283" s="26">
        <f t="shared" si="468"/>
        <v>28.174481612337694</v>
      </c>
      <c r="V1283" s="26">
        <f t="shared" si="469"/>
        <v>5.5228031401878059</v>
      </c>
      <c r="W1283" s="23"/>
      <c r="X1283" s="23"/>
      <c r="Y1283" s="23"/>
      <c r="Z1283" s="30">
        <f t="shared" si="471"/>
        <v>0</v>
      </c>
      <c r="AA1283" s="31">
        <f t="shared" si="470"/>
        <v>47</v>
      </c>
      <c r="AB1283" s="32">
        <v>3.2500000000000001E-2</v>
      </c>
      <c r="AC1283" s="32">
        <v>5.0500000000000003E-2</v>
      </c>
      <c r="AD1283" s="33">
        <f t="shared" si="391"/>
        <v>0.59113043568464718</v>
      </c>
      <c r="AE1283" s="34">
        <f t="shared" si="392"/>
        <v>0.13392869971659849</v>
      </c>
      <c r="AF1283" s="33">
        <f t="shared" si="393"/>
        <v>0.82949854045239124</v>
      </c>
      <c r="AG1283" s="33">
        <f t="shared" si="394"/>
        <v>0</v>
      </c>
      <c r="AH1283" s="35">
        <f t="shared" si="395"/>
        <v>5.559272734427041</v>
      </c>
      <c r="AI1283" s="36">
        <f t="shared" si="374"/>
        <v>9.1934746203447464</v>
      </c>
      <c r="AJ1283" s="23"/>
      <c r="AK1283" s="158">
        <v>481</v>
      </c>
    </row>
    <row r="1284" spans="1:44" ht="16.8">
      <c r="A1284" s="114" t="s">
        <v>2648</v>
      </c>
      <c r="B1284" s="115">
        <v>498</v>
      </c>
      <c r="C1284" s="115" t="s">
        <v>2649</v>
      </c>
      <c r="D1284" s="116" t="s">
        <v>2650</v>
      </c>
      <c r="E1284" s="117" t="s">
        <v>414</v>
      </c>
      <c r="F1284" s="118">
        <v>2004</v>
      </c>
      <c r="G1284" s="118">
        <v>2021</v>
      </c>
      <c r="H1284" s="120">
        <v>12751059518674</v>
      </c>
      <c r="I1284" s="120">
        <v>13924612376531</v>
      </c>
      <c r="J1284" s="120">
        <v>5677051643717</v>
      </c>
      <c r="K1284" s="120">
        <f>AVERAGE(J1284,5758744202842)</f>
        <v>5717897923279.5</v>
      </c>
      <c r="L1284" s="120">
        <v>5674507872916</v>
      </c>
      <c r="M1284" s="120">
        <v>8247560732814</v>
      </c>
      <c r="N1284" s="120">
        <v>9077915407373</v>
      </c>
      <c r="O1284" s="120">
        <f t="shared" si="464"/>
        <v>7076551645758</v>
      </c>
      <c r="P1284" s="120">
        <v>24110828208</v>
      </c>
      <c r="Q1284" s="120">
        <v>516298035944</v>
      </c>
      <c r="R1284" s="120">
        <f t="shared" si="465"/>
        <v>8561617371429</v>
      </c>
      <c r="S1284" s="121">
        <f t="shared" si="466"/>
        <v>0.40769907917043996</v>
      </c>
      <c r="T1284" s="122">
        <f t="shared" si="467"/>
        <v>2.2470775976069834</v>
      </c>
      <c r="U1284" s="121">
        <f t="shared" si="468"/>
        <v>30.264679064839623</v>
      </c>
      <c r="V1284" s="121">
        <f t="shared" si="469"/>
        <v>1.5876315962923595</v>
      </c>
      <c r="W1284" s="120"/>
      <c r="X1284" s="120"/>
      <c r="Y1284" s="120"/>
      <c r="Z1284" s="125">
        <f t="shared" si="471"/>
        <v>0</v>
      </c>
      <c r="AA1284" s="118">
        <f t="shared" si="470"/>
        <v>17</v>
      </c>
      <c r="AB1284" s="120"/>
      <c r="AC1284" s="120"/>
      <c r="AD1284" s="121">
        <f t="shared" si="391"/>
        <v>0.50820457003780251</v>
      </c>
      <c r="AE1284" s="127">
        <f t="shared" si="392"/>
        <v>1.7315259883741671E-3</v>
      </c>
      <c r="AF1284" s="121">
        <f t="shared" si="393"/>
        <v>0.61485498769495595</v>
      </c>
      <c r="AG1284" s="121">
        <f t="shared" si="394"/>
        <v>0</v>
      </c>
      <c r="AH1284" s="128">
        <f t="shared" si="395"/>
        <v>1.5990545757003742</v>
      </c>
      <c r="AI1284" s="129">
        <f t="shared" si="374"/>
        <v>4.2403456555228161</v>
      </c>
      <c r="AJ1284" s="120"/>
      <c r="AK1284" s="120">
        <v>482</v>
      </c>
      <c r="AL1284" s="130"/>
      <c r="AM1284" s="130"/>
      <c r="AN1284" s="130"/>
      <c r="AO1284" s="130"/>
      <c r="AP1284" s="130"/>
      <c r="AQ1284" s="130"/>
      <c r="AR1284" s="130"/>
    </row>
    <row r="1285" spans="1:44" ht="16.8">
      <c r="A1285" s="163" t="s">
        <v>2651</v>
      </c>
      <c r="B1285" s="164"/>
      <c r="C1285" s="115" t="s">
        <v>2649</v>
      </c>
      <c r="D1285" s="116" t="s">
        <v>2650</v>
      </c>
      <c r="E1285" s="117" t="s">
        <v>414</v>
      </c>
      <c r="F1285" s="118">
        <v>2004</v>
      </c>
      <c r="G1285" s="118">
        <v>2022</v>
      </c>
      <c r="H1285" s="120">
        <v>17465000719039</v>
      </c>
      <c r="I1285" s="120">
        <v>18967071946667</v>
      </c>
      <c r="J1285" s="120">
        <v>10753109689422</v>
      </c>
      <c r="K1285" s="120">
        <f t="shared" ref="K1285:K1286" si="474">AVERAGE(J1284:J1285)</f>
        <v>8215080666569.5</v>
      </c>
      <c r="L1285" s="120">
        <v>10226584924427</v>
      </c>
      <c r="M1285" s="120">
        <v>8213962257245</v>
      </c>
      <c r="N1285" s="120">
        <v>14538688107336</v>
      </c>
      <c r="O1285" s="120">
        <f t="shared" si="464"/>
        <v>7238415794612</v>
      </c>
      <c r="P1285" s="120">
        <v>20791833411</v>
      </c>
      <c r="Q1285" s="120">
        <v>734758141359</v>
      </c>
      <c r="R1285" s="120">
        <f t="shared" si="465"/>
        <v>13803929965977</v>
      </c>
      <c r="S1285" s="121">
        <f t="shared" si="466"/>
        <v>0.56693567249907528</v>
      </c>
      <c r="T1285" s="122">
        <f t="shared" si="467"/>
        <v>1.7078038121330685</v>
      </c>
      <c r="U1285" s="121">
        <f t="shared" si="468"/>
        <v>30.573725536178507</v>
      </c>
      <c r="V1285" s="121">
        <f t="shared" si="469"/>
        <v>1.7697559765298261</v>
      </c>
      <c r="W1285" s="120"/>
      <c r="X1285" s="120"/>
      <c r="Y1285" s="120"/>
      <c r="Z1285" s="125">
        <f t="shared" si="471"/>
        <v>0</v>
      </c>
      <c r="AA1285" s="118">
        <f t="shared" si="470"/>
        <v>18</v>
      </c>
      <c r="AB1285" s="120"/>
      <c r="AC1285" s="120"/>
      <c r="AD1285" s="121">
        <f t="shared" si="391"/>
        <v>0.38163063940314601</v>
      </c>
      <c r="AE1285" s="127">
        <f t="shared" si="392"/>
        <v>1.096206808803383E-3</v>
      </c>
      <c r="AF1285" s="121">
        <f t="shared" si="393"/>
        <v>0.72778391966835465</v>
      </c>
      <c r="AG1285" s="121">
        <f t="shared" si="394"/>
        <v>0</v>
      </c>
      <c r="AH1285" s="128">
        <f t="shared" si="395"/>
        <v>1.3520449923093347</v>
      </c>
      <c r="AI1285" s="129">
        <f t="shared" si="374"/>
        <v>4.2132233840310045</v>
      </c>
      <c r="AJ1285" s="120"/>
      <c r="AK1285" s="120">
        <v>483</v>
      </c>
      <c r="AL1285" s="165"/>
      <c r="AM1285" s="165"/>
      <c r="AN1285" s="165"/>
      <c r="AO1285" s="165"/>
      <c r="AP1285" s="165"/>
      <c r="AQ1285" s="165"/>
      <c r="AR1285" s="165"/>
    </row>
    <row r="1286" spans="1:44" ht="16.8">
      <c r="A1286" s="163" t="s">
        <v>2652</v>
      </c>
      <c r="B1286" s="164"/>
      <c r="C1286" s="115" t="s">
        <v>2649</v>
      </c>
      <c r="D1286" s="116" t="s">
        <v>2650</v>
      </c>
      <c r="E1286" s="117" t="s">
        <v>414</v>
      </c>
      <c r="F1286" s="118">
        <v>2004</v>
      </c>
      <c r="G1286" s="118">
        <v>2023</v>
      </c>
      <c r="H1286" s="120">
        <v>19883997298772</v>
      </c>
      <c r="I1286" s="120">
        <v>21375030331774</v>
      </c>
      <c r="J1286" s="120">
        <v>13103319376857</v>
      </c>
      <c r="K1286" s="120">
        <f t="shared" si="474"/>
        <v>11928214533139.5</v>
      </c>
      <c r="L1286" s="120">
        <v>12603037340776</v>
      </c>
      <c r="M1286" s="120">
        <v>8271710954917</v>
      </c>
      <c r="N1286" s="120">
        <v>6746056394050</v>
      </c>
      <c r="O1286" s="120">
        <f t="shared" si="464"/>
        <v>7280959957996</v>
      </c>
      <c r="P1286" s="120">
        <v>52227576729</v>
      </c>
      <c r="Q1286" s="120">
        <f>36014510+192823865418</f>
        <v>192859879928</v>
      </c>
      <c r="R1286" s="120">
        <f t="shared" si="465"/>
        <v>6553196514122</v>
      </c>
      <c r="S1286" s="121">
        <f t="shared" si="466"/>
        <v>0.61301991966668257</v>
      </c>
      <c r="T1286" s="122">
        <f t="shared" si="467"/>
        <v>1.5777147017123487</v>
      </c>
      <c r="U1286" s="121">
        <f t="shared" si="468"/>
        <v>30.693244549780729</v>
      </c>
      <c r="V1286" s="121">
        <f t="shared" si="469"/>
        <v>0.56555458281772208</v>
      </c>
      <c r="W1286" s="120"/>
      <c r="X1286" s="120"/>
      <c r="Y1286" s="120"/>
      <c r="Z1286" s="125">
        <f t="shared" si="471"/>
        <v>0</v>
      </c>
      <c r="AA1286" s="118">
        <f t="shared" si="470"/>
        <v>19</v>
      </c>
      <c r="AB1286" s="120"/>
      <c r="AC1286" s="120"/>
      <c r="AD1286" s="121">
        <f t="shared" si="391"/>
        <v>0.34062922227403097</v>
      </c>
      <c r="AE1286" s="127">
        <f t="shared" si="392"/>
        <v>2.4433919352789719E-3</v>
      </c>
      <c r="AF1286" s="121">
        <f t="shared" si="393"/>
        <v>0.30658185800937404</v>
      </c>
      <c r="AG1286" s="121">
        <f t="shared" si="394"/>
        <v>0</v>
      </c>
      <c r="AH1286" s="128">
        <f t="shared" si="395"/>
        <v>0.51483568399964685</v>
      </c>
      <c r="AI1286" s="129">
        <f t="shared" si="374"/>
        <v>1.938731630868809</v>
      </c>
      <c r="AJ1286" s="120"/>
      <c r="AK1286" s="120">
        <v>484</v>
      </c>
      <c r="AL1286" s="165"/>
      <c r="AM1286" s="165"/>
      <c r="AN1286" s="165"/>
      <c r="AO1286" s="165"/>
      <c r="AP1286" s="165"/>
      <c r="AQ1286" s="165"/>
      <c r="AR1286" s="165"/>
    </row>
    <row r="1287" spans="1:44" ht="16.8">
      <c r="A1287" s="70" t="s">
        <v>2653</v>
      </c>
      <c r="B1287" s="71">
        <v>499</v>
      </c>
      <c r="C1287" s="71" t="s">
        <v>2654</v>
      </c>
      <c r="D1287" s="19" t="s">
        <v>2655</v>
      </c>
      <c r="E1287" s="20" t="s">
        <v>414</v>
      </c>
      <c r="F1287" s="161">
        <v>2009</v>
      </c>
      <c r="G1287" s="40">
        <v>2021</v>
      </c>
      <c r="H1287" s="23">
        <v>1196236693916</v>
      </c>
      <c r="I1287" s="23">
        <v>1762091595441</v>
      </c>
      <c r="J1287" s="23">
        <v>950263323561</v>
      </c>
      <c r="K1287" s="23">
        <f>AVERAGE(J1287,1046363750151)</f>
        <v>998313536856</v>
      </c>
      <c r="L1287" s="23">
        <v>883308981061</v>
      </c>
      <c r="M1287" s="23">
        <v>811828271880</v>
      </c>
      <c r="N1287" s="23">
        <v>4561827016960</v>
      </c>
      <c r="O1287" s="25">
        <f t="shared" si="464"/>
        <v>312927712855</v>
      </c>
      <c r="P1287" s="23">
        <v>51833349519</v>
      </c>
      <c r="Q1287" s="23">
        <f>154230365310+82451965194</f>
        <v>236682330504</v>
      </c>
      <c r="R1287" s="25">
        <f t="shared" si="465"/>
        <v>4325144686456</v>
      </c>
      <c r="S1287" s="26">
        <f t="shared" si="466"/>
        <v>0.53928145734284427</v>
      </c>
      <c r="T1287" s="27">
        <f t="shared" si="467"/>
        <v>1.3542675548018568</v>
      </c>
      <c r="U1287" s="26">
        <f t="shared" si="468"/>
        <v>28.197522625883138</v>
      </c>
      <c r="V1287" s="26">
        <f t="shared" si="469"/>
        <v>4.5695333665679954</v>
      </c>
      <c r="W1287" s="23"/>
      <c r="X1287" s="23"/>
      <c r="Y1287" s="23"/>
      <c r="Z1287" s="30">
        <f t="shared" si="471"/>
        <v>0</v>
      </c>
      <c r="AA1287" s="31">
        <f t="shared" si="470"/>
        <v>12</v>
      </c>
      <c r="AB1287" s="32">
        <v>1.84E-2</v>
      </c>
      <c r="AC1287" s="32">
        <v>2.58E-2</v>
      </c>
      <c r="AD1287" s="33">
        <f t="shared" si="391"/>
        <v>0.17758878917794471</v>
      </c>
      <c r="AE1287" s="34">
        <f t="shared" si="392"/>
        <v>2.9415808833721625E-2</v>
      </c>
      <c r="AF1287" s="33">
        <f t="shared" si="393"/>
        <v>2.4545515668120208</v>
      </c>
      <c r="AG1287" s="33">
        <f t="shared" si="394"/>
        <v>0</v>
      </c>
      <c r="AH1287" s="35">
        <f t="shared" si="395"/>
        <v>4.80059253456725</v>
      </c>
      <c r="AI1287" s="36">
        <f t="shared" si="374"/>
        <v>13.154901384427664</v>
      </c>
      <c r="AJ1287" s="23"/>
      <c r="AK1287" s="158">
        <v>485</v>
      </c>
      <c r="AL1287" s="44"/>
      <c r="AM1287" s="44"/>
      <c r="AN1287" s="44"/>
      <c r="AO1287" s="44"/>
      <c r="AP1287" s="44"/>
      <c r="AQ1287" s="44"/>
      <c r="AR1287" s="44"/>
    </row>
    <row r="1288" spans="1:44" ht="16.8">
      <c r="A1288" s="74" t="s">
        <v>2656</v>
      </c>
      <c r="B1288" s="75"/>
      <c r="C1288" s="71" t="s">
        <v>2654</v>
      </c>
      <c r="D1288" s="19" t="s">
        <v>2655</v>
      </c>
      <c r="E1288" s="20" t="s">
        <v>414</v>
      </c>
      <c r="F1288" s="161">
        <v>2009</v>
      </c>
      <c r="G1288" s="40">
        <v>2022</v>
      </c>
      <c r="H1288" s="23">
        <v>1733807215727</v>
      </c>
      <c r="I1288" s="23">
        <v>2526696305277</v>
      </c>
      <c r="J1288" s="23">
        <v>1602051072557</v>
      </c>
      <c r="K1288" s="23">
        <f t="shared" ref="K1288:K1289" si="475">AVERAGE(J1287:J1288)</f>
        <v>1276157198059</v>
      </c>
      <c r="L1288" s="23">
        <v>1473296015671</v>
      </c>
      <c r="M1288" s="23">
        <v>924645232720</v>
      </c>
      <c r="N1288" s="23">
        <v>6367583606125</v>
      </c>
      <c r="O1288" s="25">
        <f t="shared" si="464"/>
        <v>260511200056</v>
      </c>
      <c r="P1288" s="23">
        <v>117529862884</v>
      </c>
      <c r="Q1288" s="23">
        <f>265887483966+135846266277</f>
        <v>401733750243</v>
      </c>
      <c r="R1288" s="25">
        <f t="shared" si="465"/>
        <v>5965849855882</v>
      </c>
      <c r="S1288" s="26">
        <f t="shared" si="466"/>
        <v>0.63404971512053887</v>
      </c>
      <c r="T1288" s="27">
        <f t="shared" si="467"/>
        <v>1.1768220352767007</v>
      </c>
      <c r="U1288" s="26">
        <f t="shared" si="468"/>
        <v>28.55793375716663</v>
      </c>
      <c r="V1288" s="26">
        <f t="shared" si="469"/>
        <v>4.9896545784562587</v>
      </c>
      <c r="W1288" s="23"/>
      <c r="X1288" s="23"/>
      <c r="Y1288" s="23"/>
      <c r="Z1288" s="30">
        <f t="shared" si="471"/>
        <v>0</v>
      </c>
      <c r="AA1288" s="31">
        <f t="shared" si="470"/>
        <v>13</v>
      </c>
      <c r="AB1288" s="32">
        <v>3.15E-2</v>
      </c>
      <c r="AC1288" s="32">
        <v>8.0199999999999994E-2</v>
      </c>
      <c r="AD1288" s="33">
        <f t="shared" si="391"/>
        <v>0.10310348715511354</v>
      </c>
      <c r="AE1288" s="34">
        <f t="shared" si="392"/>
        <v>4.6515231228438148E-2</v>
      </c>
      <c r="AF1288" s="33">
        <f t="shared" si="393"/>
        <v>2.3611265997509614</v>
      </c>
      <c r="AG1288" s="33">
        <f t="shared" si="394"/>
        <v>0</v>
      </c>
      <c r="AH1288" s="35">
        <f t="shared" si="395"/>
        <v>3.9746445760694971</v>
      </c>
      <c r="AI1288" s="36">
        <f t="shared" ref="AI1288:AI1542" si="476">1.2*AD1288+1.4*AE1288+3.3*AF1288+0.6*AG1288+1*AH1288</f>
        <v>11.955207863553619</v>
      </c>
      <c r="AJ1288" s="23"/>
      <c r="AK1288" s="158">
        <v>486</v>
      </c>
    </row>
    <row r="1289" spans="1:44" ht="16.8">
      <c r="A1289" s="74" t="s">
        <v>2657</v>
      </c>
      <c r="B1289" s="75"/>
      <c r="C1289" s="71" t="s">
        <v>2654</v>
      </c>
      <c r="D1289" s="19" t="s">
        <v>2655</v>
      </c>
      <c r="E1289" s="20" t="s">
        <v>414</v>
      </c>
      <c r="F1289" s="161">
        <v>2009</v>
      </c>
      <c r="G1289" s="40">
        <v>2023</v>
      </c>
      <c r="H1289" s="23">
        <v>2591993219472</v>
      </c>
      <c r="I1289" s="23">
        <v>3657456636415</v>
      </c>
      <c r="J1289" s="23">
        <v>2582798831313</v>
      </c>
      <c r="K1289" s="23">
        <f t="shared" si="475"/>
        <v>2092424951935</v>
      </c>
      <c r="L1289" s="23">
        <v>2220303698124</v>
      </c>
      <c r="M1289" s="23">
        <v>1074657805102</v>
      </c>
      <c r="N1289" s="23">
        <v>7385878456457</v>
      </c>
      <c r="O1289" s="25">
        <f t="shared" si="464"/>
        <v>371689521348</v>
      </c>
      <c r="P1289" s="23">
        <v>44047120594</v>
      </c>
      <c r="Q1289" s="23">
        <f>307125628529+112621604633</f>
        <v>419747233162</v>
      </c>
      <c r="R1289" s="25">
        <f t="shared" si="465"/>
        <v>6966131223295</v>
      </c>
      <c r="S1289" s="26">
        <f t="shared" si="466"/>
        <v>0.70617346644597045</v>
      </c>
      <c r="T1289" s="27">
        <f t="shared" si="467"/>
        <v>1.1674048111805837</v>
      </c>
      <c r="U1289" s="26">
        <f t="shared" si="468"/>
        <v>28.927789113697951</v>
      </c>
      <c r="V1289" s="26">
        <f t="shared" si="469"/>
        <v>3.5298176164582644</v>
      </c>
      <c r="W1289" s="23"/>
      <c r="X1289" s="23"/>
      <c r="Y1289" s="23"/>
      <c r="Z1289" s="30">
        <f t="shared" si="471"/>
        <v>0</v>
      </c>
      <c r="AA1289" s="31">
        <f t="shared" si="470"/>
        <v>14</v>
      </c>
      <c r="AB1289" s="32">
        <v>3.2500000000000001E-2</v>
      </c>
      <c r="AC1289" s="32">
        <v>5.0500000000000003E-2</v>
      </c>
      <c r="AD1289" s="33">
        <f t="shared" si="391"/>
        <v>0.10162513415670353</v>
      </c>
      <c r="AE1289" s="34">
        <f t="shared" si="392"/>
        <v>1.2043101251140059E-2</v>
      </c>
      <c r="AF1289" s="33">
        <f t="shared" si="393"/>
        <v>1.9046380902886459</v>
      </c>
      <c r="AG1289" s="33">
        <f t="shared" si="394"/>
        <v>0</v>
      </c>
      <c r="AH1289" s="35">
        <f t="shared" si="395"/>
        <v>2.8596413963461069</v>
      </c>
      <c r="AI1289" s="36">
        <f t="shared" si="476"/>
        <v>9.283757597038278</v>
      </c>
      <c r="AJ1289" s="23"/>
      <c r="AK1289" s="158">
        <v>487</v>
      </c>
    </row>
    <row r="1290" spans="1:44" ht="16.8">
      <c r="A1290" s="70" t="s">
        <v>2658</v>
      </c>
      <c r="B1290" s="71">
        <v>500</v>
      </c>
      <c r="C1290" s="71" t="s">
        <v>2659</v>
      </c>
      <c r="D1290" s="19" t="s">
        <v>2660</v>
      </c>
      <c r="E1290" s="20" t="s">
        <v>414</v>
      </c>
      <c r="F1290" s="21">
        <v>1988</v>
      </c>
      <c r="G1290" s="40">
        <v>2021</v>
      </c>
      <c r="H1290" s="23">
        <v>184030748000000</v>
      </c>
      <c r="I1290" s="23">
        <v>1531587398000000</v>
      </c>
      <c r="J1290" s="23">
        <v>1437937887000000</v>
      </c>
      <c r="K1290" s="23">
        <f>AVERAGE(J1290,1256070754000000)</f>
        <v>1347004320500000</v>
      </c>
      <c r="L1290" s="23">
        <v>1437937887000000</v>
      </c>
      <c r="M1290" s="23">
        <v>93649511000000</v>
      </c>
      <c r="N1290" s="23">
        <v>84628302000000</v>
      </c>
      <c r="O1290" s="25">
        <f t="shared" si="464"/>
        <v>-1253907139000000</v>
      </c>
      <c r="P1290" s="23">
        <v>14215342000000</v>
      </c>
      <c r="Q1290" s="23">
        <v>17185850000000</v>
      </c>
      <c r="R1290" s="25">
        <f t="shared" si="465"/>
        <v>67442452000000</v>
      </c>
      <c r="S1290" s="26">
        <f t="shared" si="466"/>
        <v>0.9388546085438606</v>
      </c>
      <c r="T1290" s="27">
        <f t="shared" si="467"/>
        <v>0.12798240429143098</v>
      </c>
      <c r="U1290" s="26">
        <f t="shared" si="468"/>
        <v>34.965081107500971</v>
      </c>
      <c r="V1290" s="26">
        <f t="shared" si="469"/>
        <v>6.2827045698403167E-2</v>
      </c>
      <c r="W1290" s="23"/>
      <c r="X1290" s="23"/>
      <c r="Y1290" s="23"/>
      <c r="Z1290" s="30">
        <f t="shared" si="471"/>
        <v>0</v>
      </c>
      <c r="AA1290" s="31">
        <f t="shared" si="470"/>
        <v>33</v>
      </c>
      <c r="AB1290" s="32">
        <v>1.84E-2</v>
      </c>
      <c r="AC1290" s="32">
        <v>2.58E-2</v>
      </c>
      <c r="AD1290" s="33">
        <f t="shared" si="391"/>
        <v>-0.81869773846232707</v>
      </c>
      <c r="AE1290" s="34">
        <f t="shared" si="392"/>
        <v>9.2814435653903182E-3</v>
      </c>
      <c r="AF1290" s="33">
        <f t="shared" si="393"/>
        <v>4.4034347689246266E-2</v>
      </c>
      <c r="AG1290" s="33">
        <f t="shared" si="394"/>
        <v>0</v>
      </c>
      <c r="AH1290" s="35">
        <f t="shared" si="395"/>
        <v>5.8853934349390992E-2</v>
      </c>
      <c r="AI1290" s="36">
        <f t="shared" si="476"/>
        <v>-0.76527598343934233</v>
      </c>
      <c r="AJ1290" s="23"/>
      <c r="AK1290" s="158">
        <v>488</v>
      </c>
      <c r="AL1290" s="44"/>
      <c r="AM1290" s="44"/>
      <c r="AN1290" s="44"/>
      <c r="AO1290" s="44"/>
      <c r="AP1290" s="44"/>
      <c r="AQ1290" s="44"/>
      <c r="AR1290" s="44"/>
    </row>
    <row r="1291" spans="1:44" ht="16.8">
      <c r="A1291" s="74" t="s">
        <v>2661</v>
      </c>
      <c r="B1291" s="75"/>
      <c r="C1291" s="71" t="s">
        <v>2659</v>
      </c>
      <c r="D1291" s="19" t="s">
        <v>2660</v>
      </c>
      <c r="E1291" s="20" t="s">
        <v>414</v>
      </c>
      <c r="F1291" s="21">
        <v>1988</v>
      </c>
      <c r="G1291" s="40">
        <v>2022</v>
      </c>
      <c r="H1291" s="23">
        <v>283226019000000</v>
      </c>
      <c r="I1291" s="23">
        <v>1808429764000000</v>
      </c>
      <c r="J1291" s="23">
        <v>1700262107000000</v>
      </c>
      <c r="K1291" s="23">
        <f t="shared" ref="K1291:K1292" si="477">AVERAGE(J1290:J1291)</f>
        <v>1569099997000000</v>
      </c>
      <c r="L1291" s="23">
        <v>1700262107000000</v>
      </c>
      <c r="M1291" s="23">
        <v>108167657000000</v>
      </c>
      <c r="N1291" s="23">
        <v>104664634000000</v>
      </c>
      <c r="O1291" s="25">
        <f t="shared" si="464"/>
        <v>-1417036088000000</v>
      </c>
      <c r="P1291" s="23">
        <v>16834994000000</v>
      </c>
      <c r="Q1291" s="23">
        <v>19007454000000</v>
      </c>
      <c r="R1291" s="25">
        <f t="shared" si="465"/>
        <v>85657180000000</v>
      </c>
      <c r="S1291" s="26">
        <f t="shared" si="466"/>
        <v>0.94018697371981541</v>
      </c>
      <c r="T1291" s="27">
        <f t="shared" si="467"/>
        <v>0.16657785751617649</v>
      </c>
      <c r="U1291" s="26">
        <f t="shared" si="468"/>
        <v>35.131235329961619</v>
      </c>
      <c r="V1291" s="26">
        <f t="shared" si="469"/>
        <v>6.6703609840106315E-2</v>
      </c>
      <c r="W1291" s="23"/>
      <c r="X1291" s="23"/>
      <c r="Y1291" s="23"/>
      <c r="Z1291" s="30">
        <f t="shared" si="471"/>
        <v>0</v>
      </c>
      <c r="AA1291" s="31">
        <f t="shared" si="470"/>
        <v>34</v>
      </c>
      <c r="AB1291" s="32">
        <v>3.15E-2</v>
      </c>
      <c r="AC1291" s="32">
        <v>8.0199999999999994E-2</v>
      </c>
      <c r="AD1291" s="33">
        <f t="shared" si="391"/>
        <v>-0.78357264197295085</v>
      </c>
      <c r="AE1291" s="34">
        <f t="shared" si="392"/>
        <v>9.3091776828331391E-3</v>
      </c>
      <c r="AF1291" s="33">
        <f t="shared" si="393"/>
        <v>4.7365500007331224E-2</v>
      </c>
      <c r="AG1291" s="33">
        <f t="shared" si="394"/>
        <v>0</v>
      </c>
      <c r="AH1291" s="35">
        <f t="shared" si="395"/>
        <v>6.155794072519432E-2</v>
      </c>
      <c r="AI1291" s="36">
        <f t="shared" si="476"/>
        <v>-0.70939023086218722</v>
      </c>
      <c r="AJ1291" s="23"/>
      <c r="AK1291" s="158">
        <v>489</v>
      </c>
    </row>
    <row r="1292" spans="1:44" ht="16.8">
      <c r="A1292" s="74" t="s">
        <v>2662</v>
      </c>
      <c r="B1292" s="75"/>
      <c r="C1292" s="71" t="s">
        <v>2659</v>
      </c>
      <c r="D1292" s="19" t="s">
        <v>2660</v>
      </c>
      <c r="E1292" s="20" t="s">
        <v>414</v>
      </c>
      <c r="F1292" s="21">
        <v>1988</v>
      </c>
      <c r="G1292" s="40">
        <v>2023</v>
      </c>
      <c r="H1292" s="23">
        <v>330198278000000</v>
      </c>
      <c r="I1292" s="23">
        <v>2032613606000000</v>
      </c>
      <c r="J1292" s="23">
        <v>1906741786000000</v>
      </c>
      <c r="K1292" s="23">
        <f t="shared" si="477"/>
        <v>1803501946500000</v>
      </c>
      <c r="L1292" s="23">
        <v>1906741786000000</v>
      </c>
      <c r="M1292" s="23">
        <v>125871820000000</v>
      </c>
      <c r="N1292" s="23">
        <v>132671737000000</v>
      </c>
      <c r="O1292" s="25">
        <f t="shared" si="464"/>
        <v>-1576543508000000</v>
      </c>
      <c r="P1292" s="23">
        <v>20044622000000</v>
      </c>
      <c r="Q1292" s="23">
        <v>20443449000000</v>
      </c>
      <c r="R1292" s="25">
        <f t="shared" si="465"/>
        <v>112228288000000</v>
      </c>
      <c r="S1292" s="26">
        <f t="shared" si="466"/>
        <v>0.93807390660554302</v>
      </c>
      <c r="T1292" s="27">
        <f t="shared" si="467"/>
        <v>0.17317409227848118</v>
      </c>
      <c r="U1292" s="26">
        <f t="shared" si="468"/>
        <v>35.24809885049941</v>
      </c>
      <c r="V1292" s="26">
        <f t="shared" si="469"/>
        <v>7.3563401058408556E-2</v>
      </c>
      <c r="W1292" s="23"/>
      <c r="X1292" s="23"/>
      <c r="Y1292" s="23"/>
      <c r="Z1292" s="30">
        <f t="shared" si="471"/>
        <v>0</v>
      </c>
      <c r="AA1292" s="31">
        <f t="shared" si="470"/>
        <v>35</v>
      </c>
      <c r="AB1292" s="32">
        <v>3.2500000000000001E-2</v>
      </c>
      <c r="AC1292" s="32">
        <v>5.0500000000000003E-2</v>
      </c>
      <c r="AD1292" s="33">
        <f t="shared" si="391"/>
        <v>-0.77562380933899933</v>
      </c>
      <c r="AE1292" s="34">
        <f t="shared" si="392"/>
        <v>9.8615014387540209E-3</v>
      </c>
      <c r="AF1292" s="33">
        <f t="shared" si="393"/>
        <v>5.5213783706218093E-2</v>
      </c>
      <c r="AG1292" s="33">
        <f t="shared" si="394"/>
        <v>0</v>
      </c>
      <c r="AH1292" s="35">
        <f t="shared" si="395"/>
        <v>6.95803375025002E-2</v>
      </c>
      <c r="AI1292" s="36">
        <f t="shared" si="476"/>
        <v>-0.66515664545952369</v>
      </c>
      <c r="AJ1292" s="23"/>
      <c r="AK1292" s="158">
        <v>490</v>
      </c>
    </row>
    <row r="1293" spans="1:44" ht="16.8">
      <c r="A1293" s="70" t="s">
        <v>2663</v>
      </c>
      <c r="B1293" s="71">
        <v>501</v>
      </c>
      <c r="C1293" s="71" t="s">
        <v>2664</v>
      </c>
      <c r="D1293" s="19" t="s">
        <v>2665</v>
      </c>
      <c r="E1293" s="20" t="s">
        <v>414</v>
      </c>
      <c r="F1293" s="161">
        <v>2000</v>
      </c>
      <c r="G1293" s="40">
        <v>2021</v>
      </c>
      <c r="H1293" s="23">
        <v>484424527830</v>
      </c>
      <c r="I1293" s="23">
        <v>4755351648108</v>
      </c>
      <c r="J1293" s="23">
        <v>3500293762078</v>
      </c>
      <c r="K1293" s="23">
        <f>AVERAGE(J1293,3182066944330)</f>
        <v>3341180353204</v>
      </c>
      <c r="L1293" s="23">
        <v>560504441693</v>
      </c>
      <c r="M1293" s="23">
        <v>1255057886030</v>
      </c>
      <c r="N1293" s="23">
        <v>759176521735</v>
      </c>
      <c r="O1293" s="25">
        <f t="shared" si="464"/>
        <v>-76079913863</v>
      </c>
      <c r="P1293" s="23">
        <v>13180652831</v>
      </c>
      <c r="Q1293" s="23">
        <f>4893083239+73591511718</f>
        <v>78484594957</v>
      </c>
      <c r="R1293" s="25">
        <f t="shared" si="465"/>
        <v>680691926778</v>
      </c>
      <c r="S1293" s="26">
        <f t="shared" si="466"/>
        <v>0.73607464202371942</v>
      </c>
      <c r="T1293" s="27">
        <f t="shared" si="467"/>
        <v>0.86426527926665286</v>
      </c>
      <c r="U1293" s="26">
        <f t="shared" si="468"/>
        <v>29.190291762526506</v>
      </c>
      <c r="V1293" s="26">
        <f t="shared" si="469"/>
        <v>0.22721806112830556</v>
      </c>
      <c r="W1293" s="23"/>
      <c r="X1293" s="23"/>
      <c r="Y1293" s="23"/>
      <c r="Z1293" s="30">
        <f t="shared" si="471"/>
        <v>0</v>
      </c>
      <c r="AA1293" s="31">
        <f t="shared" si="470"/>
        <v>21</v>
      </c>
      <c r="AB1293" s="32">
        <v>1.84E-2</v>
      </c>
      <c r="AC1293" s="32">
        <v>2.58E-2</v>
      </c>
      <c r="AD1293" s="33">
        <f t="shared" si="391"/>
        <v>-1.5998798720441573E-2</v>
      </c>
      <c r="AE1293" s="34">
        <f t="shared" si="392"/>
        <v>2.7717514510717947E-3</v>
      </c>
      <c r="AF1293" s="33">
        <f t="shared" si="393"/>
        <v>0.14314229044424617</v>
      </c>
      <c r="AG1293" s="33">
        <f t="shared" si="394"/>
        <v>0</v>
      </c>
      <c r="AH1293" s="35">
        <f t="shared" si="395"/>
        <v>0.21688937367482661</v>
      </c>
      <c r="AI1293" s="36">
        <f t="shared" si="476"/>
        <v>0.67394082570780955</v>
      </c>
      <c r="AJ1293" s="23"/>
      <c r="AK1293" s="158">
        <v>491</v>
      </c>
      <c r="AL1293" s="44"/>
      <c r="AM1293" s="44"/>
      <c r="AN1293" s="44"/>
      <c r="AO1293" s="44"/>
      <c r="AP1293" s="44"/>
      <c r="AQ1293" s="44"/>
      <c r="AR1293" s="44"/>
    </row>
    <row r="1294" spans="1:44" ht="16.8">
      <c r="A1294" s="74" t="s">
        <v>2666</v>
      </c>
      <c r="B1294" s="75"/>
      <c r="C1294" s="71" t="s">
        <v>2664</v>
      </c>
      <c r="D1294" s="19" t="s">
        <v>2665</v>
      </c>
      <c r="E1294" s="20" t="s">
        <v>414</v>
      </c>
      <c r="F1294" s="161">
        <v>2000</v>
      </c>
      <c r="G1294" s="40">
        <v>2022</v>
      </c>
      <c r="H1294" s="23">
        <v>405068195101</v>
      </c>
      <c r="I1294" s="23">
        <v>4496412953809</v>
      </c>
      <c r="J1294" s="23">
        <v>3152415758244</v>
      </c>
      <c r="K1294" s="23">
        <f t="shared" ref="K1294:K1295" si="478">AVERAGE(J1293:J1294)</f>
        <v>3326354760161</v>
      </c>
      <c r="L1294" s="23">
        <v>594535016364</v>
      </c>
      <c r="M1294" s="23">
        <v>1343997195565</v>
      </c>
      <c r="N1294" s="23">
        <v>894158362982</v>
      </c>
      <c r="O1294" s="25">
        <f t="shared" si="464"/>
        <v>-189466821263</v>
      </c>
      <c r="P1294" s="23">
        <v>96768970299</v>
      </c>
      <c r="Q1294" s="23">
        <f>7246283820+93044482666</f>
        <v>100290766486</v>
      </c>
      <c r="R1294" s="25">
        <f t="shared" si="465"/>
        <v>793867596496</v>
      </c>
      <c r="S1294" s="26">
        <f t="shared" si="466"/>
        <v>0.70109569352911116</v>
      </c>
      <c r="T1294" s="27">
        <f t="shared" si="467"/>
        <v>0.68131932342400459</v>
      </c>
      <c r="U1294" s="26">
        <f t="shared" si="468"/>
        <v>29.134301073458868</v>
      </c>
      <c r="V1294" s="26">
        <f t="shared" si="469"/>
        <v>0.26881028256250139</v>
      </c>
      <c r="W1294" s="23"/>
      <c r="X1294" s="23"/>
      <c r="Y1294" s="23"/>
      <c r="Z1294" s="30">
        <f t="shared" si="471"/>
        <v>0</v>
      </c>
      <c r="AA1294" s="31">
        <f t="shared" si="470"/>
        <v>22</v>
      </c>
      <c r="AB1294" s="32">
        <v>3.15E-2</v>
      </c>
      <c r="AC1294" s="32">
        <v>8.0199999999999994E-2</v>
      </c>
      <c r="AD1294" s="33">
        <f t="shared" si="391"/>
        <v>-4.2137326622213138E-2</v>
      </c>
      <c r="AE1294" s="34">
        <f t="shared" si="392"/>
        <v>2.1521370766674156E-2</v>
      </c>
      <c r="AF1294" s="33">
        <f t="shared" si="393"/>
        <v>0.17655575781212424</v>
      </c>
      <c r="AG1294" s="33">
        <f t="shared" si="394"/>
        <v>0</v>
      </c>
      <c r="AH1294" s="35">
        <f t="shared" si="395"/>
        <v>0.28364227042186713</v>
      </c>
      <c r="AI1294" s="36">
        <f t="shared" si="476"/>
        <v>0.84584139832856509</v>
      </c>
      <c r="AJ1294" s="23"/>
      <c r="AK1294" s="158">
        <v>492</v>
      </c>
    </row>
    <row r="1295" spans="1:44" ht="16.8">
      <c r="A1295" s="74" t="s">
        <v>2667</v>
      </c>
      <c r="B1295" s="75"/>
      <c r="C1295" s="71" t="s">
        <v>2664</v>
      </c>
      <c r="D1295" s="19" t="s">
        <v>2665</v>
      </c>
      <c r="E1295" s="20" t="s">
        <v>414</v>
      </c>
      <c r="F1295" s="161">
        <v>2000</v>
      </c>
      <c r="G1295" s="40">
        <v>2023</v>
      </c>
      <c r="H1295" s="23">
        <v>366834879955</v>
      </c>
      <c r="I1295" s="23">
        <v>4515715466524</v>
      </c>
      <c r="J1295" s="23">
        <v>3105098183080</v>
      </c>
      <c r="K1295" s="23">
        <f t="shared" si="478"/>
        <v>3128756970662</v>
      </c>
      <c r="L1295" s="23">
        <v>624971212854</v>
      </c>
      <c r="M1295" s="23">
        <v>1410617283444</v>
      </c>
      <c r="N1295" s="23">
        <v>814405964585</v>
      </c>
      <c r="O1295" s="25">
        <f t="shared" si="464"/>
        <v>-258136332899</v>
      </c>
      <c r="P1295" s="23">
        <v>80033959521</v>
      </c>
      <c r="Q1295" s="23">
        <f>7031572164+89513640480</f>
        <v>96545212644</v>
      </c>
      <c r="R1295" s="25">
        <f t="shared" si="465"/>
        <v>717860751941</v>
      </c>
      <c r="S1295" s="26">
        <f t="shared" si="466"/>
        <v>0.68762042385061262</v>
      </c>
      <c r="T1295" s="27">
        <f t="shared" si="467"/>
        <v>0.58696284310409763</v>
      </c>
      <c r="U1295" s="26">
        <f t="shared" si="468"/>
        <v>29.138584754589751</v>
      </c>
      <c r="V1295" s="26">
        <f t="shared" si="469"/>
        <v>0.26029697167967747</v>
      </c>
      <c r="W1295" s="23"/>
      <c r="X1295" s="23"/>
      <c r="Y1295" s="23"/>
      <c r="Z1295" s="30">
        <f t="shared" si="471"/>
        <v>0</v>
      </c>
      <c r="AA1295" s="31">
        <f t="shared" si="470"/>
        <v>23</v>
      </c>
      <c r="AB1295" s="32">
        <v>3.2500000000000001E-2</v>
      </c>
      <c r="AC1295" s="32">
        <v>5.0500000000000003E-2</v>
      </c>
      <c r="AD1295" s="33">
        <f t="shared" si="391"/>
        <v>-5.7163994235824175E-2</v>
      </c>
      <c r="AE1295" s="34">
        <f t="shared" si="392"/>
        <v>1.7723428350238071E-2</v>
      </c>
      <c r="AF1295" s="33">
        <f t="shared" si="393"/>
        <v>0.15896943845613412</v>
      </c>
      <c r="AG1295" s="33">
        <f t="shared" si="394"/>
        <v>0</v>
      </c>
      <c r="AH1295" s="35">
        <f t="shared" si="395"/>
        <v>0.26228026186829839</v>
      </c>
      <c r="AI1295" s="36">
        <f t="shared" si="476"/>
        <v>0.7430954153808853</v>
      </c>
      <c r="AJ1295" s="23"/>
      <c r="AK1295" s="158">
        <v>493</v>
      </c>
    </row>
    <row r="1296" spans="1:44" ht="16.8">
      <c r="A1296" s="70" t="s">
        <v>2668</v>
      </c>
      <c r="B1296" s="71">
        <v>502</v>
      </c>
      <c r="C1296" s="71" t="s">
        <v>2669</v>
      </c>
      <c r="D1296" s="19" t="s">
        <v>2670</v>
      </c>
      <c r="E1296" s="20" t="s">
        <v>178</v>
      </c>
      <c r="F1296" s="166">
        <v>2000</v>
      </c>
      <c r="G1296" s="40">
        <v>2021</v>
      </c>
      <c r="H1296" s="23">
        <v>160561007737</v>
      </c>
      <c r="I1296" s="23">
        <v>214594645600</v>
      </c>
      <c r="J1296" s="23">
        <v>290004514999</v>
      </c>
      <c r="K1296" s="23">
        <f>AVERAGE(J1296,292873038880)</f>
        <v>291438776939.5</v>
      </c>
      <c r="L1296" s="23">
        <v>279186274999</v>
      </c>
      <c r="M1296" s="23">
        <v>-75409869399</v>
      </c>
      <c r="N1296" s="23">
        <v>136528897362</v>
      </c>
      <c r="O1296" s="25">
        <f t="shared" si="464"/>
        <v>-118625267262</v>
      </c>
      <c r="P1296" s="23">
        <v>-37847270684</v>
      </c>
      <c r="Q1296" s="23">
        <f>5006101889+8593564226</f>
        <v>13599666115</v>
      </c>
      <c r="R1296" s="25">
        <f t="shared" si="465"/>
        <v>122929231247</v>
      </c>
      <c r="S1296" s="26">
        <f t="shared" si="466"/>
        <v>1.3514061088903515</v>
      </c>
      <c r="T1296" s="27">
        <f t="shared" si="467"/>
        <v>0.57510351372958823</v>
      </c>
      <c r="U1296" s="26">
        <f t="shared" si="468"/>
        <v>26.09201671622596</v>
      </c>
      <c r="V1296" s="26">
        <f t="shared" si="469"/>
        <v>0.46846510541849462</v>
      </c>
      <c r="W1296" s="23"/>
      <c r="X1296" s="23"/>
      <c r="Y1296" s="23"/>
      <c r="Z1296" s="23">
        <f>W1296*Y1296</f>
        <v>0</v>
      </c>
      <c r="AA1296" s="31">
        <f t="shared" si="470"/>
        <v>21</v>
      </c>
      <c r="AB1296" s="32">
        <v>1.84E-2</v>
      </c>
      <c r="AC1296" s="32">
        <v>2.58E-2</v>
      </c>
      <c r="AD1296" s="33">
        <f t="shared" si="391"/>
        <v>-0.55278763796891306</v>
      </c>
      <c r="AE1296" s="34">
        <f t="shared" si="392"/>
        <v>-0.17636633280471747</v>
      </c>
      <c r="AF1296" s="33">
        <f t="shared" si="393"/>
        <v>0.5728438885476087</v>
      </c>
      <c r="AG1296" s="33">
        <f t="shared" si="394"/>
        <v>0</v>
      </c>
      <c r="AH1296" s="35">
        <f t="shared" si="395"/>
        <v>0.47078197166161628</v>
      </c>
      <c r="AI1296" s="36">
        <f t="shared" si="476"/>
        <v>1.4509087723794249</v>
      </c>
      <c r="AJ1296" s="23"/>
      <c r="AK1296" s="23"/>
      <c r="AL1296" s="44"/>
      <c r="AM1296" s="44"/>
      <c r="AN1296" s="44"/>
      <c r="AO1296" s="44"/>
      <c r="AP1296" s="44"/>
      <c r="AQ1296" s="44"/>
      <c r="AR1296" s="44"/>
    </row>
    <row r="1297" spans="1:44" ht="16.8">
      <c r="A1297" s="167" t="s">
        <v>2671</v>
      </c>
      <c r="B1297" s="75"/>
      <c r="C1297" s="71" t="s">
        <v>2669</v>
      </c>
      <c r="D1297" s="19" t="s">
        <v>2670</v>
      </c>
      <c r="E1297" s="20" t="s">
        <v>178</v>
      </c>
      <c r="F1297" s="166">
        <v>2000</v>
      </c>
      <c r="G1297" s="40">
        <v>2022</v>
      </c>
      <c r="H1297" s="23">
        <v>183072899222</v>
      </c>
      <c r="I1297" s="23">
        <v>230104226678</v>
      </c>
      <c r="J1297" s="23">
        <v>313244546712</v>
      </c>
      <c r="K1297" s="23">
        <f t="shared" ref="K1297:K1298" si="479">AVERAGE(J1296:J1297)</f>
        <v>301624530855.5</v>
      </c>
      <c r="L1297" s="23">
        <v>297244546712</v>
      </c>
      <c r="M1297" s="23">
        <v>-83140320034</v>
      </c>
      <c r="N1297" s="23">
        <v>188196962409</v>
      </c>
      <c r="O1297" s="25">
        <f t="shared" si="464"/>
        <v>-114171647490</v>
      </c>
      <c r="P1297" s="23">
        <v>-7730450635</v>
      </c>
      <c r="Q1297" s="23">
        <f>5307107228+9840593246</f>
        <v>15147700474</v>
      </c>
      <c r="R1297" s="25">
        <f t="shared" si="465"/>
        <v>173049261935</v>
      </c>
      <c r="S1297" s="26">
        <f t="shared" si="466"/>
        <v>1.3613159185917247</v>
      </c>
      <c r="T1297" s="27">
        <f t="shared" si="467"/>
        <v>0.61589994247860558</v>
      </c>
      <c r="U1297" s="26">
        <f t="shared" si="468"/>
        <v>26.161798202693429</v>
      </c>
      <c r="V1297" s="26">
        <f t="shared" si="469"/>
        <v>0.62394448447284934</v>
      </c>
      <c r="W1297" s="23"/>
      <c r="X1297" s="23"/>
      <c r="Y1297" s="23"/>
      <c r="Z1297" s="23"/>
      <c r="AA1297" s="31">
        <f t="shared" si="470"/>
        <v>22</v>
      </c>
      <c r="AB1297" s="32">
        <v>3.15E-2</v>
      </c>
      <c r="AC1297" s="32">
        <v>8.0199999999999994E-2</v>
      </c>
      <c r="AD1297" s="33">
        <f t="shared" si="391"/>
        <v>-0.49617362157266198</v>
      </c>
      <c r="AE1297" s="34">
        <f t="shared" si="392"/>
        <v>-3.3595430847160095E-2</v>
      </c>
      <c r="AF1297" s="33">
        <f t="shared" si="393"/>
        <v>0.75204729801490877</v>
      </c>
      <c r="AG1297" s="33">
        <f t="shared" si="394"/>
        <v>0</v>
      </c>
      <c r="AH1297" s="35">
        <f t="shared" si="395"/>
        <v>0.60079884672990036</v>
      </c>
      <c r="AI1297" s="36">
        <f t="shared" si="476"/>
        <v>2.440112981105881</v>
      </c>
      <c r="AJ1297" s="23"/>
      <c r="AK1297" s="76"/>
    </row>
    <row r="1298" spans="1:44" ht="16.8">
      <c r="A1298" s="167" t="s">
        <v>2672</v>
      </c>
      <c r="B1298" s="75"/>
      <c r="C1298" s="71" t="s">
        <v>2669</v>
      </c>
      <c r="D1298" s="19" t="s">
        <v>2670</v>
      </c>
      <c r="E1298" s="20" t="s">
        <v>178</v>
      </c>
      <c r="F1298" s="166">
        <v>2000</v>
      </c>
      <c r="G1298" s="40">
        <v>2023</v>
      </c>
      <c r="H1298" s="23">
        <v>192052968750</v>
      </c>
      <c r="I1298" s="23">
        <v>230360189165</v>
      </c>
      <c r="J1298" s="23">
        <v>323914394353</v>
      </c>
      <c r="K1298" s="23">
        <f t="shared" si="479"/>
        <v>318579470532.5</v>
      </c>
      <c r="L1298" s="23">
        <v>307914394353</v>
      </c>
      <c r="M1298" s="23">
        <v>-93554205188</v>
      </c>
      <c r="N1298" s="23">
        <v>141664882270</v>
      </c>
      <c r="O1298" s="25">
        <f t="shared" si="464"/>
        <v>-115861425603</v>
      </c>
      <c r="P1298" s="23">
        <v>-10413885154</v>
      </c>
      <c r="Q1298" s="23">
        <f>4959939027+6641240184</f>
        <v>11601179211</v>
      </c>
      <c r="R1298" s="25">
        <f t="shared" si="465"/>
        <v>130063703059</v>
      </c>
      <c r="S1298" s="26">
        <f t="shared" si="466"/>
        <v>1.4061214115473311</v>
      </c>
      <c r="T1298" s="27">
        <f t="shared" si="467"/>
        <v>0.62372195737567937</v>
      </c>
      <c r="U1298" s="26">
        <f t="shared" si="468"/>
        <v>26.162909960755755</v>
      </c>
      <c r="V1298" s="26">
        <f t="shared" si="469"/>
        <v>0.44467674590961442</v>
      </c>
      <c r="W1298" s="23"/>
      <c r="X1298" s="23"/>
      <c r="Y1298" s="23"/>
      <c r="Z1298" s="23"/>
      <c r="AA1298" s="31">
        <f t="shared" si="470"/>
        <v>23</v>
      </c>
      <c r="AB1298" s="32">
        <v>3.2500000000000001E-2</v>
      </c>
      <c r="AC1298" s="32">
        <v>5.0500000000000003E-2</v>
      </c>
      <c r="AD1298" s="33">
        <f t="shared" si="391"/>
        <v>-0.50295767694482996</v>
      </c>
      <c r="AE1298" s="34">
        <f t="shared" si="392"/>
        <v>-4.520696562955525E-2</v>
      </c>
      <c r="AF1298" s="33">
        <f t="shared" si="393"/>
        <v>0.56461015911842005</v>
      </c>
      <c r="AG1298" s="33">
        <f t="shared" si="394"/>
        <v>0</v>
      </c>
      <c r="AH1298" s="35">
        <f t="shared" si="395"/>
        <v>0.43735284612148001</v>
      </c>
      <c r="AI1298" s="36">
        <f t="shared" si="476"/>
        <v>1.6337274069970926</v>
      </c>
      <c r="AJ1298" s="23"/>
      <c r="AK1298" s="76"/>
    </row>
    <row r="1299" spans="1:44" ht="16.8">
      <c r="A1299" s="70" t="s">
        <v>2673</v>
      </c>
      <c r="B1299" s="71">
        <v>503</v>
      </c>
      <c r="C1299" s="71" t="s">
        <v>2674</v>
      </c>
      <c r="D1299" s="19" t="s">
        <v>2675</v>
      </c>
      <c r="E1299" s="20" t="s">
        <v>414</v>
      </c>
      <c r="F1299" s="21">
        <v>1992</v>
      </c>
      <c r="G1299" s="40">
        <v>2021</v>
      </c>
      <c r="H1299" s="23">
        <v>861452280567</v>
      </c>
      <c r="I1299" s="23">
        <v>1786012429435</v>
      </c>
      <c r="J1299" s="23">
        <v>689016926104</v>
      </c>
      <c r="K1299" s="23">
        <f>AVERAGE(J1287,1034219009984)</f>
        <v>992241166772.5</v>
      </c>
      <c r="L1299" s="23">
        <v>94204191470</v>
      </c>
      <c r="M1299" s="23">
        <v>1096995503331</v>
      </c>
      <c r="N1299" s="23">
        <v>472312468762</v>
      </c>
      <c r="O1299" s="25">
        <f t="shared" si="464"/>
        <v>767248089097</v>
      </c>
      <c r="P1299" s="23">
        <v>242714607941</v>
      </c>
      <c r="Q1299" s="23">
        <v>52486330408</v>
      </c>
      <c r="R1299" s="25">
        <f t="shared" si="465"/>
        <v>419826138354</v>
      </c>
      <c r="S1299" s="26">
        <f t="shared" si="466"/>
        <v>0.38578506775676169</v>
      </c>
      <c r="T1299" s="27">
        <f t="shared" si="467"/>
        <v>9.1445217789628366</v>
      </c>
      <c r="U1299" s="26">
        <f t="shared" si="468"/>
        <v>28.211006557728741</v>
      </c>
      <c r="V1299" s="26">
        <f t="shared" si="469"/>
        <v>0.47600571774129113</v>
      </c>
      <c r="W1299" s="143"/>
      <c r="X1299" s="143"/>
      <c r="Y1299" s="143"/>
      <c r="Z1299" s="30">
        <f t="shared" ref="Z1299:Z1301" si="480">X1299*Y1299</f>
        <v>0</v>
      </c>
      <c r="AA1299" s="31">
        <f t="shared" si="470"/>
        <v>29</v>
      </c>
      <c r="AB1299" s="32">
        <v>1.84E-2</v>
      </c>
      <c r="AC1299" s="32">
        <v>2.58E-2</v>
      </c>
      <c r="AD1299" s="33">
        <f t="shared" si="391"/>
        <v>0.42958720580669013</v>
      </c>
      <c r="AE1299" s="34">
        <f t="shared" si="392"/>
        <v>0.13589749093615328</v>
      </c>
      <c r="AF1299" s="33">
        <f t="shared" si="393"/>
        <v>0.2350633911807718</v>
      </c>
      <c r="AG1299" s="33">
        <f t="shared" si="394"/>
        <v>0</v>
      </c>
      <c r="AH1299" s="35">
        <f t="shared" si="395"/>
        <v>0.68548746898375801</v>
      </c>
      <c r="AI1299" s="36">
        <f t="shared" si="476"/>
        <v>2.1669577941589475</v>
      </c>
      <c r="AJ1299" s="23"/>
      <c r="AK1299" s="158">
        <v>494</v>
      </c>
      <c r="AL1299" s="44"/>
      <c r="AM1299" s="44"/>
      <c r="AN1299" s="44"/>
      <c r="AO1299" s="44"/>
      <c r="AP1299" s="44"/>
      <c r="AQ1299" s="44"/>
      <c r="AR1299" s="44"/>
    </row>
    <row r="1300" spans="1:44" ht="16.8">
      <c r="A1300" s="74" t="s">
        <v>2676</v>
      </c>
      <c r="B1300" s="75"/>
      <c r="C1300" s="71" t="s">
        <v>2674</v>
      </c>
      <c r="D1300" s="19" t="s">
        <v>2677</v>
      </c>
      <c r="E1300" s="20" t="s">
        <v>414</v>
      </c>
      <c r="F1300" s="21">
        <v>1992</v>
      </c>
      <c r="G1300" s="40">
        <v>2022</v>
      </c>
      <c r="H1300" s="23">
        <v>570930236065</v>
      </c>
      <c r="I1300" s="23">
        <v>1663639967602</v>
      </c>
      <c r="J1300" s="23">
        <v>658808191947</v>
      </c>
      <c r="K1300" s="23">
        <f t="shared" ref="K1300:K1301" si="481">AVERAGE(J1299:J1300)</f>
        <v>673912559025.5</v>
      </c>
      <c r="L1300" s="23">
        <v>87961022956</v>
      </c>
      <c r="M1300" s="23">
        <v>1004831775655</v>
      </c>
      <c r="N1300" s="23">
        <v>130948545474</v>
      </c>
      <c r="O1300" s="25">
        <f t="shared" si="464"/>
        <v>482969213109</v>
      </c>
      <c r="P1300" s="23">
        <v>17181711324</v>
      </c>
      <c r="Q1300" s="23">
        <v>31299424018</v>
      </c>
      <c r="R1300" s="25">
        <f t="shared" si="465"/>
        <v>99649121456</v>
      </c>
      <c r="S1300" s="26">
        <f t="shared" si="466"/>
        <v>0.3960040662503545</v>
      </c>
      <c r="T1300" s="27">
        <f t="shared" si="467"/>
        <v>6.4907184668667579</v>
      </c>
      <c r="U1300" s="26">
        <f t="shared" si="468"/>
        <v>28.140029069293348</v>
      </c>
      <c r="V1300" s="26">
        <f t="shared" si="469"/>
        <v>0.19431088458027249</v>
      </c>
      <c r="W1300" s="76"/>
      <c r="X1300" s="76"/>
      <c r="Y1300" s="76"/>
      <c r="Z1300" s="30">
        <f t="shared" si="480"/>
        <v>0</v>
      </c>
      <c r="AA1300" s="31">
        <f t="shared" si="470"/>
        <v>30</v>
      </c>
      <c r="AB1300" s="32">
        <v>3.15E-2</v>
      </c>
      <c r="AC1300" s="32">
        <v>8.0199999999999994E-2</v>
      </c>
      <c r="AD1300" s="33">
        <f t="shared" si="391"/>
        <v>0.29030873416990599</v>
      </c>
      <c r="AE1300" s="34">
        <f t="shared" si="392"/>
        <v>1.0327782247721556E-2</v>
      </c>
      <c r="AF1300" s="33">
        <f t="shared" si="393"/>
        <v>5.9898249258603715E-2</v>
      </c>
      <c r="AG1300" s="33">
        <f t="shared" si="394"/>
        <v>0</v>
      </c>
      <c r="AH1300" s="35">
        <f t="shared" si="395"/>
        <v>0.19876581237856647</v>
      </c>
      <c r="AI1300" s="36">
        <f t="shared" si="476"/>
        <v>0.75925941108265615</v>
      </c>
      <c r="AJ1300" s="76"/>
      <c r="AK1300" s="158">
        <v>495</v>
      </c>
    </row>
    <row r="1301" spans="1:44" ht="16.8">
      <c r="A1301" s="74" t="s">
        <v>2678</v>
      </c>
      <c r="B1301" s="75"/>
      <c r="C1301" s="71" t="s">
        <v>2674</v>
      </c>
      <c r="D1301" s="19" t="s">
        <v>2679</v>
      </c>
      <c r="E1301" s="20" t="s">
        <v>414</v>
      </c>
      <c r="F1301" s="21">
        <v>1992</v>
      </c>
      <c r="G1301" s="40">
        <v>2023</v>
      </c>
      <c r="H1301" s="23">
        <v>385911700754</v>
      </c>
      <c r="I1301" s="23">
        <v>1558764865507</v>
      </c>
      <c r="J1301" s="23">
        <v>622131102153</v>
      </c>
      <c r="K1301" s="23">
        <f t="shared" si="481"/>
        <v>640469647050</v>
      </c>
      <c r="L1301" s="23">
        <v>74557089507</v>
      </c>
      <c r="M1301" s="23">
        <v>936633763354</v>
      </c>
      <c r="N1301" s="23">
        <v>194833190232</v>
      </c>
      <c r="O1301" s="25">
        <f t="shared" si="464"/>
        <v>311354611247</v>
      </c>
      <c r="P1301" s="23">
        <v>25753192699</v>
      </c>
      <c r="Q1301" s="23">
        <v>29160602849</v>
      </c>
      <c r="R1301" s="25">
        <f t="shared" si="465"/>
        <v>165672587383</v>
      </c>
      <c r="S1301" s="26">
        <f t="shared" si="466"/>
        <v>0.39911799137880055</v>
      </c>
      <c r="T1301" s="27">
        <f t="shared" si="467"/>
        <v>5.1760564059809173</v>
      </c>
      <c r="U1301" s="26">
        <f t="shared" si="468"/>
        <v>28.074914870708014</v>
      </c>
      <c r="V1301" s="26">
        <f t="shared" si="469"/>
        <v>0.3042036279617632</v>
      </c>
      <c r="W1301" s="76"/>
      <c r="X1301" s="76"/>
      <c r="Y1301" s="76"/>
      <c r="Z1301" s="30">
        <f t="shared" si="480"/>
        <v>0</v>
      </c>
      <c r="AA1301" s="31">
        <f t="shared" si="470"/>
        <v>31</v>
      </c>
      <c r="AB1301" s="32">
        <v>3.2500000000000001E-2</v>
      </c>
      <c r="AC1301" s="32">
        <v>5.0500000000000003E-2</v>
      </c>
      <c r="AD1301" s="33">
        <f t="shared" si="391"/>
        <v>0.19974443749457335</v>
      </c>
      <c r="AE1301" s="34">
        <f t="shared" si="392"/>
        <v>1.6521537833497153E-2</v>
      </c>
      <c r="AF1301" s="33">
        <f t="shared" si="393"/>
        <v>0.10628452760841113</v>
      </c>
      <c r="AG1301" s="33">
        <f t="shared" si="394"/>
        <v>0</v>
      </c>
      <c r="AH1301" s="35">
        <f t="shared" si="395"/>
        <v>0.31317063165262699</v>
      </c>
      <c r="AI1301" s="36">
        <f t="shared" si="476"/>
        <v>0.92673305072076784</v>
      </c>
      <c r="AJ1301" s="76"/>
      <c r="AK1301" s="158">
        <v>496</v>
      </c>
    </row>
    <row r="1302" spans="1:44" ht="16.8">
      <c r="A1302" s="70" t="s">
        <v>2680</v>
      </c>
      <c r="B1302" s="71">
        <v>504</v>
      </c>
      <c r="C1302" s="71" t="s">
        <v>2681</v>
      </c>
      <c r="D1302" s="19" t="s">
        <v>2682</v>
      </c>
      <c r="E1302" s="20" t="s">
        <v>178</v>
      </c>
      <c r="F1302" s="160">
        <v>2001</v>
      </c>
      <c r="G1302" s="40">
        <v>2021</v>
      </c>
      <c r="H1302" s="23">
        <v>1359844413235</v>
      </c>
      <c r="I1302" s="23">
        <v>2028803406674</v>
      </c>
      <c r="J1302" s="23">
        <v>1349025142264</v>
      </c>
      <c r="K1302" s="23">
        <f>AVERAGE(J1290,1062864797169)</f>
        <v>719500375898584.5</v>
      </c>
      <c r="L1302" s="23">
        <v>1123391918088</v>
      </c>
      <c r="M1302" s="23">
        <v>679778264410</v>
      </c>
      <c r="N1302" s="23">
        <v>1953961275156</v>
      </c>
      <c r="O1302" s="25">
        <f t="shared" si="464"/>
        <v>236452495147</v>
      </c>
      <c r="P1302" s="23">
        <v>5929066162</v>
      </c>
      <c r="Q1302" s="23">
        <f>9756623045+23328900322</f>
        <v>33085523367</v>
      </c>
      <c r="R1302" s="25">
        <f t="shared" si="465"/>
        <v>1920875751789</v>
      </c>
      <c r="S1302" s="26">
        <f t="shared" si="466"/>
        <v>0.66493635500917181</v>
      </c>
      <c r="T1302" s="27">
        <f t="shared" si="467"/>
        <v>1.2104808583182969</v>
      </c>
      <c r="U1302" s="26">
        <f t="shared" si="468"/>
        <v>28.338467280345046</v>
      </c>
      <c r="V1302" s="26">
        <f t="shared" si="469"/>
        <v>2.7157196029476654E-3</v>
      </c>
      <c r="W1302" s="143"/>
      <c r="X1302" s="143"/>
      <c r="Y1302" s="143"/>
      <c r="Z1302" s="30">
        <f>W1302*Y1302</f>
        <v>0</v>
      </c>
      <c r="AA1302" s="31">
        <f t="shared" si="470"/>
        <v>20</v>
      </c>
      <c r="AB1302" s="32">
        <v>1.84E-2</v>
      </c>
      <c r="AC1302" s="32">
        <v>2.58E-2</v>
      </c>
      <c r="AD1302" s="33">
        <f t="shared" si="391"/>
        <v>0.11654776129079843</v>
      </c>
      <c r="AE1302" s="34">
        <f t="shared" si="392"/>
        <v>2.9224448965807148E-3</v>
      </c>
      <c r="AF1302" s="33">
        <f t="shared" si="393"/>
        <v>0.94680230990841274</v>
      </c>
      <c r="AG1302" s="33">
        <f t="shared" si="394"/>
        <v>0</v>
      </c>
      <c r="AH1302" s="35">
        <f t="shared" si="395"/>
        <v>1.4484246541741739</v>
      </c>
      <c r="AI1302" s="36">
        <f t="shared" si="476"/>
        <v>4.7168210132761068</v>
      </c>
      <c r="AJ1302" s="23"/>
      <c r="AK1302" s="23"/>
      <c r="AL1302" s="44"/>
      <c r="AM1302" s="44"/>
      <c r="AN1302" s="44"/>
      <c r="AO1302" s="44"/>
      <c r="AP1302" s="44"/>
      <c r="AQ1302" s="44"/>
      <c r="AR1302" s="44"/>
    </row>
    <row r="1303" spans="1:44" ht="16.8">
      <c r="A1303" s="167" t="s">
        <v>2683</v>
      </c>
      <c r="B1303" s="75"/>
      <c r="C1303" s="71" t="s">
        <v>2681</v>
      </c>
      <c r="D1303" s="19" t="s">
        <v>2682</v>
      </c>
      <c r="E1303" s="20" t="s">
        <v>178</v>
      </c>
      <c r="F1303" s="160">
        <v>2001</v>
      </c>
      <c r="G1303" s="40">
        <v>2022</v>
      </c>
      <c r="H1303" s="23">
        <v>1447724272112</v>
      </c>
      <c r="I1303" s="23">
        <v>2178529768895</v>
      </c>
      <c r="J1303" s="23">
        <v>1491574559089</v>
      </c>
      <c r="K1303" s="23">
        <f t="shared" ref="K1303:K1304" si="482">AVERAGE(J1302:J1303)</f>
        <v>1420299850676.5</v>
      </c>
      <c r="L1303" s="23">
        <v>1244878816511</v>
      </c>
      <c r="M1303" s="23">
        <v>686955209806</v>
      </c>
      <c r="N1303" s="23">
        <v>2272739383853</v>
      </c>
      <c r="O1303" s="25">
        <f t="shared" si="464"/>
        <v>202845455601</v>
      </c>
      <c r="P1303" s="23">
        <v>7389285953</v>
      </c>
      <c r="Q1303" s="23">
        <f>9280858487+28971816932</f>
        <v>38252675419</v>
      </c>
      <c r="R1303" s="25">
        <f t="shared" si="465"/>
        <v>2234486708434</v>
      </c>
      <c r="S1303" s="26">
        <f t="shared" si="466"/>
        <v>0.68467026725347924</v>
      </c>
      <c r="T1303" s="27">
        <f t="shared" si="467"/>
        <v>1.1629439371211339</v>
      </c>
      <c r="U1303" s="26">
        <f t="shared" si="468"/>
        <v>28.409671347269391</v>
      </c>
      <c r="V1303" s="26">
        <f t="shared" si="469"/>
        <v>1.6001827943377425</v>
      </c>
      <c r="W1303" s="76"/>
      <c r="X1303" s="76"/>
      <c r="Y1303" s="76"/>
      <c r="Z1303" s="76"/>
      <c r="AA1303" s="31">
        <f t="shared" si="470"/>
        <v>21</v>
      </c>
      <c r="AB1303" s="32">
        <v>3.15E-2</v>
      </c>
      <c r="AC1303" s="32">
        <v>8.0199999999999994E-2</v>
      </c>
      <c r="AD1303" s="33">
        <f t="shared" si="391"/>
        <v>9.3111169972163316E-2</v>
      </c>
      <c r="AE1303" s="34">
        <f t="shared" si="392"/>
        <v>3.3918682491761473E-3</v>
      </c>
      <c r="AF1303" s="33">
        <f t="shared" si="393"/>
        <v>1.0256856437483444</v>
      </c>
      <c r="AG1303" s="33">
        <f t="shared" si="394"/>
        <v>0</v>
      </c>
      <c r="AH1303" s="35">
        <f t="shared" si="395"/>
        <v>1.5237182546483679</v>
      </c>
      <c r="AI1303" s="36">
        <f t="shared" si="476"/>
        <v>5.0249628985333468</v>
      </c>
      <c r="AJ1303" s="76"/>
      <c r="AK1303" s="76"/>
    </row>
    <row r="1304" spans="1:44" ht="16.8">
      <c r="A1304" s="167" t="s">
        <v>2684</v>
      </c>
      <c r="B1304" s="75"/>
      <c r="C1304" s="71" t="s">
        <v>2681</v>
      </c>
      <c r="D1304" s="19" t="s">
        <v>2682</v>
      </c>
      <c r="E1304" s="20" t="s">
        <v>178</v>
      </c>
      <c r="F1304" s="160">
        <v>2001</v>
      </c>
      <c r="G1304" s="40">
        <v>2023</v>
      </c>
      <c r="H1304" s="23">
        <v>799004484578</v>
      </c>
      <c r="I1304" s="23">
        <v>1442282315802</v>
      </c>
      <c r="J1304" s="23">
        <v>1362099271669</v>
      </c>
      <c r="K1304" s="23">
        <f t="shared" si="482"/>
        <v>1426836915379</v>
      </c>
      <c r="L1304" s="23">
        <v>871112743074</v>
      </c>
      <c r="M1304" s="23">
        <v>80183044133</v>
      </c>
      <c r="N1304" s="23">
        <v>1215493877033</v>
      </c>
      <c r="O1304" s="25">
        <f t="shared" si="464"/>
        <v>-72108258496</v>
      </c>
      <c r="P1304" s="23">
        <v>-606750019985</v>
      </c>
      <c r="Q1304" s="23">
        <f>9882660208+148195232749</f>
        <v>158077892957</v>
      </c>
      <c r="R1304" s="25">
        <f t="shared" si="465"/>
        <v>1057415984076</v>
      </c>
      <c r="S1304" s="26">
        <f t="shared" si="466"/>
        <v>0.94440544458287057</v>
      </c>
      <c r="T1304" s="27">
        <f t="shared" si="467"/>
        <v>0.91722281751780721</v>
      </c>
      <c r="U1304" s="26">
        <f t="shared" si="468"/>
        <v>27.99724791635137</v>
      </c>
      <c r="V1304" s="26">
        <f t="shared" si="469"/>
        <v>0.85188003193072526</v>
      </c>
      <c r="W1304" s="76"/>
      <c r="X1304" s="76"/>
      <c r="Y1304" s="76"/>
      <c r="Z1304" s="76"/>
      <c r="AA1304" s="31">
        <f t="shared" si="470"/>
        <v>22</v>
      </c>
      <c r="AB1304" s="32">
        <v>3.2500000000000001E-2</v>
      </c>
      <c r="AC1304" s="32">
        <v>5.0500000000000003E-2</v>
      </c>
      <c r="AD1304" s="33">
        <f t="shared" si="391"/>
        <v>-4.9995938871304303E-2</v>
      </c>
      <c r="AE1304" s="34">
        <f t="shared" si="392"/>
        <v>-0.4206874155893735</v>
      </c>
      <c r="AF1304" s="33">
        <f t="shared" si="393"/>
        <v>0.7331546483588478</v>
      </c>
      <c r="AG1304" s="33">
        <f t="shared" si="394"/>
        <v>0</v>
      </c>
      <c r="AH1304" s="35">
        <f t="shared" si="395"/>
        <v>0.89236805445438472</v>
      </c>
      <c r="AI1304" s="36">
        <f t="shared" si="476"/>
        <v>2.6628208855678945</v>
      </c>
      <c r="AJ1304" s="76"/>
      <c r="AK1304" s="76"/>
    </row>
    <row r="1305" spans="1:44" ht="16.8">
      <c r="A1305" s="70" t="s">
        <v>2685</v>
      </c>
      <c r="B1305" s="71">
        <v>505</v>
      </c>
      <c r="C1305" s="71" t="s">
        <v>2686</v>
      </c>
      <c r="D1305" s="19" t="s">
        <v>2687</v>
      </c>
      <c r="E1305" s="20" t="s">
        <v>414</v>
      </c>
      <c r="F1305" s="21">
        <v>2003</v>
      </c>
      <c r="G1305" s="40">
        <v>2021</v>
      </c>
      <c r="H1305" s="23">
        <v>203463615053</v>
      </c>
      <c r="I1305" s="23">
        <v>1127092212944</v>
      </c>
      <c r="J1305" s="23">
        <v>263824662998</v>
      </c>
      <c r="K1305" s="23">
        <f>AVERAGE(J1305,285251103468)</f>
        <v>274537883233</v>
      </c>
      <c r="L1305" s="23">
        <v>59394920634</v>
      </c>
      <c r="M1305" s="23">
        <v>863267549946</v>
      </c>
      <c r="N1305" s="23">
        <v>691624639904</v>
      </c>
      <c r="O1305" s="25">
        <f t="shared" si="464"/>
        <v>144068694419</v>
      </c>
      <c r="P1305" s="23">
        <v>34982183735</v>
      </c>
      <c r="Q1305" s="23">
        <v>987559439</v>
      </c>
      <c r="R1305" s="25">
        <f t="shared" si="465"/>
        <v>690637080465</v>
      </c>
      <c r="S1305" s="26">
        <f t="shared" si="466"/>
        <v>0.23407549086767421</v>
      </c>
      <c r="T1305" s="27">
        <f t="shared" si="467"/>
        <v>3.4256063124786698</v>
      </c>
      <c r="U1305" s="26">
        <f t="shared" si="468"/>
        <v>27.750662169239693</v>
      </c>
      <c r="V1305" s="26">
        <f t="shared" si="469"/>
        <v>2.5192320701220638</v>
      </c>
      <c r="W1305" s="143"/>
      <c r="X1305" s="143"/>
      <c r="Y1305" s="143"/>
      <c r="Z1305" s="30">
        <f t="shared" ref="Z1305:Z1310" si="483">X1305*Y1305</f>
        <v>0</v>
      </c>
      <c r="AA1305" s="31">
        <f t="shared" si="470"/>
        <v>18</v>
      </c>
      <c r="AB1305" s="32">
        <v>1.84E-2</v>
      </c>
      <c r="AC1305" s="32">
        <v>2.58E-2</v>
      </c>
      <c r="AD1305" s="33">
        <f t="shared" si="391"/>
        <v>0.12782334290349506</v>
      </c>
      <c r="AE1305" s="34">
        <f t="shared" si="392"/>
        <v>3.1037552503024972E-2</v>
      </c>
      <c r="AF1305" s="33">
        <f t="shared" si="393"/>
        <v>0.61276004973988274</v>
      </c>
      <c r="AG1305" s="33">
        <f t="shared" si="394"/>
        <v>0</v>
      </c>
      <c r="AH1305" s="35">
        <f t="shared" si="395"/>
        <v>2.6215314066723288</v>
      </c>
      <c r="AI1305" s="36">
        <f t="shared" si="476"/>
        <v>4.8404801558023713</v>
      </c>
      <c r="AJ1305" s="23"/>
      <c r="AK1305" s="158">
        <v>497</v>
      </c>
      <c r="AL1305" s="44"/>
      <c r="AM1305" s="44"/>
      <c r="AN1305" s="44"/>
      <c r="AO1305" s="44"/>
      <c r="AP1305" s="44"/>
      <c r="AQ1305" s="44"/>
      <c r="AR1305" s="44"/>
    </row>
    <row r="1306" spans="1:44" ht="16.8">
      <c r="A1306" s="74" t="s">
        <v>2688</v>
      </c>
      <c r="B1306" s="75"/>
      <c r="C1306" s="71" t="s">
        <v>2686</v>
      </c>
      <c r="D1306" s="19" t="s">
        <v>2687</v>
      </c>
      <c r="E1306" s="20" t="s">
        <v>414</v>
      </c>
      <c r="F1306" s="21">
        <v>2003</v>
      </c>
      <c r="G1306" s="40">
        <v>2022</v>
      </c>
      <c r="H1306" s="23">
        <v>278322089213</v>
      </c>
      <c r="I1306" s="23">
        <v>1162099467839</v>
      </c>
      <c r="J1306" s="23">
        <v>251344012433</v>
      </c>
      <c r="K1306" s="23">
        <f t="shared" ref="K1306:K1307" si="484">AVERAGE(J1305:J1306)</f>
        <v>257584337715.5</v>
      </c>
      <c r="L1306" s="23">
        <v>34850003249</v>
      </c>
      <c r="M1306" s="23">
        <v>910755455406</v>
      </c>
      <c r="N1306" s="23">
        <v>25664871455</v>
      </c>
      <c r="O1306" s="25">
        <f t="shared" si="464"/>
        <v>243472085964</v>
      </c>
      <c r="P1306" s="23">
        <v>43315814732</v>
      </c>
      <c r="Q1306" s="23">
        <f>1003902757+864653441</f>
        <v>1868556198</v>
      </c>
      <c r="R1306" s="25">
        <f t="shared" si="465"/>
        <v>23796315257</v>
      </c>
      <c r="S1306" s="26">
        <f t="shared" si="466"/>
        <v>0.21628442262381434</v>
      </c>
      <c r="T1306" s="27">
        <f t="shared" si="467"/>
        <v>7.9862858899729456</v>
      </c>
      <c r="U1306" s="26">
        <f t="shared" si="468"/>
        <v>27.781249371244662</v>
      </c>
      <c r="V1306" s="26">
        <f t="shared" si="469"/>
        <v>9.9636770164755362E-2</v>
      </c>
      <c r="W1306" s="76"/>
      <c r="X1306" s="76"/>
      <c r="Y1306" s="76"/>
      <c r="Z1306" s="30">
        <f t="shared" si="483"/>
        <v>0</v>
      </c>
      <c r="AA1306" s="31">
        <f t="shared" si="470"/>
        <v>19</v>
      </c>
      <c r="AB1306" s="32">
        <v>3.15E-2</v>
      </c>
      <c r="AC1306" s="32">
        <v>8.0199999999999994E-2</v>
      </c>
      <c r="AD1306" s="33">
        <f t="shared" si="391"/>
        <v>0.20951053907352032</v>
      </c>
      <c r="AE1306" s="34">
        <f t="shared" si="392"/>
        <v>3.7273758340625171E-2</v>
      </c>
      <c r="AF1306" s="33">
        <f t="shared" si="393"/>
        <v>2.0477003832770704E-2</v>
      </c>
      <c r="AG1306" s="33">
        <f t="shared" si="394"/>
        <v>0</v>
      </c>
      <c r="AH1306" s="35">
        <f t="shared" si="395"/>
        <v>0.10211053450832215</v>
      </c>
      <c r="AI1306" s="36">
        <f t="shared" si="476"/>
        <v>0.47328055572156513</v>
      </c>
      <c r="AJ1306" s="76"/>
      <c r="AK1306" s="158">
        <v>498</v>
      </c>
    </row>
    <row r="1307" spans="1:44" ht="16.8">
      <c r="A1307" s="74" t="s">
        <v>2689</v>
      </c>
      <c r="B1307" s="75"/>
      <c r="C1307" s="71" t="s">
        <v>2686</v>
      </c>
      <c r="D1307" s="19" t="s">
        <v>2687</v>
      </c>
      <c r="E1307" s="20" t="s">
        <v>414</v>
      </c>
      <c r="F1307" s="21">
        <v>2003</v>
      </c>
      <c r="G1307" s="40">
        <v>2023</v>
      </c>
      <c r="H1307" s="23">
        <v>38844245296</v>
      </c>
      <c r="I1307" s="23">
        <v>1122645677353</v>
      </c>
      <c r="J1307" s="23">
        <v>200540844519</v>
      </c>
      <c r="K1307" s="23">
        <f t="shared" si="484"/>
        <v>225942428476</v>
      </c>
      <c r="L1307" s="23">
        <v>42538158543</v>
      </c>
      <c r="M1307" s="23">
        <v>922104832834</v>
      </c>
      <c r="N1307" s="23">
        <v>47346798826</v>
      </c>
      <c r="O1307" s="25">
        <f t="shared" si="464"/>
        <v>-3693913247</v>
      </c>
      <c r="P1307" s="23">
        <v>3797166303</v>
      </c>
      <c r="Q1307" s="23">
        <f>73321816+2864869993</f>
        <v>2938191809</v>
      </c>
      <c r="R1307" s="25">
        <f t="shared" si="465"/>
        <v>44408607017</v>
      </c>
      <c r="S1307" s="26">
        <f t="shared" si="466"/>
        <v>0.17863235797766563</v>
      </c>
      <c r="T1307" s="27">
        <f t="shared" si="467"/>
        <v>0.91316236119469107</v>
      </c>
      <c r="U1307" s="26">
        <f t="shared" si="468"/>
        <v>27.746709227521269</v>
      </c>
      <c r="V1307" s="26">
        <f t="shared" si="469"/>
        <v>0.20955249151457739</v>
      </c>
      <c r="W1307" s="76"/>
      <c r="X1307" s="76"/>
      <c r="Y1307" s="76"/>
      <c r="Z1307" s="30">
        <f t="shared" si="483"/>
        <v>0</v>
      </c>
      <c r="AA1307" s="31">
        <f t="shared" si="470"/>
        <v>20</v>
      </c>
      <c r="AB1307" s="32">
        <v>3.2500000000000001E-2</v>
      </c>
      <c r="AC1307" s="32">
        <v>5.0500000000000003E-2</v>
      </c>
      <c r="AD1307" s="33">
        <f t="shared" si="391"/>
        <v>-3.2903642899241321E-3</v>
      </c>
      <c r="AE1307" s="34">
        <f t="shared" si="392"/>
        <v>3.3823372588518284E-3</v>
      </c>
      <c r="AF1307" s="33">
        <f t="shared" si="393"/>
        <v>3.9557099726877001E-2</v>
      </c>
      <c r="AG1307" s="33">
        <f t="shared" si="394"/>
        <v>0</v>
      </c>
      <c r="AH1307" s="35">
        <f t="shared" si="395"/>
        <v>0.2360955392382133</v>
      </c>
      <c r="AI1307" s="36">
        <f t="shared" si="476"/>
        <v>0.36742080335139099</v>
      </c>
      <c r="AJ1307" s="76"/>
      <c r="AK1307" s="158">
        <v>499</v>
      </c>
    </row>
    <row r="1308" spans="1:44" ht="16.8">
      <c r="A1308" s="70" t="s">
        <v>2690</v>
      </c>
      <c r="B1308" s="71">
        <v>506</v>
      </c>
      <c r="C1308" s="71" t="s">
        <v>2691</v>
      </c>
      <c r="D1308" s="19" t="s">
        <v>2692</v>
      </c>
      <c r="E1308" s="20" t="s">
        <v>414</v>
      </c>
      <c r="F1308" s="21">
        <v>2007</v>
      </c>
      <c r="G1308" s="40">
        <v>2021</v>
      </c>
      <c r="H1308" s="23">
        <v>1151880205926</v>
      </c>
      <c r="I1308" s="23">
        <v>1626247373155</v>
      </c>
      <c r="J1308" s="23">
        <v>942687659811</v>
      </c>
      <c r="K1308" s="23">
        <f>AVERAGE(J1308,992893139504)</f>
        <v>967790399657.5</v>
      </c>
      <c r="L1308" s="23">
        <v>868496874843</v>
      </c>
      <c r="M1308" s="23">
        <v>683559713344</v>
      </c>
      <c r="N1308" s="23">
        <v>2259977295424</v>
      </c>
      <c r="O1308" s="25">
        <f t="shared" si="464"/>
        <v>283383331083</v>
      </c>
      <c r="P1308" s="23">
        <v>34660450384</v>
      </c>
      <c r="Q1308" s="23">
        <f>7731330323+8302777138</f>
        <v>16034107461</v>
      </c>
      <c r="R1308" s="25">
        <f t="shared" si="465"/>
        <v>2243943187963</v>
      </c>
      <c r="S1308" s="26">
        <f t="shared" si="466"/>
        <v>0.57967051960990379</v>
      </c>
      <c r="T1308" s="27">
        <f t="shared" si="467"/>
        <v>1.3262917107608796</v>
      </c>
      <c r="U1308" s="26">
        <f t="shared" si="468"/>
        <v>28.117296251494341</v>
      </c>
      <c r="V1308" s="26">
        <f t="shared" si="469"/>
        <v>2.3351929263028479</v>
      </c>
      <c r="W1308" s="143"/>
      <c r="X1308" s="143"/>
      <c r="Y1308" s="143"/>
      <c r="Z1308" s="30">
        <f t="shared" si="483"/>
        <v>0</v>
      </c>
      <c r="AA1308" s="31">
        <f t="shared" si="470"/>
        <v>14</v>
      </c>
      <c r="AB1308" s="32">
        <v>1.84E-2</v>
      </c>
      <c r="AC1308" s="32">
        <v>2.58E-2</v>
      </c>
      <c r="AD1308" s="33">
        <f t="shared" si="391"/>
        <v>0.1742559808310235</v>
      </c>
      <c r="AE1308" s="34">
        <f t="shared" si="392"/>
        <v>2.131314765278115E-2</v>
      </c>
      <c r="AF1308" s="33">
        <f t="shared" si="393"/>
        <v>1.3798289393142198</v>
      </c>
      <c r="AG1308" s="33">
        <f t="shared" si="394"/>
        <v>0</v>
      </c>
      <c r="AH1308" s="35">
        <f t="shared" si="395"/>
        <v>2.3973765561724911</v>
      </c>
      <c r="AI1308" s="36">
        <f t="shared" si="476"/>
        <v>7.189757639620538</v>
      </c>
      <c r="AJ1308" s="23"/>
      <c r="AK1308" s="158">
        <v>500</v>
      </c>
      <c r="AL1308" s="44"/>
      <c r="AM1308" s="44"/>
      <c r="AN1308" s="44"/>
      <c r="AO1308" s="44"/>
      <c r="AP1308" s="44"/>
      <c r="AQ1308" s="44"/>
      <c r="AR1308" s="44"/>
    </row>
    <row r="1309" spans="1:44" ht="16.8">
      <c r="A1309" s="74" t="s">
        <v>2693</v>
      </c>
      <c r="B1309" s="75"/>
      <c r="C1309" s="71" t="s">
        <v>2691</v>
      </c>
      <c r="D1309" s="19" t="s">
        <v>2692</v>
      </c>
      <c r="E1309" s="20" t="s">
        <v>414</v>
      </c>
      <c r="F1309" s="21">
        <v>2007</v>
      </c>
      <c r="G1309" s="40">
        <v>2022</v>
      </c>
      <c r="H1309" s="23">
        <v>1286500397470</v>
      </c>
      <c r="I1309" s="23">
        <v>1752664282963</v>
      </c>
      <c r="J1309" s="23">
        <v>986372246257</v>
      </c>
      <c r="K1309" s="23">
        <f t="shared" ref="K1309:K1310" si="485">AVERAGE(J1308:J1309)</f>
        <v>964529953034</v>
      </c>
      <c r="L1309" s="23">
        <v>942673216035</v>
      </c>
      <c r="M1309" s="23">
        <v>766292036706</v>
      </c>
      <c r="N1309" s="23">
        <v>2999734896573</v>
      </c>
      <c r="O1309" s="25">
        <f t="shared" si="464"/>
        <v>343827181435</v>
      </c>
      <c r="P1309" s="23">
        <v>80098959462</v>
      </c>
      <c r="Q1309" s="23">
        <f>12221292744+9239298725</f>
        <v>21460591469</v>
      </c>
      <c r="R1309" s="25">
        <f t="shared" si="465"/>
        <v>2978274305104</v>
      </c>
      <c r="S1309" s="26">
        <f t="shared" si="466"/>
        <v>0.56278447381233199</v>
      </c>
      <c r="T1309" s="27">
        <f t="shared" si="467"/>
        <v>1.364736342972785</v>
      </c>
      <c r="U1309" s="26">
        <f t="shared" si="468"/>
        <v>28.192158193523269</v>
      </c>
      <c r="V1309" s="26">
        <f t="shared" si="469"/>
        <v>3.1100484615714765</v>
      </c>
      <c r="W1309" s="76"/>
      <c r="X1309" s="76"/>
      <c r="Y1309" s="76"/>
      <c r="Z1309" s="30">
        <f t="shared" si="483"/>
        <v>0</v>
      </c>
      <c r="AA1309" s="31">
        <f t="shared" si="470"/>
        <v>15</v>
      </c>
      <c r="AB1309" s="32">
        <v>3.15E-2</v>
      </c>
      <c r="AC1309" s="32">
        <v>8.0199999999999994E-2</v>
      </c>
      <c r="AD1309" s="33">
        <f t="shared" si="391"/>
        <v>0.19617401049203581</v>
      </c>
      <c r="AE1309" s="34">
        <f t="shared" si="392"/>
        <v>4.5701256219238505E-2</v>
      </c>
      <c r="AF1309" s="33">
        <f t="shared" si="393"/>
        <v>1.6992839610270494</v>
      </c>
      <c r="AG1309" s="33">
        <f t="shared" si="394"/>
        <v>0</v>
      </c>
      <c r="AH1309" s="35">
        <f t="shared" si="395"/>
        <v>3.0411793397027687</v>
      </c>
      <c r="AI1309" s="36">
        <f t="shared" si="476"/>
        <v>8.9482069823894079</v>
      </c>
      <c r="AJ1309" s="76"/>
      <c r="AK1309" s="158">
        <v>501</v>
      </c>
    </row>
    <row r="1310" spans="1:44" ht="16.8">
      <c r="A1310" s="74" t="s">
        <v>2694</v>
      </c>
      <c r="B1310" s="75"/>
      <c r="C1310" s="71" t="s">
        <v>2691</v>
      </c>
      <c r="D1310" s="19" t="s">
        <v>2692</v>
      </c>
      <c r="E1310" s="20" t="s">
        <v>414</v>
      </c>
      <c r="F1310" s="21">
        <v>2007</v>
      </c>
      <c r="G1310" s="40">
        <v>2023</v>
      </c>
      <c r="H1310" s="23">
        <v>1131857006046</v>
      </c>
      <c r="I1310" s="23">
        <v>1662600405078</v>
      </c>
      <c r="J1310" s="23">
        <v>820861959767</v>
      </c>
      <c r="K1310" s="23">
        <f t="shared" si="485"/>
        <v>903617103012</v>
      </c>
      <c r="L1310" s="23">
        <v>795844829173</v>
      </c>
      <c r="M1310" s="23">
        <v>841738445311</v>
      </c>
      <c r="N1310" s="23">
        <v>2939736406597</v>
      </c>
      <c r="O1310" s="25">
        <f t="shared" si="464"/>
        <v>336012176873</v>
      </c>
      <c r="P1310" s="23">
        <v>75313544684</v>
      </c>
      <c r="Q1310" s="23">
        <f>8289163967+13410952272</f>
        <v>21700116239</v>
      </c>
      <c r="R1310" s="25">
        <f t="shared" si="465"/>
        <v>2918036290358</v>
      </c>
      <c r="S1310" s="26">
        <f t="shared" si="466"/>
        <v>0.49372173690074961</v>
      </c>
      <c r="T1310" s="27">
        <f t="shared" si="467"/>
        <v>1.4222081548511989</v>
      </c>
      <c r="U1310" s="26">
        <f t="shared" si="468"/>
        <v>28.139404001684653</v>
      </c>
      <c r="V1310" s="26">
        <f t="shared" si="469"/>
        <v>3.2532987664775979</v>
      </c>
      <c r="W1310" s="76"/>
      <c r="X1310" s="76"/>
      <c r="Y1310" s="76"/>
      <c r="Z1310" s="30">
        <f t="shared" si="483"/>
        <v>0</v>
      </c>
      <c r="AA1310" s="31">
        <f t="shared" si="470"/>
        <v>16</v>
      </c>
      <c r="AB1310" s="32">
        <v>3.2500000000000001E-2</v>
      </c>
      <c r="AC1310" s="32">
        <v>5.0500000000000003E-2</v>
      </c>
      <c r="AD1310" s="33">
        <f t="shared" si="391"/>
        <v>0.20210038193587243</v>
      </c>
      <c r="AE1310" s="34">
        <f t="shared" si="392"/>
        <v>4.5298644493272998E-2</v>
      </c>
      <c r="AF1310" s="33">
        <f t="shared" si="393"/>
        <v>1.7551038009166742</v>
      </c>
      <c r="AG1310" s="33">
        <f t="shared" si="394"/>
        <v>0</v>
      </c>
      <c r="AH1310" s="35">
        <f t="shared" si="395"/>
        <v>3.5812798627328744</v>
      </c>
      <c r="AI1310" s="36">
        <f t="shared" si="476"/>
        <v>9.6790609663715284</v>
      </c>
      <c r="AJ1310" s="76"/>
      <c r="AK1310" s="158">
        <v>502</v>
      </c>
    </row>
    <row r="1311" spans="1:44" ht="16.8">
      <c r="A1311" s="145"/>
      <c r="B1311" s="145">
        <v>507</v>
      </c>
      <c r="C1311" s="145" t="s">
        <v>2695</v>
      </c>
      <c r="D1311" s="146" t="s">
        <v>2696</v>
      </c>
      <c r="E1311" s="147" t="s">
        <v>1371</v>
      </c>
      <c r="F1311" s="148"/>
      <c r="G1311" s="148">
        <v>2021</v>
      </c>
      <c r="H1311" s="149"/>
      <c r="I1311" s="149"/>
      <c r="J1311" s="149"/>
      <c r="K1311" s="149"/>
      <c r="L1311" s="149"/>
      <c r="M1311" s="149"/>
      <c r="N1311" s="149"/>
      <c r="O1311" s="149">
        <f t="shared" si="464"/>
        <v>0</v>
      </c>
      <c r="P1311" s="149"/>
      <c r="Q1311" s="149"/>
      <c r="R1311" s="149">
        <f t="shared" si="465"/>
        <v>0</v>
      </c>
      <c r="S1311" s="150" t="e">
        <f t="shared" si="466"/>
        <v>#DIV/0!</v>
      </c>
      <c r="T1311" s="151" t="e">
        <f t="shared" si="467"/>
        <v>#DIV/0!</v>
      </c>
      <c r="U1311" s="150" t="e">
        <f t="shared" si="468"/>
        <v>#NUM!</v>
      </c>
      <c r="V1311" s="150" t="e">
        <f t="shared" si="469"/>
        <v>#DIV/0!</v>
      </c>
      <c r="W1311" s="152"/>
      <c r="X1311" s="152"/>
      <c r="Y1311" s="152"/>
      <c r="Z1311" s="153">
        <f>W1311*Y1311</f>
        <v>0</v>
      </c>
      <c r="AA1311" s="148">
        <f t="shared" si="470"/>
        <v>2021</v>
      </c>
      <c r="AB1311" s="149"/>
      <c r="AC1311" s="149"/>
      <c r="AD1311" s="150" t="e">
        <f t="shared" si="391"/>
        <v>#DIV/0!</v>
      </c>
      <c r="AE1311" s="154" t="e">
        <f t="shared" si="392"/>
        <v>#DIV/0!</v>
      </c>
      <c r="AF1311" s="150" t="e">
        <f t="shared" si="393"/>
        <v>#DIV/0!</v>
      </c>
      <c r="AG1311" s="150" t="e">
        <f t="shared" si="394"/>
        <v>#DIV/0!</v>
      </c>
      <c r="AH1311" s="155" t="e">
        <f t="shared" si="395"/>
        <v>#DIV/0!</v>
      </c>
      <c r="AI1311" s="156" t="e">
        <f t="shared" si="476"/>
        <v>#DIV/0!</v>
      </c>
      <c r="AJ1311" s="149"/>
      <c r="AK1311" s="149"/>
      <c r="AL1311" s="157"/>
      <c r="AM1311" s="157"/>
      <c r="AN1311" s="157"/>
      <c r="AO1311" s="157"/>
      <c r="AP1311" s="157"/>
      <c r="AQ1311" s="157"/>
      <c r="AR1311" s="157"/>
    </row>
    <row r="1312" spans="1:44" ht="16.8">
      <c r="A1312" s="70" t="s">
        <v>2697</v>
      </c>
      <c r="B1312" s="71">
        <v>508</v>
      </c>
      <c r="C1312" s="71" t="s">
        <v>2698</v>
      </c>
      <c r="D1312" s="19" t="s">
        <v>2699</v>
      </c>
      <c r="E1312" s="20" t="s">
        <v>414</v>
      </c>
      <c r="F1312" s="161">
        <v>1992</v>
      </c>
      <c r="G1312" s="40">
        <v>2021</v>
      </c>
      <c r="H1312" s="23">
        <v>1261155476594</v>
      </c>
      <c r="I1312" s="23">
        <v>1781028068118</v>
      </c>
      <c r="J1312" s="23">
        <v>759357932999</v>
      </c>
      <c r="K1312" s="23">
        <f>AVERAGE(J1312,829411456121)</f>
        <v>794384694560</v>
      </c>
      <c r="L1312" s="23">
        <v>652796913367</v>
      </c>
      <c r="M1312" s="23">
        <v>1021670135119</v>
      </c>
      <c r="N1312" s="23">
        <v>715486224953</v>
      </c>
      <c r="O1312" s="25">
        <f t="shared" si="464"/>
        <v>608358563227</v>
      </c>
      <c r="P1312" s="23">
        <v>87756304428</v>
      </c>
      <c r="Q1312" s="23">
        <f>74481402601+48889799085</f>
        <v>123371201686</v>
      </c>
      <c r="R1312" s="25">
        <f t="shared" si="465"/>
        <v>592115023267</v>
      </c>
      <c r="S1312" s="26">
        <f t="shared" si="466"/>
        <v>0.42635932953117817</v>
      </c>
      <c r="T1312" s="27">
        <f t="shared" si="467"/>
        <v>1.9319262250938112</v>
      </c>
      <c r="U1312" s="26">
        <f t="shared" si="468"/>
        <v>28.208211879863715</v>
      </c>
      <c r="V1312" s="26">
        <f t="shared" si="469"/>
        <v>0.90067977121500198</v>
      </c>
      <c r="W1312" s="143"/>
      <c r="X1312" s="143"/>
      <c r="Y1312" s="143"/>
      <c r="Z1312" s="30">
        <f t="shared" ref="Z1312:Z1332" si="486">X1312*Y1312</f>
        <v>0</v>
      </c>
      <c r="AA1312" s="31">
        <f t="shared" si="470"/>
        <v>29</v>
      </c>
      <c r="AB1312" s="32">
        <v>1.84E-2</v>
      </c>
      <c r="AC1312" s="32">
        <v>2.58E-2</v>
      </c>
      <c r="AD1312" s="33">
        <f t="shared" si="391"/>
        <v>0.34157719022915134</v>
      </c>
      <c r="AE1312" s="34">
        <f t="shared" si="392"/>
        <v>4.9272836289846612E-2</v>
      </c>
      <c r="AF1312" s="33">
        <f t="shared" si="393"/>
        <v>0.33245687357004083</v>
      </c>
      <c r="AG1312" s="33">
        <f t="shared" si="394"/>
        <v>0</v>
      </c>
      <c r="AH1312" s="35">
        <f t="shared" si="395"/>
        <v>0.94222525881472841</v>
      </c>
      <c r="AI1312" s="36">
        <f t="shared" si="476"/>
        <v>2.51820754067663</v>
      </c>
      <c r="AJ1312" s="23"/>
      <c r="AK1312" s="158">
        <v>503</v>
      </c>
      <c r="AL1312" s="44"/>
      <c r="AM1312" s="44"/>
      <c r="AN1312" s="44"/>
      <c r="AO1312" s="44"/>
      <c r="AP1312" s="44"/>
      <c r="AQ1312" s="44"/>
      <c r="AR1312" s="44"/>
    </row>
    <row r="1313" spans="1:44" ht="16.8">
      <c r="A1313" s="74" t="s">
        <v>2700</v>
      </c>
      <c r="B1313" s="75"/>
      <c r="C1313" s="71" t="s">
        <v>2698</v>
      </c>
      <c r="D1313" s="19" t="s">
        <v>2699</v>
      </c>
      <c r="E1313" s="20" t="s">
        <v>414</v>
      </c>
      <c r="F1313" s="161">
        <v>1992</v>
      </c>
      <c r="G1313" s="40">
        <v>2022</v>
      </c>
      <c r="H1313" s="23">
        <v>1422244637211</v>
      </c>
      <c r="I1313" s="23">
        <v>2105322887503</v>
      </c>
      <c r="J1313" s="23">
        <v>713665523351</v>
      </c>
      <c r="K1313" s="23">
        <f t="shared" ref="K1313:K1314" si="487">AVERAGE(J1312:J1313)</f>
        <v>736511728175</v>
      </c>
      <c r="L1313" s="23">
        <v>554067518856</v>
      </c>
      <c r="M1313" s="23">
        <v>1391657364152</v>
      </c>
      <c r="N1313" s="23">
        <v>1036161984911</v>
      </c>
      <c r="O1313" s="25">
        <f t="shared" si="464"/>
        <v>868177118355</v>
      </c>
      <c r="P1313" s="23">
        <v>112913962533</v>
      </c>
      <c r="Q1313" s="23">
        <f>104006556577+49808561587</f>
        <v>153815118164</v>
      </c>
      <c r="R1313" s="25">
        <f t="shared" si="465"/>
        <v>882346866747</v>
      </c>
      <c r="S1313" s="26">
        <f t="shared" si="466"/>
        <v>0.33898150615625372</v>
      </c>
      <c r="T1313" s="27">
        <f t="shared" si="467"/>
        <v>2.5669157436760623</v>
      </c>
      <c r="U1313" s="26">
        <f t="shared" si="468"/>
        <v>28.375489962037506</v>
      </c>
      <c r="V1313" s="26">
        <f t="shared" si="469"/>
        <v>1.406850624739544</v>
      </c>
      <c r="W1313" s="76"/>
      <c r="X1313" s="76"/>
      <c r="Y1313" s="76"/>
      <c r="Z1313" s="30">
        <f t="shared" si="486"/>
        <v>0</v>
      </c>
      <c r="AA1313" s="31">
        <f t="shared" si="470"/>
        <v>30</v>
      </c>
      <c r="AB1313" s="32">
        <v>3.15E-2</v>
      </c>
      <c r="AC1313" s="32">
        <v>8.0199999999999994E-2</v>
      </c>
      <c r="AD1313" s="33">
        <f t="shared" si="391"/>
        <v>0.41237243156782188</v>
      </c>
      <c r="AE1313" s="34">
        <f t="shared" si="392"/>
        <v>5.3632610562135974E-2</v>
      </c>
      <c r="AF1313" s="33">
        <f t="shared" si="393"/>
        <v>0.41910287110092642</v>
      </c>
      <c r="AG1313" s="33">
        <f t="shared" si="394"/>
        <v>0</v>
      </c>
      <c r="AH1313" s="35">
        <f t="shared" si="395"/>
        <v>1.4518874052451425</v>
      </c>
      <c r="AI1313" s="36">
        <f t="shared" si="476"/>
        <v>3.4048594525465763</v>
      </c>
      <c r="AJ1313" s="76"/>
      <c r="AK1313" s="158">
        <v>504</v>
      </c>
    </row>
    <row r="1314" spans="1:44" ht="16.8">
      <c r="A1314" s="74" t="s">
        <v>2701</v>
      </c>
      <c r="B1314" s="75"/>
      <c r="C1314" s="71" t="s">
        <v>2698</v>
      </c>
      <c r="D1314" s="19" t="s">
        <v>2699</v>
      </c>
      <c r="E1314" s="20" t="s">
        <v>414</v>
      </c>
      <c r="F1314" s="161">
        <v>1992</v>
      </c>
      <c r="G1314" s="40">
        <v>2023</v>
      </c>
      <c r="H1314" s="23">
        <v>1403123810398</v>
      </c>
      <c r="I1314" s="23">
        <v>2277459686188</v>
      </c>
      <c r="J1314" s="23">
        <v>826667957660</v>
      </c>
      <c r="K1314" s="23">
        <f t="shared" si="487"/>
        <v>770166740505.5</v>
      </c>
      <c r="L1314" s="23">
        <v>618074636805</v>
      </c>
      <c r="M1314" s="23">
        <v>1450791728528</v>
      </c>
      <c r="N1314" s="23">
        <v>1170473131362</v>
      </c>
      <c r="O1314" s="25">
        <f t="shared" si="464"/>
        <v>785049173593</v>
      </c>
      <c r="P1314" s="23">
        <v>62134364376</v>
      </c>
      <c r="Q1314" s="23">
        <f>87867999033+51320009991</f>
        <v>139188009024</v>
      </c>
      <c r="R1314" s="25">
        <f t="shared" si="465"/>
        <v>1031285122338</v>
      </c>
      <c r="S1314" s="26">
        <f t="shared" si="466"/>
        <v>0.36297808592330011</v>
      </c>
      <c r="T1314" s="27">
        <f t="shared" si="467"/>
        <v>2.2701527078527892</v>
      </c>
      <c r="U1314" s="26">
        <f t="shared" si="468"/>
        <v>28.454081765018483</v>
      </c>
      <c r="V1314" s="26">
        <f t="shared" si="469"/>
        <v>1.5197658764045801</v>
      </c>
      <c r="W1314" s="76"/>
      <c r="X1314" s="76"/>
      <c r="Y1314" s="76"/>
      <c r="Z1314" s="30">
        <f t="shared" si="486"/>
        <v>0</v>
      </c>
      <c r="AA1314" s="31">
        <f t="shared" si="470"/>
        <v>31</v>
      </c>
      <c r="AB1314" s="32">
        <v>3.2500000000000001E-2</v>
      </c>
      <c r="AC1314" s="32">
        <v>5.0500000000000003E-2</v>
      </c>
      <c r="AD1314" s="33">
        <f t="shared" si="391"/>
        <v>0.3447038726323236</v>
      </c>
      <c r="AE1314" s="34">
        <f t="shared" si="392"/>
        <v>2.7282311407232928E-2</v>
      </c>
      <c r="AF1314" s="33">
        <f t="shared" si="393"/>
        <v>0.45282255865707971</v>
      </c>
      <c r="AG1314" s="33">
        <f t="shared" si="394"/>
        <v>0</v>
      </c>
      <c r="AH1314" s="35">
        <f t="shared" si="395"/>
        <v>1.415892705791076</v>
      </c>
      <c r="AI1314" s="36">
        <f t="shared" si="476"/>
        <v>3.3620470324883533</v>
      </c>
      <c r="AJ1314" s="76"/>
      <c r="AK1314" s="158">
        <v>505</v>
      </c>
    </row>
    <row r="1315" spans="1:44" ht="16.8">
      <c r="A1315" s="70" t="s">
        <v>2702</v>
      </c>
      <c r="B1315" s="71">
        <v>509</v>
      </c>
      <c r="C1315" s="71" t="s">
        <v>2703</v>
      </c>
      <c r="D1315" s="19" t="s">
        <v>2704</v>
      </c>
      <c r="E1315" s="20" t="s">
        <v>414</v>
      </c>
      <c r="F1315" s="21">
        <v>2011</v>
      </c>
      <c r="G1315" s="40">
        <v>2021</v>
      </c>
      <c r="H1315" s="23">
        <v>7276291649429</v>
      </c>
      <c r="I1315" s="23">
        <v>11072121334925</v>
      </c>
      <c r="J1315" s="23">
        <v>3594024059539</v>
      </c>
      <c r="K1315" s="23">
        <f>AVERAGE(J1325,2391033021663)</f>
        <v>1761080296201</v>
      </c>
      <c r="L1315" s="23">
        <v>3186610542693</v>
      </c>
      <c r="M1315" s="23">
        <v>7478097275386</v>
      </c>
      <c r="N1315" s="23">
        <v>10088157082401</v>
      </c>
      <c r="O1315" s="25">
        <f t="shared" si="464"/>
        <v>4089681106736</v>
      </c>
      <c r="P1315" s="23">
        <v>1826124286936</v>
      </c>
      <c r="Q1315" s="23">
        <f>420401252844+528491737615</f>
        <v>948892990459</v>
      </c>
      <c r="R1315" s="25">
        <f t="shared" si="465"/>
        <v>9139264091942</v>
      </c>
      <c r="S1315" s="26">
        <f t="shared" si="466"/>
        <v>0.32460121695038713</v>
      </c>
      <c r="T1315" s="27">
        <f t="shared" si="467"/>
        <v>2.2833953355592103</v>
      </c>
      <c r="U1315" s="26">
        <f t="shared" si="468"/>
        <v>30.035451473461752</v>
      </c>
      <c r="V1315" s="26">
        <f t="shared" si="469"/>
        <v>5.7283913198978826</v>
      </c>
      <c r="W1315" s="143"/>
      <c r="X1315" s="143"/>
      <c r="Y1315" s="143"/>
      <c r="Z1315" s="30">
        <f t="shared" si="486"/>
        <v>0</v>
      </c>
      <c r="AA1315" s="31">
        <f t="shared" si="470"/>
        <v>10</v>
      </c>
      <c r="AB1315" s="32">
        <v>1.84E-2</v>
      </c>
      <c r="AC1315" s="32">
        <v>2.58E-2</v>
      </c>
      <c r="AD1315" s="33">
        <f t="shared" si="391"/>
        <v>0.36936743944774542</v>
      </c>
      <c r="AE1315" s="34">
        <f t="shared" si="392"/>
        <v>0.16492993814797008</v>
      </c>
      <c r="AF1315" s="33">
        <f t="shared" si="393"/>
        <v>0.8254302690048968</v>
      </c>
      <c r="AG1315" s="33">
        <f t="shared" si="394"/>
        <v>0</v>
      </c>
      <c r="AH1315" s="35">
        <f t="shared" si="395"/>
        <v>2.8069253058074946</v>
      </c>
      <c r="AI1315" s="36">
        <f t="shared" si="476"/>
        <v>6.2049880342681067</v>
      </c>
      <c r="AJ1315" s="23"/>
      <c r="AK1315" s="158">
        <v>506</v>
      </c>
      <c r="AL1315" s="44"/>
      <c r="AM1315" s="44"/>
      <c r="AN1315" s="44"/>
      <c r="AO1315" s="44"/>
      <c r="AP1315" s="44"/>
      <c r="AQ1315" s="44"/>
      <c r="AR1315" s="44"/>
    </row>
    <row r="1316" spans="1:44" ht="16.8">
      <c r="A1316" s="74" t="s">
        <v>2705</v>
      </c>
      <c r="B1316" s="75"/>
      <c r="C1316" s="71" t="s">
        <v>2703</v>
      </c>
      <c r="D1316" s="19" t="s">
        <v>2704</v>
      </c>
      <c r="E1316" s="20" t="s">
        <v>414</v>
      </c>
      <c r="F1316" s="21">
        <v>2011</v>
      </c>
      <c r="G1316" s="40">
        <v>2022</v>
      </c>
      <c r="H1316" s="23">
        <v>11624186590632</v>
      </c>
      <c r="I1316" s="23">
        <v>14166860720016</v>
      </c>
      <c r="J1316" s="23">
        <v>3561411903496</v>
      </c>
      <c r="K1316" s="23">
        <f t="shared" ref="K1316:K1317" si="488">AVERAGE(J1315:J1316)</f>
        <v>3577717981517.5</v>
      </c>
      <c r="L1316" s="23">
        <v>2874435985843</v>
      </c>
      <c r="M1316" s="23">
        <v>10605448816520</v>
      </c>
      <c r="N1316" s="23">
        <v>16380039770909</v>
      </c>
      <c r="O1316" s="25">
        <f t="shared" si="464"/>
        <v>8749750604789</v>
      </c>
      <c r="P1316" s="23">
        <v>4321080734535</v>
      </c>
      <c r="Q1316" s="23">
        <f>698294873644+652594258961</f>
        <v>1350889132605</v>
      </c>
      <c r="R1316" s="25">
        <f t="shared" si="465"/>
        <v>15029150638304</v>
      </c>
      <c r="S1316" s="26">
        <f t="shared" si="466"/>
        <v>0.25139033790768983</v>
      </c>
      <c r="T1316" s="27">
        <f t="shared" si="467"/>
        <v>4.0439886808691332</v>
      </c>
      <c r="U1316" s="26">
        <f t="shared" si="468"/>
        <v>30.281926600980476</v>
      </c>
      <c r="V1316" s="26">
        <f t="shared" si="469"/>
        <v>4.5783485046972192</v>
      </c>
      <c r="W1316" s="76"/>
      <c r="X1316" s="76"/>
      <c r="Y1316" s="76"/>
      <c r="Z1316" s="30">
        <f t="shared" si="486"/>
        <v>0</v>
      </c>
      <c r="AA1316" s="31">
        <f t="shared" si="470"/>
        <v>11</v>
      </c>
      <c r="AB1316" s="32">
        <v>3.15E-2</v>
      </c>
      <c r="AC1316" s="32">
        <v>8.0199999999999994E-2</v>
      </c>
      <c r="AD1316" s="33">
        <f t="shared" si="391"/>
        <v>0.61762099435527718</v>
      </c>
      <c r="AE1316" s="34">
        <f t="shared" si="392"/>
        <v>0.3050132855777889</v>
      </c>
      <c r="AF1316" s="33">
        <f t="shared" si="393"/>
        <v>1.0608666898990327</v>
      </c>
      <c r="AG1316" s="33">
        <f t="shared" si="394"/>
        <v>0</v>
      </c>
      <c r="AH1316" s="35">
        <f t="shared" si="395"/>
        <v>4.5993106708128337</v>
      </c>
      <c r="AI1316" s="36">
        <f t="shared" si="476"/>
        <v>9.2683345405148785</v>
      </c>
      <c r="AJ1316" s="76"/>
      <c r="AK1316" s="158">
        <v>507</v>
      </c>
    </row>
    <row r="1317" spans="1:44" ht="16.8">
      <c r="A1317" s="74" t="s">
        <v>2706</v>
      </c>
      <c r="B1317" s="75"/>
      <c r="C1317" s="71" t="s">
        <v>2703</v>
      </c>
      <c r="D1317" s="19" t="s">
        <v>2704</v>
      </c>
      <c r="E1317" s="20" t="s">
        <v>414</v>
      </c>
      <c r="F1317" s="21">
        <v>2011</v>
      </c>
      <c r="G1317" s="40">
        <v>2023</v>
      </c>
      <c r="H1317" s="23">
        <v>13504495425086</v>
      </c>
      <c r="I1317" s="23">
        <v>15237966427299</v>
      </c>
      <c r="J1317" s="23">
        <v>5274583193141</v>
      </c>
      <c r="K1317" s="23">
        <f t="shared" si="488"/>
        <v>4417997548318.5</v>
      </c>
      <c r="L1317" s="23">
        <v>4517257789256</v>
      </c>
      <c r="M1317" s="23">
        <v>9963383234158</v>
      </c>
      <c r="N1317" s="23">
        <v>12949489162606</v>
      </c>
      <c r="O1317" s="25">
        <f t="shared" si="464"/>
        <v>8987237635830</v>
      </c>
      <c r="P1317" s="23">
        <v>1110142716892</v>
      </c>
      <c r="Q1317" s="23">
        <f>800631458171+548556889165</f>
        <v>1349188347336</v>
      </c>
      <c r="R1317" s="25">
        <f t="shared" si="465"/>
        <v>11600300815270</v>
      </c>
      <c r="S1317" s="26">
        <f t="shared" si="466"/>
        <v>0.34614744810642978</v>
      </c>
      <c r="T1317" s="27">
        <f t="shared" si="467"/>
        <v>2.9895339285717881</v>
      </c>
      <c r="U1317" s="26">
        <f t="shared" si="468"/>
        <v>30.354811220754666</v>
      </c>
      <c r="V1317" s="26">
        <f t="shared" si="469"/>
        <v>2.9310765841268078</v>
      </c>
      <c r="W1317" s="76"/>
      <c r="X1317" s="76"/>
      <c r="Y1317" s="76"/>
      <c r="Z1317" s="30">
        <f t="shared" si="486"/>
        <v>0</v>
      </c>
      <c r="AA1317" s="31">
        <f t="shared" si="470"/>
        <v>12</v>
      </c>
      <c r="AB1317" s="32">
        <v>3.2500000000000001E-2</v>
      </c>
      <c r="AC1317" s="32">
        <v>5.0500000000000003E-2</v>
      </c>
      <c r="AD1317" s="33">
        <f t="shared" si="391"/>
        <v>0.58979245548994352</v>
      </c>
      <c r="AE1317" s="34">
        <f t="shared" si="392"/>
        <v>7.2853731643821321E-2</v>
      </c>
      <c r="AF1317" s="33">
        <f t="shared" si="393"/>
        <v>0.76127617622833987</v>
      </c>
      <c r="AG1317" s="33">
        <f t="shared" si="394"/>
        <v>0</v>
      </c>
      <c r="AH1317" s="35">
        <f t="shared" si="395"/>
        <v>2.4550734510065837</v>
      </c>
      <c r="AI1317" s="36">
        <f t="shared" si="476"/>
        <v>5.7770310034493875</v>
      </c>
      <c r="AJ1317" s="76"/>
      <c r="AK1317" s="158">
        <v>508</v>
      </c>
    </row>
    <row r="1318" spans="1:44" ht="16.8">
      <c r="A1318" s="70" t="s">
        <v>2707</v>
      </c>
      <c r="B1318" s="71">
        <v>510</v>
      </c>
      <c r="C1318" s="71" t="s">
        <v>2708</v>
      </c>
      <c r="D1318" s="19" t="s">
        <v>2709</v>
      </c>
      <c r="E1318" s="20" t="s">
        <v>414</v>
      </c>
      <c r="F1318" s="161">
        <v>1997</v>
      </c>
      <c r="G1318" s="40">
        <v>2021</v>
      </c>
      <c r="H1318" s="23">
        <v>6255496358009</v>
      </c>
      <c r="I1318" s="23">
        <v>6544822568016</v>
      </c>
      <c r="J1318" s="23">
        <v>4763537900634</v>
      </c>
      <c r="K1318" s="23">
        <f>AVERAGE(J1318,1910160835664)</f>
        <v>3336849368149</v>
      </c>
      <c r="L1318" s="23">
        <v>4753295358270</v>
      </c>
      <c r="M1318" s="23">
        <v>1781284667382</v>
      </c>
      <c r="N1318" s="23">
        <v>21302662313033</v>
      </c>
      <c r="O1318" s="25">
        <f t="shared" si="464"/>
        <v>1502200999739</v>
      </c>
      <c r="P1318" s="23">
        <v>654898651616</v>
      </c>
      <c r="Q1318" s="23">
        <f>708282903403+113703929084</f>
        <v>821986832487</v>
      </c>
      <c r="R1318" s="25">
        <f t="shared" si="465"/>
        <v>20480675480546</v>
      </c>
      <c r="S1318" s="26">
        <f t="shared" si="466"/>
        <v>0.7278330086308239</v>
      </c>
      <c r="T1318" s="27">
        <f t="shared" si="467"/>
        <v>1.3160335907015335</v>
      </c>
      <c r="U1318" s="26">
        <f t="shared" si="468"/>
        <v>29.50969540537611</v>
      </c>
      <c r="V1318" s="26">
        <f t="shared" si="469"/>
        <v>6.3840647157680674</v>
      </c>
      <c r="W1318" s="143"/>
      <c r="X1318" s="143"/>
      <c r="Y1318" s="143"/>
      <c r="Z1318" s="30">
        <f t="shared" si="486"/>
        <v>0</v>
      </c>
      <c r="AA1318" s="31">
        <f t="shared" si="470"/>
        <v>24</v>
      </c>
      <c r="AB1318" s="32">
        <v>1.84E-2</v>
      </c>
      <c r="AC1318" s="32">
        <v>2.58E-2</v>
      </c>
      <c r="AD1318" s="33">
        <f t="shared" si="391"/>
        <v>0.229525091647271</v>
      </c>
      <c r="AE1318" s="34">
        <f t="shared" si="392"/>
        <v>0.10006362201726214</v>
      </c>
      <c r="AF1318" s="33">
        <f t="shared" si="393"/>
        <v>3.1292942272619193</v>
      </c>
      <c r="AG1318" s="33">
        <f t="shared" si="394"/>
        <v>0</v>
      </c>
      <c r="AH1318" s="35">
        <f t="shared" si="395"/>
        <v>4.4720253637947831</v>
      </c>
      <c r="AI1318" s="36">
        <f t="shared" si="476"/>
        <v>15.214215494560008</v>
      </c>
      <c r="AJ1318" s="23"/>
      <c r="AK1318" s="158">
        <v>509</v>
      </c>
      <c r="AL1318" s="44"/>
      <c r="AM1318" s="44"/>
      <c r="AN1318" s="44"/>
      <c r="AO1318" s="44"/>
      <c r="AP1318" s="44"/>
      <c r="AQ1318" s="44"/>
      <c r="AR1318" s="44"/>
    </row>
    <row r="1319" spans="1:44" ht="16.8">
      <c r="A1319" s="74" t="s">
        <v>2710</v>
      </c>
      <c r="B1319" s="75"/>
      <c r="C1319" s="71" t="s">
        <v>2708</v>
      </c>
      <c r="D1319" s="19" t="s">
        <v>2709</v>
      </c>
      <c r="E1319" s="20" t="s">
        <v>414</v>
      </c>
      <c r="F1319" s="161">
        <v>1997</v>
      </c>
      <c r="G1319" s="40">
        <v>2022</v>
      </c>
      <c r="H1319" s="23">
        <v>5782350104857</v>
      </c>
      <c r="I1319" s="23">
        <v>6355421123548</v>
      </c>
      <c r="J1319" s="23">
        <v>3932139390271</v>
      </c>
      <c r="K1319" s="23">
        <f t="shared" ref="K1319:K1320" si="489">AVERAGE(J1318:J1319)</f>
        <v>4347838645452.5</v>
      </c>
      <c r="L1319" s="23">
        <v>3882267103764</v>
      </c>
      <c r="M1319" s="23">
        <v>2423281733277</v>
      </c>
      <c r="N1319" s="23">
        <v>22107364604910</v>
      </c>
      <c r="O1319" s="25">
        <f t="shared" si="464"/>
        <v>1900083001093</v>
      </c>
      <c r="P1319" s="23">
        <v>683602346791</v>
      </c>
      <c r="Q1319" s="23">
        <f>722407497398+135818669800</f>
        <v>858226167198</v>
      </c>
      <c r="R1319" s="25">
        <f t="shared" si="465"/>
        <v>21249138437712</v>
      </c>
      <c r="S1319" s="26">
        <f t="shared" si="466"/>
        <v>0.61870634751514786</v>
      </c>
      <c r="T1319" s="27">
        <f t="shared" si="467"/>
        <v>1.4894261394974087</v>
      </c>
      <c r="U1319" s="26">
        <f t="shared" si="468"/>
        <v>29.480329284865075</v>
      </c>
      <c r="V1319" s="26">
        <f t="shared" si="469"/>
        <v>5.084679172267025</v>
      </c>
      <c r="W1319" s="76"/>
      <c r="X1319" s="76"/>
      <c r="Y1319" s="76"/>
      <c r="Z1319" s="30">
        <f t="shared" si="486"/>
        <v>0</v>
      </c>
      <c r="AA1319" s="31">
        <f t="shared" si="470"/>
        <v>25</v>
      </c>
      <c r="AB1319" s="32">
        <v>3.15E-2</v>
      </c>
      <c r="AC1319" s="32">
        <v>8.0199999999999994E-2</v>
      </c>
      <c r="AD1319" s="33">
        <f t="shared" si="391"/>
        <v>0.29897043235307325</v>
      </c>
      <c r="AE1319" s="34">
        <f t="shared" si="392"/>
        <v>0.10756208495108656</v>
      </c>
      <c r="AF1319" s="33">
        <f t="shared" si="393"/>
        <v>3.3434666286676187</v>
      </c>
      <c r="AG1319" s="33">
        <f t="shared" si="394"/>
        <v>0</v>
      </c>
      <c r="AH1319" s="35">
        <f t="shared" si="395"/>
        <v>5.6222230218004494</v>
      </c>
      <c r="AI1319" s="36">
        <f t="shared" si="476"/>
        <v>17.165014334158798</v>
      </c>
      <c r="AJ1319" s="76"/>
      <c r="AK1319" s="158">
        <v>510</v>
      </c>
    </row>
    <row r="1320" spans="1:44" ht="16.8">
      <c r="A1320" s="74" t="s">
        <v>2711</v>
      </c>
      <c r="B1320" s="75"/>
      <c r="C1320" s="71" t="s">
        <v>2708</v>
      </c>
      <c r="D1320" s="19" t="s">
        <v>2709</v>
      </c>
      <c r="E1320" s="20" t="s">
        <v>414</v>
      </c>
      <c r="F1320" s="161">
        <v>1997</v>
      </c>
      <c r="G1320" s="40">
        <v>2023</v>
      </c>
      <c r="H1320" s="23">
        <v>6802459424682</v>
      </c>
      <c r="I1320" s="23">
        <v>7459032967112</v>
      </c>
      <c r="J1320" s="23">
        <v>4832182530822</v>
      </c>
      <c r="K1320" s="23">
        <f t="shared" si="489"/>
        <v>4382160960546.5</v>
      </c>
      <c r="L1320" s="23">
        <v>4816000244315</v>
      </c>
      <c r="M1320" s="23">
        <v>2626850436290</v>
      </c>
      <c r="N1320" s="23">
        <v>18867240821638</v>
      </c>
      <c r="O1320" s="25">
        <f t="shared" si="464"/>
        <v>1986459180367</v>
      </c>
      <c r="P1320" s="23">
        <v>362591134271</v>
      </c>
      <c r="Q1320" s="23">
        <f>943855496764+198420426467</f>
        <v>1142275923231</v>
      </c>
      <c r="R1320" s="25">
        <f t="shared" si="465"/>
        <v>17724964898407</v>
      </c>
      <c r="S1320" s="26">
        <f t="shared" si="466"/>
        <v>0.64782962511733366</v>
      </c>
      <c r="T1320" s="27">
        <f t="shared" si="467"/>
        <v>1.4124707391183993</v>
      </c>
      <c r="U1320" s="26">
        <f t="shared" si="468"/>
        <v>29.640446892668184</v>
      </c>
      <c r="V1320" s="26">
        <f t="shared" si="469"/>
        <v>4.3054650414495645</v>
      </c>
      <c r="W1320" s="76"/>
      <c r="X1320" s="76"/>
      <c r="Y1320" s="76"/>
      <c r="Z1320" s="30">
        <f t="shared" si="486"/>
        <v>0</v>
      </c>
      <c r="AA1320" s="31">
        <f t="shared" si="470"/>
        <v>26</v>
      </c>
      <c r="AB1320" s="32">
        <v>3.2500000000000001E-2</v>
      </c>
      <c r="AC1320" s="32">
        <v>5.0500000000000003E-2</v>
      </c>
      <c r="AD1320" s="33">
        <f t="shared" si="391"/>
        <v>0.2663159137552546</v>
      </c>
      <c r="AE1320" s="34">
        <f t="shared" si="392"/>
        <v>4.861101108812884E-2</v>
      </c>
      <c r="AF1320" s="33">
        <f t="shared" si="393"/>
        <v>2.3763086953173476</v>
      </c>
      <c r="AG1320" s="33">
        <f t="shared" si="394"/>
        <v>0</v>
      </c>
      <c r="AH1320" s="35">
        <f t="shared" si="395"/>
        <v>3.9044967157787607</v>
      </c>
      <c r="AI1320" s="36">
        <f t="shared" si="476"/>
        <v>12.133949922355693</v>
      </c>
      <c r="AJ1320" s="76"/>
      <c r="AK1320" s="158">
        <v>511</v>
      </c>
    </row>
    <row r="1321" spans="1:44" ht="16.8">
      <c r="A1321" s="70" t="s">
        <v>2712</v>
      </c>
      <c r="B1321" s="71">
        <v>511</v>
      </c>
      <c r="C1321" s="71" t="s">
        <v>2713</v>
      </c>
      <c r="D1321" s="19" t="s">
        <v>2714</v>
      </c>
      <c r="E1321" s="20" t="s">
        <v>414</v>
      </c>
      <c r="F1321" s="21">
        <v>1980</v>
      </c>
      <c r="G1321" s="40">
        <v>2021</v>
      </c>
      <c r="H1321" s="23">
        <v>393899760544</v>
      </c>
      <c r="I1321" s="23">
        <v>531221432244</v>
      </c>
      <c r="J1321" s="23">
        <v>62638416897</v>
      </c>
      <c r="K1321" s="23">
        <f>AVERAGE(J1321,46745069786)</f>
        <v>54691743341.5</v>
      </c>
      <c r="L1321" s="23">
        <v>57112905017</v>
      </c>
      <c r="M1321" s="23">
        <v>468583015347</v>
      </c>
      <c r="N1321" s="23">
        <v>337422824214</v>
      </c>
      <c r="O1321" s="25">
        <f t="shared" si="464"/>
        <v>336786855527</v>
      </c>
      <c r="P1321" s="23">
        <v>90254477584</v>
      </c>
      <c r="Q1321" s="23">
        <f>102284808+15779182018</f>
        <v>15881466826</v>
      </c>
      <c r="R1321" s="25">
        <f t="shared" si="465"/>
        <v>321541357388</v>
      </c>
      <c r="S1321" s="26">
        <f t="shared" si="466"/>
        <v>0.1179139490520951</v>
      </c>
      <c r="T1321" s="27">
        <f t="shared" si="467"/>
        <v>6.8968608833109322</v>
      </c>
      <c r="U1321" s="26">
        <f t="shared" si="468"/>
        <v>26.998444781139604</v>
      </c>
      <c r="V1321" s="26">
        <f t="shared" si="469"/>
        <v>6.169538646941688</v>
      </c>
      <c r="W1321" s="143"/>
      <c r="X1321" s="143"/>
      <c r="Y1321" s="143"/>
      <c r="Z1321" s="30">
        <f t="shared" si="486"/>
        <v>0</v>
      </c>
      <c r="AA1321" s="31">
        <f t="shared" si="470"/>
        <v>41</v>
      </c>
      <c r="AB1321" s="32">
        <v>1.84E-2</v>
      </c>
      <c r="AC1321" s="32">
        <v>2.58E-2</v>
      </c>
      <c r="AD1321" s="33">
        <f t="shared" si="391"/>
        <v>0.63398582038442197</v>
      </c>
      <c r="AE1321" s="34">
        <f t="shared" si="392"/>
        <v>0.16989991763461912</v>
      </c>
      <c r="AF1321" s="33">
        <f t="shared" si="393"/>
        <v>0.6052868688481492</v>
      </c>
      <c r="AG1321" s="33">
        <f t="shared" si="394"/>
        <v>0</v>
      </c>
      <c r="AH1321" s="35">
        <f t="shared" si="395"/>
        <v>5.3868351233851266</v>
      </c>
      <c r="AI1321" s="36">
        <f t="shared" si="476"/>
        <v>8.3829246597337921</v>
      </c>
      <c r="AJ1321" s="23"/>
      <c r="AK1321" s="158">
        <v>512</v>
      </c>
      <c r="AL1321" s="44"/>
      <c r="AM1321" s="44"/>
      <c r="AN1321" s="44"/>
      <c r="AO1321" s="44"/>
      <c r="AP1321" s="44"/>
      <c r="AQ1321" s="44"/>
      <c r="AR1321" s="44"/>
    </row>
    <row r="1322" spans="1:44" ht="16.8">
      <c r="A1322" s="70" t="s">
        <v>2715</v>
      </c>
      <c r="B1322" s="71"/>
      <c r="C1322" s="71" t="s">
        <v>2713</v>
      </c>
      <c r="D1322" s="19" t="s">
        <v>2714</v>
      </c>
      <c r="E1322" s="20" t="s">
        <v>414</v>
      </c>
      <c r="F1322" s="21">
        <v>1980</v>
      </c>
      <c r="G1322" s="40">
        <v>2022</v>
      </c>
      <c r="H1322" s="23">
        <v>369280328082</v>
      </c>
      <c r="I1322" s="23">
        <v>491412663719</v>
      </c>
      <c r="J1322" s="23">
        <v>49046475371</v>
      </c>
      <c r="K1322" s="23">
        <f t="shared" ref="K1322:K1323" si="490">AVERAGE(J1321:J1322)</f>
        <v>55842446134</v>
      </c>
      <c r="L1322" s="23">
        <v>43092760650</v>
      </c>
      <c r="M1322" s="23">
        <v>442366188348</v>
      </c>
      <c r="N1322" s="23">
        <v>387820074803</v>
      </c>
      <c r="O1322" s="25">
        <f t="shared" si="464"/>
        <v>326187567432</v>
      </c>
      <c r="P1322" s="23">
        <v>52332261663</v>
      </c>
      <c r="Q1322" s="23">
        <f>13000000+16578967172</f>
        <v>16591967172</v>
      </c>
      <c r="R1322" s="25">
        <f t="shared" si="465"/>
        <v>371228107631</v>
      </c>
      <c r="S1322" s="26">
        <f t="shared" si="466"/>
        <v>9.9807105091304277E-2</v>
      </c>
      <c r="T1322" s="27">
        <f t="shared" si="467"/>
        <v>8.5694284263034337</v>
      </c>
      <c r="U1322" s="26">
        <f t="shared" si="468"/>
        <v>26.920550067395368</v>
      </c>
      <c r="V1322" s="26">
        <f t="shared" si="469"/>
        <v>6.9448976836076222</v>
      </c>
      <c r="W1322" s="143"/>
      <c r="X1322" s="143"/>
      <c r="Y1322" s="143"/>
      <c r="Z1322" s="30">
        <f t="shared" si="486"/>
        <v>0</v>
      </c>
      <c r="AA1322" s="31">
        <f t="shared" si="470"/>
        <v>42</v>
      </c>
      <c r="AB1322" s="32">
        <v>3.15E-2</v>
      </c>
      <c r="AC1322" s="32">
        <v>8.0199999999999994E-2</v>
      </c>
      <c r="AD1322" s="33">
        <f t="shared" si="391"/>
        <v>0.66377525756747868</v>
      </c>
      <c r="AE1322" s="34">
        <f t="shared" si="392"/>
        <v>0.10649351456869389</v>
      </c>
      <c r="AF1322" s="33">
        <f t="shared" si="393"/>
        <v>0.75543048651118194</v>
      </c>
      <c r="AG1322" s="33">
        <f t="shared" si="394"/>
        <v>0</v>
      </c>
      <c r="AH1322" s="35">
        <f t="shared" si="395"/>
        <v>7.9071956112937869</v>
      </c>
      <c r="AI1322" s="36">
        <f t="shared" si="476"/>
        <v>11.345737446257832</v>
      </c>
      <c r="AJ1322" s="23"/>
      <c r="AK1322" s="158">
        <v>513</v>
      </c>
      <c r="AL1322" s="44"/>
      <c r="AM1322" s="44"/>
      <c r="AN1322" s="44"/>
      <c r="AO1322" s="44"/>
      <c r="AP1322" s="44"/>
      <c r="AQ1322" s="44"/>
      <c r="AR1322" s="44"/>
    </row>
    <row r="1323" spans="1:44" ht="16.8">
      <c r="A1323" s="70" t="s">
        <v>2716</v>
      </c>
      <c r="B1323" s="71"/>
      <c r="C1323" s="71" t="s">
        <v>2713</v>
      </c>
      <c r="D1323" s="19" t="s">
        <v>2714</v>
      </c>
      <c r="E1323" s="20" t="s">
        <v>414</v>
      </c>
      <c r="F1323" s="21">
        <v>1980</v>
      </c>
      <c r="G1323" s="40">
        <v>2023</v>
      </c>
      <c r="H1323" s="23">
        <v>359926792107</v>
      </c>
      <c r="I1323" s="23">
        <v>469095957351</v>
      </c>
      <c r="J1323" s="23">
        <v>58327753502</v>
      </c>
      <c r="K1323" s="23">
        <f t="shared" si="490"/>
        <v>53687114436.5</v>
      </c>
      <c r="L1323" s="23">
        <v>51926646930</v>
      </c>
      <c r="M1323" s="23">
        <v>410768203849</v>
      </c>
      <c r="N1323" s="23">
        <v>375398153999</v>
      </c>
      <c r="O1323" s="25">
        <f t="shared" si="464"/>
        <v>308000145177</v>
      </c>
      <c r="P1323" s="23">
        <v>87053668250</v>
      </c>
      <c r="Q1323" s="23">
        <f>77214991+30422741042</f>
        <v>30499956033</v>
      </c>
      <c r="R1323" s="25">
        <f t="shared" si="465"/>
        <v>344898197966</v>
      </c>
      <c r="S1323" s="26">
        <f t="shared" si="466"/>
        <v>0.12434077204881215</v>
      </c>
      <c r="T1323" s="27">
        <f t="shared" si="467"/>
        <v>6.9314468271406255</v>
      </c>
      <c r="U1323" s="26">
        <f t="shared" si="468"/>
        <v>26.874073184360508</v>
      </c>
      <c r="V1323" s="26">
        <f t="shared" si="469"/>
        <v>6.9923324793887573</v>
      </c>
      <c r="W1323" s="143"/>
      <c r="X1323" s="143"/>
      <c r="Y1323" s="143"/>
      <c r="Z1323" s="30">
        <f t="shared" si="486"/>
        <v>0</v>
      </c>
      <c r="AA1323" s="31">
        <f t="shared" si="470"/>
        <v>43</v>
      </c>
      <c r="AB1323" s="32">
        <v>3.2500000000000001E-2</v>
      </c>
      <c r="AC1323" s="32">
        <v>5.0500000000000003E-2</v>
      </c>
      <c r="AD1323" s="33">
        <f t="shared" si="391"/>
        <v>0.65658239076773706</v>
      </c>
      <c r="AE1323" s="34">
        <f t="shared" si="392"/>
        <v>0.18557752819187542</v>
      </c>
      <c r="AF1323" s="33">
        <f t="shared" si="393"/>
        <v>0.73524018393518298</v>
      </c>
      <c r="AG1323" s="33">
        <f t="shared" si="394"/>
        <v>0</v>
      </c>
      <c r="AH1323" s="35">
        <f t="shared" si="395"/>
        <v>6.4360125576605309</v>
      </c>
      <c r="AI1323" s="36">
        <f t="shared" si="476"/>
        <v>9.9100125730365445</v>
      </c>
      <c r="AJ1323" s="23"/>
      <c r="AK1323" s="158">
        <v>514</v>
      </c>
      <c r="AL1323" s="44"/>
      <c r="AM1323" s="44"/>
      <c r="AN1323" s="44"/>
      <c r="AO1323" s="44"/>
      <c r="AP1323" s="44"/>
      <c r="AQ1323" s="44"/>
      <c r="AR1323" s="44"/>
    </row>
    <row r="1324" spans="1:44" ht="16.8">
      <c r="A1324" s="70" t="s">
        <v>2717</v>
      </c>
      <c r="B1324" s="71">
        <v>512</v>
      </c>
      <c r="C1324" s="71" t="s">
        <v>2718</v>
      </c>
      <c r="D1324" s="19" t="s">
        <v>2719</v>
      </c>
      <c r="E1324" s="20" t="s">
        <v>414</v>
      </c>
      <c r="F1324" s="21">
        <v>1994</v>
      </c>
      <c r="G1324" s="40">
        <v>2021</v>
      </c>
      <c r="H1324" s="23">
        <v>1170473262002</v>
      </c>
      <c r="I1324" s="23">
        <v>2401267067536</v>
      </c>
      <c r="J1324" s="23">
        <v>704171341216</v>
      </c>
      <c r="K1324" s="23">
        <f>AVERAGE(J1324,889384700833)</f>
        <v>796778021024.5</v>
      </c>
      <c r="L1324" s="23">
        <v>704171341216</v>
      </c>
      <c r="M1324" s="23">
        <v>1697095726320</v>
      </c>
      <c r="N1324" s="23">
        <v>4164826385369</v>
      </c>
      <c r="O1324" s="25">
        <f t="shared" si="464"/>
        <v>466301920786</v>
      </c>
      <c r="P1324" s="23">
        <v>481340230615</v>
      </c>
      <c r="Q1324" s="23">
        <f>120440937631+41692957953</f>
        <v>162133895584</v>
      </c>
      <c r="R1324" s="25">
        <f t="shared" si="465"/>
        <v>4002692489785</v>
      </c>
      <c r="S1324" s="26">
        <f t="shared" si="466"/>
        <v>0.29324990574187476</v>
      </c>
      <c r="T1324" s="27">
        <f t="shared" si="467"/>
        <v>1.6621995152213458</v>
      </c>
      <c r="U1324" s="26">
        <f t="shared" si="468"/>
        <v>28.507017658775286</v>
      </c>
      <c r="V1324" s="26">
        <f t="shared" si="469"/>
        <v>5.2270849288913013</v>
      </c>
      <c r="W1324" s="143"/>
      <c r="X1324" s="143"/>
      <c r="Y1324" s="143"/>
      <c r="Z1324" s="30">
        <f t="shared" si="486"/>
        <v>0</v>
      </c>
      <c r="AA1324" s="31">
        <f t="shared" si="470"/>
        <v>27</v>
      </c>
      <c r="AB1324" s="32">
        <v>1.84E-2</v>
      </c>
      <c r="AC1324" s="32">
        <v>2.58E-2</v>
      </c>
      <c r="AD1324" s="33">
        <f t="shared" si="391"/>
        <v>0.19418994542097479</v>
      </c>
      <c r="AE1324" s="34">
        <f t="shared" si="392"/>
        <v>0.20045260151296507</v>
      </c>
      <c r="AF1324" s="33">
        <f t="shared" si="393"/>
        <v>1.6669085017237431</v>
      </c>
      <c r="AG1324" s="33">
        <f t="shared" si="394"/>
        <v>0</v>
      </c>
      <c r="AH1324" s="35">
        <f t="shared" si="395"/>
        <v>5.9145070831439392</v>
      </c>
      <c r="AI1324" s="36">
        <f t="shared" si="476"/>
        <v>11.928966715455612</v>
      </c>
      <c r="AJ1324" s="23"/>
      <c r="AK1324" s="158">
        <v>515</v>
      </c>
      <c r="AL1324" s="44"/>
      <c r="AM1324" s="44"/>
      <c r="AN1324" s="44"/>
      <c r="AO1324" s="44"/>
      <c r="AP1324" s="44"/>
      <c r="AQ1324" s="44"/>
      <c r="AR1324" s="44"/>
    </row>
    <row r="1325" spans="1:44" ht="16.8">
      <c r="A1325" s="70" t="s">
        <v>2720</v>
      </c>
      <c r="B1325" s="71"/>
      <c r="C1325" s="71" t="s">
        <v>2718</v>
      </c>
      <c r="D1325" s="19" t="s">
        <v>2719</v>
      </c>
      <c r="E1325" s="20" t="s">
        <v>414</v>
      </c>
      <c r="F1325" s="21">
        <v>1994</v>
      </c>
      <c r="G1325" s="40">
        <v>2022</v>
      </c>
      <c r="H1325" s="23">
        <v>1662756369635</v>
      </c>
      <c r="I1325" s="23">
        <v>2882483173364</v>
      </c>
      <c r="J1325" s="23">
        <v>1131127570739</v>
      </c>
      <c r="K1325" s="23">
        <f t="shared" ref="K1325:K1326" si="491">AVERAGE(J1324:J1325)</f>
        <v>917649455977.5</v>
      </c>
      <c r="L1325" s="23">
        <v>1131127570739</v>
      </c>
      <c r="M1325" s="23">
        <v>1751355602625</v>
      </c>
      <c r="N1325" s="23">
        <v>3935865493523</v>
      </c>
      <c r="O1325" s="25">
        <f t="shared" si="464"/>
        <v>531628798896</v>
      </c>
      <c r="P1325" s="23">
        <v>379458584417</v>
      </c>
      <c r="Q1325" s="23">
        <f>119423890402+38049892173</f>
        <v>157473782575</v>
      </c>
      <c r="R1325" s="25">
        <f t="shared" si="465"/>
        <v>3778391710948</v>
      </c>
      <c r="S1325" s="26">
        <f t="shared" si="466"/>
        <v>0.39241428404208806</v>
      </c>
      <c r="T1325" s="27">
        <f t="shared" si="467"/>
        <v>1.4699989750481202</v>
      </c>
      <c r="U1325" s="26">
        <f t="shared" si="468"/>
        <v>28.689673251557931</v>
      </c>
      <c r="V1325" s="26">
        <f t="shared" si="469"/>
        <v>4.2890729873864863</v>
      </c>
      <c r="W1325" s="143"/>
      <c r="X1325" s="143"/>
      <c r="Y1325" s="143"/>
      <c r="Z1325" s="30">
        <f t="shared" si="486"/>
        <v>0</v>
      </c>
      <c r="AA1325" s="31">
        <f t="shared" si="470"/>
        <v>28</v>
      </c>
      <c r="AB1325" s="32">
        <v>3.15E-2</v>
      </c>
      <c r="AC1325" s="32">
        <v>8.0199999999999994E-2</v>
      </c>
      <c r="AD1325" s="33">
        <f t="shared" si="391"/>
        <v>0.18443431129402327</v>
      </c>
      <c r="AE1325" s="34">
        <f t="shared" si="392"/>
        <v>0.13164294866434662</v>
      </c>
      <c r="AF1325" s="33">
        <f t="shared" si="393"/>
        <v>1.3108113677341715</v>
      </c>
      <c r="AG1325" s="33">
        <f t="shared" si="394"/>
        <v>0</v>
      </c>
      <c r="AH1325" s="35">
        <f t="shared" si="395"/>
        <v>3.4795946941259506</v>
      </c>
      <c r="AI1325" s="36">
        <f t="shared" si="476"/>
        <v>8.2108935093316298</v>
      </c>
      <c r="AJ1325" s="23"/>
      <c r="AK1325" s="158">
        <v>516</v>
      </c>
      <c r="AL1325" s="44"/>
      <c r="AM1325" s="44"/>
      <c r="AN1325" s="44"/>
      <c r="AO1325" s="44"/>
      <c r="AP1325" s="44"/>
      <c r="AQ1325" s="44"/>
      <c r="AR1325" s="44"/>
    </row>
    <row r="1326" spans="1:44" ht="16.8">
      <c r="A1326" s="70" t="s">
        <v>2721</v>
      </c>
      <c r="B1326" s="71"/>
      <c r="C1326" s="71" t="s">
        <v>2718</v>
      </c>
      <c r="D1326" s="19" t="s">
        <v>2719</v>
      </c>
      <c r="E1326" s="20" t="s">
        <v>414</v>
      </c>
      <c r="F1326" s="21">
        <v>1994</v>
      </c>
      <c r="G1326" s="40">
        <v>2023</v>
      </c>
      <c r="H1326" s="23">
        <v>1785334756725</v>
      </c>
      <c r="I1326" s="23">
        <v>2915097525252</v>
      </c>
      <c r="J1326" s="23">
        <v>1063193325576</v>
      </c>
      <c r="K1326" s="23">
        <f t="shared" si="491"/>
        <v>1097160448157.5</v>
      </c>
      <c r="L1326" s="23">
        <v>1062496403155</v>
      </c>
      <c r="M1326" s="23">
        <v>1851904199676</v>
      </c>
      <c r="N1326" s="23">
        <v>3261255035745</v>
      </c>
      <c r="O1326" s="25">
        <f t="shared" si="464"/>
        <v>722838353570</v>
      </c>
      <c r="P1326" s="23">
        <v>309338388739</v>
      </c>
      <c r="Q1326" s="23">
        <f>108078537833+37809201984</f>
        <v>145887739817</v>
      </c>
      <c r="R1326" s="25">
        <f t="shared" si="465"/>
        <v>3115367295928</v>
      </c>
      <c r="S1326" s="26">
        <f t="shared" si="466"/>
        <v>0.36471964192144501</v>
      </c>
      <c r="T1326" s="27">
        <f t="shared" si="467"/>
        <v>1.6803207534854594</v>
      </c>
      <c r="U1326" s="26">
        <f t="shared" si="468"/>
        <v>28.700924391518523</v>
      </c>
      <c r="V1326" s="26">
        <f t="shared" si="469"/>
        <v>2.9724504207399565</v>
      </c>
      <c r="W1326" s="143"/>
      <c r="X1326" s="143"/>
      <c r="Y1326" s="143"/>
      <c r="Z1326" s="30">
        <f t="shared" si="486"/>
        <v>0</v>
      </c>
      <c r="AA1326" s="31">
        <f t="shared" si="470"/>
        <v>29</v>
      </c>
      <c r="AB1326" s="32">
        <v>3.2500000000000001E-2</v>
      </c>
      <c r="AC1326" s="32">
        <v>5.0500000000000003E-2</v>
      </c>
      <c r="AD1326" s="33">
        <f t="shared" si="391"/>
        <v>0.2479636949736401</v>
      </c>
      <c r="AE1326" s="34">
        <f t="shared" si="392"/>
        <v>0.10611596560984997</v>
      </c>
      <c r="AF1326" s="33">
        <f t="shared" si="393"/>
        <v>1.0687008818542658</v>
      </c>
      <c r="AG1326" s="33">
        <f t="shared" si="394"/>
        <v>0</v>
      </c>
      <c r="AH1326" s="35">
        <f t="shared" si="395"/>
        <v>3.0674148880479182</v>
      </c>
      <c r="AI1326" s="36">
        <f t="shared" si="476"/>
        <v>7.0402465839891528</v>
      </c>
      <c r="AJ1326" s="23"/>
      <c r="AK1326" s="158">
        <v>517</v>
      </c>
      <c r="AL1326" s="44"/>
      <c r="AM1326" s="44"/>
      <c r="AN1326" s="44"/>
      <c r="AO1326" s="44"/>
      <c r="AP1326" s="44"/>
      <c r="AQ1326" s="44"/>
      <c r="AR1326" s="44"/>
    </row>
    <row r="1327" spans="1:44" ht="16.8">
      <c r="A1327" s="70" t="s">
        <v>2722</v>
      </c>
      <c r="B1327" s="71">
        <v>513</v>
      </c>
      <c r="C1327" s="71" t="s">
        <v>2723</v>
      </c>
      <c r="D1327" s="19" t="s">
        <v>2724</v>
      </c>
      <c r="E1327" s="20" t="s">
        <v>414</v>
      </c>
      <c r="F1327" s="161">
        <v>1974</v>
      </c>
      <c r="G1327" s="40">
        <v>2021</v>
      </c>
      <c r="H1327" s="23">
        <v>3727292944320</v>
      </c>
      <c r="I1327" s="23">
        <v>4617666192702</v>
      </c>
      <c r="J1327" s="23">
        <v>824522565569</v>
      </c>
      <c r="K1327" s="23">
        <f>AVERAGE(J1327,879464107014)</f>
        <v>851993336291.5</v>
      </c>
      <c r="L1327" s="23">
        <v>757715602158</v>
      </c>
      <c r="M1327" s="23">
        <v>3793143627133</v>
      </c>
      <c r="N1327" s="23">
        <v>4522014622470</v>
      </c>
      <c r="O1327" s="25">
        <f t="shared" si="464"/>
        <v>2969577342162</v>
      </c>
      <c r="P1327" s="23">
        <v>776284793787</v>
      </c>
      <c r="Q1327" s="23">
        <f>802955208315+257171743291</f>
        <v>1060126951606</v>
      </c>
      <c r="R1327" s="25">
        <f t="shared" si="465"/>
        <v>3461887670864</v>
      </c>
      <c r="S1327" s="26">
        <f t="shared" si="466"/>
        <v>0.17855828705680771</v>
      </c>
      <c r="T1327" s="27">
        <f t="shared" si="467"/>
        <v>4.9191186425415312</v>
      </c>
      <c r="U1327" s="26">
        <f t="shared" si="468"/>
        <v>29.16091054029458</v>
      </c>
      <c r="V1327" s="26">
        <f t="shared" si="469"/>
        <v>5.3075704114695599</v>
      </c>
      <c r="W1327" s="143"/>
      <c r="X1327" s="143"/>
      <c r="Y1327" s="143"/>
      <c r="Z1327" s="30">
        <f t="shared" si="486"/>
        <v>0</v>
      </c>
      <c r="AA1327" s="31">
        <f t="shared" si="470"/>
        <v>47</v>
      </c>
      <c r="AB1327" s="32">
        <v>1.84E-2</v>
      </c>
      <c r="AC1327" s="32">
        <v>2.58E-2</v>
      </c>
      <c r="AD1327" s="33">
        <f t="shared" si="391"/>
        <v>0.64309051764184999</v>
      </c>
      <c r="AE1327" s="34">
        <f t="shared" si="392"/>
        <v>0.16811193390589405</v>
      </c>
      <c r="AF1327" s="33">
        <f t="shared" si="393"/>
        <v>0.74970505151181077</v>
      </c>
      <c r="AG1327" s="33">
        <f t="shared" si="394"/>
        <v>0</v>
      </c>
      <c r="AH1327" s="35">
        <f t="shared" si="395"/>
        <v>5.484403715924226</v>
      </c>
      <c r="AI1327" s="36">
        <f t="shared" si="476"/>
        <v>8.9654957145516718</v>
      </c>
      <c r="AJ1327" s="23"/>
      <c r="AK1327" s="158">
        <v>518</v>
      </c>
      <c r="AL1327" s="44"/>
      <c r="AM1327" s="44"/>
      <c r="AN1327" s="44"/>
      <c r="AO1327" s="44"/>
      <c r="AP1327" s="44"/>
      <c r="AQ1327" s="44"/>
      <c r="AR1327" s="44"/>
    </row>
    <row r="1328" spans="1:44" ht="16.8">
      <c r="A1328" s="70" t="s">
        <v>2725</v>
      </c>
      <c r="B1328" s="71"/>
      <c r="C1328" s="71" t="s">
        <v>2723</v>
      </c>
      <c r="D1328" s="19" t="s">
        <v>2724</v>
      </c>
      <c r="E1328" s="20" t="s">
        <v>414</v>
      </c>
      <c r="F1328" s="161">
        <v>1974</v>
      </c>
      <c r="G1328" s="40">
        <v>2022</v>
      </c>
      <c r="H1328" s="23">
        <v>4218772327716</v>
      </c>
      <c r="I1328" s="23">
        <v>5168186502845</v>
      </c>
      <c r="J1328" s="23">
        <v>876649599388</v>
      </c>
      <c r="K1328" s="23">
        <f t="shared" ref="K1328:K1329" si="492">AVERAGE(J1327:J1328)</f>
        <v>850586082478.5</v>
      </c>
      <c r="L1328" s="23">
        <v>811536702268</v>
      </c>
      <c r="M1328" s="23">
        <v>4291536903457</v>
      </c>
      <c r="N1328" s="23">
        <v>5181739797774</v>
      </c>
      <c r="O1328" s="25">
        <f t="shared" si="464"/>
        <v>3407235625448</v>
      </c>
      <c r="P1328" s="23">
        <v>988454646072</v>
      </c>
      <c r="Q1328" s="23">
        <f>913204497923+268212758590</f>
        <v>1181417256513</v>
      </c>
      <c r="R1328" s="25">
        <f t="shared" si="465"/>
        <v>4000322541261</v>
      </c>
      <c r="S1328" s="26">
        <f t="shared" si="466"/>
        <v>0.16962421903803571</v>
      </c>
      <c r="T1328" s="27">
        <f t="shared" si="467"/>
        <v>5.1984984978816184</v>
      </c>
      <c r="U1328" s="26">
        <f t="shared" si="468"/>
        <v>29.273542969769494</v>
      </c>
      <c r="V1328" s="26">
        <f t="shared" si="469"/>
        <v>6.0919640051893014</v>
      </c>
      <c r="W1328" s="143"/>
      <c r="X1328" s="143"/>
      <c r="Y1328" s="143"/>
      <c r="Z1328" s="30">
        <f t="shared" si="486"/>
        <v>0</v>
      </c>
      <c r="AA1328" s="31">
        <f t="shared" si="470"/>
        <v>48</v>
      </c>
      <c r="AB1328" s="32">
        <v>3.15E-2</v>
      </c>
      <c r="AC1328" s="32">
        <v>8.0199999999999994E-2</v>
      </c>
      <c r="AD1328" s="33">
        <f t="shared" si="391"/>
        <v>0.65927102738501675</v>
      </c>
      <c r="AE1328" s="34">
        <f t="shared" si="392"/>
        <v>0.19125754179495502</v>
      </c>
      <c r="AF1328" s="33">
        <f t="shared" si="393"/>
        <v>0.77402828614232277</v>
      </c>
      <c r="AG1328" s="33">
        <f t="shared" si="394"/>
        <v>0</v>
      </c>
      <c r="AH1328" s="35">
        <f t="shared" si="395"/>
        <v>5.910844881913409</v>
      </c>
      <c r="AI1328" s="36">
        <f t="shared" si="476"/>
        <v>9.5240240175580304</v>
      </c>
      <c r="AJ1328" s="23"/>
      <c r="AK1328" s="158">
        <v>519</v>
      </c>
      <c r="AL1328" s="44"/>
      <c r="AM1328" s="44"/>
      <c r="AN1328" s="44"/>
      <c r="AO1328" s="44"/>
      <c r="AP1328" s="44"/>
      <c r="AQ1328" s="44"/>
      <c r="AR1328" s="44"/>
    </row>
    <row r="1329" spans="1:44" ht="16.8">
      <c r="A1329" s="70" t="s">
        <v>2726</v>
      </c>
      <c r="B1329" s="71"/>
      <c r="C1329" s="71" t="s">
        <v>2723</v>
      </c>
      <c r="D1329" s="19" t="s">
        <v>2724</v>
      </c>
      <c r="E1329" s="20" t="s">
        <v>414</v>
      </c>
      <c r="F1329" s="161">
        <v>1974</v>
      </c>
      <c r="G1329" s="40">
        <v>2023</v>
      </c>
      <c r="H1329" s="23">
        <v>4642192911354</v>
      </c>
      <c r="I1329" s="23">
        <v>6110474220572</v>
      </c>
      <c r="J1329" s="23">
        <v>1257539546302</v>
      </c>
      <c r="K1329" s="23">
        <f t="shared" si="492"/>
        <v>1067094572845</v>
      </c>
      <c r="L1329" s="23">
        <v>1189241981081</v>
      </c>
      <c r="M1329" s="23">
        <v>4852934674270</v>
      </c>
      <c r="N1329" s="23">
        <v>5767734511921</v>
      </c>
      <c r="O1329" s="25">
        <f t="shared" si="464"/>
        <v>3452950930273</v>
      </c>
      <c r="P1329" s="23">
        <v>1050662658695</v>
      </c>
      <c r="Q1329" s="23">
        <f>978424470755+312839173012</f>
        <v>1291263643767</v>
      </c>
      <c r="R1329" s="25">
        <f t="shared" si="465"/>
        <v>4476470868154</v>
      </c>
      <c r="S1329" s="26">
        <f t="shared" si="466"/>
        <v>0.20580064671057266</v>
      </c>
      <c r="T1329" s="27">
        <f t="shared" si="467"/>
        <v>3.9034889326176732</v>
      </c>
      <c r="U1329" s="26">
        <f t="shared" si="468"/>
        <v>29.441025499941826</v>
      </c>
      <c r="V1329" s="26">
        <f t="shared" si="469"/>
        <v>5.4050827908753574</v>
      </c>
      <c r="W1329" s="143"/>
      <c r="X1329" s="143"/>
      <c r="Y1329" s="143"/>
      <c r="Z1329" s="30">
        <f t="shared" si="486"/>
        <v>0</v>
      </c>
      <c r="AA1329" s="31">
        <f t="shared" si="470"/>
        <v>49</v>
      </c>
      <c r="AB1329" s="32">
        <v>3.2500000000000001E-2</v>
      </c>
      <c r="AC1329" s="32">
        <v>5.0500000000000003E-2</v>
      </c>
      <c r="AD1329" s="33">
        <f t="shared" si="391"/>
        <v>0.56508722656058763</v>
      </c>
      <c r="AE1329" s="34">
        <f t="shared" si="392"/>
        <v>0.1719445366707803</v>
      </c>
      <c r="AF1329" s="33">
        <f t="shared" si="393"/>
        <v>0.73258976415990162</v>
      </c>
      <c r="AG1329" s="33">
        <f t="shared" si="394"/>
        <v>0</v>
      </c>
      <c r="AH1329" s="35">
        <f t="shared" si="395"/>
        <v>4.586523365314406</v>
      </c>
      <c r="AI1329" s="36">
        <f t="shared" si="476"/>
        <v>7.9228966102538791</v>
      </c>
      <c r="AJ1329" s="23"/>
      <c r="AK1329" s="158">
        <v>520</v>
      </c>
      <c r="AL1329" s="44"/>
      <c r="AM1329" s="44"/>
      <c r="AN1329" s="44"/>
      <c r="AO1329" s="44"/>
      <c r="AP1329" s="44"/>
      <c r="AQ1329" s="44"/>
      <c r="AR1329" s="44"/>
    </row>
    <row r="1330" spans="1:44" ht="16.8">
      <c r="A1330" s="70" t="s">
        <v>2727</v>
      </c>
      <c r="B1330" s="71">
        <v>514</v>
      </c>
      <c r="C1330" s="71" t="s">
        <v>2728</v>
      </c>
      <c r="D1330" s="19" t="s">
        <v>2729</v>
      </c>
      <c r="E1330" s="20" t="s">
        <v>414</v>
      </c>
      <c r="F1330" s="21">
        <v>2003</v>
      </c>
      <c r="G1330" s="40">
        <v>2021</v>
      </c>
      <c r="H1330" s="23">
        <v>280595055830</v>
      </c>
      <c r="I1330" s="23">
        <v>536444838413</v>
      </c>
      <c r="J1330" s="23">
        <v>191053610958</v>
      </c>
      <c r="K1330" s="23">
        <f>AVERAGE(J1330,240690562763)</f>
        <v>215872086860.5</v>
      </c>
      <c r="L1330" s="23">
        <v>191053610958</v>
      </c>
      <c r="M1330" s="23">
        <v>345391227455</v>
      </c>
      <c r="N1330" s="23">
        <v>1396170445624</v>
      </c>
      <c r="O1330" s="25">
        <f t="shared" si="464"/>
        <v>89541444872</v>
      </c>
      <c r="P1330" s="23">
        <v>67739075401</v>
      </c>
      <c r="Q1330" s="23">
        <f>4996580725+5991783417</f>
        <v>10988364142</v>
      </c>
      <c r="R1330" s="25">
        <f t="shared" si="465"/>
        <v>1385182081482</v>
      </c>
      <c r="S1330" s="26">
        <f t="shared" si="466"/>
        <v>0.35614772904369152</v>
      </c>
      <c r="T1330" s="27">
        <f t="shared" si="467"/>
        <v>1.4686718268396624</v>
      </c>
      <c r="U1330" s="26">
        <f t="shared" si="468"/>
        <v>27.008229576234346</v>
      </c>
      <c r="V1330" s="26">
        <f t="shared" si="469"/>
        <v>6.4675821034992254</v>
      </c>
      <c r="W1330" s="143"/>
      <c r="X1330" s="143"/>
      <c r="Y1330" s="143"/>
      <c r="Z1330" s="30">
        <f t="shared" si="486"/>
        <v>0</v>
      </c>
      <c r="AA1330" s="31">
        <f t="shared" si="470"/>
        <v>18</v>
      </c>
      <c r="AB1330" s="32">
        <v>1.84E-2</v>
      </c>
      <c r="AC1330" s="32">
        <v>2.58E-2</v>
      </c>
      <c r="AD1330" s="33">
        <f t="shared" si="391"/>
        <v>0.16691640679570399</v>
      </c>
      <c r="AE1330" s="34">
        <f t="shared" si="392"/>
        <v>0.12627407433240845</v>
      </c>
      <c r="AF1330" s="33">
        <f t="shared" si="393"/>
        <v>2.5821519423690891</v>
      </c>
      <c r="AG1330" s="33">
        <f t="shared" si="394"/>
        <v>0</v>
      </c>
      <c r="AH1330" s="35">
        <f t="shared" si="395"/>
        <v>7.3077417308324266</v>
      </c>
      <c r="AI1330" s="36">
        <f t="shared" si="476"/>
        <v>16.205926532870635</v>
      </c>
      <c r="AJ1330" s="23"/>
      <c r="AK1330" s="158">
        <v>521</v>
      </c>
      <c r="AL1330" s="44"/>
      <c r="AM1330" s="44"/>
      <c r="AN1330" s="44"/>
      <c r="AO1330" s="44"/>
      <c r="AP1330" s="44"/>
      <c r="AQ1330" s="44"/>
      <c r="AR1330" s="44"/>
    </row>
    <row r="1331" spans="1:44" ht="16.8">
      <c r="A1331" s="74" t="s">
        <v>2730</v>
      </c>
      <c r="B1331" s="75"/>
      <c r="C1331" s="71" t="s">
        <v>2728</v>
      </c>
      <c r="D1331" s="19" t="s">
        <v>2729</v>
      </c>
      <c r="E1331" s="20" t="s">
        <v>414</v>
      </c>
      <c r="F1331" s="21">
        <v>2003</v>
      </c>
      <c r="G1331" s="40">
        <v>2022</v>
      </c>
      <c r="H1331" s="23">
        <v>315754404486</v>
      </c>
      <c r="I1331" s="23">
        <v>543419157207</v>
      </c>
      <c r="J1331" s="23">
        <v>196925681052</v>
      </c>
      <c r="K1331" s="23">
        <f t="shared" ref="K1331:K1332" si="493">AVERAGE(J1330:J1331)</f>
        <v>193989646005</v>
      </c>
      <c r="L1331" s="23">
        <v>195925681052</v>
      </c>
      <c r="M1331" s="23" t="s">
        <v>2731</v>
      </c>
      <c r="N1331" s="23">
        <v>1436122657629</v>
      </c>
      <c r="O1331" s="25">
        <f t="shared" si="464"/>
        <v>119828723434</v>
      </c>
      <c r="P1331" s="23">
        <v>1260215640</v>
      </c>
      <c r="Q1331" s="23">
        <f>1229103828+323944095</f>
        <v>1553047923</v>
      </c>
      <c r="R1331" s="25">
        <f t="shared" si="465"/>
        <v>1434569609706</v>
      </c>
      <c r="S1331" s="26">
        <f t="shared" si="466"/>
        <v>0.36238266251807311</v>
      </c>
      <c r="T1331" s="27">
        <f t="shared" si="467"/>
        <v>1.6116029444970854</v>
      </c>
      <c r="U1331" s="26">
        <f t="shared" si="468"/>
        <v>27.021146787654743</v>
      </c>
      <c r="V1331" s="26">
        <f t="shared" si="469"/>
        <v>7.4030892225659537</v>
      </c>
      <c r="W1331" s="76"/>
      <c r="X1331" s="76"/>
      <c r="Y1331" s="76"/>
      <c r="Z1331" s="30">
        <f t="shared" si="486"/>
        <v>0</v>
      </c>
      <c r="AA1331" s="31">
        <f t="shared" si="470"/>
        <v>19</v>
      </c>
      <c r="AB1331" s="32">
        <v>3.15E-2</v>
      </c>
      <c r="AC1331" s="32">
        <v>8.0199999999999994E-2</v>
      </c>
      <c r="AD1331" s="33">
        <f t="shared" si="391"/>
        <v>0.22050883161698084</v>
      </c>
      <c r="AE1331" s="34">
        <f t="shared" si="392"/>
        <v>2.3190489758901835E-3</v>
      </c>
      <c r="AF1331" s="33">
        <f t="shared" si="393"/>
        <v>2.6398951724102391</v>
      </c>
      <c r="AG1331" s="33">
        <f t="shared" si="394"/>
        <v>0</v>
      </c>
      <c r="AH1331" s="35">
        <f t="shared" si="395"/>
        <v>7.2927139312509421</v>
      </c>
      <c r="AI1331" s="36">
        <f t="shared" si="476"/>
        <v>16.272225266711352</v>
      </c>
      <c r="AJ1331" s="76" t="s">
        <v>2732</v>
      </c>
      <c r="AK1331" s="158">
        <v>522</v>
      </c>
    </row>
    <row r="1332" spans="1:44" ht="16.8">
      <c r="A1332" s="74" t="s">
        <v>2730</v>
      </c>
      <c r="B1332" s="75"/>
      <c r="C1332" s="71" t="s">
        <v>2728</v>
      </c>
      <c r="D1332" s="19" t="s">
        <v>2729</v>
      </c>
      <c r="E1332" s="20" t="s">
        <v>414</v>
      </c>
      <c r="F1332" s="21">
        <v>2003</v>
      </c>
      <c r="G1332" s="40">
        <v>2023</v>
      </c>
      <c r="H1332" s="23">
        <v>725305333237</v>
      </c>
      <c r="I1332" s="23">
        <v>932362800587</v>
      </c>
      <c r="J1332" s="23">
        <v>579891438561</v>
      </c>
      <c r="K1332" s="23">
        <f t="shared" si="493"/>
        <v>388408559806.5</v>
      </c>
      <c r="L1332" s="23">
        <v>578891438561</v>
      </c>
      <c r="M1332" s="23">
        <v>352471362027</v>
      </c>
      <c r="N1332" s="23">
        <v>2732173696473</v>
      </c>
      <c r="O1332" s="25">
        <f t="shared" si="464"/>
        <v>146413894676</v>
      </c>
      <c r="P1332" s="23">
        <v>5977885872</v>
      </c>
      <c r="Q1332" s="23">
        <f>916452867+4475462149</f>
        <v>5391915016</v>
      </c>
      <c r="R1332" s="25">
        <f t="shared" si="465"/>
        <v>2726781781457</v>
      </c>
      <c r="S1332" s="26">
        <f t="shared" si="466"/>
        <v>0.6219590037224888</v>
      </c>
      <c r="T1332" s="27">
        <f t="shared" si="467"/>
        <v>1.2529211609001396</v>
      </c>
      <c r="U1332" s="26">
        <f t="shared" si="468"/>
        <v>27.560987846901792</v>
      </c>
      <c r="V1332" s="26">
        <f t="shared" si="469"/>
        <v>7.034277766262754</v>
      </c>
      <c r="W1332" s="76"/>
      <c r="X1332" s="76"/>
      <c r="Y1332" s="76"/>
      <c r="Z1332" s="30">
        <f t="shared" si="486"/>
        <v>0</v>
      </c>
      <c r="AA1332" s="31">
        <f t="shared" si="470"/>
        <v>20</v>
      </c>
      <c r="AB1332" s="32">
        <v>3.2500000000000001E-2</v>
      </c>
      <c r="AC1332" s="32">
        <v>5.0500000000000003E-2</v>
      </c>
      <c r="AD1332" s="33">
        <f t="shared" si="391"/>
        <v>0.15703532421480165</v>
      </c>
      <c r="AE1332" s="34">
        <f t="shared" si="392"/>
        <v>6.411544806631521E-3</v>
      </c>
      <c r="AF1332" s="33">
        <f t="shared" si="393"/>
        <v>2.9245930658540473</v>
      </c>
      <c r="AG1332" s="33">
        <f t="shared" si="394"/>
        <v>0</v>
      </c>
      <c r="AH1332" s="35">
        <f t="shared" si="395"/>
        <v>4.7115261836817011</v>
      </c>
      <c r="AI1332" s="36">
        <f t="shared" si="476"/>
        <v>14.560101852787103</v>
      </c>
      <c r="AJ1332" s="76"/>
      <c r="AK1332" s="158">
        <v>523</v>
      </c>
    </row>
    <row r="1333" spans="1:44" ht="16.8">
      <c r="A1333" s="168" t="s">
        <v>2733</v>
      </c>
      <c r="B1333" s="71">
        <v>515</v>
      </c>
      <c r="C1333" s="71" t="s">
        <v>2734</v>
      </c>
      <c r="D1333" s="19" t="s">
        <v>2735</v>
      </c>
      <c r="E1333" s="20" t="s">
        <v>178</v>
      </c>
      <c r="F1333" s="166">
        <v>2005</v>
      </c>
      <c r="G1333" s="40">
        <v>2021</v>
      </c>
      <c r="H1333" s="23">
        <v>962599878156</v>
      </c>
      <c r="I1333" s="23">
        <v>1174155261110</v>
      </c>
      <c r="J1333" s="23">
        <v>1123070687524</v>
      </c>
      <c r="K1333" s="23">
        <f>AVERAGE(J1333,1376256229045)</f>
        <v>1249663458284.5</v>
      </c>
      <c r="L1333" s="23">
        <v>1123052757376</v>
      </c>
      <c r="M1333" s="23">
        <v>51084573586</v>
      </c>
      <c r="N1333" s="23">
        <v>1400111336129</v>
      </c>
      <c r="O1333" s="25">
        <f t="shared" si="464"/>
        <v>-160452879220</v>
      </c>
      <c r="P1333" s="23">
        <v>-42455473727</v>
      </c>
      <c r="Q1333" s="23">
        <f>75238726542+32242547674</f>
        <v>107481274216</v>
      </c>
      <c r="R1333" s="25">
        <f t="shared" si="465"/>
        <v>1292630061913</v>
      </c>
      <c r="S1333" s="26">
        <f t="shared" si="466"/>
        <v>0.9564924884484981</v>
      </c>
      <c r="T1333" s="27">
        <f t="shared" si="467"/>
        <v>0.85712792371847579</v>
      </c>
      <c r="U1333" s="26">
        <f t="shared" si="468"/>
        <v>27.79157007825804</v>
      </c>
      <c r="V1333" s="26">
        <f t="shared" si="469"/>
        <v>1.1203907154739328</v>
      </c>
      <c r="W1333" s="143"/>
      <c r="X1333" s="143"/>
      <c r="Y1333" s="143"/>
      <c r="Z1333" s="30">
        <f>W1333*Y1333</f>
        <v>0</v>
      </c>
      <c r="AA1333" s="31">
        <f t="shared" si="470"/>
        <v>16</v>
      </c>
      <c r="AB1333" s="32">
        <v>1.84E-2</v>
      </c>
      <c r="AC1333" s="32">
        <v>2.58E-2</v>
      </c>
      <c r="AD1333" s="33">
        <f t="shared" si="391"/>
        <v>-0.13665388601871459</v>
      </c>
      <c r="AE1333" s="34">
        <f t="shared" si="392"/>
        <v>-3.6158313242887721E-2</v>
      </c>
      <c r="AF1333" s="33">
        <f t="shared" si="393"/>
        <v>1.1009021589623493</v>
      </c>
      <c r="AG1333" s="33">
        <f t="shared" si="394"/>
        <v>0</v>
      </c>
      <c r="AH1333" s="35">
        <f t="shared" si="395"/>
        <v>1.2466813992054082</v>
      </c>
      <c r="AI1333" s="36">
        <f t="shared" si="476"/>
        <v>4.6650522220186605</v>
      </c>
      <c r="AJ1333" s="23"/>
      <c r="AK1333" s="23"/>
      <c r="AL1333" s="44"/>
      <c r="AM1333" s="44"/>
      <c r="AN1333" s="44"/>
      <c r="AO1333" s="44"/>
      <c r="AP1333" s="44"/>
      <c r="AQ1333" s="44"/>
      <c r="AR1333" s="44"/>
    </row>
    <row r="1334" spans="1:44" ht="16.8">
      <c r="A1334" s="169" t="s">
        <v>2736</v>
      </c>
      <c r="B1334" s="75"/>
      <c r="C1334" s="71" t="s">
        <v>2734</v>
      </c>
      <c r="D1334" s="19" t="s">
        <v>2735</v>
      </c>
      <c r="E1334" s="20" t="s">
        <v>178</v>
      </c>
      <c r="F1334" s="166">
        <v>2005</v>
      </c>
      <c r="G1334" s="40">
        <v>2022</v>
      </c>
      <c r="H1334" s="23">
        <v>934462368316</v>
      </c>
      <c r="I1334" s="23">
        <v>1126969796581</v>
      </c>
      <c r="J1334" s="23">
        <v>1183037438260</v>
      </c>
      <c r="K1334" s="23">
        <f t="shared" ref="K1334:K1335" si="494">AVERAGE(J1333:J1334)</f>
        <v>1153054062892</v>
      </c>
      <c r="L1334" s="23">
        <v>1183037438260</v>
      </c>
      <c r="M1334" s="23">
        <v>-56067641679</v>
      </c>
      <c r="N1334" s="23">
        <v>17276206749</v>
      </c>
      <c r="O1334" s="25">
        <f t="shared" si="464"/>
        <v>-248575069944</v>
      </c>
      <c r="P1334" s="23">
        <v>-107152215265</v>
      </c>
      <c r="Q1334" s="23">
        <f>1772093894+25550020000</f>
        <v>27322113894</v>
      </c>
      <c r="R1334" s="25">
        <f t="shared" si="465"/>
        <v>-10045907145</v>
      </c>
      <c r="S1334" s="26">
        <f t="shared" si="466"/>
        <v>1.0497507935430905</v>
      </c>
      <c r="T1334" s="27">
        <f t="shared" si="467"/>
        <v>0.78988402065314023</v>
      </c>
      <c r="U1334" s="26">
        <f t="shared" si="468"/>
        <v>27.750553550787668</v>
      </c>
      <c r="V1334" s="26">
        <f t="shared" si="469"/>
        <v>1.498299802670932E-2</v>
      </c>
      <c r="W1334" s="76"/>
      <c r="X1334" s="76"/>
      <c r="Y1334" s="76"/>
      <c r="Z1334" s="76"/>
      <c r="AA1334" s="31">
        <f t="shared" si="470"/>
        <v>17</v>
      </c>
      <c r="AB1334" s="32">
        <v>3.15E-2</v>
      </c>
      <c r="AC1334" s="32">
        <v>8.0199999999999994E-2</v>
      </c>
      <c r="AD1334" s="33">
        <f t="shared" si="391"/>
        <v>-0.22056941605544961</v>
      </c>
      <c r="AE1334" s="34">
        <f t="shared" si="392"/>
        <v>-9.5079935229922127E-2</v>
      </c>
      <c r="AF1334" s="33">
        <f t="shared" si="393"/>
        <v>-8.9140872945106999E-3</v>
      </c>
      <c r="AG1334" s="33">
        <f t="shared" si="394"/>
        <v>0</v>
      </c>
      <c r="AH1334" s="35">
        <f t="shared" si="395"/>
        <v>1.4603262914831907E-2</v>
      </c>
      <c r="AI1334" s="36">
        <f t="shared" si="476"/>
        <v>-0.41260843374548384</v>
      </c>
      <c r="AJ1334" s="76"/>
      <c r="AK1334" s="76"/>
    </row>
    <row r="1335" spans="1:44" ht="16.8">
      <c r="A1335" s="169" t="s">
        <v>2737</v>
      </c>
      <c r="B1335" s="75"/>
      <c r="C1335" s="71" t="s">
        <v>2734</v>
      </c>
      <c r="D1335" s="19" t="s">
        <v>2735</v>
      </c>
      <c r="E1335" s="20" t="s">
        <v>178</v>
      </c>
      <c r="F1335" s="166">
        <v>2005</v>
      </c>
      <c r="G1335" s="40">
        <v>2023</v>
      </c>
      <c r="H1335" s="23">
        <v>1053487015976</v>
      </c>
      <c r="I1335" s="23">
        <v>1228984980930</v>
      </c>
      <c r="J1335" s="23">
        <v>1284829553535</v>
      </c>
      <c r="K1335" s="23">
        <f t="shared" si="494"/>
        <v>1233933495897.5</v>
      </c>
      <c r="L1335" s="23">
        <v>1284829553535</v>
      </c>
      <c r="M1335" s="23">
        <v>-55844572605</v>
      </c>
      <c r="N1335" s="23">
        <v>1083381046776</v>
      </c>
      <c r="O1335" s="25">
        <f t="shared" si="464"/>
        <v>-231342537559</v>
      </c>
      <c r="P1335" s="23">
        <v>223069074</v>
      </c>
      <c r="Q1335" s="23">
        <f>1258810746+22091535960</f>
        <v>23350346706</v>
      </c>
      <c r="R1335" s="25">
        <f t="shared" si="465"/>
        <v>1060030700070</v>
      </c>
      <c r="S1335" s="26">
        <f t="shared" si="466"/>
        <v>1.0454395891500166</v>
      </c>
      <c r="T1335" s="27">
        <f t="shared" si="467"/>
        <v>0.81994301351296084</v>
      </c>
      <c r="U1335" s="26">
        <f t="shared" si="468"/>
        <v>27.837209725876342</v>
      </c>
      <c r="V1335" s="26">
        <f t="shared" si="469"/>
        <v>0.87798981904450546</v>
      </c>
      <c r="W1335" s="76"/>
      <c r="X1335" s="76"/>
      <c r="Y1335" s="76"/>
      <c r="Z1335" s="76"/>
      <c r="AA1335" s="31">
        <f t="shared" si="470"/>
        <v>18</v>
      </c>
      <c r="AB1335" s="32">
        <v>3.2500000000000001E-2</v>
      </c>
      <c r="AC1335" s="32">
        <v>5.0500000000000003E-2</v>
      </c>
      <c r="AD1335" s="33">
        <f t="shared" si="391"/>
        <v>-0.18823870197660025</v>
      </c>
      <c r="AE1335" s="34">
        <f t="shared" si="392"/>
        <v>1.8150675350906136E-4</v>
      </c>
      <c r="AF1335" s="33">
        <f t="shared" si="393"/>
        <v>0.86252534938860803</v>
      </c>
      <c r="AG1335" s="33">
        <f t="shared" si="394"/>
        <v>0</v>
      </c>
      <c r="AH1335" s="35">
        <f t="shared" si="395"/>
        <v>0.84320993690972701</v>
      </c>
      <c r="AI1335" s="36">
        <f t="shared" si="476"/>
        <v>3.4639112569751256</v>
      </c>
      <c r="AJ1335" s="76"/>
      <c r="AK1335" s="76"/>
    </row>
    <row r="1336" spans="1:44" ht="16.8">
      <c r="A1336" s="70" t="s">
        <v>2738</v>
      </c>
      <c r="B1336" s="71">
        <v>516</v>
      </c>
      <c r="C1336" s="71" t="s">
        <v>2739</v>
      </c>
      <c r="D1336" s="19" t="s">
        <v>2740</v>
      </c>
      <c r="E1336" s="20" t="s">
        <v>414</v>
      </c>
      <c r="F1336" s="21">
        <v>1990</v>
      </c>
      <c r="G1336" s="40">
        <v>2021</v>
      </c>
      <c r="H1336" s="23">
        <v>11214616613891</v>
      </c>
      <c r="I1336" s="23">
        <v>16846904640870</v>
      </c>
      <c r="J1336" s="23">
        <v>9175421701435</v>
      </c>
      <c r="K1336" s="23">
        <f>AVERAGE(J1336,7036033811342)</f>
        <v>8105727756388.5</v>
      </c>
      <c r="L1336" s="23">
        <v>4670430680530</v>
      </c>
      <c r="M1336" s="23">
        <v>7671482939435</v>
      </c>
      <c r="N1336" s="23">
        <v>2585736268742</v>
      </c>
      <c r="O1336" s="25">
        <f t="shared" si="464"/>
        <v>6544185933361</v>
      </c>
      <c r="P1336" s="23">
        <v>989941272786</v>
      </c>
      <c r="Q1336" s="23">
        <f>197134334653+154539356736</f>
        <v>351673691389</v>
      </c>
      <c r="R1336" s="25">
        <f t="shared" si="465"/>
        <v>2234062577353</v>
      </c>
      <c r="S1336" s="26">
        <f t="shared" si="466"/>
        <v>0.54463546253925776</v>
      </c>
      <c r="T1336" s="27">
        <f t="shared" si="467"/>
        <v>2.4011953888197666</v>
      </c>
      <c r="U1336" s="26">
        <f t="shared" si="468"/>
        <v>30.455188055013277</v>
      </c>
      <c r="V1336" s="26">
        <f t="shared" si="469"/>
        <v>0.31900112444611295</v>
      </c>
      <c r="W1336" s="143"/>
      <c r="X1336" s="143"/>
      <c r="Y1336" s="143"/>
      <c r="Z1336" s="30">
        <f t="shared" ref="Z1336:Z1390" si="495">X1336*Y1336</f>
        <v>0</v>
      </c>
      <c r="AA1336" s="31">
        <f t="shared" si="470"/>
        <v>31</v>
      </c>
      <c r="AB1336" s="32">
        <v>1.84E-2</v>
      </c>
      <c r="AC1336" s="32">
        <v>2.58E-2</v>
      </c>
      <c r="AD1336" s="33">
        <f t="shared" si="391"/>
        <v>0.38845034579735405</v>
      </c>
      <c r="AE1336" s="34">
        <f t="shared" si="392"/>
        <v>5.8761018352560576E-2</v>
      </c>
      <c r="AF1336" s="33">
        <f t="shared" si="393"/>
        <v>0.13260967667219073</v>
      </c>
      <c r="AG1336" s="33">
        <f t="shared" si="394"/>
        <v>0</v>
      </c>
      <c r="AH1336" s="35">
        <f t="shared" si="395"/>
        <v>0.28181116387681682</v>
      </c>
      <c r="AI1336" s="36">
        <f t="shared" si="476"/>
        <v>1.2678289375454559</v>
      </c>
      <c r="AJ1336" s="23"/>
      <c r="AK1336" s="158">
        <v>524</v>
      </c>
      <c r="AL1336" s="44"/>
      <c r="AM1336" s="44"/>
      <c r="AN1336" s="44"/>
      <c r="AO1336" s="44"/>
      <c r="AP1336" s="44"/>
      <c r="AQ1336" s="44"/>
      <c r="AR1336" s="44"/>
    </row>
    <row r="1337" spans="1:44" ht="16.8">
      <c r="A1337" s="74" t="s">
        <v>2730</v>
      </c>
      <c r="B1337" s="75"/>
      <c r="C1337" s="71" t="s">
        <v>2739</v>
      </c>
      <c r="D1337" s="19" t="s">
        <v>2740</v>
      </c>
      <c r="E1337" s="20" t="s">
        <v>414</v>
      </c>
      <c r="F1337" s="21">
        <v>1990</v>
      </c>
      <c r="G1337" s="40">
        <v>2022</v>
      </c>
      <c r="H1337" s="23">
        <v>10877019373058</v>
      </c>
      <c r="I1337" s="23">
        <v>14747796227885</v>
      </c>
      <c r="J1337" s="23">
        <v>6953061220803</v>
      </c>
      <c r="K1337" s="23">
        <f t="shared" ref="K1337:K1338" si="496">AVERAGE(J1336:J1337)</f>
        <v>8064241461119</v>
      </c>
      <c r="L1337" s="23">
        <v>3945743304514</v>
      </c>
      <c r="M1337" s="23">
        <v>7794735007082</v>
      </c>
      <c r="N1337" s="23">
        <v>1930222593732</v>
      </c>
      <c r="O1337" s="25">
        <f t="shared" si="464"/>
        <v>6931276068544</v>
      </c>
      <c r="P1337" s="23">
        <v>191366036471</v>
      </c>
      <c r="Q1337" s="23">
        <f>102059681942+173817663571</f>
        <v>275877345513</v>
      </c>
      <c r="R1337" s="25">
        <f t="shared" si="465"/>
        <v>1654345248219</v>
      </c>
      <c r="S1337" s="26">
        <f t="shared" si="466"/>
        <v>0.47146442175924663</v>
      </c>
      <c r="T1337" s="27">
        <f t="shared" si="467"/>
        <v>2.7566464753585205</v>
      </c>
      <c r="U1337" s="26">
        <f t="shared" si="468"/>
        <v>30.322114779272866</v>
      </c>
      <c r="V1337" s="26">
        <f t="shared" si="469"/>
        <v>0.23935575379760032</v>
      </c>
      <c r="W1337" s="76"/>
      <c r="X1337" s="76"/>
      <c r="Y1337" s="76"/>
      <c r="Z1337" s="30">
        <f t="shared" si="495"/>
        <v>0</v>
      </c>
      <c r="AA1337" s="31">
        <f t="shared" si="470"/>
        <v>32</v>
      </c>
      <c r="AB1337" s="32">
        <v>3.15E-2</v>
      </c>
      <c r="AC1337" s="32">
        <v>8.0199999999999994E-2</v>
      </c>
      <c r="AD1337" s="33">
        <f t="shared" si="391"/>
        <v>0.46998724158111199</v>
      </c>
      <c r="AE1337" s="34">
        <f t="shared" si="392"/>
        <v>1.2975907282280374E-2</v>
      </c>
      <c r="AF1337" s="33">
        <f t="shared" si="393"/>
        <v>0.1121757598664795</v>
      </c>
      <c r="AG1337" s="33">
        <f t="shared" si="394"/>
        <v>0</v>
      </c>
      <c r="AH1337" s="35">
        <f t="shared" si="395"/>
        <v>0.27760759361026899</v>
      </c>
      <c r="AI1337" s="36">
        <f t="shared" si="476"/>
        <v>1.2299385612621783</v>
      </c>
      <c r="AJ1337" s="76"/>
      <c r="AK1337" s="158">
        <v>525</v>
      </c>
    </row>
    <row r="1338" spans="1:44" ht="16.8">
      <c r="A1338" s="74" t="s">
        <v>2741</v>
      </c>
      <c r="B1338" s="75"/>
      <c r="C1338" s="71" t="s">
        <v>2739</v>
      </c>
      <c r="D1338" s="19" t="s">
        <v>2740</v>
      </c>
      <c r="E1338" s="20" t="s">
        <v>414</v>
      </c>
      <c r="F1338" s="21">
        <v>1990</v>
      </c>
      <c r="G1338" s="40">
        <v>2023</v>
      </c>
      <c r="H1338" s="23">
        <v>13978090756849</v>
      </c>
      <c r="I1338" s="23">
        <v>16827606938588</v>
      </c>
      <c r="J1338" s="23">
        <v>8934049056553</v>
      </c>
      <c r="K1338" s="23">
        <f t="shared" si="496"/>
        <v>7943555138678</v>
      </c>
      <c r="L1338" s="23">
        <v>7807921730527</v>
      </c>
      <c r="M1338" s="23">
        <v>7893557882035</v>
      </c>
      <c r="N1338" s="23">
        <v>1039100785050</v>
      </c>
      <c r="O1338" s="25">
        <f t="shared" si="464"/>
        <v>6170169026322</v>
      </c>
      <c r="P1338" s="23">
        <v>111623208557</v>
      </c>
      <c r="Q1338" s="23">
        <f>42315124804+153551923652</f>
        <v>195867048456</v>
      </c>
      <c r="R1338" s="25">
        <f t="shared" si="465"/>
        <v>843233736594</v>
      </c>
      <c r="S1338" s="26">
        <f t="shared" si="466"/>
        <v>0.53091619558013359</v>
      </c>
      <c r="T1338" s="27">
        <f t="shared" si="467"/>
        <v>1.7902447333966218</v>
      </c>
      <c r="U1338" s="26">
        <f t="shared" si="468"/>
        <v>30.454041923800716</v>
      </c>
      <c r="V1338" s="26">
        <f t="shared" si="469"/>
        <v>0.13081054602246162</v>
      </c>
      <c r="W1338" s="76"/>
      <c r="X1338" s="76"/>
      <c r="Y1338" s="76"/>
      <c r="Z1338" s="30">
        <f t="shared" si="495"/>
        <v>0</v>
      </c>
      <c r="AA1338" s="31">
        <f t="shared" si="470"/>
        <v>33</v>
      </c>
      <c r="AB1338" s="32">
        <v>3.2500000000000001E-2</v>
      </c>
      <c r="AC1338" s="32">
        <v>5.0500000000000003E-2</v>
      </c>
      <c r="AD1338" s="33">
        <f t="shared" si="391"/>
        <v>0.36666942892354826</v>
      </c>
      <c r="AE1338" s="34">
        <f t="shared" si="392"/>
        <v>6.6333382378353954E-3</v>
      </c>
      <c r="AF1338" s="33">
        <f t="shared" si="393"/>
        <v>5.0110139823883688E-2</v>
      </c>
      <c r="AG1338" s="33">
        <f t="shared" si="394"/>
        <v>0</v>
      </c>
      <c r="AH1338" s="35">
        <f t="shared" si="395"/>
        <v>0.11630793366730331</v>
      </c>
      <c r="AI1338" s="36">
        <f t="shared" si="476"/>
        <v>0.73096138332734695</v>
      </c>
      <c r="AJ1338" s="76"/>
      <c r="AK1338" s="158">
        <v>526</v>
      </c>
    </row>
    <row r="1339" spans="1:44" ht="16.8">
      <c r="A1339" s="70" t="s">
        <v>2742</v>
      </c>
      <c r="B1339" s="71">
        <v>517</v>
      </c>
      <c r="C1339" s="71" t="s">
        <v>2743</v>
      </c>
      <c r="D1339" s="19" t="s">
        <v>2744</v>
      </c>
      <c r="E1339" s="20" t="s">
        <v>414</v>
      </c>
      <c r="F1339" s="21">
        <v>1995</v>
      </c>
      <c r="G1339" s="40">
        <v>2021</v>
      </c>
      <c r="H1339" s="23">
        <v>2333919358291</v>
      </c>
      <c r="I1339" s="23">
        <v>7070348996659</v>
      </c>
      <c r="J1339" s="23">
        <v>4751514021548</v>
      </c>
      <c r="K1339" s="23">
        <f>AVERAGE(J1339,5737619305233)</f>
        <v>5244566663390.5</v>
      </c>
      <c r="L1339" s="23">
        <v>2734296489223</v>
      </c>
      <c r="M1339" s="23">
        <v>2318834975111</v>
      </c>
      <c r="N1339" s="23">
        <v>1549207937792</v>
      </c>
      <c r="O1339" s="25">
        <f t="shared" si="464"/>
        <v>-400377130932</v>
      </c>
      <c r="P1339" s="23">
        <v>11792601945</v>
      </c>
      <c r="Q1339" s="23">
        <f>18035148673+120227377056</f>
        <v>138262525729</v>
      </c>
      <c r="R1339" s="25">
        <f t="shared" si="465"/>
        <v>1410945412063</v>
      </c>
      <c r="S1339" s="26">
        <f t="shared" si="466"/>
        <v>0.67203387326329511</v>
      </c>
      <c r="T1339" s="27">
        <f t="shared" si="467"/>
        <v>0.85357215923362628</v>
      </c>
      <c r="U1339" s="26">
        <f t="shared" si="468"/>
        <v>29.586930957653934</v>
      </c>
      <c r="V1339" s="26">
        <f t="shared" si="469"/>
        <v>0.29539293467393363</v>
      </c>
      <c r="W1339" s="143"/>
      <c r="X1339" s="143"/>
      <c r="Y1339" s="143"/>
      <c r="Z1339" s="30">
        <f t="shared" si="495"/>
        <v>0</v>
      </c>
      <c r="AA1339" s="31">
        <f t="shared" si="470"/>
        <v>26</v>
      </c>
      <c r="AB1339" s="32">
        <v>1.84E-2</v>
      </c>
      <c r="AC1339" s="32">
        <v>2.58E-2</v>
      </c>
      <c r="AD1339" s="33">
        <f t="shared" si="391"/>
        <v>-5.66276333913917E-2</v>
      </c>
      <c r="AE1339" s="34">
        <f t="shared" si="392"/>
        <v>1.667895311896547E-3</v>
      </c>
      <c r="AF1339" s="33">
        <f t="shared" si="393"/>
        <v>0.19955809999332758</v>
      </c>
      <c r="AG1339" s="33">
        <f t="shared" si="394"/>
        <v>0</v>
      </c>
      <c r="AH1339" s="35">
        <f t="shared" si="395"/>
        <v>0.32604511546559262</v>
      </c>
      <c r="AI1339" s="36">
        <f t="shared" si="476"/>
        <v>0.91896873881055874</v>
      </c>
      <c r="AJ1339" s="23"/>
      <c r="AK1339" s="158">
        <v>527</v>
      </c>
      <c r="AL1339" s="44"/>
      <c r="AM1339" s="44"/>
      <c r="AN1339" s="44"/>
      <c r="AO1339" s="44"/>
      <c r="AP1339" s="44"/>
      <c r="AQ1339" s="44"/>
      <c r="AR1339" s="44"/>
    </row>
    <row r="1340" spans="1:44" ht="16.8">
      <c r="A1340" s="74" t="s">
        <v>2745</v>
      </c>
      <c r="B1340" s="75"/>
      <c r="C1340" s="71" t="s">
        <v>2743</v>
      </c>
      <c r="D1340" s="19" t="s">
        <v>2744</v>
      </c>
      <c r="E1340" s="20" t="s">
        <v>414</v>
      </c>
      <c r="F1340" s="21">
        <v>1995</v>
      </c>
      <c r="G1340" s="40">
        <v>2022</v>
      </c>
      <c r="H1340" s="23">
        <v>1647393336524</v>
      </c>
      <c r="I1340" s="23">
        <v>5611845648134</v>
      </c>
      <c r="J1340" s="23">
        <v>4502824785620</v>
      </c>
      <c r="K1340" s="23">
        <f t="shared" ref="K1340:K1341" si="497">AVERAGE(J1339:J1340)</f>
        <v>4627169403584</v>
      </c>
      <c r="L1340" s="23">
        <v>2592155370670</v>
      </c>
      <c r="M1340" s="23">
        <v>1109020862514</v>
      </c>
      <c r="N1340" s="23">
        <v>1347873447005</v>
      </c>
      <c r="O1340" s="25">
        <f t="shared" si="464"/>
        <v>-944762034146</v>
      </c>
      <c r="P1340" s="23">
        <v>-594601137150</v>
      </c>
      <c r="Q1340" s="23">
        <f>11112766445+1289316973159</f>
        <v>1300429739604</v>
      </c>
      <c r="R1340" s="25">
        <f t="shared" si="465"/>
        <v>47443707401</v>
      </c>
      <c r="S1340" s="26">
        <f t="shared" si="466"/>
        <v>0.80237858771422887</v>
      </c>
      <c r="T1340" s="27">
        <f t="shared" si="467"/>
        <v>0.63553032166362566</v>
      </c>
      <c r="U1340" s="26">
        <f t="shared" si="468"/>
        <v>29.355900773894231</v>
      </c>
      <c r="V1340" s="26">
        <f t="shared" si="469"/>
        <v>0.29129546153227004</v>
      </c>
      <c r="W1340" s="76"/>
      <c r="X1340" s="76"/>
      <c r="Y1340" s="76"/>
      <c r="Z1340" s="30">
        <f t="shared" si="495"/>
        <v>0</v>
      </c>
      <c r="AA1340" s="31">
        <f t="shared" si="470"/>
        <v>27</v>
      </c>
      <c r="AB1340" s="32">
        <v>3.15E-2</v>
      </c>
      <c r="AC1340" s="32">
        <v>8.0199999999999994E-2</v>
      </c>
      <c r="AD1340" s="33">
        <f t="shared" si="391"/>
        <v>-0.16835139335311969</v>
      </c>
      <c r="AE1340" s="34">
        <f t="shared" si="392"/>
        <v>-0.10595464922448666</v>
      </c>
      <c r="AF1340" s="33">
        <f t="shared" si="393"/>
        <v>8.4542074703668219E-3</v>
      </c>
      <c r="AG1340" s="33">
        <f t="shared" si="394"/>
        <v>0</v>
      </c>
      <c r="AH1340" s="35">
        <f t="shared" si="395"/>
        <v>0.29933952822448306</v>
      </c>
      <c r="AI1340" s="36">
        <f t="shared" si="476"/>
        <v>-2.3119768061331369E-2</v>
      </c>
      <c r="AJ1340" s="76"/>
      <c r="AK1340" s="158">
        <v>528</v>
      </c>
    </row>
    <row r="1341" spans="1:44" ht="16.8">
      <c r="A1341" s="74" t="s">
        <v>2746</v>
      </c>
      <c r="B1341" s="75"/>
      <c r="C1341" s="71" t="s">
        <v>2743</v>
      </c>
      <c r="D1341" s="19" t="s">
        <v>2744</v>
      </c>
      <c r="E1341" s="20" t="s">
        <v>414</v>
      </c>
      <c r="F1341" s="21">
        <v>1995</v>
      </c>
      <c r="G1341" s="40">
        <v>2023</v>
      </c>
      <c r="H1341" s="23">
        <v>1131710306910</v>
      </c>
      <c r="I1341" s="23">
        <v>5051949152577</v>
      </c>
      <c r="J1341" s="23">
        <v>4524434306651</v>
      </c>
      <c r="K1341" s="23">
        <f t="shared" si="497"/>
        <v>4513629546135.5</v>
      </c>
      <c r="L1341" s="23">
        <v>2769672370439</v>
      </c>
      <c r="M1341" s="23">
        <v>527514845926</v>
      </c>
      <c r="N1341" s="23">
        <v>1122336737017</v>
      </c>
      <c r="O1341" s="25">
        <f t="shared" si="464"/>
        <v>-1637962063529</v>
      </c>
      <c r="P1341" s="23">
        <v>-578740031199</v>
      </c>
      <c r="Q1341" s="23">
        <f>6824743217+658988850292</f>
        <v>665813593509</v>
      </c>
      <c r="R1341" s="25">
        <f t="shared" si="465"/>
        <v>456523143508</v>
      </c>
      <c r="S1341" s="26">
        <f t="shared" si="466"/>
        <v>0.89558191699991385</v>
      </c>
      <c r="T1341" s="27">
        <f t="shared" si="467"/>
        <v>0.40860800684906318</v>
      </c>
      <c r="U1341" s="26">
        <f t="shared" si="468"/>
        <v>29.250795255555573</v>
      </c>
      <c r="V1341" s="26">
        <f t="shared" si="469"/>
        <v>0.24865504037165109</v>
      </c>
      <c r="W1341" s="76"/>
      <c r="X1341" s="76"/>
      <c r="Y1341" s="76"/>
      <c r="Z1341" s="30">
        <f t="shared" si="495"/>
        <v>0</v>
      </c>
      <c r="AA1341" s="31">
        <f t="shared" si="470"/>
        <v>28</v>
      </c>
      <c r="AB1341" s="32">
        <v>3.2500000000000001E-2</v>
      </c>
      <c r="AC1341" s="32">
        <v>5.0500000000000003E-2</v>
      </c>
      <c r="AD1341" s="33">
        <f t="shared" si="391"/>
        <v>-0.32422378255598144</v>
      </c>
      <c r="AE1341" s="34">
        <f t="shared" si="392"/>
        <v>-0.1145577704209047</v>
      </c>
      <c r="AF1341" s="33">
        <f t="shared" si="393"/>
        <v>9.0365743937689369E-2</v>
      </c>
      <c r="AG1341" s="33">
        <f t="shared" si="394"/>
        <v>0</v>
      </c>
      <c r="AH1341" s="35">
        <f t="shared" si="395"/>
        <v>0.24806122952589779</v>
      </c>
      <c r="AI1341" s="36">
        <f t="shared" si="476"/>
        <v>-3.1812331361716073E-3</v>
      </c>
      <c r="AJ1341" s="76"/>
      <c r="AK1341" s="158">
        <v>529</v>
      </c>
    </row>
    <row r="1342" spans="1:44" ht="16.8">
      <c r="A1342" s="70" t="s">
        <v>2747</v>
      </c>
      <c r="B1342" s="71">
        <v>518</v>
      </c>
      <c r="C1342" s="71" t="s">
        <v>2748</v>
      </c>
      <c r="D1342" s="19" t="s">
        <v>2749</v>
      </c>
      <c r="E1342" s="20" t="s">
        <v>414</v>
      </c>
      <c r="F1342" s="21">
        <v>1989</v>
      </c>
      <c r="G1342" s="40">
        <v>2021</v>
      </c>
      <c r="H1342" s="23">
        <v>1421755239468</v>
      </c>
      <c r="I1342" s="23">
        <v>1621851432988</v>
      </c>
      <c r="J1342" s="23">
        <v>255819978434</v>
      </c>
      <c r="K1342" s="23">
        <f>AVERAGE(J1342,148610690230)</f>
        <v>202215334332</v>
      </c>
      <c r="L1342" s="23">
        <v>255731769104</v>
      </c>
      <c r="M1342" s="23">
        <v>1366031454554</v>
      </c>
      <c r="N1342" s="23">
        <v>1567817504900</v>
      </c>
      <c r="O1342" s="25">
        <f t="shared" si="464"/>
        <v>1166023470364</v>
      </c>
      <c r="P1342" s="23">
        <v>159281868295</v>
      </c>
      <c r="Q1342" s="23">
        <f>144898379173+70312214024</f>
        <v>215210593197</v>
      </c>
      <c r="R1342" s="25">
        <f t="shared" si="465"/>
        <v>1352606911703</v>
      </c>
      <c r="S1342" s="26">
        <f t="shared" si="466"/>
        <v>0.15773329987611312</v>
      </c>
      <c r="T1342" s="27">
        <f t="shared" si="467"/>
        <v>5.5595565793384321</v>
      </c>
      <c r="U1342" s="26">
        <f t="shared" si="468"/>
        <v>28.114589472474783</v>
      </c>
      <c r="V1342" s="26">
        <f t="shared" si="469"/>
        <v>7.7532077875258212</v>
      </c>
      <c r="W1342" s="143"/>
      <c r="X1342" s="143"/>
      <c r="Y1342" s="143"/>
      <c r="Z1342" s="30">
        <f t="shared" si="495"/>
        <v>0</v>
      </c>
      <c r="AA1342" s="31">
        <f t="shared" si="470"/>
        <v>32</v>
      </c>
      <c r="AB1342" s="32">
        <v>1.84E-2</v>
      </c>
      <c r="AC1342" s="32">
        <v>2.58E-2</v>
      </c>
      <c r="AD1342" s="33">
        <f t="shared" si="391"/>
        <v>0.71894591985887979</v>
      </c>
      <c r="AE1342" s="34">
        <f t="shared" si="392"/>
        <v>9.8209900768499378E-2</v>
      </c>
      <c r="AF1342" s="33">
        <f t="shared" si="393"/>
        <v>0.83398940506593733</v>
      </c>
      <c r="AG1342" s="33">
        <f t="shared" si="394"/>
        <v>0</v>
      </c>
      <c r="AH1342" s="35">
        <f t="shared" si="395"/>
        <v>6.1285968144371781</v>
      </c>
      <c r="AI1342" s="36">
        <f t="shared" si="476"/>
        <v>9.8809908160613258</v>
      </c>
      <c r="AJ1342" s="23"/>
      <c r="AK1342" s="158">
        <v>530</v>
      </c>
      <c r="AL1342" s="44"/>
      <c r="AM1342" s="44"/>
      <c r="AN1342" s="44"/>
      <c r="AO1342" s="44"/>
      <c r="AP1342" s="44"/>
      <c r="AQ1342" s="44"/>
      <c r="AR1342" s="44"/>
    </row>
    <row r="1343" spans="1:44" ht="16.8">
      <c r="A1343" s="74" t="s">
        <v>2750</v>
      </c>
      <c r="B1343" s="75"/>
      <c r="C1343" s="71" t="s">
        <v>2748</v>
      </c>
      <c r="D1343" s="19" t="s">
        <v>2749</v>
      </c>
      <c r="E1343" s="20" t="s">
        <v>414</v>
      </c>
      <c r="F1343" s="21">
        <v>1989</v>
      </c>
      <c r="G1343" s="40">
        <v>2022</v>
      </c>
      <c r="H1343" s="23">
        <v>1598607969763</v>
      </c>
      <c r="I1343" s="23">
        <v>1837977136422</v>
      </c>
      <c r="J1343" s="23">
        <v>378466672183</v>
      </c>
      <c r="K1343" s="23">
        <f t="shared" ref="K1343:K1344" si="498">AVERAGE(J1342:J1343)</f>
        <v>317143325308.5</v>
      </c>
      <c r="L1343" s="23">
        <v>378327564253</v>
      </c>
      <c r="M1343" s="23">
        <v>1459510464239</v>
      </c>
      <c r="N1343" s="23">
        <v>1593498072152</v>
      </c>
      <c r="O1343" s="25">
        <f t="shared" si="464"/>
        <v>1220280405510</v>
      </c>
      <c r="P1343" s="23">
        <v>200075859018</v>
      </c>
      <c r="Q1343" s="23">
        <f>146216724157+72188363768</f>
        <v>218405087925</v>
      </c>
      <c r="R1343" s="25">
        <f t="shared" si="465"/>
        <v>1375092984227</v>
      </c>
      <c r="S1343" s="26">
        <f t="shared" si="466"/>
        <v>0.20591478788455611</v>
      </c>
      <c r="T1343" s="27">
        <f t="shared" si="467"/>
        <v>4.2254599474384547</v>
      </c>
      <c r="U1343" s="26">
        <f t="shared" si="468"/>
        <v>28.239686700406001</v>
      </c>
      <c r="V1343" s="26">
        <f t="shared" si="469"/>
        <v>5.0245360535396122</v>
      </c>
      <c r="W1343" s="76"/>
      <c r="X1343" s="76"/>
      <c r="Y1343" s="76"/>
      <c r="Z1343" s="30">
        <f t="shared" si="495"/>
        <v>0</v>
      </c>
      <c r="AA1343" s="31">
        <f t="shared" si="470"/>
        <v>33</v>
      </c>
      <c r="AB1343" s="32">
        <v>3.15E-2</v>
      </c>
      <c r="AC1343" s="32">
        <v>8.0199999999999994E-2</v>
      </c>
      <c r="AD1343" s="33">
        <f t="shared" si="391"/>
        <v>0.66392578086445975</v>
      </c>
      <c r="AE1343" s="34">
        <f t="shared" si="392"/>
        <v>0.10885655487939788</v>
      </c>
      <c r="AF1343" s="33">
        <f t="shared" si="393"/>
        <v>0.7481556527432659</v>
      </c>
      <c r="AG1343" s="33">
        <f t="shared" si="394"/>
        <v>0</v>
      </c>
      <c r="AH1343" s="35">
        <f t="shared" si="395"/>
        <v>4.2104052728360077</v>
      </c>
      <c r="AI1343" s="36">
        <f t="shared" si="476"/>
        <v>7.6284290407572932</v>
      </c>
      <c r="AJ1343" s="76"/>
      <c r="AK1343" s="158">
        <v>531</v>
      </c>
    </row>
    <row r="1344" spans="1:44" ht="16.8">
      <c r="A1344" s="74" t="s">
        <v>2751</v>
      </c>
      <c r="B1344" s="75"/>
      <c r="C1344" s="71" t="s">
        <v>2748</v>
      </c>
      <c r="D1344" s="19" t="s">
        <v>2749</v>
      </c>
      <c r="E1344" s="20" t="s">
        <v>414</v>
      </c>
      <c r="F1344" s="21">
        <v>1989</v>
      </c>
      <c r="G1344" s="40">
        <v>2023</v>
      </c>
      <c r="H1344" s="23">
        <v>1671464174229</v>
      </c>
      <c r="I1344" s="23">
        <v>1849165632140</v>
      </c>
      <c r="J1344" s="23">
        <v>328652448476</v>
      </c>
      <c r="K1344" s="23">
        <f t="shared" si="498"/>
        <v>353559560329.5</v>
      </c>
      <c r="L1344" s="23">
        <v>328270740546</v>
      </c>
      <c r="M1344" s="23">
        <v>1520513183664</v>
      </c>
      <c r="N1344" s="23">
        <v>1721604258102</v>
      </c>
      <c r="O1344" s="25">
        <f t="shared" si="464"/>
        <v>1343193433683</v>
      </c>
      <c r="P1344" s="23">
        <v>183332760778</v>
      </c>
      <c r="Q1344" s="23">
        <f>113670541095+74986552020</f>
        <v>188657093115</v>
      </c>
      <c r="R1344" s="25">
        <f t="shared" si="465"/>
        <v>1532947164987</v>
      </c>
      <c r="S1344" s="26">
        <f t="shared" si="466"/>
        <v>0.17773013015370479</v>
      </c>
      <c r="T1344" s="27">
        <f t="shared" si="467"/>
        <v>5.0917245059639447</v>
      </c>
      <c r="U1344" s="26">
        <f t="shared" si="468"/>
        <v>28.245755643629284</v>
      </c>
      <c r="V1344" s="26">
        <f t="shared" si="469"/>
        <v>4.8693472084238083</v>
      </c>
      <c r="W1344" s="76"/>
      <c r="X1344" s="76"/>
      <c r="Y1344" s="76"/>
      <c r="Z1344" s="30">
        <f t="shared" si="495"/>
        <v>0</v>
      </c>
      <c r="AA1344" s="31">
        <f t="shared" si="470"/>
        <v>34</v>
      </c>
      <c r="AB1344" s="32">
        <v>3.2500000000000001E-2</v>
      </c>
      <c r="AC1344" s="32">
        <v>5.0500000000000003E-2</v>
      </c>
      <c r="AD1344" s="33">
        <f t="shared" si="391"/>
        <v>0.72637810823282001</v>
      </c>
      <c r="AE1344" s="34">
        <f t="shared" si="392"/>
        <v>9.9143504287300052E-2</v>
      </c>
      <c r="AF1344" s="33">
        <f t="shared" si="393"/>
        <v>0.8289939734673486</v>
      </c>
      <c r="AG1344" s="33">
        <f t="shared" si="394"/>
        <v>0</v>
      </c>
      <c r="AH1344" s="35">
        <f t="shared" si="395"/>
        <v>5.2383734430864006</v>
      </c>
      <c r="AI1344" s="36">
        <f t="shared" si="476"/>
        <v>8.9845081914102547</v>
      </c>
      <c r="AJ1344" s="76"/>
      <c r="AK1344" s="158">
        <v>532</v>
      </c>
    </row>
    <row r="1345" spans="1:44" ht="16.8">
      <c r="A1345" s="70" t="s">
        <v>2752</v>
      </c>
      <c r="B1345" s="71">
        <v>519</v>
      </c>
      <c r="C1345" s="71" t="s">
        <v>2753</v>
      </c>
      <c r="D1345" s="19" t="s">
        <v>2754</v>
      </c>
      <c r="E1345" s="20" t="s">
        <v>414</v>
      </c>
      <c r="F1345" s="21">
        <v>2003</v>
      </c>
      <c r="G1345" s="40">
        <v>2021</v>
      </c>
      <c r="H1345" s="23">
        <v>9519579701251</v>
      </c>
      <c r="I1345" s="23">
        <v>13917930244401</v>
      </c>
      <c r="J1345" s="23">
        <v>3204770523758</v>
      </c>
      <c r="K1345" s="23">
        <f>AVERAGE(J1347,3052441964507)</f>
        <v>2408251110123</v>
      </c>
      <c r="L1345" s="23">
        <v>2151651816461</v>
      </c>
      <c r="M1345" s="23">
        <v>10713159720643</v>
      </c>
      <c r="N1345" s="23">
        <v>12881680840632</v>
      </c>
      <c r="O1345" s="25">
        <f t="shared" si="464"/>
        <v>7367927884790</v>
      </c>
      <c r="P1345" s="23">
        <v>3171516300559</v>
      </c>
      <c r="Q1345" s="23">
        <f>817762955253+424973596372</f>
        <v>1242736551625</v>
      </c>
      <c r="R1345" s="25">
        <f t="shared" si="465"/>
        <v>11638944289007</v>
      </c>
      <c r="S1345" s="26">
        <f t="shared" si="466"/>
        <v>0.23026200501667529</v>
      </c>
      <c r="T1345" s="27">
        <f t="shared" si="467"/>
        <v>4.4243123485047136</v>
      </c>
      <c r="U1345" s="26">
        <f t="shared" si="468"/>
        <v>30.264199070440458</v>
      </c>
      <c r="V1345" s="26">
        <f t="shared" si="469"/>
        <v>5.3489774328284545</v>
      </c>
      <c r="W1345" s="143"/>
      <c r="X1345" s="143"/>
      <c r="Y1345" s="143"/>
      <c r="Z1345" s="30">
        <f t="shared" si="495"/>
        <v>0</v>
      </c>
      <c r="AA1345" s="31">
        <f t="shared" si="470"/>
        <v>18</v>
      </c>
      <c r="AB1345" s="32">
        <v>1.84E-2</v>
      </c>
      <c r="AC1345" s="32">
        <v>2.58E-2</v>
      </c>
      <c r="AD1345" s="33">
        <f t="shared" ref="AD1345:AD1599" si="499">O1345/I1345</f>
        <v>0.52938387787609587</v>
      </c>
      <c r="AE1345" s="34">
        <f t="shared" ref="AE1345:AE1599" si="500">P1345/I1345</f>
        <v>0.227872696936016</v>
      </c>
      <c r="AF1345" s="33">
        <f t="shared" ref="AF1345:AF1599" si="501">R1345/I1345</f>
        <v>0.83625539750705347</v>
      </c>
      <c r="AG1345" s="33">
        <f t="shared" ref="AG1345:AG1599" si="502">Z1345/J1345</f>
        <v>0</v>
      </c>
      <c r="AH1345" s="35">
        <f t="shared" ref="AH1345:AH1599" si="503">N1345/J1345</f>
        <v>4.0195329884420543</v>
      </c>
      <c r="AI1345" s="36">
        <f t="shared" si="476"/>
        <v>7.7334582293770673</v>
      </c>
      <c r="AJ1345" s="23"/>
      <c r="AK1345" s="158">
        <v>533</v>
      </c>
      <c r="AL1345" s="44"/>
      <c r="AM1345" s="44"/>
      <c r="AN1345" s="44"/>
      <c r="AO1345" s="44"/>
      <c r="AP1345" s="44"/>
      <c r="AQ1345" s="44"/>
      <c r="AR1345" s="44"/>
    </row>
    <row r="1346" spans="1:44" ht="16.8">
      <c r="A1346" s="74" t="s">
        <v>2755</v>
      </c>
      <c r="B1346" s="75"/>
      <c r="C1346" s="71" t="s">
        <v>2753</v>
      </c>
      <c r="D1346" s="19" t="s">
        <v>2754</v>
      </c>
      <c r="E1346" s="20" t="s">
        <v>414</v>
      </c>
      <c r="F1346" s="21">
        <v>2003</v>
      </c>
      <c r="G1346" s="40">
        <v>2022</v>
      </c>
      <c r="H1346" s="23">
        <v>13578923480222</v>
      </c>
      <c r="I1346" s="23">
        <v>17698795735776</v>
      </c>
      <c r="J1346" s="23">
        <v>3681356971208</v>
      </c>
      <c r="K1346" s="23">
        <f t="shared" ref="K1346:K1347" si="504">AVERAGE(J1345:J1346)</f>
        <v>3443063747483</v>
      </c>
      <c r="L1346" s="23">
        <v>2995517551891</v>
      </c>
      <c r="M1346" s="23">
        <v>14017438764568</v>
      </c>
      <c r="N1346" s="23">
        <v>18744713575383</v>
      </c>
      <c r="O1346" s="25">
        <f t="shared" si="464"/>
        <v>10583405928331</v>
      </c>
      <c r="P1346" s="23">
        <v>5584891286243</v>
      </c>
      <c r="Q1346" s="23">
        <f>977707327576+556278720793</f>
        <v>1533986048369</v>
      </c>
      <c r="R1346" s="25">
        <f t="shared" si="465"/>
        <v>17210727527014</v>
      </c>
      <c r="S1346" s="26">
        <f t="shared" si="466"/>
        <v>0.20800042139401478</v>
      </c>
      <c r="T1346" s="27">
        <f t="shared" si="467"/>
        <v>4.5330809267500181</v>
      </c>
      <c r="U1346" s="26">
        <f t="shared" si="468"/>
        <v>30.504517715666893</v>
      </c>
      <c r="V1346" s="26">
        <f t="shared" si="469"/>
        <v>5.4441959110068874</v>
      </c>
      <c r="W1346" s="76"/>
      <c r="X1346" s="76"/>
      <c r="Y1346" s="76"/>
      <c r="Z1346" s="30">
        <f t="shared" si="495"/>
        <v>0</v>
      </c>
      <c r="AA1346" s="31">
        <f t="shared" si="470"/>
        <v>19</v>
      </c>
      <c r="AB1346" s="32">
        <v>3.15E-2</v>
      </c>
      <c r="AC1346" s="32">
        <v>8.0199999999999994E-2</v>
      </c>
      <c r="AD1346" s="33">
        <f t="shared" si="499"/>
        <v>0.59797322294295485</v>
      </c>
      <c r="AE1346" s="34">
        <f t="shared" si="500"/>
        <v>0.31555205052476026</v>
      </c>
      <c r="AF1346" s="33">
        <f t="shared" si="501"/>
        <v>0.97242364870196063</v>
      </c>
      <c r="AG1346" s="33">
        <f t="shared" si="502"/>
        <v>0</v>
      </c>
      <c r="AH1346" s="35">
        <f t="shared" si="503"/>
        <v>5.0917946077997733</v>
      </c>
      <c r="AI1346" s="36">
        <f t="shared" si="476"/>
        <v>9.460133386782454</v>
      </c>
      <c r="AJ1346" s="76"/>
      <c r="AK1346" s="158">
        <v>534</v>
      </c>
    </row>
    <row r="1347" spans="1:44" ht="16.8">
      <c r="A1347" s="74" t="s">
        <v>2756</v>
      </c>
      <c r="B1347" s="75"/>
      <c r="C1347" s="71" t="s">
        <v>2753</v>
      </c>
      <c r="D1347" s="19" t="s">
        <v>2754</v>
      </c>
      <c r="E1347" s="20" t="s">
        <v>414</v>
      </c>
      <c r="F1347" s="21">
        <v>2003</v>
      </c>
      <c r="G1347" s="40">
        <v>2023</v>
      </c>
      <c r="H1347" s="23">
        <v>9565106752268</v>
      </c>
      <c r="I1347" s="23">
        <v>13309260029583</v>
      </c>
      <c r="J1347" s="23">
        <v>1764060255739</v>
      </c>
      <c r="K1347" s="23">
        <f t="shared" si="504"/>
        <v>2722708613473.5</v>
      </c>
      <c r="L1347" s="23">
        <v>1484492945240</v>
      </c>
      <c r="M1347" s="23">
        <v>11545199773844</v>
      </c>
      <c r="N1347" s="23">
        <v>13719510012331</v>
      </c>
      <c r="O1347" s="25">
        <f t="shared" si="464"/>
        <v>8080613807028</v>
      </c>
      <c r="P1347" s="23">
        <v>529816920522</v>
      </c>
      <c r="Q1347" s="23">
        <f>848444338144+502354622004</f>
        <v>1350798960148</v>
      </c>
      <c r="R1347" s="25">
        <f t="shared" si="465"/>
        <v>12368711052183</v>
      </c>
      <c r="S1347" s="26">
        <f t="shared" si="466"/>
        <v>0.13254382676557194</v>
      </c>
      <c r="T1347" s="27">
        <f t="shared" si="467"/>
        <v>6.4433494163366305</v>
      </c>
      <c r="U1347" s="26">
        <f t="shared" si="468"/>
        <v>30.219481151717453</v>
      </c>
      <c r="V1347" s="26">
        <f t="shared" si="469"/>
        <v>5.0389196788959039</v>
      </c>
      <c r="W1347" s="76"/>
      <c r="X1347" s="76"/>
      <c r="Y1347" s="76"/>
      <c r="Z1347" s="30">
        <f t="shared" si="495"/>
        <v>0</v>
      </c>
      <c r="AA1347" s="31">
        <f t="shared" si="470"/>
        <v>20</v>
      </c>
      <c r="AB1347" s="32">
        <v>3.2500000000000001E-2</v>
      </c>
      <c r="AC1347" s="32">
        <v>5.0500000000000003E-2</v>
      </c>
      <c r="AD1347" s="33">
        <f t="shared" si="499"/>
        <v>0.60714222947533603</v>
      </c>
      <c r="AE1347" s="34">
        <f t="shared" si="500"/>
        <v>3.9808142552204683E-2</v>
      </c>
      <c r="AF1347" s="33">
        <f t="shared" si="501"/>
        <v>0.92933123439549559</v>
      </c>
      <c r="AG1347" s="33">
        <f t="shared" si="502"/>
        <v>0</v>
      </c>
      <c r="AH1347" s="35">
        <f t="shared" si="503"/>
        <v>7.7772343476916124</v>
      </c>
      <c r="AI1347" s="36">
        <f t="shared" si="476"/>
        <v>11.628329496140237</v>
      </c>
      <c r="AJ1347" s="76"/>
      <c r="AK1347" s="158">
        <v>535</v>
      </c>
    </row>
    <row r="1348" spans="1:44" ht="16.8">
      <c r="A1348" s="70" t="s">
        <v>2757</v>
      </c>
      <c r="B1348" s="71">
        <v>520</v>
      </c>
      <c r="C1348" s="71" t="s">
        <v>2758</v>
      </c>
      <c r="D1348" s="19" t="s">
        <v>2759</v>
      </c>
      <c r="E1348" s="20" t="s">
        <v>414</v>
      </c>
      <c r="F1348" s="21">
        <v>1981</v>
      </c>
      <c r="G1348" s="40">
        <v>2021</v>
      </c>
      <c r="H1348" s="23">
        <v>1618485780193</v>
      </c>
      <c r="I1348" s="23">
        <v>4032489894814</v>
      </c>
      <c r="J1348" s="23">
        <v>1289937301637</v>
      </c>
      <c r="K1348" s="23">
        <f>AVERAGE(J1350,1455656676917)</f>
        <v>1329787966679.5</v>
      </c>
      <c r="L1348" s="23">
        <v>465458662939</v>
      </c>
      <c r="M1348" s="23">
        <v>2742552593177</v>
      </c>
      <c r="N1348" s="23">
        <v>1217826616841</v>
      </c>
      <c r="O1348" s="25">
        <f t="shared" si="464"/>
        <v>1153027117254</v>
      </c>
      <c r="P1348" s="23">
        <v>472577534709</v>
      </c>
      <c r="Q1348" s="23">
        <f>32850338103+85666204569</f>
        <v>118516542672</v>
      </c>
      <c r="R1348" s="25">
        <f t="shared" si="465"/>
        <v>1099310074169</v>
      </c>
      <c r="S1348" s="26">
        <f t="shared" si="466"/>
        <v>0.31988605930443348</v>
      </c>
      <c r="T1348" s="27">
        <f t="shared" si="467"/>
        <v>3.4771847836573797</v>
      </c>
      <c r="U1348" s="26">
        <f t="shared" si="468"/>
        <v>29.025405141006864</v>
      </c>
      <c r="V1348" s="26">
        <f t="shared" si="469"/>
        <v>0.91580511130803122</v>
      </c>
      <c r="W1348" s="143"/>
      <c r="X1348" s="143"/>
      <c r="Y1348" s="143"/>
      <c r="Z1348" s="30">
        <f t="shared" si="495"/>
        <v>0</v>
      </c>
      <c r="AA1348" s="31">
        <f t="shared" si="470"/>
        <v>40</v>
      </c>
      <c r="AB1348" s="32">
        <v>1.84E-2</v>
      </c>
      <c r="AC1348" s="32">
        <v>2.58E-2</v>
      </c>
      <c r="AD1348" s="33">
        <f t="shared" si="499"/>
        <v>0.28593428559780276</v>
      </c>
      <c r="AE1348" s="34">
        <f t="shared" si="500"/>
        <v>0.11719249075286221</v>
      </c>
      <c r="AF1348" s="33">
        <f t="shared" si="501"/>
        <v>0.27261322479264538</v>
      </c>
      <c r="AG1348" s="33">
        <f t="shared" si="502"/>
        <v>0</v>
      </c>
      <c r="AH1348" s="35">
        <f t="shared" si="503"/>
        <v>0.9440975272949409</v>
      </c>
      <c r="AI1348" s="36">
        <f t="shared" si="476"/>
        <v>2.3509117988820409</v>
      </c>
      <c r="AJ1348" s="23"/>
      <c r="AK1348" s="158">
        <v>536</v>
      </c>
      <c r="AL1348" s="44"/>
      <c r="AM1348" s="44"/>
      <c r="AN1348" s="44"/>
      <c r="AO1348" s="44"/>
      <c r="AP1348" s="44"/>
      <c r="AQ1348" s="44"/>
      <c r="AR1348" s="44"/>
    </row>
    <row r="1349" spans="1:44" ht="16.8">
      <c r="A1349" s="74" t="s">
        <v>2760</v>
      </c>
      <c r="B1349" s="75"/>
      <c r="C1349" s="71" t="s">
        <v>2758</v>
      </c>
      <c r="D1349" s="19" t="s">
        <v>2759</v>
      </c>
      <c r="E1349" s="20" t="s">
        <v>414</v>
      </c>
      <c r="F1349" s="21">
        <v>1981</v>
      </c>
      <c r="G1349" s="40">
        <v>2022</v>
      </c>
      <c r="H1349" s="23">
        <v>1885073999051</v>
      </c>
      <c r="I1349" s="23">
        <v>4164860326412</v>
      </c>
      <c r="J1349" s="23">
        <v>1173569060380</v>
      </c>
      <c r="K1349" s="23">
        <f t="shared" ref="K1349:K1350" si="505">AVERAGE(J1348:J1349)</f>
        <v>1231753181008.5</v>
      </c>
      <c r="L1349" s="23">
        <v>299132208372</v>
      </c>
      <c r="M1349" s="23">
        <v>2991291266032</v>
      </c>
      <c r="N1349" s="23">
        <v>1211541255258</v>
      </c>
      <c r="O1349" s="25">
        <f t="shared" si="464"/>
        <v>1585941790679</v>
      </c>
      <c r="P1349" s="23">
        <v>291190347309</v>
      </c>
      <c r="Q1349" s="23">
        <f>26842981825+95254305836</f>
        <v>122097287661</v>
      </c>
      <c r="R1349" s="25">
        <f t="shared" si="465"/>
        <v>1089443967597</v>
      </c>
      <c r="S1349" s="26">
        <f t="shared" si="466"/>
        <v>0.28177873167502404</v>
      </c>
      <c r="T1349" s="27">
        <f t="shared" si="467"/>
        <v>6.3018088533840766</v>
      </c>
      <c r="U1349" s="26">
        <f t="shared" si="468"/>
        <v>29.057703855909892</v>
      </c>
      <c r="V1349" s="26">
        <f t="shared" si="469"/>
        <v>0.98359092871678122</v>
      </c>
      <c r="W1349" s="76"/>
      <c r="X1349" s="76"/>
      <c r="Y1349" s="76"/>
      <c r="Z1349" s="30">
        <f t="shared" si="495"/>
        <v>0</v>
      </c>
      <c r="AA1349" s="31">
        <f t="shared" si="470"/>
        <v>41</v>
      </c>
      <c r="AB1349" s="32">
        <v>3.15E-2</v>
      </c>
      <c r="AC1349" s="32">
        <v>8.0199999999999994E-2</v>
      </c>
      <c r="AD1349" s="33">
        <f t="shared" si="499"/>
        <v>0.38079111095792223</v>
      </c>
      <c r="AE1349" s="34">
        <f t="shared" si="500"/>
        <v>6.9915993451780067E-2</v>
      </c>
      <c r="AF1349" s="33">
        <f t="shared" si="501"/>
        <v>0.26157995279893309</v>
      </c>
      <c r="AG1349" s="33">
        <f t="shared" si="502"/>
        <v>0</v>
      </c>
      <c r="AH1349" s="35">
        <f t="shared" si="503"/>
        <v>1.0323561656147484</v>
      </c>
      <c r="AI1349" s="36">
        <f t="shared" si="476"/>
        <v>2.4504017338332265</v>
      </c>
      <c r="AJ1349" s="76"/>
      <c r="AK1349" s="158">
        <v>537</v>
      </c>
    </row>
    <row r="1350" spans="1:44" ht="16.8">
      <c r="A1350" s="74" t="s">
        <v>2761</v>
      </c>
      <c r="B1350" s="75"/>
      <c r="C1350" s="71" t="s">
        <v>2758</v>
      </c>
      <c r="D1350" s="19" t="s">
        <v>2759</v>
      </c>
      <c r="E1350" s="20" t="s">
        <v>414</v>
      </c>
      <c r="F1350" s="21">
        <v>1981</v>
      </c>
      <c r="G1350" s="40">
        <v>2023</v>
      </c>
      <c r="H1350" s="23">
        <v>2006038664631</v>
      </c>
      <c r="I1350" s="23">
        <v>4258257438099</v>
      </c>
      <c r="J1350" s="23">
        <v>1203919256442</v>
      </c>
      <c r="K1350" s="23">
        <f t="shared" si="505"/>
        <v>1188744158411</v>
      </c>
      <c r="L1350" s="23">
        <v>239216576860</v>
      </c>
      <c r="M1350" s="23">
        <v>3054338181657</v>
      </c>
      <c r="N1350" s="23">
        <v>1041911277064</v>
      </c>
      <c r="O1350" s="25">
        <f t="shared" si="464"/>
        <v>1766822087771</v>
      </c>
      <c r="P1350" s="23">
        <v>254104618230</v>
      </c>
      <c r="Q1350" s="23">
        <f>22057210239+94235246278</f>
        <v>116292456517</v>
      </c>
      <c r="R1350" s="25">
        <f t="shared" si="465"/>
        <v>925618820547</v>
      </c>
      <c r="S1350" s="26">
        <f t="shared" si="466"/>
        <v>0.28272580367509714</v>
      </c>
      <c r="T1350" s="27">
        <f t="shared" si="467"/>
        <v>8.3858681156741977</v>
      </c>
      <c r="U1350" s="26">
        <f t="shared" si="468"/>
        <v>29.079881140435763</v>
      </c>
      <c r="V1350" s="26">
        <f t="shared" si="469"/>
        <v>0.87648067053951106</v>
      </c>
      <c r="W1350" s="76"/>
      <c r="X1350" s="76"/>
      <c r="Y1350" s="76"/>
      <c r="Z1350" s="30">
        <f t="shared" si="495"/>
        <v>0</v>
      </c>
      <c r="AA1350" s="31">
        <f t="shared" si="470"/>
        <v>42</v>
      </c>
      <c r="AB1350" s="32">
        <v>3.2500000000000001E-2</v>
      </c>
      <c r="AC1350" s="32">
        <v>5.0500000000000003E-2</v>
      </c>
      <c r="AD1350" s="33">
        <f t="shared" si="499"/>
        <v>0.41491669149992882</v>
      </c>
      <c r="AE1350" s="34">
        <f t="shared" si="500"/>
        <v>5.967338093664884E-2</v>
      </c>
      <c r="AF1350" s="33">
        <f t="shared" si="501"/>
        <v>0.21737032906122769</v>
      </c>
      <c r="AG1350" s="33">
        <f t="shared" si="502"/>
        <v>0</v>
      </c>
      <c r="AH1350" s="35">
        <f t="shared" si="503"/>
        <v>0.8654328531493134</v>
      </c>
      <c r="AI1350" s="36">
        <f t="shared" si="476"/>
        <v>2.1641977021625873</v>
      </c>
      <c r="AJ1350" s="76"/>
      <c r="AK1350" s="158">
        <v>538</v>
      </c>
    </row>
    <row r="1351" spans="1:44" ht="16.8">
      <c r="A1351" s="70" t="s">
        <v>2762</v>
      </c>
      <c r="B1351" s="71">
        <v>521</v>
      </c>
      <c r="C1351" s="71" t="s">
        <v>2763</v>
      </c>
      <c r="D1351" s="19" t="s">
        <v>2764</v>
      </c>
      <c r="E1351" s="20" t="s">
        <v>414</v>
      </c>
      <c r="F1351" s="21">
        <v>1973</v>
      </c>
      <c r="G1351" s="40">
        <v>2021</v>
      </c>
      <c r="H1351" s="23">
        <v>914890994533</v>
      </c>
      <c r="I1351" s="23">
        <v>1410152876407</v>
      </c>
      <c r="J1351" s="23">
        <v>465720188277</v>
      </c>
      <c r="K1351" s="23">
        <f>AVERAGE(J1351,486461094671)</f>
        <v>476090641474</v>
      </c>
      <c r="L1351" s="23">
        <v>413887163208</v>
      </c>
      <c r="M1351" s="23">
        <v>944432688130</v>
      </c>
      <c r="N1351" s="23">
        <v>749314622206</v>
      </c>
      <c r="O1351" s="25">
        <f t="shared" si="464"/>
        <v>501003831325</v>
      </c>
      <c r="P1351" s="23">
        <v>22758693457</v>
      </c>
      <c r="Q1351" s="23">
        <f>144759306120+81248255807</f>
        <v>226007561927</v>
      </c>
      <c r="R1351" s="25">
        <f t="shared" si="465"/>
        <v>523307060279</v>
      </c>
      <c r="S1351" s="26">
        <f t="shared" si="466"/>
        <v>0.33026219785732175</v>
      </c>
      <c r="T1351" s="27">
        <f t="shared" si="467"/>
        <v>2.2104841025794735</v>
      </c>
      <c r="U1351" s="26">
        <f t="shared" si="468"/>
        <v>27.974719237424967</v>
      </c>
      <c r="V1351" s="26">
        <f t="shared" si="469"/>
        <v>1.5738906773846366</v>
      </c>
      <c r="W1351" s="143"/>
      <c r="X1351" s="143"/>
      <c r="Y1351" s="143"/>
      <c r="Z1351" s="30">
        <f t="shared" si="495"/>
        <v>0</v>
      </c>
      <c r="AA1351" s="31">
        <f t="shared" si="470"/>
        <v>48</v>
      </c>
      <c r="AB1351" s="32">
        <v>1.84E-2</v>
      </c>
      <c r="AC1351" s="32">
        <v>2.58E-2</v>
      </c>
      <c r="AD1351" s="33">
        <f t="shared" si="499"/>
        <v>0.35528334530759037</v>
      </c>
      <c r="AE1351" s="34">
        <f t="shared" si="500"/>
        <v>1.6139167488696708E-2</v>
      </c>
      <c r="AF1351" s="33">
        <f t="shared" si="501"/>
        <v>0.37109952334555429</v>
      </c>
      <c r="AG1351" s="33">
        <f t="shared" si="502"/>
        <v>0</v>
      </c>
      <c r="AH1351" s="35">
        <f t="shared" si="503"/>
        <v>1.6089373857255342</v>
      </c>
      <c r="AI1351" s="36">
        <f t="shared" si="476"/>
        <v>3.2825006616191472</v>
      </c>
      <c r="AJ1351" s="23"/>
      <c r="AK1351" s="158">
        <v>539</v>
      </c>
      <c r="AL1351" s="44"/>
      <c r="AM1351" s="44"/>
      <c r="AN1351" s="44"/>
      <c r="AO1351" s="44"/>
      <c r="AP1351" s="44"/>
      <c r="AQ1351" s="44"/>
      <c r="AR1351" s="44"/>
    </row>
    <row r="1352" spans="1:44" ht="16.8">
      <c r="A1352" s="70" t="s">
        <v>2765</v>
      </c>
      <c r="B1352" s="71"/>
      <c r="C1352" s="71" t="s">
        <v>2763</v>
      </c>
      <c r="D1352" s="19" t="s">
        <v>2764</v>
      </c>
      <c r="E1352" s="20" t="s">
        <v>414</v>
      </c>
      <c r="F1352" s="21">
        <v>1973</v>
      </c>
      <c r="G1352" s="40">
        <v>2022</v>
      </c>
      <c r="H1352" s="23">
        <v>1012022891940</v>
      </c>
      <c r="I1352" s="23">
        <v>1485087786958</v>
      </c>
      <c r="J1352" s="23">
        <v>551129738857</v>
      </c>
      <c r="K1352" s="23">
        <f t="shared" ref="K1352:K1353" si="506">AVERAGE(J1351:J1352)</f>
        <v>508424963567</v>
      </c>
      <c r="L1352" s="23">
        <v>519017601046</v>
      </c>
      <c r="M1352" s="23">
        <v>933958048101</v>
      </c>
      <c r="N1352" s="23">
        <v>1001212764349</v>
      </c>
      <c r="O1352" s="25">
        <f t="shared" si="464"/>
        <v>493005290894</v>
      </c>
      <c r="P1352" s="23">
        <v>14854693040</v>
      </c>
      <c r="Q1352" s="23">
        <f>198479086739+94751547394</f>
        <v>293230634133</v>
      </c>
      <c r="R1352" s="25">
        <f t="shared" si="465"/>
        <v>707982130216</v>
      </c>
      <c r="S1352" s="26">
        <f t="shared" si="466"/>
        <v>0.37110919886151256</v>
      </c>
      <c r="T1352" s="27">
        <f t="shared" si="467"/>
        <v>1.9498816415867666</v>
      </c>
      <c r="U1352" s="26">
        <f t="shared" si="468"/>
        <v>28.026495002232576</v>
      </c>
      <c r="V1352" s="26">
        <f t="shared" si="469"/>
        <v>1.9692439122672243</v>
      </c>
      <c r="W1352" s="143"/>
      <c r="X1352" s="143"/>
      <c r="Y1352" s="143"/>
      <c r="Z1352" s="30">
        <f t="shared" si="495"/>
        <v>0</v>
      </c>
      <c r="AA1352" s="31">
        <f t="shared" si="470"/>
        <v>49</v>
      </c>
      <c r="AB1352" s="32">
        <v>3.15E-2</v>
      </c>
      <c r="AC1352" s="32">
        <v>8.0199999999999994E-2</v>
      </c>
      <c r="AD1352" s="33">
        <f t="shared" si="499"/>
        <v>0.33197047017931119</v>
      </c>
      <c r="AE1352" s="34">
        <f t="shared" si="500"/>
        <v>1.0002568986462285E-2</v>
      </c>
      <c r="AF1352" s="33">
        <f t="shared" si="501"/>
        <v>0.47672746111945674</v>
      </c>
      <c r="AG1352" s="33">
        <f t="shared" si="502"/>
        <v>0</v>
      </c>
      <c r="AH1352" s="35">
        <f t="shared" si="503"/>
        <v>1.8166553059274881</v>
      </c>
      <c r="AI1352" s="36">
        <f t="shared" si="476"/>
        <v>3.8022240884179159</v>
      </c>
      <c r="AJ1352" s="23"/>
      <c r="AK1352" s="158">
        <v>540</v>
      </c>
      <c r="AL1352" s="44"/>
      <c r="AM1352" s="44"/>
      <c r="AN1352" s="44"/>
      <c r="AO1352" s="44"/>
      <c r="AP1352" s="44"/>
      <c r="AQ1352" s="44"/>
      <c r="AR1352" s="44"/>
    </row>
    <row r="1353" spans="1:44" ht="16.8">
      <c r="A1353" s="70" t="s">
        <v>2766</v>
      </c>
      <c r="B1353" s="71"/>
      <c r="C1353" s="71" t="s">
        <v>2763</v>
      </c>
      <c r="D1353" s="19" t="s">
        <v>2764</v>
      </c>
      <c r="E1353" s="20" t="s">
        <v>414</v>
      </c>
      <c r="F1353" s="21">
        <v>1973</v>
      </c>
      <c r="G1353" s="40">
        <v>2023</v>
      </c>
      <c r="H1353" s="23">
        <v>998363759677</v>
      </c>
      <c r="I1353" s="23">
        <v>1444059322753</v>
      </c>
      <c r="J1353" s="23">
        <v>543515566537</v>
      </c>
      <c r="K1353" s="23">
        <f t="shared" si="506"/>
        <v>547322652697</v>
      </c>
      <c r="L1353" s="23">
        <v>533807510334</v>
      </c>
      <c r="M1353" s="23">
        <v>900543756216</v>
      </c>
      <c r="N1353" s="23">
        <v>871690534552</v>
      </c>
      <c r="O1353" s="25">
        <f t="shared" si="464"/>
        <v>464556249343</v>
      </c>
      <c r="P1353" s="23">
        <v>-33414291885</v>
      </c>
      <c r="Q1353" s="23">
        <f>203271479530+103628615392</f>
        <v>306900094922</v>
      </c>
      <c r="R1353" s="25">
        <f t="shared" si="465"/>
        <v>564790439630</v>
      </c>
      <c r="S1353" s="26">
        <f t="shared" si="466"/>
        <v>0.37638035915368412</v>
      </c>
      <c r="T1353" s="27">
        <f t="shared" si="467"/>
        <v>1.8702692269210115</v>
      </c>
      <c r="U1353" s="26">
        <f t="shared" si="468"/>
        <v>27.99847923779425</v>
      </c>
      <c r="V1353" s="26">
        <f t="shared" si="469"/>
        <v>1.5926447229191725</v>
      </c>
      <c r="W1353" s="143"/>
      <c r="X1353" s="143"/>
      <c r="Y1353" s="143"/>
      <c r="Z1353" s="30">
        <f t="shared" si="495"/>
        <v>0</v>
      </c>
      <c r="AA1353" s="31">
        <f t="shared" si="470"/>
        <v>50</v>
      </c>
      <c r="AB1353" s="32">
        <v>3.2500000000000001E-2</v>
      </c>
      <c r="AC1353" s="32">
        <v>5.0500000000000003E-2</v>
      </c>
      <c r="AD1353" s="33">
        <f t="shared" si="499"/>
        <v>0.32170163789210221</v>
      </c>
      <c r="AE1353" s="34">
        <f t="shared" si="500"/>
        <v>-2.3139140725394816E-2</v>
      </c>
      <c r="AF1353" s="33">
        <f t="shared" si="501"/>
        <v>0.39111304551759396</v>
      </c>
      <c r="AG1353" s="33">
        <f t="shared" si="502"/>
        <v>0</v>
      </c>
      <c r="AH1353" s="35">
        <f t="shared" si="503"/>
        <v>1.60380049481556</v>
      </c>
      <c r="AI1353" s="36">
        <f t="shared" si="476"/>
        <v>3.2481207134785901</v>
      </c>
      <c r="AJ1353" s="23"/>
      <c r="AK1353" s="158">
        <v>541</v>
      </c>
      <c r="AL1353" s="44"/>
      <c r="AM1353" s="44"/>
      <c r="AN1353" s="44"/>
      <c r="AO1353" s="44"/>
      <c r="AP1353" s="44"/>
      <c r="AQ1353" s="44"/>
      <c r="AR1353" s="44"/>
    </row>
    <row r="1354" spans="1:44" ht="16.8">
      <c r="A1354" s="70" t="s">
        <v>2767</v>
      </c>
      <c r="B1354" s="71">
        <v>522</v>
      </c>
      <c r="C1354" s="71" t="s">
        <v>2768</v>
      </c>
      <c r="D1354" s="19" t="s">
        <v>2769</v>
      </c>
      <c r="E1354" s="20" t="s">
        <v>414</v>
      </c>
      <c r="F1354" s="21">
        <v>1975</v>
      </c>
      <c r="G1354" s="40">
        <v>2021</v>
      </c>
      <c r="H1354" s="23">
        <v>2114195151163</v>
      </c>
      <c r="I1354" s="23">
        <v>3135943084235</v>
      </c>
      <c r="J1354" s="23">
        <v>1362012584891</v>
      </c>
      <c r="K1354" s="23">
        <f>AVERAGE(J1352,743416771218)</f>
        <v>647273255037.5</v>
      </c>
      <c r="L1354" s="23">
        <v>1359992836134</v>
      </c>
      <c r="M1354" s="23">
        <v>1773930499344</v>
      </c>
      <c r="N1354" s="23">
        <v>4635525403051</v>
      </c>
      <c r="O1354" s="25">
        <f t="shared" si="464"/>
        <v>754202315029</v>
      </c>
      <c r="P1354" s="23">
        <v>290828296486</v>
      </c>
      <c r="Q1354" s="23">
        <f>303043803506+65133158428</f>
        <v>368176961934</v>
      </c>
      <c r="R1354" s="25">
        <f t="shared" si="465"/>
        <v>4267348441117</v>
      </c>
      <c r="S1354" s="26">
        <f t="shared" si="466"/>
        <v>0.43432312012871149</v>
      </c>
      <c r="T1354" s="27">
        <f t="shared" si="467"/>
        <v>1.5545634469464871</v>
      </c>
      <c r="U1354" s="26">
        <f t="shared" si="468"/>
        <v>28.773951069092256</v>
      </c>
      <c r="V1354" s="26">
        <f t="shared" si="469"/>
        <v>7.1616204855898751</v>
      </c>
      <c r="W1354" s="143"/>
      <c r="X1354" s="143"/>
      <c r="Y1354" s="143"/>
      <c r="Z1354" s="30">
        <f t="shared" si="495"/>
        <v>0</v>
      </c>
      <c r="AA1354" s="31">
        <f t="shared" si="470"/>
        <v>46</v>
      </c>
      <c r="AB1354" s="32">
        <v>1.84E-2</v>
      </c>
      <c r="AC1354" s="32">
        <v>2.58E-2</v>
      </c>
      <c r="AD1354" s="33">
        <f t="shared" si="499"/>
        <v>0.24050255210961025</v>
      </c>
      <c r="AE1354" s="34">
        <f t="shared" si="500"/>
        <v>9.2740298109379213E-2</v>
      </c>
      <c r="AF1354" s="33">
        <f t="shared" si="501"/>
        <v>1.3607863173824155</v>
      </c>
      <c r="AG1354" s="33">
        <f t="shared" si="502"/>
        <v>0</v>
      </c>
      <c r="AH1354" s="35">
        <f t="shared" si="503"/>
        <v>3.4034380111267288</v>
      </c>
      <c r="AI1354" s="36">
        <f t="shared" si="476"/>
        <v>8.3124723383733627</v>
      </c>
      <c r="AJ1354" s="23"/>
      <c r="AK1354" s="158">
        <v>542</v>
      </c>
      <c r="AL1354" s="44"/>
      <c r="AM1354" s="44"/>
      <c r="AN1354" s="44"/>
      <c r="AO1354" s="44"/>
      <c r="AP1354" s="44"/>
      <c r="AQ1354" s="44"/>
      <c r="AR1354" s="44"/>
    </row>
    <row r="1355" spans="1:44" ht="16.8">
      <c r="A1355" s="70" t="s">
        <v>2770</v>
      </c>
      <c r="B1355" s="71"/>
      <c r="C1355" s="71" t="s">
        <v>2768</v>
      </c>
      <c r="D1355" s="19" t="s">
        <v>2769</v>
      </c>
      <c r="E1355" s="20" t="s">
        <v>414</v>
      </c>
      <c r="F1355" s="21">
        <v>1975</v>
      </c>
      <c r="G1355" s="40">
        <v>2022</v>
      </c>
      <c r="H1355" s="23">
        <v>2457425816063</v>
      </c>
      <c r="I1355" s="23">
        <v>3417798778419</v>
      </c>
      <c r="J1355" s="23">
        <v>1508035857468</v>
      </c>
      <c r="K1355" s="23">
        <f t="shared" ref="K1355:K1356" si="507">AVERAGE(J1354:J1355)</f>
        <v>1435024221179.5</v>
      </c>
      <c r="L1355" s="23">
        <v>1506929882468</v>
      </c>
      <c r="M1355" s="23">
        <v>1909762920951</v>
      </c>
      <c r="N1355" s="23">
        <v>5139167142537</v>
      </c>
      <c r="O1355" s="25">
        <f t="shared" si="464"/>
        <v>950495933595</v>
      </c>
      <c r="P1355" s="23">
        <v>307184677256</v>
      </c>
      <c r="Q1355" s="23">
        <f>318162074032+77030507250</f>
        <v>395192581282</v>
      </c>
      <c r="R1355" s="25">
        <f t="shared" si="465"/>
        <v>4743974561255</v>
      </c>
      <c r="S1355" s="26">
        <f t="shared" si="466"/>
        <v>0.44123014701456031</v>
      </c>
      <c r="T1355" s="27">
        <f t="shared" si="467"/>
        <v>1.6307499404274266</v>
      </c>
      <c r="U1355" s="26">
        <f t="shared" si="468"/>
        <v>28.86001782774181</v>
      </c>
      <c r="V1355" s="26">
        <f t="shared" si="469"/>
        <v>3.5812406973262978</v>
      </c>
      <c r="W1355" s="143"/>
      <c r="X1355" s="143"/>
      <c r="Y1355" s="143"/>
      <c r="Z1355" s="30">
        <f t="shared" si="495"/>
        <v>0</v>
      </c>
      <c r="AA1355" s="31">
        <f t="shared" si="470"/>
        <v>47</v>
      </c>
      <c r="AB1355" s="32">
        <v>3.15E-2</v>
      </c>
      <c r="AC1355" s="32">
        <v>8.0199999999999994E-2</v>
      </c>
      <c r="AD1355" s="33">
        <f t="shared" si="499"/>
        <v>0.27810178281902215</v>
      </c>
      <c r="AE1355" s="34">
        <f t="shared" si="500"/>
        <v>8.9877929384156729E-2</v>
      </c>
      <c r="AF1355" s="33">
        <f t="shared" si="501"/>
        <v>1.3880204391229434</v>
      </c>
      <c r="AG1355" s="33">
        <f t="shared" si="502"/>
        <v>0</v>
      </c>
      <c r="AH1355" s="35">
        <f t="shared" si="503"/>
        <v>3.407854738391757</v>
      </c>
      <c r="AI1355" s="36">
        <f t="shared" si="476"/>
        <v>8.4478734280181165</v>
      </c>
      <c r="AJ1355" s="23"/>
      <c r="AK1355" s="158">
        <v>543</v>
      </c>
      <c r="AL1355" s="44"/>
      <c r="AM1355" s="44"/>
      <c r="AN1355" s="44"/>
      <c r="AO1355" s="44"/>
      <c r="AP1355" s="44"/>
      <c r="AQ1355" s="44"/>
      <c r="AR1355" s="44"/>
    </row>
    <row r="1356" spans="1:44" ht="16.8">
      <c r="A1356" s="70" t="s">
        <v>2771</v>
      </c>
      <c r="B1356" s="71"/>
      <c r="C1356" s="71" t="s">
        <v>2768</v>
      </c>
      <c r="D1356" s="19" t="s">
        <v>2769</v>
      </c>
      <c r="E1356" s="20" t="s">
        <v>414</v>
      </c>
      <c r="F1356" s="21">
        <v>1975</v>
      </c>
      <c r="G1356" s="40">
        <v>2023</v>
      </c>
      <c r="H1356" s="23">
        <v>2291883109458</v>
      </c>
      <c r="I1356" s="23">
        <v>3384337031687</v>
      </c>
      <c r="J1356" s="23">
        <v>1532959434804</v>
      </c>
      <c r="K1356" s="23">
        <f t="shared" si="507"/>
        <v>1520497646136</v>
      </c>
      <c r="L1356" s="23">
        <v>1508140150790</v>
      </c>
      <c r="M1356" s="23">
        <v>1851377596883</v>
      </c>
      <c r="N1356" s="23">
        <v>4657643187359</v>
      </c>
      <c r="O1356" s="25">
        <f t="shared" si="464"/>
        <v>783742958668</v>
      </c>
      <c r="P1356" s="23">
        <v>246334432758</v>
      </c>
      <c r="Q1356" s="23">
        <f>267776629376+71901263344</f>
        <v>339677892720</v>
      </c>
      <c r="R1356" s="25">
        <f t="shared" si="465"/>
        <v>4317965294639</v>
      </c>
      <c r="S1356" s="26">
        <f t="shared" si="466"/>
        <v>0.45295708448985689</v>
      </c>
      <c r="T1356" s="27">
        <f t="shared" si="467"/>
        <v>1.5196751497249488</v>
      </c>
      <c r="U1356" s="26">
        <f t="shared" si="468"/>
        <v>28.850179148365395</v>
      </c>
      <c r="V1356" s="26">
        <f t="shared" si="469"/>
        <v>3.0632360393291922</v>
      </c>
      <c r="W1356" s="143"/>
      <c r="X1356" s="143"/>
      <c r="Y1356" s="143"/>
      <c r="Z1356" s="30">
        <f t="shared" si="495"/>
        <v>0</v>
      </c>
      <c r="AA1356" s="31">
        <f t="shared" si="470"/>
        <v>48</v>
      </c>
      <c r="AB1356" s="32">
        <v>3.2500000000000001E-2</v>
      </c>
      <c r="AC1356" s="32">
        <v>5.0500000000000003E-2</v>
      </c>
      <c r="AD1356" s="33">
        <f t="shared" si="499"/>
        <v>0.23157946484937567</v>
      </c>
      <c r="AE1356" s="34">
        <f t="shared" si="500"/>
        <v>7.2786613877876397E-2</v>
      </c>
      <c r="AF1356" s="33">
        <f t="shared" si="501"/>
        <v>1.2758674015650893</v>
      </c>
      <c r="AG1356" s="33">
        <f t="shared" si="502"/>
        <v>0</v>
      </c>
      <c r="AH1356" s="35">
        <f t="shared" si="503"/>
        <v>3.0383342713530537</v>
      </c>
      <c r="AI1356" s="36">
        <f t="shared" si="476"/>
        <v>7.6284933137661257</v>
      </c>
      <c r="AJ1356" s="23"/>
      <c r="AK1356" s="158">
        <v>544</v>
      </c>
      <c r="AL1356" s="44"/>
      <c r="AM1356" s="44"/>
      <c r="AN1356" s="44"/>
      <c r="AO1356" s="44"/>
      <c r="AP1356" s="44"/>
      <c r="AQ1356" s="44"/>
      <c r="AR1356" s="44"/>
    </row>
    <row r="1357" spans="1:44" ht="16.8">
      <c r="A1357" s="70" t="s">
        <v>2772</v>
      </c>
      <c r="B1357" s="71">
        <v>523</v>
      </c>
      <c r="C1357" s="71" t="s">
        <v>2773</v>
      </c>
      <c r="D1357" s="19" t="s">
        <v>2774</v>
      </c>
      <c r="E1357" s="20" t="s">
        <v>414</v>
      </c>
      <c r="F1357" s="21">
        <v>2006</v>
      </c>
      <c r="G1357" s="40">
        <v>2021</v>
      </c>
      <c r="H1357" s="23">
        <v>1748426880610</v>
      </c>
      <c r="I1357" s="23">
        <v>2724551832765</v>
      </c>
      <c r="J1357" s="23">
        <v>1865973081703</v>
      </c>
      <c r="K1357" s="23">
        <f>AVERAGE(J1357,1649804564867)</f>
        <v>1757888823285</v>
      </c>
      <c r="L1357" s="23">
        <v>1862266911213</v>
      </c>
      <c r="M1357" s="23">
        <v>858578751062</v>
      </c>
      <c r="N1357" s="23">
        <v>74959981804</v>
      </c>
      <c r="O1357" s="25">
        <f t="shared" si="464"/>
        <v>-113840030603</v>
      </c>
      <c r="P1357" s="23">
        <v>13243434077</v>
      </c>
      <c r="Q1357" s="23">
        <f>1521129786+9719199523</f>
        <v>11240329309</v>
      </c>
      <c r="R1357" s="25">
        <f t="shared" si="465"/>
        <v>63719652495</v>
      </c>
      <c r="S1357" s="26">
        <f t="shared" si="466"/>
        <v>0.68487340165935662</v>
      </c>
      <c r="T1357" s="27">
        <f t="shared" si="467"/>
        <v>0.93887018562293545</v>
      </c>
      <c r="U1357" s="26">
        <f t="shared" si="468"/>
        <v>28.633325065477532</v>
      </c>
      <c r="V1357" s="26">
        <f t="shared" si="469"/>
        <v>4.2642049264481278E-2</v>
      </c>
      <c r="W1357" s="143"/>
      <c r="X1357" s="143"/>
      <c r="Y1357" s="143"/>
      <c r="Z1357" s="30">
        <f t="shared" si="495"/>
        <v>0</v>
      </c>
      <c r="AA1357" s="31">
        <f t="shared" si="470"/>
        <v>15</v>
      </c>
      <c r="AB1357" s="32">
        <v>1.84E-2</v>
      </c>
      <c r="AC1357" s="32">
        <v>2.58E-2</v>
      </c>
      <c r="AD1357" s="33">
        <f t="shared" si="499"/>
        <v>-4.1783029867143294E-2</v>
      </c>
      <c r="AE1357" s="34">
        <f t="shared" si="500"/>
        <v>4.8607752356687435E-3</v>
      </c>
      <c r="AF1357" s="33">
        <f t="shared" si="501"/>
        <v>2.3387205091390893E-2</v>
      </c>
      <c r="AG1357" s="33">
        <f t="shared" si="502"/>
        <v>0</v>
      </c>
      <c r="AH1357" s="35">
        <f t="shared" si="503"/>
        <v>4.0172059575257636E-2</v>
      </c>
      <c r="AI1357" s="36">
        <f t="shared" si="476"/>
        <v>7.4015285866211866E-2</v>
      </c>
      <c r="AJ1357" s="23"/>
      <c r="AK1357" s="158">
        <v>545</v>
      </c>
      <c r="AL1357" s="44"/>
      <c r="AM1357" s="44"/>
      <c r="AN1357" s="44"/>
      <c r="AO1357" s="44"/>
      <c r="AP1357" s="44"/>
      <c r="AQ1357" s="44"/>
      <c r="AR1357" s="44"/>
    </row>
    <row r="1358" spans="1:44" ht="16.8">
      <c r="A1358" s="70" t="s">
        <v>2775</v>
      </c>
      <c r="B1358" s="71"/>
      <c r="C1358" s="71" t="s">
        <v>2773</v>
      </c>
      <c r="D1358" s="19" t="s">
        <v>2774</v>
      </c>
      <c r="E1358" s="20" t="s">
        <v>414</v>
      </c>
      <c r="F1358" s="21">
        <v>2006</v>
      </c>
      <c r="G1358" s="40">
        <v>2022</v>
      </c>
      <c r="H1358" s="23">
        <v>2488737829430</v>
      </c>
      <c r="I1358" s="23">
        <v>3847503124383</v>
      </c>
      <c r="J1358" s="23">
        <v>2232265372790</v>
      </c>
      <c r="K1358" s="23">
        <f t="shared" ref="K1358:K1359" si="508">AVERAGE(J1357:J1358)</f>
        <v>2049119227246.5</v>
      </c>
      <c r="L1358" s="23">
        <v>2228559202300</v>
      </c>
      <c r="M1358" s="23">
        <v>1615237751593</v>
      </c>
      <c r="N1358" s="23">
        <v>60238137242</v>
      </c>
      <c r="O1358" s="25">
        <f t="shared" si="464"/>
        <v>260178627130</v>
      </c>
      <c r="P1358" s="23">
        <v>691147938</v>
      </c>
      <c r="Q1358" s="23">
        <v>22547018091</v>
      </c>
      <c r="R1358" s="25">
        <f t="shared" si="465"/>
        <v>37691119151</v>
      </c>
      <c r="S1358" s="26">
        <f t="shared" si="466"/>
        <v>0.5801854607065392</v>
      </c>
      <c r="T1358" s="27">
        <f t="shared" si="467"/>
        <v>1.116747460359806</v>
      </c>
      <c r="U1358" s="26">
        <f t="shared" si="468"/>
        <v>28.978445514714476</v>
      </c>
      <c r="V1358" s="26">
        <f t="shared" si="469"/>
        <v>2.9397087510103E-2</v>
      </c>
      <c r="W1358" s="143"/>
      <c r="X1358" s="143"/>
      <c r="Y1358" s="143"/>
      <c r="Z1358" s="30">
        <f t="shared" si="495"/>
        <v>0</v>
      </c>
      <c r="AA1358" s="31">
        <f t="shared" si="470"/>
        <v>16</v>
      </c>
      <c r="AB1358" s="32">
        <v>3.15E-2</v>
      </c>
      <c r="AC1358" s="32">
        <v>8.0199999999999994E-2</v>
      </c>
      <c r="AD1358" s="33">
        <f t="shared" si="499"/>
        <v>6.7622720169128708E-2</v>
      </c>
      <c r="AE1358" s="34">
        <f t="shared" si="500"/>
        <v>1.7963544554907543E-4</v>
      </c>
      <c r="AF1358" s="33">
        <f t="shared" si="501"/>
        <v>9.7962543323585442E-3</v>
      </c>
      <c r="AG1358" s="33">
        <f t="shared" si="502"/>
        <v>0</v>
      </c>
      <c r="AH1358" s="35">
        <f t="shared" si="503"/>
        <v>2.69852043472373E-2</v>
      </c>
      <c r="AI1358" s="36">
        <f t="shared" si="476"/>
        <v>0.14071159747074366</v>
      </c>
      <c r="AJ1358" s="23" t="s">
        <v>1021</v>
      </c>
      <c r="AK1358" s="158">
        <v>546</v>
      </c>
      <c r="AL1358" s="44"/>
      <c r="AM1358" s="44"/>
      <c r="AN1358" s="44"/>
      <c r="AO1358" s="44"/>
      <c r="AP1358" s="44"/>
      <c r="AQ1358" s="44"/>
      <c r="AR1358" s="44"/>
    </row>
    <row r="1359" spans="1:44" ht="16.8">
      <c r="A1359" s="70" t="s">
        <v>2776</v>
      </c>
      <c r="B1359" s="71"/>
      <c r="C1359" s="71" t="s">
        <v>2773</v>
      </c>
      <c r="D1359" s="19" t="s">
        <v>2774</v>
      </c>
      <c r="E1359" s="20" t="s">
        <v>414</v>
      </c>
      <c r="F1359" s="21">
        <v>2006</v>
      </c>
      <c r="G1359" s="40">
        <v>2023</v>
      </c>
      <c r="H1359" s="23">
        <v>2805256327710</v>
      </c>
      <c r="I1359" s="23">
        <v>3960638936720</v>
      </c>
      <c r="J1359" s="23">
        <v>2450549112707</v>
      </c>
      <c r="K1359" s="23">
        <f t="shared" si="508"/>
        <v>2341407242748.5</v>
      </c>
      <c r="L1359" s="23">
        <v>2443118849103</v>
      </c>
      <c r="M1359" s="23">
        <v>1510089824013</v>
      </c>
      <c r="N1359" s="23">
        <v>8798071703</v>
      </c>
      <c r="O1359" s="25">
        <f t="shared" si="464"/>
        <v>362137478607</v>
      </c>
      <c r="P1359" s="23">
        <v>-103803626551</v>
      </c>
      <c r="Q1359" s="23">
        <f>299312342+23991917737</f>
        <v>24291230079</v>
      </c>
      <c r="R1359" s="25">
        <f t="shared" si="465"/>
        <v>-15493158376</v>
      </c>
      <c r="S1359" s="26">
        <f t="shared" si="466"/>
        <v>0.61872570356954082</v>
      </c>
      <c r="T1359" s="27">
        <f t="shared" si="467"/>
        <v>1.148227532500091</v>
      </c>
      <c r="U1359" s="26">
        <f t="shared" si="468"/>
        <v>29.007426475836368</v>
      </c>
      <c r="V1359" s="26">
        <f t="shared" si="469"/>
        <v>3.7575999349315401E-3</v>
      </c>
      <c r="W1359" s="143"/>
      <c r="X1359" s="143"/>
      <c r="Y1359" s="143"/>
      <c r="Z1359" s="30">
        <f t="shared" si="495"/>
        <v>0</v>
      </c>
      <c r="AA1359" s="31">
        <f t="shared" si="470"/>
        <v>17</v>
      </c>
      <c r="AB1359" s="32">
        <v>3.2500000000000001E-2</v>
      </c>
      <c r="AC1359" s="32">
        <v>5.0500000000000003E-2</v>
      </c>
      <c r="AD1359" s="33">
        <f t="shared" si="499"/>
        <v>9.1434105555429357E-2</v>
      </c>
      <c r="AE1359" s="34">
        <f t="shared" si="500"/>
        <v>-2.6208808278031244E-2</v>
      </c>
      <c r="AF1359" s="33">
        <f t="shared" si="501"/>
        <v>-3.9117825743617638E-3</v>
      </c>
      <c r="AG1359" s="33">
        <f t="shared" si="502"/>
        <v>0</v>
      </c>
      <c r="AH1359" s="35">
        <f t="shared" si="503"/>
        <v>3.5902450015707732E-3</v>
      </c>
      <c r="AI1359" s="36">
        <f t="shared" si="476"/>
        <v>6.3709957583448454E-2</v>
      </c>
      <c r="AJ1359" s="23"/>
      <c r="AK1359" s="158">
        <v>547</v>
      </c>
      <c r="AL1359" s="44"/>
      <c r="AM1359" s="44"/>
      <c r="AN1359" s="44"/>
      <c r="AO1359" s="44"/>
      <c r="AP1359" s="44"/>
      <c r="AQ1359" s="44"/>
      <c r="AR1359" s="44"/>
    </row>
    <row r="1360" spans="1:44" ht="16.8">
      <c r="A1360" s="70" t="s">
        <v>2777</v>
      </c>
      <c r="B1360" s="71">
        <v>524</v>
      </c>
      <c r="C1360" s="71" t="s">
        <v>2778</v>
      </c>
      <c r="D1360" s="19" t="s">
        <v>2779</v>
      </c>
      <c r="E1360" s="20" t="s">
        <v>414</v>
      </c>
      <c r="F1360" s="21">
        <v>2003</v>
      </c>
      <c r="G1360" s="40">
        <v>2021</v>
      </c>
      <c r="H1360" s="23">
        <v>94810557581</v>
      </c>
      <c r="I1360" s="23">
        <v>134664734618</v>
      </c>
      <c r="J1360" s="23">
        <v>12330690410</v>
      </c>
      <c r="K1360" s="23">
        <f>AVERAGE(J1344,11278662469)</f>
        <v>169965555472.5</v>
      </c>
      <c r="L1360" s="23">
        <v>12330690410</v>
      </c>
      <c r="M1360" s="23">
        <v>122334044208</v>
      </c>
      <c r="N1360" s="23">
        <v>95635308243</v>
      </c>
      <c r="O1360" s="25">
        <f t="shared" si="464"/>
        <v>82479867171</v>
      </c>
      <c r="P1360" s="23">
        <v>56266363850</v>
      </c>
      <c r="Q1360" s="23">
        <v>5749678896</v>
      </c>
      <c r="R1360" s="25">
        <f t="shared" si="465"/>
        <v>89885629347</v>
      </c>
      <c r="S1360" s="26">
        <f t="shared" si="466"/>
        <v>9.1565846433204312E-2</v>
      </c>
      <c r="T1360" s="27">
        <f t="shared" si="467"/>
        <v>7.6889901885875016</v>
      </c>
      <c r="U1360" s="26">
        <f t="shared" si="468"/>
        <v>25.626054079240493</v>
      </c>
      <c r="V1360" s="26">
        <f t="shared" si="469"/>
        <v>0.56267464297184355</v>
      </c>
      <c r="W1360" s="143"/>
      <c r="X1360" s="143"/>
      <c r="Y1360" s="143"/>
      <c r="Z1360" s="30">
        <f t="shared" si="495"/>
        <v>0</v>
      </c>
      <c r="AA1360" s="31">
        <f t="shared" si="470"/>
        <v>18</v>
      </c>
      <c r="AB1360" s="32">
        <v>1.84E-2</v>
      </c>
      <c r="AC1360" s="32">
        <v>2.58E-2</v>
      </c>
      <c r="AD1360" s="33">
        <f t="shared" si="499"/>
        <v>0.61248304840141354</v>
      </c>
      <c r="AE1360" s="34">
        <f t="shared" si="500"/>
        <v>0.4178255280390174</v>
      </c>
      <c r="AF1360" s="33">
        <f t="shared" si="501"/>
        <v>0.66747712088080269</v>
      </c>
      <c r="AG1360" s="33">
        <f t="shared" si="502"/>
        <v>0</v>
      </c>
      <c r="AH1360" s="35">
        <f t="shared" si="503"/>
        <v>7.755876196959842</v>
      </c>
      <c r="AI1360" s="36">
        <f t="shared" si="476"/>
        <v>11.278486093202812</v>
      </c>
      <c r="AJ1360" s="23" t="s">
        <v>1021</v>
      </c>
      <c r="AK1360" s="158">
        <v>548</v>
      </c>
      <c r="AL1360" s="44"/>
      <c r="AM1360" s="44"/>
      <c r="AN1360" s="44"/>
      <c r="AO1360" s="44"/>
      <c r="AP1360" s="44"/>
      <c r="AQ1360" s="44"/>
      <c r="AR1360" s="44"/>
    </row>
    <row r="1361" spans="1:44" ht="16.8">
      <c r="A1361" s="70" t="s">
        <v>2780</v>
      </c>
      <c r="B1361" s="71"/>
      <c r="C1361" s="71" t="s">
        <v>2778</v>
      </c>
      <c r="D1361" s="19" t="s">
        <v>2781</v>
      </c>
      <c r="E1361" s="20" t="s">
        <v>414</v>
      </c>
      <c r="F1361" s="21">
        <v>2003</v>
      </c>
      <c r="G1361" s="40">
        <v>2022</v>
      </c>
      <c r="H1361" s="23">
        <v>92302245856</v>
      </c>
      <c r="I1361" s="23">
        <v>133313304811</v>
      </c>
      <c r="J1361" s="23">
        <v>17330851176</v>
      </c>
      <c r="K1361" s="23">
        <f t="shared" ref="K1361:K1362" si="509">AVERAGE(J1360:J1361)</f>
        <v>14830770793</v>
      </c>
      <c r="L1361" s="23">
        <v>17330851176</v>
      </c>
      <c r="M1361" s="23">
        <v>115982453635</v>
      </c>
      <c r="N1361" s="23">
        <v>113417962509</v>
      </c>
      <c r="O1361" s="25">
        <f t="shared" si="464"/>
        <v>74971394680</v>
      </c>
      <c r="P1361" s="23">
        <v>61972910646</v>
      </c>
      <c r="Q1361" s="23">
        <v>6275714797</v>
      </c>
      <c r="R1361" s="25">
        <f t="shared" si="465"/>
        <v>107142247712</v>
      </c>
      <c r="S1361" s="26">
        <f t="shared" si="466"/>
        <v>0.13000091176623499</v>
      </c>
      <c r="T1361" s="27">
        <f t="shared" si="467"/>
        <v>5.3258922437590028</v>
      </c>
      <c r="U1361" s="26">
        <f t="shared" si="468"/>
        <v>25.615967870185543</v>
      </c>
      <c r="V1361" s="26">
        <f t="shared" si="469"/>
        <v>7.6474759196286906</v>
      </c>
      <c r="W1361" s="143"/>
      <c r="X1361" s="143"/>
      <c r="Y1361" s="143"/>
      <c r="Z1361" s="30">
        <f t="shared" si="495"/>
        <v>0</v>
      </c>
      <c r="AA1361" s="31">
        <f t="shared" si="470"/>
        <v>19</v>
      </c>
      <c r="AB1361" s="32">
        <v>3.15E-2</v>
      </c>
      <c r="AC1361" s="32">
        <v>8.0199999999999994E-2</v>
      </c>
      <c r="AD1361" s="33">
        <f t="shared" si="499"/>
        <v>0.56236993589115447</v>
      </c>
      <c r="AE1361" s="34">
        <f t="shared" si="500"/>
        <v>0.46486665928700666</v>
      </c>
      <c r="AF1361" s="33">
        <f t="shared" si="501"/>
        <v>0.80368758290027353</v>
      </c>
      <c r="AG1361" s="33">
        <f t="shared" si="502"/>
        <v>0</v>
      </c>
      <c r="AH1361" s="35">
        <f t="shared" si="503"/>
        <v>6.5442811410245536</v>
      </c>
      <c r="AI1361" s="36">
        <f t="shared" si="476"/>
        <v>10.522107410666651</v>
      </c>
      <c r="AJ1361" s="23"/>
      <c r="AK1361" s="158">
        <v>549</v>
      </c>
      <c r="AL1361" s="44"/>
      <c r="AM1361" s="44"/>
      <c r="AN1361" s="44"/>
      <c r="AO1361" s="44"/>
      <c r="AP1361" s="44"/>
      <c r="AQ1361" s="44"/>
      <c r="AR1361" s="44"/>
    </row>
    <row r="1362" spans="1:44" ht="16.8">
      <c r="A1362" s="70" t="s">
        <v>2782</v>
      </c>
      <c r="B1362" s="71"/>
      <c r="C1362" s="71" t="s">
        <v>2778</v>
      </c>
      <c r="D1362" s="19" t="s">
        <v>2783</v>
      </c>
      <c r="E1362" s="20" t="s">
        <v>414</v>
      </c>
      <c r="F1362" s="21">
        <v>2003</v>
      </c>
      <c r="G1362" s="40">
        <v>2023</v>
      </c>
      <c r="H1362" s="23">
        <v>96051847867</v>
      </c>
      <c r="I1362" s="23">
        <v>134352569805</v>
      </c>
      <c r="J1362" s="23">
        <v>17030366826</v>
      </c>
      <c r="K1362" s="23">
        <f t="shared" si="509"/>
        <v>17180609001</v>
      </c>
      <c r="L1362" s="23">
        <v>17030366826</v>
      </c>
      <c r="M1362" s="23">
        <v>117322202979</v>
      </c>
      <c r="N1362" s="23">
        <v>105424330891</v>
      </c>
      <c r="O1362" s="25">
        <f t="shared" si="464"/>
        <v>79021481041</v>
      </c>
      <c r="P1362" s="23">
        <v>58029556966</v>
      </c>
      <c r="Q1362" s="23">
        <v>6676398019</v>
      </c>
      <c r="R1362" s="25">
        <f t="shared" si="465"/>
        <v>98747932872</v>
      </c>
      <c r="S1362" s="26">
        <f t="shared" si="466"/>
        <v>0.12675877246499981</v>
      </c>
      <c r="T1362" s="27">
        <f t="shared" si="467"/>
        <v>5.6400339962354256</v>
      </c>
      <c r="U1362" s="26">
        <f t="shared" si="468"/>
        <v>25.623733299513852</v>
      </c>
      <c r="V1362" s="26">
        <f t="shared" si="469"/>
        <v>6.1362394595478982</v>
      </c>
      <c r="W1362" s="143"/>
      <c r="X1362" s="143"/>
      <c r="Y1362" s="143"/>
      <c r="Z1362" s="30">
        <f t="shared" si="495"/>
        <v>0</v>
      </c>
      <c r="AA1362" s="31">
        <f t="shared" si="470"/>
        <v>20</v>
      </c>
      <c r="AB1362" s="32">
        <v>3.2500000000000001E-2</v>
      </c>
      <c r="AC1362" s="32">
        <v>5.0500000000000003E-2</v>
      </c>
      <c r="AD1362" s="33">
        <f t="shared" si="499"/>
        <v>0.58816501355867012</v>
      </c>
      <c r="AE1362" s="34">
        <f t="shared" si="500"/>
        <v>0.4319199629022682</v>
      </c>
      <c r="AF1362" s="33">
        <f t="shared" si="501"/>
        <v>0.73499102410414074</v>
      </c>
      <c r="AG1362" s="33">
        <f t="shared" si="502"/>
        <v>0</v>
      </c>
      <c r="AH1362" s="35">
        <f t="shared" si="503"/>
        <v>6.1903734645369051</v>
      </c>
      <c r="AI1362" s="36">
        <f t="shared" si="476"/>
        <v>9.9263298084141489</v>
      </c>
      <c r="AJ1362" s="23"/>
      <c r="AK1362" s="158">
        <v>550</v>
      </c>
      <c r="AL1362" s="44"/>
      <c r="AM1362" s="44"/>
      <c r="AN1362" s="44"/>
      <c r="AO1362" s="44"/>
      <c r="AP1362" s="44"/>
      <c r="AQ1362" s="44"/>
      <c r="AR1362" s="44"/>
    </row>
    <row r="1363" spans="1:44" ht="16.8">
      <c r="A1363" s="70" t="s">
        <v>2784</v>
      </c>
      <c r="B1363" s="71">
        <v>525</v>
      </c>
      <c r="C1363" s="71" t="s">
        <v>2785</v>
      </c>
      <c r="D1363" s="19" t="s">
        <v>2786</v>
      </c>
      <c r="E1363" s="20" t="s">
        <v>414</v>
      </c>
      <c r="F1363" s="21">
        <v>1998</v>
      </c>
      <c r="G1363" s="40">
        <v>2021</v>
      </c>
      <c r="H1363" s="23">
        <v>184844790160</v>
      </c>
      <c r="I1363" s="23">
        <v>200709067361</v>
      </c>
      <c r="J1363" s="23">
        <v>17750686629</v>
      </c>
      <c r="K1363" s="23">
        <f>AVERAGE(J1363,18110819623)</f>
        <v>17930753126</v>
      </c>
      <c r="L1363" s="23">
        <v>17238416886</v>
      </c>
      <c r="M1363" s="23">
        <v>182958380732</v>
      </c>
      <c r="N1363" s="23">
        <v>25241829147</v>
      </c>
      <c r="O1363" s="25">
        <f t="shared" si="464"/>
        <v>167606373274</v>
      </c>
      <c r="P1363" s="23">
        <v>24243128936</v>
      </c>
      <c r="Q1363" s="23">
        <f>2197801038+8663181294</f>
        <v>10860982332</v>
      </c>
      <c r="R1363" s="25">
        <f t="shared" si="465"/>
        <v>14380846815</v>
      </c>
      <c r="S1363" s="26">
        <f t="shared" si="466"/>
        <v>8.8439883969333596E-2</v>
      </c>
      <c r="T1363" s="27">
        <f t="shared" si="467"/>
        <v>10.722840234251427</v>
      </c>
      <c r="U1363" s="26">
        <f t="shared" si="468"/>
        <v>26.025122270407799</v>
      </c>
      <c r="V1363" s="26">
        <f t="shared" si="469"/>
        <v>1.4077394836471633</v>
      </c>
      <c r="W1363" s="143"/>
      <c r="X1363" s="143"/>
      <c r="Y1363" s="143"/>
      <c r="Z1363" s="30">
        <f t="shared" si="495"/>
        <v>0</v>
      </c>
      <c r="AA1363" s="31">
        <f t="shared" si="470"/>
        <v>23</v>
      </c>
      <c r="AB1363" s="32">
        <v>1.84E-2</v>
      </c>
      <c r="AC1363" s="32">
        <v>2.58E-2</v>
      </c>
      <c r="AD1363" s="33">
        <f t="shared" si="499"/>
        <v>0.83507125750596645</v>
      </c>
      <c r="AE1363" s="34">
        <f t="shared" si="500"/>
        <v>0.12078741262045598</v>
      </c>
      <c r="AF1363" s="33">
        <f t="shared" si="501"/>
        <v>7.1650209948583315E-2</v>
      </c>
      <c r="AG1363" s="33">
        <f t="shared" si="502"/>
        <v>0</v>
      </c>
      <c r="AH1363" s="35">
        <f t="shared" si="503"/>
        <v>1.4220198730657225</v>
      </c>
      <c r="AI1363" s="36">
        <f t="shared" si="476"/>
        <v>2.8296534525718453</v>
      </c>
      <c r="AJ1363" s="23"/>
      <c r="AK1363" s="158">
        <v>551</v>
      </c>
      <c r="AL1363" s="44"/>
      <c r="AM1363" s="44"/>
      <c r="AN1363" s="44"/>
      <c r="AO1363" s="44"/>
      <c r="AP1363" s="44"/>
      <c r="AQ1363" s="44"/>
      <c r="AR1363" s="44"/>
    </row>
    <row r="1364" spans="1:44" ht="16.8">
      <c r="A1364" s="70" t="s">
        <v>2787</v>
      </c>
      <c r="B1364" s="71"/>
      <c r="C1364" s="71" t="s">
        <v>2785</v>
      </c>
      <c r="D1364" s="19" t="s">
        <v>2786</v>
      </c>
      <c r="E1364" s="20" t="s">
        <v>414</v>
      </c>
      <c r="F1364" s="21">
        <v>1998</v>
      </c>
      <c r="G1364" s="40">
        <v>2022</v>
      </c>
      <c r="H1364" s="23">
        <v>263045063260</v>
      </c>
      <c r="I1364" s="23">
        <v>184844790160</v>
      </c>
      <c r="J1364" s="23">
        <v>32537566198</v>
      </c>
      <c r="K1364" s="23">
        <f t="shared" ref="K1364:K1365" si="510">AVERAGE(J1363:J1364)</f>
        <v>25144126413.5</v>
      </c>
      <c r="L1364" s="23">
        <v>31828303194</v>
      </c>
      <c r="M1364" s="23">
        <v>250798334536</v>
      </c>
      <c r="N1364" s="23">
        <v>232177817247</v>
      </c>
      <c r="O1364" s="25">
        <f t="shared" si="464"/>
        <v>231216760066</v>
      </c>
      <c r="P1364" s="23">
        <v>107738287086</v>
      </c>
      <c r="Q1364" s="23">
        <f>8384433100+21033160156</f>
        <v>29417593256</v>
      </c>
      <c r="R1364" s="25">
        <f t="shared" si="465"/>
        <v>202760223991</v>
      </c>
      <c r="S1364" s="26">
        <f t="shared" si="466"/>
        <v>0.17602641745994449</v>
      </c>
      <c r="T1364" s="27">
        <f t="shared" si="467"/>
        <v>8.2645016184710407</v>
      </c>
      <c r="U1364" s="26">
        <f t="shared" si="468"/>
        <v>25.94278233778256</v>
      </c>
      <c r="V1364" s="26">
        <f t="shared" si="469"/>
        <v>9.2338788561905503</v>
      </c>
      <c r="W1364" s="143"/>
      <c r="X1364" s="143"/>
      <c r="Y1364" s="143"/>
      <c r="Z1364" s="30">
        <f t="shared" si="495"/>
        <v>0</v>
      </c>
      <c r="AA1364" s="31">
        <f t="shared" si="470"/>
        <v>24</v>
      </c>
      <c r="AB1364" s="32">
        <v>3.15E-2</v>
      </c>
      <c r="AC1364" s="32">
        <v>8.0199999999999994E-2</v>
      </c>
      <c r="AD1364" s="33">
        <f t="shared" si="499"/>
        <v>1.2508697695285911</v>
      </c>
      <c r="AE1364" s="34">
        <f t="shared" si="500"/>
        <v>0.58285812109036295</v>
      </c>
      <c r="AF1364" s="33">
        <f t="shared" si="501"/>
        <v>1.0969214973031838</v>
      </c>
      <c r="AG1364" s="33">
        <f t="shared" si="502"/>
        <v>0</v>
      </c>
      <c r="AH1364" s="35">
        <f t="shared" si="503"/>
        <v>7.1356848214809432</v>
      </c>
      <c r="AI1364" s="36">
        <f t="shared" si="476"/>
        <v>13.072570855542267</v>
      </c>
      <c r="AJ1364" s="23"/>
      <c r="AK1364" s="158">
        <v>552</v>
      </c>
      <c r="AL1364" s="44"/>
      <c r="AM1364" s="44"/>
      <c r="AN1364" s="44"/>
      <c r="AO1364" s="44"/>
      <c r="AP1364" s="44"/>
      <c r="AQ1364" s="44"/>
      <c r="AR1364" s="44"/>
    </row>
    <row r="1365" spans="1:44" ht="16.8">
      <c r="A1365" s="70" t="s">
        <v>2788</v>
      </c>
      <c r="B1365" s="71"/>
      <c r="C1365" s="71" t="s">
        <v>2785</v>
      </c>
      <c r="D1365" s="19" t="s">
        <v>2786</v>
      </c>
      <c r="E1365" s="20" t="s">
        <v>414</v>
      </c>
      <c r="F1365" s="21">
        <v>1998</v>
      </c>
      <c r="G1365" s="40">
        <v>2023</v>
      </c>
      <c r="H1365" s="23">
        <v>327398694036</v>
      </c>
      <c r="I1365" s="23">
        <v>346507718794</v>
      </c>
      <c r="J1365" s="23">
        <v>29619807345</v>
      </c>
      <c r="K1365" s="23">
        <f t="shared" si="510"/>
        <v>31078686771.5</v>
      </c>
      <c r="L1365" s="23">
        <v>28724048038</v>
      </c>
      <c r="M1365" s="23">
        <v>316887911449</v>
      </c>
      <c r="N1365" s="23">
        <v>248913835012</v>
      </c>
      <c r="O1365" s="25">
        <f t="shared" si="464"/>
        <v>298674645998</v>
      </c>
      <c r="P1365" s="23">
        <v>112507257004</v>
      </c>
      <c r="Q1365" s="23">
        <f>12491442418+23375919525</f>
        <v>35867361943</v>
      </c>
      <c r="R1365" s="25">
        <f t="shared" si="465"/>
        <v>213046473069</v>
      </c>
      <c r="S1365" s="26">
        <f t="shared" si="466"/>
        <v>8.5480945267510974E-2</v>
      </c>
      <c r="T1365" s="27">
        <f t="shared" si="467"/>
        <v>11.398069436552722</v>
      </c>
      <c r="U1365" s="26">
        <f t="shared" si="468"/>
        <v>26.571170931790014</v>
      </c>
      <c r="V1365" s="26">
        <f t="shared" si="469"/>
        <v>8.0091490622525523</v>
      </c>
      <c r="W1365" s="143"/>
      <c r="X1365" s="143"/>
      <c r="Y1365" s="143"/>
      <c r="Z1365" s="30">
        <f t="shared" si="495"/>
        <v>0</v>
      </c>
      <c r="AA1365" s="31">
        <f t="shared" si="470"/>
        <v>25</v>
      </c>
      <c r="AB1365" s="32">
        <v>3.2500000000000001E-2</v>
      </c>
      <c r="AC1365" s="32">
        <v>5.0500000000000003E-2</v>
      </c>
      <c r="AD1365" s="33">
        <f t="shared" si="499"/>
        <v>0.86195668898089706</v>
      </c>
      <c r="AE1365" s="34">
        <f t="shared" si="500"/>
        <v>0.32468903548692934</v>
      </c>
      <c r="AF1365" s="33">
        <f t="shared" si="501"/>
        <v>0.61483903969151366</v>
      </c>
      <c r="AG1365" s="33">
        <f t="shared" si="502"/>
        <v>0</v>
      </c>
      <c r="AH1365" s="35">
        <f t="shared" si="503"/>
        <v>8.4036277519549145</v>
      </c>
      <c r="AI1365" s="36">
        <f t="shared" si="476"/>
        <v>11.921509259395688</v>
      </c>
      <c r="AJ1365" s="23"/>
      <c r="AK1365" s="158">
        <v>553</v>
      </c>
      <c r="AL1365" s="44"/>
      <c r="AM1365" s="44"/>
      <c r="AN1365" s="44"/>
      <c r="AO1365" s="44"/>
      <c r="AP1365" s="44"/>
      <c r="AQ1365" s="44"/>
      <c r="AR1365" s="44"/>
    </row>
    <row r="1366" spans="1:44" ht="16.8">
      <c r="A1366" s="70" t="s">
        <v>2789</v>
      </c>
      <c r="B1366" s="71">
        <v>526</v>
      </c>
      <c r="C1366" s="71" t="s">
        <v>2790</v>
      </c>
      <c r="D1366" s="19" t="s">
        <v>2791</v>
      </c>
      <c r="E1366" s="20" t="s">
        <v>414</v>
      </c>
      <c r="F1366" s="21">
        <v>2001</v>
      </c>
      <c r="G1366" s="40">
        <v>2021</v>
      </c>
      <c r="H1366" s="23">
        <v>240645998870</v>
      </c>
      <c r="I1366" s="23">
        <v>668843309763</v>
      </c>
      <c r="J1366" s="23">
        <v>474903539819</v>
      </c>
      <c r="K1366" s="23">
        <f>AVERAGE(J1366,351050085880)</f>
        <v>412976812849.5</v>
      </c>
      <c r="L1366" s="23">
        <v>266301181089</v>
      </c>
      <c r="M1366" s="23">
        <v>193939769944</v>
      </c>
      <c r="N1366" s="23">
        <v>108838675058</v>
      </c>
      <c r="O1366" s="25">
        <f t="shared" si="464"/>
        <v>-25655182219</v>
      </c>
      <c r="P1366" s="23">
        <v>9968271666</v>
      </c>
      <c r="Q1366" s="23">
        <f>6695439618+6328753459</f>
        <v>13024193077</v>
      </c>
      <c r="R1366" s="25">
        <f t="shared" si="465"/>
        <v>95814481981</v>
      </c>
      <c r="S1366" s="26">
        <f t="shared" si="466"/>
        <v>0.7100370638188469</v>
      </c>
      <c r="T1366" s="27">
        <f t="shared" si="467"/>
        <v>0.90366102728464492</v>
      </c>
      <c r="U1366" s="26">
        <f t="shared" si="468"/>
        <v>27.228815654040986</v>
      </c>
      <c r="V1366" s="26">
        <f t="shared" si="469"/>
        <v>0.26354669722743918</v>
      </c>
      <c r="W1366" s="143"/>
      <c r="X1366" s="143"/>
      <c r="Y1366" s="143"/>
      <c r="Z1366" s="30">
        <f t="shared" si="495"/>
        <v>0</v>
      </c>
      <c r="AA1366" s="31">
        <f t="shared" si="470"/>
        <v>20</v>
      </c>
      <c r="AB1366" s="32">
        <v>1.84E-2</v>
      </c>
      <c r="AC1366" s="32">
        <v>2.58E-2</v>
      </c>
      <c r="AD1366" s="33">
        <f t="shared" si="499"/>
        <v>-3.835753732528286E-2</v>
      </c>
      <c r="AE1366" s="34">
        <f t="shared" si="500"/>
        <v>1.4903747291024243E-2</v>
      </c>
      <c r="AF1366" s="33">
        <f t="shared" si="501"/>
        <v>0.14325400371419009</v>
      </c>
      <c r="AG1366" s="33">
        <f t="shared" si="502"/>
        <v>0</v>
      </c>
      <c r="AH1366" s="35">
        <f t="shared" si="503"/>
        <v>0.22918059338846303</v>
      </c>
      <c r="AI1366" s="36">
        <f t="shared" si="476"/>
        <v>0.67675500706238478</v>
      </c>
      <c r="AJ1366" s="23"/>
      <c r="AK1366" s="158">
        <v>554</v>
      </c>
      <c r="AL1366" s="44"/>
      <c r="AM1366" s="44"/>
      <c r="AN1366" s="44"/>
      <c r="AO1366" s="44"/>
      <c r="AP1366" s="44"/>
      <c r="AQ1366" s="44"/>
      <c r="AR1366" s="44"/>
    </row>
    <row r="1367" spans="1:44" ht="16.8">
      <c r="A1367" s="70" t="s">
        <v>2792</v>
      </c>
      <c r="B1367" s="71"/>
      <c r="C1367" s="71" t="s">
        <v>2790</v>
      </c>
      <c r="D1367" s="19" t="s">
        <v>2791</v>
      </c>
      <c r="E1367" s="20" t="s">
        <v>414</v>
      </c>
      <c r="F1367" s="21">
        <v>2001</v>
      </c>
      <c r="G1367" s="40">
        <v>2022</v>
      </c>
      <c r="H1367" s="23">
        <v>232207867469</v>
      </c>
      <c r="I1367" s="23">
        <v>749012188548</v>
      </c>
      <c r="J1367" s="23">
        <v>547256877175</v>
      </c>
      <c r="K1367" s="23">
        <f t="shared" ref="K1367:K1368" si="511">AVERAGE(J1366:J1367)</f>
        <v>511080208497</v>
      </c>
      <c r="L1367" s="23">
        <v>365522549098</v>
      </c>
      <c r="M1367" s="23">
        <v>201755311373</v>
      </c>
      <c r="N1367" s="23">
        <v>131158631689</v>
      </c>
      <c r="O1367" s="25">
        <f t="shared" si="464"/>
        <v>-133314681629</v>
      </c>
      <c r="P1367" s="23">
        <v>8064748221</v>
      </c>
      <c r="Q1367" s="23">
        <f>5044014006+7343996950</f>
        <v>12388010956</v>
      </c>
      <c r="R1367" s="25">
        <f t="shared" si="465"/>
        <v>118770620733</v>
      </c>
      <c r="S1367" s="26">
        <f t="shared" si="466"/>
        <v>0.73063814653789094</v>
      </c>
      <c r="T1367" s="27">
        <f t="shared" si="467"/>
        <v>0.63527645022726875</v>
      </c>
      <c r="U1367" s="26">
        <f t="shared" si="468"/>
        <v>27.34202109342602</v>
      </c>
      <c r="V1367" s="26">
        <f t="shared" si="469"/>
        <v>0.2566302304577891</v>
      </c>
      <c r="W1367" s="143"/>
      <c r="X1367" s="143"/>
      <c r="Y1367" s="143"/>
      <c r="Z1367" s="30">
        <f t="shared" si="495"/>
        <v>0</v>
      </c>
      <c r="AA1367" s="31">
        <f t="shared" si="470"/>
        <v>21</v>
      </c>
      <c r="AB1367" s="32">
        <v>3.15E-2</v>
      </c>
      <c r="AC1367" s="32">
        <v>8.0199999999999994E-2</v>
      </c>
      <c r="AD1367" s="33">
        <f t="shared" si="499"/>
        <v>-0.17798733273945463</v>
      </c>
      <c r="AE1367" s="34">
        <f t="shared" si="500"/>
        <v>1.0767178884810866E-2</v>
      </c>
      <c r="AF1367" s="33">
        <f t="shared" si="501"/>
        <v>0.15856967690104373</v>
      </c>
      <c r="AG1367" s="33">
        <f t="shared" si="502"/>
        <v>0</v>
      </c>
      <c r="AH1367" s="35">
        <f t="shared" si="503"/>
        <v>0.2396655705197443</v>
      </c>
      <c r="AI1367" s="36">
        <f t="shared" si="476"/>
        <v>0.56443475544457833</v>
      </c>
      <c r="AJ1367" s="23"/>
      <c r="AK1367" s="158">
        <v>555</v>
      </c>
      <c r="AL1367" s="44"/>
      <c r="AM1367" s="44"/>
      <c r="AN1367" s="44"/>
      <c r="AO1367" s="44"/>
      <c r="AP1367" s="44"/>
      <c r="AQ1367" s="44"/>
      <c r="AR1367" s="44"/>
    </row>
    <row r="1368" spans="1:44" ht="16.8">
      <c r="A1368" s="70" t="s">
        <v>2793</v>
      </c>
      <c r="B1368" s="71"/>
      <c r="C1368" s="71" t="s">
        <v>2790</v>
      </c>
      <c r="D1368" s="19" t="s">
        <v>2791</v>
      </c>
      <c r="E1368" s="20" t="s">
        <v>414</v>
      </c>
      <c r="F1368" s="21">
        <v>2001</v>
      </c>
      <c r="G1368" s="40">
        <v>2023</v>
      </c>
      <c r="H1368" s="23">
        <v>186752969756</v>
      </c>
      <c r="I1368" s="23">
        <v>708894621126</v>
      </c>
      <c r="J1368" s="23">
        <v>506008207328</v>
      </c>
      <c r="K1368" s="23">
        <f t="shared" si="511"/>
        <v>526632542251.5</v>
      </c>
      <c r="L1368" s="23">
        <v>409778971900</v>
      </c>
      <c r="M1368" s="23">
        <v>202886413798</v>
      </c>
      <c r="N1368" s="23">
        <v>100007683374</v>
      </c>
      <c r="O1368" s="25">
        <f t="shared" si="464"/>
        <v>-223026002144</v>
      </c>
      <c r="P1368" s="23">
        <v>1332721130</v>
      </c>
      <c r="Q1368" s="23">
        <f>2332434875+9159096993</f>
        <v>11491531868</v>
      </c>
      <c r="R1368" s="25">
        <f t="shared" si="465"/>
        <v>88516151506</v>
      </c>
      <c r="S1368" s="26">
        <f t="shared" si="466"/>
        <v>0.71379890924304434</v>
      </c>
      <c r="T1368" s="27">
        <f t="shared" si="467"/>
        <v>0.4557407347919602</v>
      </c>
      <c r="U1368" s="26">
        <f t="shared" si="468"/>
        <v>27.286972722144235</v>
      </c>
      <c r="V1368" s="26">
        <f t="shared" si="469"/>
        <v>0.18990031065387539</v>
      </c>
      <c r="W1368" s="143"/>
      <c r="X1368" s="143"/>
      <c r="Y1368" s="143"/>
      <c r="Z1368" s="30">
        <f t="shared" si="495"/>
        <v>0</v>
      </c>
      <c r="AA1368" s="31">
        <f t="shared" si="470"/>
        <v>22</v>
      </c>
      <c r="AB1368" s="32">
        <v>3.2500000000000001E-2</v>
      </c>
      <c r="AC1368" s="32">
        <v>5.0500000000000003E-2</v>
      </c>
      <c r="AD1368" s="33">
        <f t="shared" si="499"/>
        <v>-0.31461093863252637</v>
      </c>
      <c r="AE1368" s="34">
        <f t="shared" si="500"/>
        <v>1.8799989311290319E-3</v>
      </c>
      <c r="AF1368" s="33">
        <f t="shared" si="501"/>
        <v>0.12486503475707288</v>
      </c>
      <c r="AG1368" s="33">
        <f t="shared" si="502"/>
        <v>0</v>
      </c>
      <c r="AH1368" s="35">
        <f t="shared" si="503"/>
        <v>0.19764043730060279</v>
      </c>
      <c r="AI1368" s="36">
        <f t="shared" si="476"/>
        <v>0.23479392414349229</v>
      </c>
      <c r="AJ1368" s="23"/>
      <c r="AK1368" s="158">
        <v>556</v>
      </c>
      <c r="AL1368" s="44"/>
      <c r="AM1368" s="44"/>
      <c r="AN1368" s="44"/>
      <c r="AO1368" s="44"/>
      <c r="AP1368" s="44"/>
      <c r="AQ1368" s="44"/>
      <c r="AR1368" s="44"/>
    </row>
    <row r="1369" spans="1:44" ht="16.8">
      <c r="A1369" s="70" t="s">
        <v>2794</v>
      </c>
      <c r="B1369" s="71">
        <v>527</v>
      </c>
      <c r="C1369" s="71" t="s">
        <v>2795</v>
      </c>
      <c r="D1369" s="19" t="s">
        <v>2796</v>
      </c>
      <c r="E1369" s="20" t="s">
        <v>414</v>
      </c>
      <c r="F1369" s="21">
        <v>1994</v>
      </c>
      <c r="G1369" s="40">
        <v>2021</v>
      </c>
      <c r="H1369" s="23">
        <v>1187190914385</v>
      </c>
      <c r="I1369" s="23">
        <v>1887374886479</v>
      </c>
      <c r="J1369" s="23">
        <v>823005235435</v>
      </c>
      <c r="K1369" s="23">
        <f>AVERAGE(J1349,1418376401407)</f>
        <v>1295972730893.5</v>
      </c>
      <c r="L1369" s="23">
        <v>821166435435</v>
      </c>
      <c r="M1369" s="23">
        <v>1064369651044</v>
      </c>
      <c r="N1369" s="23">
        <v>1381840902134</v>
      </c>
      <c r="O1369" s="25">
        <f t="shared" si="464"/>
        <v>366024478950</v>
      </c>
      <c r="P1369" s="23">
        <v>56129713567</v>
      </c>
      <c r="Q1369" s="23">
        <f>7749037149+16339500370</f>
        <v>24088537519</v>
      </c>
      <c r="R1369" s="25">
        <f t="shared" si="465"/>
        <v>1357752364615</v>
      </c>
      <c r="S1369" s="26">
        <f t="shared" si="466"/>
        <v>0.4360581680570948</v>
      </c>
      <c r="T1369" s="27">
        <f t="shared" si="467"/>
        <v>1.4457372624541143</v>
      </c>
      <c r="U1369" s="26">
        <f t="shared" si="468"/>
        <v>28.266208030563483</v>
      </c>
      <c r="V1369" s="26">
        <f t="shared" si="469"/>
        <v>1.06625769909626</v>
      </c>
      <c r="W1369" s="143"/>
      <c r="X1369" s="143"/>
      <c r="Y1369" s="143"/>
      <c r="Z1369" s="30">
        <f t="shared" si="495"/>
        <v>0</v>
      </c>
      <c r="AA1369" s="31">
        <f t="shared" si="470"/>
        <v>27</v>
      </c>
      <c r="AB1369" s="32">
        <v>1.84E-2</v>
      </c>
      <c r="AC1369" s="32">
        <v>2.58E-2</v>
      </c>
      <c r="AD1369" s="33">
        <f t="shared" si="499"/>
        <v>0.1939331086644045</v>
      </c>
      <c r="AE1369" s="34">
        <f t="shared" si="500"/>
        <v>2.9739567888239213E-2</v>
      </c>
      <c r="AF1369" s="33">
        <f t="shared" si="501"/>
        <v>0.71938668588939447</v>
      </c>
      <c r="AG1369" s="33">
        <f t="shared" si="502"/>
        <v>0</v>
      </c>
      <c r="AH1369" s="35">
        <f t="shared" si="503"/>
        <v>1.6790183617770391</v>
      </c>
      <c r="AI1369" s="36">
        <f t="shared" si="476"/>
        <v>4.327349550652861</v>
      </c>
      <c r="AJ1369" s="23"/>
      <c r="AK1369" s="158">
        <v>557</v>
      </c>
      <c r="AL1369" s="44"/>
      <c r="AM1369" s="44"/>
      <c r="AN1369" s="44"/>
      <c r="AO1369" s="44"/>
      <c r="AP1369" s="44"/>
      <c r="AQ1369" s="44"/>
      <c r="AR1369" s="44"/>
    </row>
    <row r="1370" spans="1:44" ht="16.8">
      <c r="A1370" s="70" t="s">
        <v>2797</v>
      </c>
      <c r="B1370" s="71"/>
      <c r="C1370" s="71" t="s">
        <v>2795</v>
      </c>
      <c r="D1370" s="19" t="s">
        <v>2796</v>
      </c>
      <c r="E1370" s="20" t="s">
        <v>414</v>
      </c>
      <c r="F1370" s="21">
        <v>1994</v>
      </c>
      <c r="G1370" s="40">
        <v>2022</v>
      </c>
      <c r="H1370" s="23">
        <v>1765840649753</v>
      </c>
      <c r="I1370" s="23">
        <v>2368609665444</v>
      </c>
      <c r="J1370" s="23">
        <v>1416624779820</v>
      </c>
      <c r="K1370" s="23">
        <f t="shared" ref="K1370:K1371" si="512">AVERAGE(J1369:J1370)</f>
        <v>1119815007627.5</v>
      </c>
      <c r="L1370" s="23">
        <v>1416607676546</v>
      </c>
      <c r="M1370" s="23">
        <v>938125226509</v>
      </c>
      <c r="N1370" s="23">
        <v>762599878165</v>
      </c>
      <c r="O1370" s="25">
        <f t="shared" si="464"/>
        <v>349232973207</v>
      </c>
      <c r="P1370" s="23">
        <v>-105679125276</v>
      </c>
      <c r="Q1370" s="23">
        <f>2249390349+5981917748</f>
        <v>8231308097</v>
      </c>
      <c r="R1370" s="25">
        <f t="shared" si="465"/>
        <v>754368570068</v>
      </c>
      <c r="S1370" s="26">
        <f t="shared" si="466"/>
        <v>0.59808283335466805</v>
      </c>
      <c r="T1370" s="27">
        <f t="shared" si="467"/>
        <v>1.2465276582846894</v>
      </c>
      <c r="U1370" s="26">
        <f t="shared" si="468"/>
        <v>28.493324259882407</v>
      </c>
      <c r="V1370" s="26">
        <f t="shared" si="469"/>
        <v>0.68100523119500334</v>
      </c>
      <c r="W1370" s="143"/>
      <c r="X1370" s="143"/>
      <c r="Y1370" s="143"/>
      <c r="Z1370" s="30">
        <f t="shared" si="495"/>
        <v>0</v>
      </c>
      <c r="AA1370" s="31">
        <f t="shared" si="470"/>
        <v>28</v>
      </c>
      <c r="AB1370" s="32">
        <v>3.15E-2</v>
      </c>
      <c r="AC1370" s="32">
        <v>8.0199999999999994E-2</v>
      </c>
      <c r="AD1370" s="33">
        <f t="shared" si="499"/>
        <v>0.14744218023847996</v>
      </c>
      <c r="AE1370" s="34">
        <f t="shared" si="500"/>
        <v>-4.4616522011950106E-2</v>
      </c>
      <c r="AF1370" s="33">
        <f t="shared" si="501"/>
        <v>0.31848581092680472</v>
      </c>
      <c r="AG1370" s="33">
        <f t="shared" si="502"/>
        <v>0</v>
      </c>
      <c r="AH1370" s="35">
        <f t="shared" si="503"/>
        <v>0.53832171300991782</v>
      </c>
      <c r="AI1370" s="36">
        <f t="shared" si="476"/>
        <v>1.7037923745378192</v>
      </c>
      <c r="AJ1370" s="23"/>
      <c r="AK1370" s="158">
        <v>558</v>
      </c>
      <c r="AL1370" s="44"/>
      <c r="AM1370" s="44"/>
      <c r="AN1370" s="44"/>
      <c r="AO1370" s="44"/>
      <c r="AP1370" s="44"/>
      <c r="AQ1370" s="44"/>
      <c r="AR1370" s="44"/>
    </row>
    <row r="1371" spans="1:44" ht="16.8">
      <c r="A1371" s="70" t="s">
        <v>2797</v>
      </c>
      <c r="B1371" s="71"/>
      <c r="C1371" s="71" t="s">
        <v>2795</v>
      </c>
      <c r="D1371" s="19" t="s">
        <v>2796</v>
      </c>
      <c r="E1371" s="20" t="s">
        <v>414</v>
      </c>
      <c r="F1371" s="21">
        <v>1994</v>
      </c>
      <c r="G1371" s="40">
        <v>2023</v>
      </c>
      <c r="H1371" s="23">
        <v>1546211062065</v>
      </c>
      <c r="I1371" s="23">
        <v>2072804436767</v>
      </c>
      <c r="J1371" s="23">
        <v>1317502375800</v>
      </c>
      <c r="K1371" s="23">
        <f t="shared" si="512"/>
        <v>1367063577810</v>
      </c>
      <c r="L1371" s="23">
        <v>1247272731310</v>
      </c>
      <c r="M1371" s="23">
        <v>755302060967</v>
      </c>
      <c r="N1371" s="23">
        <v>1972528403687</v>
      </c>
      <c r="O1371" s="25">
        <f t="shared" si="464"/>
        <v>298938330755</v>
      </c>
      <c r="P1371" s="23">
        <v>-156135433221</v>
      </c>
      <c r="Q1371" s="23">
        <f>5893945604+19589041161</f>
        <v>25482986765</v>
      </c>
      <c r="R1371" s="25">
        <f t="shared" si="465"/>
        <v>1947045416922</v>
      </c>
      <c r="S1371" s="26">
        <f t="shared" si="466"/>
        <v>0.63561344834582578</v>
      </c>
      <c r="T1371" s="27">
        <f t="shared" si="467"/>
        <v>1.2396735880219458</v>
      </c>
      <c r="U1371" s="26">
        <f t="shared" si="468"/>
        <v>28.359923606662399</v>
      </c>
      <c r="V1371" s="26">
        <f t="shared" si="469"/>
        <v>1.4428944166934348</v>
      </c>
      <c r="W1371" s="143"/>
      <c r="X1371" s="143"/>
      <c r="Y1371" s="143"/>
      <c r="Z1371" s="30">
        <f t="shared" si="495"/>
        <v>0</v>
      </c>
      <c r="AA1371" s="31">
        <f t="shared" si="470"/>
        <v>29</v>
      </c>
      <c r="AB1371" s="32">
        <v>3.2500000000000001E-2</v>
      </c>
      <c r="AC1371" s="32">
        <v>5.0500000000000003E-2</v>
      </c>
      <c r="AD1371" s="33">
        <f t="shared" si="499"/>
        <v>0.14421926422603615</v>
      </c>
      <c r="AE1371" s="34">
        <f t="shared" si="500"/>
        <v>-7.5325694238925878E-2</v>
      </c>
      <c r="AF1371" s="33">
        <f t="shared" si="501"/>
        <v>0.93932904734556188</v>
      </c>
      <c r="AG1371" s="33">
        <f t="shared" si="502"/>
        <v>0</v>
      </c>
      <c r="AH1371" s="35">
        <f t="shared" si="503"/>
        <v>1.4971725591684508</v>
      </c>
      <c r="AI1371" s="36">
        <f t="shared" si="476"/>
        <v>4.6645655605455518</v>
      </c>
      <c r="AJ1371" s="23"/>
      <c r="AK1371" s="158">
        <v>559</v>
      </c>
      <c r="AL1371" s="44"/>
      <c r="AM1371" s="44"/>
      <c r="AN1371" s="44"/>
      <c r="AO1371" s="44"/>
      <c r="AP1371" s="44"/>
      <c r="AQ1371" s="44"/>
      <c r="AR1371" s="44"/>
    </row>
    <row r="1372" spans="1:44" ht="16.8">
      <c r="A1372" s="70" t="s">
        <v>2798</v>
      </c>
      <c r="B1372" s="71">
        <v>528</v>
      </c>
      <c r="C1372" s="71" t="s">
        <v>2799</v>
      </c>
      <c r="D1372" s="19" t="s">
        <v>2800</v>
      </c>
      <c r="E1372" s="20" t="s">
        <v>414</v>
      </c>
      <c r="F1372" s="21">
        <v>1996</v>
      </c>
      <c r="G1372" s="40">
        <v>2021</v>
      </c>
      <c r="H1372" s="23">
        <v>76373531534</v>
      </c>
      <c r="I1372" s="23">
        <v>152118010516</v>
      </c>
      <c r="J1372" s="23">
        <v>30785761334</v>
      </c>
      <c r="K1372" s="23">
        <f>AVERAGE(J1352,44039517203)</f>
        <v>297584628030</v>
      </c>
      <c r="L1372" s="23">
        <v>30278841334</v>
      </c>
      <c r="M1372" s="23">
        <v>121332249182</v>
      </c>
      <c r="N1372" s="23">
        <v>156874620872</v>
      </c>
      <c r="O1372" s="25">
        <f t="shared" si="464"/>
        <v>46094690200</v>
      </c>
      <c r="P1372" s="23">
        <v>3464071198</v>
      </c>
      <c r="Q1372" s="23">
        <f>6520694942+5231545836</f>
        <v>11752240778</v>
      </c>
      <c r="R1372" s="25">
        <f t="shared" si="465"/>
        <v>145122380094</v>
      </c>
      <c r="S1372" s="26">
        <f t="shared" si="466"/>
        <v>0.20238077811806451</v>
      </c>
      <c r="T1372" s="27">
        <f t="shared" si="467"/>
        <v>2.5223399631293169</v>
      </c>
      <c r="U1372" s="26">
        <f t="shared" si="468"/>
        <v>25.747922441535462</v>
      </c>
      <c r="V1372" s="26">
        <f t="shared" si="469"/>
        <v>0.52715969205299551</v>
      </c>
      <c r="W1372" s="143"/>
      <c r="X1372" s="143"/>
      <c r="Y1372" s="143"/>
      <c r="Z1372" s="30">
        <f t="shared" si="495"/>
        <v>0</v>
      </c>
      <c r="AA1372" s="31">
        <f t="shared" si="470"/>
        <v>25</v>
      </c>
      <c r="AB1372" s="32">
        <v>1.84E-2</v>
      </c>
      <c r="AC1372" s="32">
        <v>2.58E-2</v>
      </c>
      <c r="AD1372" s="33">
        <f t="shared" si="499"/>
        <v>0.3030192811728345</v>
      </c>
      <c r="AE1372" s="34">
        <f t="shared" si="500"/>
        <v>2.277226205003282E-2</v>
      </c>
      <c r="AF1372" s="33">
        <f t="shared" si="501"/>
        <v>0.95401182017651887</v>
      </c>
      <c r="AG1372" s="33">
        <f t="shared" si="502"/>
        <v>0</v>
      </c>
      <c r="AH1372" s="35">
        <f t="shared" si="503"/>
        <v>5.0956875540624234</v>
      </c>
      <c r="AI1372" s="36">
        <f t="shared" si="476"/>
        <v>8.6394308649223817</v>
      </c>
      <c r="AJ1372" s="23"/>
      <c r="AK1372" s="158">
        <v>560</v>
      </c>
      <c r="AL1372" s="44"/>
      <c r="AM1372" s="44"/>
      <c r="AN1372" s="44"/>
      <c r="AO1372" s="44"/>
      <c r="AP1372" s="44"/>
      <c r="AQ1372" s="44"/>
      <c r="AR1372" s="44"/>
    </row>
    <row r="1373" spans="1:44" ht="16.8">
      <c r="A1373" s="70" t="s">
        <v>2801</v>
      </c>
      <c r="B1373" s="71"/>
      <c r="C1373" s="71" t="s">
        <v>2799</v>
      </c>
      <c r="D1373" s="19" t="s">
        <v>2800</v>
      </c>
      <c r="E1373" s="20" t="s">
        <v>414</v>
      </c>
      <c r="F1373" s="21">
        <v>1996</v>
      </c>
      <c r="G1373" s="40">
        <v>2022</v>
      </c>
      <c r="H1373" s="23">
        <v>88852159632</v>
      </c>
      <c r="I1373" s="23">
        <v>166740910725</v>
      </c>
      <c r="J1373" s="23">
        <v>37472008463</v>
      </c>
      <c r="K1373" s="23">
        <f t="shared" ref="K1373:K1374" si="513">AVERAGE(J1372:J1373)</f>
        <v>34128884898.5</v>
      </c>
      <c r="L1373" s="23">
        <v>36965088463</v>
      </c>
      <c r="M1373" s="23">
        <v>129268902262</v>
      </c>
      <c r="N1373" s="23">
        <v>187367058944</v>
      </c>
      <c r="O1373" s="25">
        <f t="shared" si="464"/>
        <v>51887071169</v>
      </c>
      <c r="P1373" s="23">
        <v>9217725878</v>
      </c>
      <c r="Q1373" s="23">
        <f>8088305166+5121243199</f>
        <v>13209548365</v>
      </c>
      <c r="R1373" s="25">
        <f t="shared" si="465"/>
        <v>174157510579</v>
      </c>
      <c r="S1373" s="26">
        <f t="shared" si="466"/>
        <v>0.22473194071010733</v>
      </c>
      <c r="T1373" s="27">
        <f t="shared" si="467"/>
        <v>2.403677722046738</v>
      </c>
      <c r="U1373" s="26">
        <f t="shared" si="468"/>
        <v>25.839707011860707</v>
      </c>
      <c r="V1373" s="26">
        <f t="shared" si="469"/>
        <v>5.4899847885810935</v>
      </c>
      <c r="W1373" s="143"/>
      <c r="X1373" s="143"/>
      <c r="Y1373" s="143"/>
      <c r="Z1373" s="30">
        <f t="shared" si="495"/>
        <v>0</v>
      </c>
      <c r="AA1373" s="31">
        <f t="shared" si="470"/>
        <v>26</v>
      </c>
      <c r="AB1373" s="32">
        <v>3.15E-2</v>
      </c>
      <c r="AC1373" s="32">
        <v>8.0199999999999994E-2</v>
      </c>
      <c r="AD1373" s="33">
        <f t="shared" si="499"/>
        <v>0.3111838057222534</v>
      </c>
      <c r="AE1373" s="34">
        <f t="shared" si="500"/>
        <v>5.5281729228422387E-2</v>
      </c>
      <c r="AF1373" s="33">
        <f t="shared" si="501"/>
        <v>1.0444797849655023</v>
      </c>
      <c r="AG1373" s="33">
        <f t="shared" si="502"/>
        <v>0</v>
      </c>
      <c r="AH1373" s="35">
        <f t="shared" si="503"/>
        <v>5.0001872498776505</v>
      </c>
      <c r="AI1373" s="36">
        <f t="shared" si="476"/>
        <v>8.8977855280503029</v>
      </c>
      <c r="AJ1373" s="23"/>
      <c r="AK1373" s="158">
        <v>561</v>
      </c>
      <c r="AL1373" s="44"/>
      <c r="AM1373" s="44"/>
      <c r="AN1373" s="44"/>
      <c r="AO1373" s="44"/>
      <c r="AP1373" s="44"/>
      <c r="AQ1373" s="44"/>
      <c r="AR1373" s="44"/>
    </row>
    <row r="1374" spans="1:44" ht="16.8">
      <c r="A1374" s="70" t="s">
        <v>2802</v>
      </c>
      <c r="B1374" s="71"/>
      <c r="C1374" s="71" t="s">
        <v>2799</v>
      </c>
      <c r="D1374" s="19" t="s">
        <v>2800</v>
      </c>
      <c r="E1374" s="20" t="s">
        <v>414</v>
      </c>
      <c r="F1374" s="21">
        <v>1996</v>
      </c>
      <c r="G1374" s="40">
        <v>2023</v>
      </c>
      <c r="H1374" s="23">
        <v>89466018600</v>
      </c>
      <c r="I1374" s="23">
        <v>171479191360</v>
      </c>
      <c r="J1374" s="23">
        <v>41163074775</v>
      </c>
      <c r="K1374" s="23">
        <f t="shared" si="513"/>
        <v>39317541619</v>
      </c>
      <c r="L1374" s="23">
        <v>40656154775</v>
      </c>
      <c r="M1374" s="23">
        <v>130316116585</v>
      </c>
      <c r="N1374" s="23">
        <v>171543896459</v>
      </c>
      <c r="O1374" s="25">
        <f t="shared" si="464"/>
        <v>48809863825</v>
      </c>
      <c r="P1374" s="23">
        <v>8504290323</v>
      </c>
      <c r="Q1374" s="23">
        <f>8321881144+5866367087</f>
        <v>14188248231</v>
      </c>
      <c r="R1374" s="25">
        <f t="shared" si="465"/>
        <v>157355648228</v>
      </c>
      <c r="S1374" s="26">
        <f t="shared" si="466"/>
        <v>0.24004705438914195</v>
      </c>
      <c r="T1374" s="27">
        <f t="shared" si="467"/>
        <v>2.2005528829552228</v>
      </c>
      <c r="U1374" s="26">
        <f t="shared" si="468"/>
        <v>25.867727763013097</v>
      </c>
      <c r="V1374" s="26">
        <f t="shared" si="469"/>
        <v>4.3630371939659192</v>
      </c>
      <c r="W1374" s="143"/>
      <c r="X1374" s="143"/>
      <c r="Y1374" s="143"/>
      <c r="Z1374" s="30">
        <f t="shared" si="495"/>
        <v>0</v>
      </c>
      <c r="AA1374" s="31">
        <f t="shared" si="470"/>
        <v>27</v>
      </c>
      <c r="AB1374" s="32">
        <v>3.2500000000000001E-2</v>
      </c>
      <c r="AC1374" s="32">
        <v>5.0500000000000003E-2</v>
      </c>
      <c r="AD1374" s="33">
        <f t="shared" si="499"/>
        <v>0.28464015626554678</v>
      </c>
      <c r="AE1374" s="34">
        <f t="shared" si="500"/>
        <v>4.959371603955294E-2</v>
      </c>
      <c r="AF1374" s="33">
        <f t="shared" si="501"/>
        <v>0.91763698545586614</v>
      </c>
      <c r="AG1374" s="33">
        <f t="shared" si="502"/>
        <v>0</v>
      </c>
      <c r="AH1374" s="35">
        <f t="shared" si="503"/>
        <v>4.1674218312570162</v>
      </c>
      <c r="AI1374" s="36">
        <f t="shared" si="476"/>
        <v>7.6066232732354049</v>
      </c>
      <c r="AJ1374" s="23"/>
      <c r="AK1374" s="158">
        <v>562</v>
      </c>
      <c r="AL1374" s="44"/>
      <c r="AM1374" s="44"/>
      <c r="AN1374" s="44"/>
      <c r="AO1374" s="44"/>
      <c r="AP1374" s="44"/>
      <c r="AQ1374" s="44"/>
      <c r="AR1374" s="44"/>
    </row>
    <row r="1375" spans="1:44" ht="16.8">
      <c r="A1375" s="145"/>
      <c r="B1375" s="145">
        <v>529</v>
      </c>
      <c r="C1375" s="145" t="s">
        <v>2803</v>
      </c>
      <c r="D1375" s="146" t="s">
        <v>2804</v>
      </c>
      <c r="E1375" s="147"/>
      <c r="F1375" s="148"/>
      <c r="G1375" s="148"/>
      <c r="H1375" s="149"/>
      <c r="I1375" s="149"/>
      <c r="J1375" s="149"/>
      <c r="K1375" s="149"/>
      <c r="L1375" s="149"/>
      <c r="M1375" s="149"/>
      <c r="N1375" s="149"/>
      <c r="O1375" s="149">
        <f t="shared" si="464"/>
        <v>0</v>
      </c>
      <c r="P1375" s="149"/>
      <c r="Q1375" s="149"/>
      <c r="R1375" s="149">
        <f t="shared" si="465"/>
        <v>0</v>
      </c>
      <c r="S1375" s="150" t="e">
        <f t="shared" si="466"/>
        <v>#DIV/0!</v>
      </c>
      <c r="T1375" s="151" t="e">
        <f t="shared" si="467"/>
        <v>#DIV/0!</v>
      </c>
      <c r="U1375" s="150" t="e">
        <f t="shared" si="468"/>
        <v>#NUM!</v>
      </c>
      <c r="V1375" s="150" t="e">
        <f t="shared" si="469"/>
        <v>#DIV/0!</v>
      </c>
      <c r="W1375" s="152"/>
      <c r="X1375" s="152"/>
      <c r="Y1375" s="152"/>
      <c r="Z1375" s="153">
        <f t="shared" si="495"/>
        <v>0</v>
      </c>
      <c r="AA1375" s="148">
        <f t="shared" si="470"/>
        <v>0</v>
      </c>
      <c r="AB1375" s="149"/>
      <c r="AC1375" s="149"/>
      <c r="AD1375" s="150" t="e">
        <f t="shared" si="499"/>
        <v>#DIV/0!</v>
      </c>
      <c r="AE1375" s="154" t="e">
        <f t="shared" si="500"/>
        <v>#DIV/0!</v>
      </c>
      <c r="AF1375" s="150" t="e">
        <f t="shared" si="501"/>
        <v>#DIV/0!</v>
      </c>
      <c r="AG1375" s="150" t="e">
        <f t="shared" si="502"/>
        <v>#DIV/0!</v>
      </c>
      <c r="AH1375" s="155" t="e">
        <f t="shared" si="503"/>
        <v>#DIV/0!</v>
      </c>
      <c r="AI1375" s="156" t="e">
        <f t="shared" si="476"/>
        <v>#DIV/0!</v>
      </c>
      <c r="AJ1375" s="149"/>
      <c r="AK1375" s="149">
        <v>563</v>
      </c>
      <c r="AL1375" s="157"/>
      <c r="AM1375" s="157"/>
      <c r="AN1375" s="157"/>
      <c r="AO1375" s="157"/>
      <c r="AP1375" s="157"/>
      <c r="AQ1375" s="157"/>
      <c r="AR1375" s="157"/>
    </row>
    <row r="1376" spans="1:44" ht="16.8">
      <c r="A1376" s="70" t="s">
        <v>2805</v>
      </c>
      <c r="B1376" s="71">
        <v>530</v>
      </c>
      <c r="C1376" s="71" t="s">
        <v>2806</v>
      </c>
      <c r="D1376" s="19" t="s">
        <v>2807</v>
      </c>
      <c r="E1376" s="20" t="s">
        <v>414</v>
      </c>
      <c r="F1376" s="21">
        <v>2002</v>
      </c>
      <c r="G1376" s="40">
        <v>2021</v>
      </c>
      <c r="H1376" s="23">
        <v>1170116888706</v>
      </c>
      <c r="I1376" s="23">
        <v>1499394833162</v>
      </c>
      <c r="J1376" s="23">
        <v>126441417839</v>
      </c>
      <c r="K1376" s="23">
        <f>AVERAGE(J1376,112808118535)</f>
        <v>119624768187</v>
      </c>
      <c r="L1376" s="23">
        <v>126441417839</v>
      </c>
      <c r="M1376" s="23">
        <v>1372953415323</v>
      </c>
      <c r="N1376" s="23">
        <v>608576114303</v>
      </c>
      <c r="O1376" s="25">
        <f t="shared" si="464"/>
        <v>1043675470867</v>
      </c>
      <c r="P1376" s="23">
        <v>277126799699</v>
      </c>
      <c r="Q1376" s="23">
        <v>60652922203</v>
      </c>
      <c r="R1376" s="25">
        <f t="shared" si="465"/>
        <v>547923192100</v>
      </c>
      <c r="S1376" s="26">
        <f t="shared" si="466"/>
        <v>8.4328300353252464E-2</v>
      </c>
      <c r="T1376" s="27">
        <f t="shared" si="467"/>
        <v>9.254221509884756</v>
      </c>
      <c r="U1376" s="26">
        <f t="shared" si="468"/>
        <v>28.036082698072395</v>
      </c>
      <c r="V1376" s="26">
        <f t="shared" si="469"/>
        <v>5.0873754952792112</v>
      </c>
      <c r="W1376" s="143"/>
      <c r="X1376" s="143"/>
      <c r="Y1376" s="143"/>
      <c r="Z1376" s="30">
        <f t="shared" si="495"/>
        <v>0</v>
      </c>
      <c r="AA1376" s="31">
        <f t="shared" si="470"/>
        <v>19</v>
      </c>
      <c r="AB1376" s="32">
        <v>1.84E-2</v>
      </c>
      <c r="AC1376" s="32">
        <v>2.58E-2</v>
      </c>
      <c r="AD1376" s="33">
        <f t="shared" si="499"/>
        <v>0.69606447066783883</v>
      </c>
      <c r="AE1376" s="34">
        <f t="shared" si="500"/>
        <v>0.18482576674922971</v>
      </c>
      <c r="AF1376" s="33">
        <f t="shared" si="501"/>
        <v>0.36542955863367338</v>
      </c>
      <c r="AG1376" s="33">
        <f t="shared" si="502"/>
        <v>0</v>
      </c>
      <c r="AH1376" s="35">
        <f t="shared" si="503"/>
        <v>4.8131073243571993</v>
      </c>
      <c r="AI1376" s="36">
        <f t="shared" si="476"/>
        <v>7.1130583060986492</v>
      </c>
      <c r="AJ1376" s="23"/>
      <c r="AK1376" s="158">
        <v>564</v>
      </c>
      <c r="AL1376" s="44"/>
      <c r="AM1376" s="44"/>
      <c r="AN1376" s="44"/>
      <c r="AO1376" s="44"/>
      <c r="AP1376" s="44"/>
      <c r="AQ1376" s="44"/>
      <c r="AR1376" s="44"/>
    </row>
    <row r="1377" spans="1:44" ht="16.8">
      <c r="A1377" s="70" t="s">
        <v>2808</v>
      </c>
      <c r="B1377" s="71"/>
      <c r="C1377" s="71" t="s">
        <v>2806</v>
      </c>
      <c r="D1377" s="19" t="s">
        <v>2807</v>
      </c>
      <c r="E1377" s="20" t="s">
        <v>414</v>
      </c>
      <c r="F1377" s="21">
        <v>2002</v>
      </c>
      <c r="G1377" s="40">
        <v>2022</v>
      </c>
      <c r="H1377" s="23">
        <v>1217425344732</v>
      </c>
      <c r="I1377" s="23">
        <v>1497818985518</v>
      </c>
      <c r="J1377" s="23">
        <v>114985215452</v>
      </c>
      <c r="K1377" s="23">
        <f t="shared" ref="K1377:K1378" si="514">AVERAGE(J1376:J1377)</f>
        <v>120713316645.5</v>
      </c>
      <c r="L1377" s="23">
        <v>114985215452</v>
      </c>
      <c r="M1377" s="23">
        <v>1382833770066</v>
      </c>
      <c r="N1377" s="23">
        <v>584923614755</v>
      </c>
      <c r="O1377" s="25">
        <f t="shared" si="464"/>
        <v>1102440129280</v>
      </c>
      <c r="P1377" s="23">
        <v>283380354744</v>
      </c>
      <c r="Q1377" s="23">
        <v>62610868380</v>
      </c>
      <c r="R1377" s="25">
        <f t="shared" si="465"/>
        <v>522312746375</v>
      </c>
      <c r="S1377" s="26">
        <f t="shared" si="466"/>
        <v>7.676843234313388E-2</v>
      </c>
      <c r="T1377" s="27">
        <f t="shared" si="467"/>
        <v>10.587668509785139</v>
      </c>
      <c r="U1377" s="26">
        <f t="shared" si="468"/>
        <v>28.035031156284226</v>
      </c>
      <c r="V1377" s="26">
        <f t="shared" si="469"/>
        <v>4.8455599681081667</v>
      </c>
      <c r="W1377" s="143"/>
      <c r="X1377" s="143"/>
      <c r="Y1377" s="143"/>
      <c r="Z1377" s="30">
        <f t="shared" si="495"/>
        <v>0</v>
      </c>
      <c r="AA1377" s="31">
        <f t="shared" si="470"/>
        <v>20</v>
      </c>
      <c r="AB1377" s="32">
        <v>3.15E-2</v>
      </c>
      <c r="AC1377" s="32">
        <v>8.0199999999999994E-2</v>
      </c>
      <c r="AD1377" s="33">
        <f t="shared" si="499"/>
        <v>0.73603028132183568</v>
      </c>
      <c r="AE1377" s="34">
        <f t="shared" si="500"/>
        <v>0.18919532833000965</v>
      </c>
      <c r="AF1377" s="33">
        <f t="shared" si="501"/>
        <v>0.34871553333553545</v>
      </c>
      <c r="AG1377" s="33">
        <f t="shared" si="502"/>
        <v>0</v>
      </c>
      <c r="AH1377" s="35">
        <f t="shared" si="503"/>
        <v>5.086946286578673</v>
      </c>
      <c r="AI1377" s="36">
        <f t="shared" si="476"/>
        <v>7.3858173438341561</v>
      </c>
      <c r="AJ1377" s="23"/>
      <c r="AK1377" s="158">
        <v>565</v>
      </c>
      <c r="AL1377" s="44"/>
      <c r="AM1377" s="44"/>
      <c r="AN1377" s="44"/>
      <c r="AO1377" s="44"/>
      <c r="AP1377" s="44"/>
      <c r="AQ1377" s="44"/>
      <c r="AR1377" s="44"/>
    </row>
    <row r="1378" spans="1:44" ht="16.8">
      <c r="A1378" s="70" t="s">
        <v>2809</v>
      </c>
      <c r="B1378" s="71"/>
      <c r="C1378" s="71" t="s">
        <v>2806</v>
      </c>
      <c r="D1378" s="19" t="s">
        <v>2807</v>
      </c>
      <c r="E1378" s="20" t="s">
        <v>414</v>
      </c>
      <c r="F1378" s="21">
        <v>2002</v>
      </c>
      <c r="G1378" s="40">
        <v>2023</v>
      </c>
      <c r="H1378" s="23">
        <v>1246938786896</v>
      </c>
      <c r="I1378" s="23">
        <v>1635776002494</v>
      </c>
      <c r="J1378" s="23">
        <v>259763124591</v>
      </c>
      <c r="K1378" s="23">
        <f t="shared" si="514"/>
        <v>187374170021.5</v>
      </c>
      <c r="L1378" s="23">
        <v>259763124591</v>
      </c>
      <c r="M1378" s="23">
        <v>1376012877903</v>
      </c>
      <c r="N1378" s="23">
        <v>549212097848</v>
      </c>
      <c r="O1378" s="25">
        <f t="shared" si="464"/>
        <v>987175662305</v>
      </c>
      <c r="P1378" s="23">
        <v>330679107837</v>
      </c>
      <c r="Q1378" s="23">
        <v>69812520556</v>
      </c>
      <c r="R1378" s="25">
        <f t="shared" si="465"/>
        <v>479399577292</v>
      </c>
      <c r="S1378" s="26">
        <f t="shared" si="466"/>
        <v>0.15880115871302056</v>
      </c>
      <c r="T1378" s="27">
        <f t="shared" si="467"/>
        <v>4.8002917614242566</v>
      </c>
      <c r="U1378" s="26">
        <f t="shared" si="468"/>
        <v>28.123138426944053</v>
      </c>
      <c r="V1378" s="26">
        <f t="shared" si="469"/>
        <v>2.931098228667171</v>
      </c>
      <c r="W1378" s="143"/>
      <c r="X1378" s="143"/>
      <c r="Y1378" s="143"/>
      <c r="Z1378" s="30">
        <f t="shared" si="495"/>
        <v>0</v>
      </c>
      <c r="AA1378" s="31">
        <f t="shared" si="470"/>
        <v>21</v>
      </c>
      <c r="AB1378" s="32">
        <v>3.2500000000000001E-2</v>
      </c>
      <c r="AC1378" s="32">
        <v>5.0500000000000003E-2</v>
      </c>
      <c r="AD1378" s="33">
        <f t="shared" si="499"/>
        <v>0.60349073516171781</v>
      </c>
      <c r="AE1378" s="34">
        <f t="shared" si="500"/>
        <v>0.20215427254882529</v>
      </c>
      <c r="AF1378" s="33">
        <f t="shared" si="501"/>
        <v>0.29307165318544792</v>
      </c>
      <c r="AG1378" s="33">
        <f t="shared" si="502"/>
        <v>0</v>
      </c>
      <c r="AH1378" s="35">
        <f t="shared" si="503"/>
        <v>2.1142804572925455</v>
      </c>
      <c r="AI1378" s="36">
        <f t="shared" si="476"/>
        <v>4.0886217765669404</v>
      </c>
      <c r="AJ1378" s="23"/>
      <c r="AK1378" s="158">
        <v>566</v>
      </c>
      <c r="AL1378" s="44"/>
      <c r="AM1378" s="44"/>
      <c r="AN1378" s="44"/>
      <c r="AO1378" s="44"/>
      <c r="AP1378" s="44"/>
      <c r="AQ1378" s="44"/>
      <c r="AR1378" s="44"/>
    </row>
    <row r="1379" spans="1:44" ht="16.8">
      <c r="A1379" s="70" t="s">
        <v>2810</v>
      </c>
      <c r="B1379" s="71">
        <v>531</v>
      </c>
      <c r="C1379" s="71" t="s">
        <v>2811</v>
      </c>
      <c r="D1379" s="19" t="s">
        <v>2812</v>
      </c>
      <c r="E1379" s="20" t="s">
        <v>414</v>
      </c>
      <c r="F1379" s="21">
        <v>2003</v>
      </c>
      <c r="G1379" s="40">
        <v>2021</v>
      </c>
      <c r="H1379" s="23">
        <v>25255041006268</v>
      </c>
      <c r="I1379" s="23">
        <v>28254061055415</v>
      </c>
      <c r="J1379" s="23">
        <v>14872585915021</v>
      </c>
      <c r="K1379" s="23">
        <f>AVERAGE(J1379,14227392345541)</f>
        <v>14549989130281</v>
      </c>
      <c r="L1379" s="23">
        <v>13256722091813</v>
      </c>
      <c r="M1379" s="23">
        <v>13381475140394</v>
      </c>
      <c r="N1379" s="23">
        <v>10131420687101</v>
      </c>
      <c r="O1379" s="25">
        <f t="shared" si="464"/>
        <v>11998318914455</v>
      </c>
      <c r="P1379" s="23">
        <v>437795977004</v>
      </c>
      <c r="Q1379" s="23">
        <f>1887483177447+997632206311</f>
        <v>2885115383758</v>
      </c>
      <c r="R1379" s="25">
        <f t="shared" si="465"/>
        <v>7246305303343</v>
      </c>
      <c r="S1379" s="26">
        <f t="shared" si="466"/>
        <v>0.5263875478236999</v>
      </c>
      <c r="T1379" s="27">
        <f t="shared" si="467"/>
        <v>1.9050743337121658</v>
      </c>
      <c r="U1379" s="26">
        <f t="shared" si="468"/>
        <v>30.972258317363341</v>
      </c>
      <c r="V1379" s="26">
        <f t="shared" si="469"/>
        <v>0.69631809318783555</v>
      </c>
      <c r="W1379" s="143"/>
      <c r="X1379" s="143"/>
      <c r="Y1379" s="143"/>
      <c r="Z1379" s="30">
        <f t="shared" si="495"/>
        <v>0</v>
      </c>
      <c r="AA1379" s="31">
        <f t="shared" si="470"/>
        <v>18</v>
      </c>
      <c r="AB1379" s="32">
        <v>1.84E-2</v>
      </c>
      <c r="AC1379" s="32">
        <v>2.58E-2</v>
      </c>
      <c r="AD1379" s="33">
        <f t="shared" si="499"/>
        <v>0.42465820721922293</v>
      </c>
      <c r="AE1379" s="34">
        <f t="shared" si="500"/>
        <v>1.5494975258436157E-2</v>
      </c>
      <c r="AF1379" s="33">
        <f t="shared" si="501"/>
        <v>0.25646951385610522</v>
      </c>
      <c r="AG1379" s="33">
        <f t="shared" si="502"/>
        <v>0</v>
      </c>
      <c r="AH1379" s="35">
        <f t="shared" si="503"/>
        <v>0.68121446700593458</v>
      </c>
      <c r="AI1379" s="36">
        <f t="shared" si="476"/>
        <v>2.0588466767559597</v>
      </c>
      <c r="AJ1379" s="23"/>
      <c r="AK1379" s="158">
        <v>567</v>
      </c>
      <c r="AL1379" s="44"/>
      <c r="AM1379" s="44"/>
      <c r="AN1379" s="44"/>
      <c r="AO1379" s="44"/>
      <c r="AP1379" s="44"/>
      <c r="AQ1379" s="44"/>
      <c r="AR1379" s="44"/>
    </row>
    <row r="1380" spans="1:44" ht="16.8">
      <c r="A1380" s="70" t="s">
        <v>2813</v>
      </c>
      <c r="B1380" s="71"/>
      <c r="C1380" s="71" t="s">
        <v>2811</v>
      </c>
      <c r="D1380" s="19" t="s">
        <v>2812</v>
      </c>
      <c r="E1380" s="20" t="s">
        <v>414</v>
      </c>
      <c r="F1380" s="21">
        <v>2003</v>
      </c>
      <c r="G1380" s="40">
        <v>2022</v>
      </c>
      <c r="H1380" s="23">
        <v>27370930591236</v>
      </c>
      <c r="I1380" s="23">
        <v>30320666425409</v>
      </c>
      <c r="J1380" s="23">
        <v>16235734774957</v>
      </c>
      <c r="K1380" s="23">
        <f t="shared" ref="K1380:K1381" si="515">AVERAGE(J1379:J1380)</f>
        <v>15554160344989</v>
      </c>
      <c r="L1380" s="23">
        <v>12254999101487</v>
      </c>
      <c r="M1380" s="23">
        <v>14084931650452</v>
      </c>
      <c r="N1380" s="23">
        <v>5555817962463</v>
      </c>
      <c r="O1380" s="25">
        <f t="shared" si="464"/>
        <v>15115931489749</v>
      </c>
      <c r="P1380" s="23">
        <v>214869190226</v>
      </c>
      <c r="Q1380" s="23">
        <f>1056802243719+1083002678333</f>
        <v>2139804922052</v>
      </c>
      <c r="R1380" s="25">
        <f t="shared" si="465"/>
        <v>3416013040411</v>
      </c>
      <c r="S1380" s="26">
        <f t="shared" si="466"/>
        <v>0.53546760968786966</v>
      </c>
      <c r="T1380" s="27">
        <f t="shared" si="467"/>
        <v>2.2334502323965784</v>
      </c>
      <c r="U1380" s="26">
        <f t="shared" si="468"/>
        <v>31.042850656191018</v>
      </c>
      <c r="V1380" s="26">
        <f t="shared" si="469"/>
        <v>0.35719176344050535</v>
      </c>
      <c r="W1380" s="143"/>
      <c r="X1380" s="143"/>
      <c r="Y1380" s="143"/>
      <c r="Z1380" s="30">
        <f t="shared" si="495"/>
        <v>0</v>
      </c>
      <c r="AA1380" s="31">
        <f t="shared" si="470"/>
        <v>19</v>
      </c>
      <c r="AB1380" s="32">
        <v>3.15E-2</v>
      </c>
      <c r="AC1380" s="32">
        <v>8.0199999999999994E-2</v>
      </c>
      <c r="AD1380" s="33">
        <f t="shared" si="499"/>
        <v>0.49853559541427855</v>
      </c>
      <c r="AE1380" s="34">
        <f t="shared" si="500"/>
        <v>7.0865589565649399E-3</v>
      </c>
      <c r="AF1380" s="33">
        <f t="shared" si="501"/>
        <v>0.11266286144516763</v>
      </c>
      <c r="AG1380" s="33">
        <f t="shared" si="502"/>
        <v>0</v>
      </c>
      <c r="AH1380" s="35">
        <f t="shared" si="503"/>
        <v>0.34219689096132788</v>
      </c>
      <c r="AI1380" s="36">
        <f t="shared" si="476"/>
        <v>1.3221482307667063</v>
      </c>
      <c r="AJ1380" s="23"/>
      <c r="AK1380" s="158">
        <v>568</v>
      </c>
      <c r="AL1380" s="44"/>
      <c r="AM1380" s="44"/>
      <c r="AN1380" s="44"/>
      <c r="AO1380" s="44"/>
      <c r="AP1380" s="44"/>
      <c r="AQ1380" s="44"/>
      <c r="AR1380" s="44"/>
    </row>
    <row r="1381" spans="1:44" ht="16.8">
      <c r="A1381" s="70" t="s">
        <v>2814</v>
      </c>
      <c r="B1381" s="71"/>
      <c r="C1381" s="71" t="s">
        <v>2811</v>
      </c>
      <c r="D1381" s="19" t="s">
        <v>2812</v>
      </c>
      <c r="E1381" s="20" t="s">
        <v>414</v>
      </c>
      <c r="F1381" s="21">
        <v>2003</v>
      </c>
      <c r="G1381" s="40">
        <v>2023</v>
      </c>
      <c r="H1381" s="23">
        <v>26229757136504</v>
      </c>
      <c r="I1381" s="23">
        <v>28786440854317</v>
      </c>
      <c r="J1381" s="23">
        <v>14600072946676</v>
      </c>
      <c r="K1381" s="23">
        <f t="shared" si="515"/>
        <v>15417903860816.5</v>
      </c>
      <c r="L1381" s="23">
        <v>11617574716082</v>
      </c>
      <c r="M1381" s="23">
        <v>14186367907641</v>
      </c>
      <c r="N1381" s="23">
        <v>3724825944342</v>
      </c>
      <c r="O1381" s="25">
        <f t="shared" si="464"/>
        <v>14612182420422</v>
      </c>
      <c r="P1381" s="23">
        <v>171983289231</v>
      </c>
      <c r="Q1381" s="23">
        <f>585675082461+390860153660</f>
        <v>976535236121</v>
      </c>
      <c r="R1381" s="25">
        <f t="shared" si="465"/>
        <v>2748290708221</v>
      </c>
      <c r="S1381" s="26">
        <f t="shared" si="466"/>
        <v>0.50718576223314105</v>
      </c>
      <c r="T1381" s="27">
        <f t="shared" si="467"/>
        <v>2.2577653062299325</v>
      </c>
      <c r="U1381" s="26">
        <f t="shared" si="468"/>
        <v>30.990925588538055</v>
      </c>
      <c r="V1381" s="26">
        <f t="shared" si="469"/>
        <v>0.24159094374744278</v>
      </c>
      <c r="W1381" s="143"/>
      <c r="X1381" s="143"/>
      <c r="Y1381" s="143"/>
      <c r="Z1381" s="30">
        <f t="shared" si="495"/>
        <v>0</v>
      </c>
      <c r="AA1381" s="31">
        <f t="shared" si="470"/>
        <v>20</v>
      </c>
      <c r="AB1381" s="32">
        <v>3.2500000000000001E-2</v>
      </c>
      <c r="AC1381" s="32">
        <v>5.0500000000000003E-2</v>
      </c>
      <c r="AD1381" s="33">
        <f t="shared" si="499"/>
        <v>0.50760642812258827</v>
      </c>
      <c r="AE1381" s="34">
        <f t="shared" si="500"/>
        <v>5.9744547824226168E-3</v>
      </c>
      <c r="AF1381" s="33">
        <f t="shared" si="501"/>
        <v>9.5471709133116006E-2</v>
      </c>
      <c r="AG1381" s="33">
        <f t="shared" si="502"/>
        <v>0</v>
      </c>
      <c r="AH1381" s="35">
        <f t="shared" si="503"/>
        <v>0.25512378999380492</v>
      </c>
      <c r="AI1381" s="36">
        <f t="shared" si="476"/>
        <v>1.1876723805755853</v>
      </c>
      <c r="AJ1381" s="23"/>
      <c r="AK1381" s="158">
        <v>569</v>
      </c>
      <c r="AL1381" s="44"/>
      <c r="AM1381" s="44"/>
      <c r="AN1381" s="44"/>
      <c r="AO1381" s="44"/>
      <c r="AP1381" s="44"/>
      <c r="AQ1381" s="44"/>
      <c r="AR1381" s="44"/>
    </row>
    <row r="1382" spans="1:44" ht="16.8">
      <c r="A1382" s="70" t="s">
        <v>2815</v>
      </c>
      <c r="B1382" s="71">
        <v>532</v>
      </c>
      <c r="C1382" s="71" t="s">
        <v>2816</v>
      </c>
      <c r="D1382" s="19" t="s">
        <v>2817</v>
      </c>
      <c r="E1382" s="20" t="s">
        <v>414</v>
      </c>
      <c r="F1382" s="21">
        <v>1975</v>
      </c>
      <c r="G1382" s="40">
        <v>2021</v>
      </c>
      <c r="H1382" s="23">
        <v>118653416205</v>
      </c>
      <c r="I1382" s="23">
        <v>129542333897</v>
      </c>
      <c r="J1382" s="23">
        <v>18980259843</v>
      </c>
      <c r="K1382" s="23">
        <f>AVERAGE(J1372,21792786180)</f>
        <v>26289273757</v>
      </c>
      <c r="L1382" s="23">
        <v>18980259843</v>
      </c>
      <c r="M1382" s="23">
        <v>110562074054</v>
      </c>
      <c r="N1382" s="23">
        <v>197193962731</v>
      </c>
      <c r="O1382" s="25">
        <f t="shared" si="464"/>
        <v>99673156362</v>
      </c>
      <c r="P1382" s="23">
        <v>392933552</v>
      </c>
      <c r="Q1382" s="23">
        <f>7074356005+11830412852</f>
        <v>18904768857</v>
      </c>
      <c r="R1382" s="25">
        <f t="shared" si="465"/>
        <v>178289193874</v>
      </c>
      <c r="S1382" s="26">
        <f t="shared" si="466"/>
        <v>0.14651781600670663</v>
      </c>
      <c r="T1382" s="27">
        <f t="shared" si="467"/>
        <v>6.2514115816364804</v>
      </c>
      <c r="U1382" s="26">
        <f t="shared" si="468"/>
        <v>25.5872735673445</v>
      </c>
      <c r="V1382" s="26">
        <f t="shared" si="469"/>
        <v>7.5009284985856066</v>
      </c>
      <c r="W1382" s="143"/>
      <c r="X1382" s="143"/>
      <c r="Y1382" s="143"/>
      <c r="Z1382" s="30">
        <f t="shared" si="495"/>
        <v>0</v>
      </c>
      <c r="AA1382" s="31">
        <f t="shared" si="470"/>
        <v>46</v>
      </c>
      <c r="AB1382" s="32">
        <v>1.84E-2</v>
      </c>
      <c r="AC1382" s="32">
        <v>2.58E-2</v>
      </c>
      <c r="AD1382" s="33">
        <f t="shared" si="499"/>
        <v>0.76942535589370198</v>
      </c>
      <c r="AE1382" s="34">
        <f t="shared" si="500"/>
        <v>3.0332443470751746E-3</v>
      </c>
      <c r="AF1382" s="33">
        <f t="shared" si="501"/>
        <v>1.3763006154865094</v>
      </c>
      <c r="AG1382" s="33">
        <f t="shared" si="502"/>
        <v>0</v>
      </c>
      <c r="AH1382" s="35">
        <f t="shared" si="503"/>
        <v>10.389423767753421</v>
      </c>
      <c r="AI1382" s="36">
        <f t="shared" si="476"/>
        <v>15.85877276801725</v>
      </c>
      <c r="AJ1382" s="23"/>
      <c r="AK1382" s="158">
        <v>570</v>
      </c>
      <c r="AL1382" s="44"/>
      <c r="AM1382" s="44"/>
      <c r="AN1382" s="44"/>
      <c r="AO1382" s="44"/>
      <c r="AP1382" s="44"/>
      <c r="AQ1382" s="44"/>
      <c r="AR1382" s="44"/>
    </row>
    <row r="1383" spans="1:44" ht="16.8">
      <c r="A1383" s="70" t="s">
        <v>2818</v>
      </c>
      <c r="B1383" s="71"/>
      <c r="C1383" s="71" t="s">
        <v>2816</v>
      </c>
      <c r="D1383" s="19" t="s">
        <v>2817</v>
      </c>
      <c r="E1383" s="20" t="s">
        <v>414</v>
      </c>
      <c r="F1383" s="21">
        <v>1975</v>
      </c>
      <c r="G1383" s="40">
        <v>2022</v>
      </c>
      <c r="H1383" s="23">
        <v>127497269606</v>
      </c>
      <c r="I1383" s="23">
        <v>137189949612</v>
      </c>
      <c r="J1383" s="23">
        <v>26432763439</v>
      </c>
      <c r="K1383" s="23">
        <f t="shared" ref="K1383:K1384" si="516">AVERAGE(J1382:J1383)</f>
        <v>22706511641</v>
      </c>
      <c r="L1383" s="23">
        <v>26432763439</v>
      </c>
      <c r="M1383" s="23">
        <v>110757186173</v>
      </c>
      <c r="N1383" s="23">
        <v>226103827292</v>
      </c>
      <c r="O1383" s="25">
        <f t="shared" si="464"/>
        <v>101064506167</v>
      </c>
      <c r="P1383" s="23">
        <v>195112119</v>
      </c>
      <c r="Q1383" s="23">
        <f>8144473861+8387664729</f>
        <v>16532138590</v>
      </c>
      <c r="R1383" s="25">
        <f t="shared" si="465"/>
        <v>209571688702</v>
      </c>
      <c r="S1383" s="26">
        <f t="shared" si="466"/>
        <v>0.19267273961217293</v>
      </c>
      <c r="T1383" s="27">
        <f t="shared" si="467"/>
        <v>4.8234559318866079</v>
      </c>
      <c r="U1383" s="26">
        <f t="shared" si="468"/>
        <v>25.644632295998171</v>
      </c>
      <c r="V1383" s="26">
        <f t="shared" si="469"/>
        <v>9.9576646059421901</v>
      </c>
      <c r="W1383" s="143"/>
      <c r="X1383" s="143"/>
      <c r="Y1383" s="143"/>
      <c r="Z1383" s="30">
        <f t="shared" si="495"/>
        <v>0</v>
      </c>
      <c r="AA1383" s="31">
        <f t="shared" si="470"/>
        <v>47</v>
      </c>
      <c r="AB1383" s="32">
        <v>3.15E-2</v>
      </c>
      <c r="AC1383" s="32">
        <v>8.0199999999999994E-2</v>
      </c>
      <c r="AD1383" s="33">
        <f t="shared" si="499"/>
        <v>0.73667572918300639</v>
      </c>
      <c r="AE1383" s="34">
        <f t="shared" si="500"/>
        <v>1.422204174225701E-3</v>
      </c>
      <c r="AF1383" s="33">
        <f t="shared" si="501"/>
        <v>1.527602344739609</v>
      </c>
      <c r="AG1383" s="33">
        <f t="shared" si="502"/>
        <v>0</v>
      </c>
      <c r="AH1383" s="35">
        <f t="shared" si="503"/>
        <v>8.5539231572888443</v>
      </c>
      <c r="AI1383" s="36">
        <f t="shared" si="476"/>
        <v>14.481012855793077</v>
      </c>
      <c r="AJ1383" s="23"/>
      <c r="AK1383" s="158">
        <v>571</v>
      </c>
      <c r="AL1383" s="44"/>
      <c r="AM1383" s="44"/>
      <c r="AN1383" s="44"/>
      <c r="AO1383" s="44"/>
      <c r="AP1383" s="44"/>
      <c r="AQ1383" s="44"/>
      <c r="AR1383" s="44"/>
    </row>
    <row r="1384" spans="1:44" ht="16.8">
      <c r="A1384" s="70" t="s">
        <v>2819</v>
      </c>
      <c r="B1384" s="71"/>
      <c r="C1384" s="71" t="s">
        <v>2816</v>
      </c>
      <c r="D1384" s="19" t="s">
        <v>2817</v>
      </c>
      <c r="E1384" s="20" t="s">
        <v>414</v>
      </c>
      <c r="F1384" s="21">
        <v>1975</v>
      </c>
      <c r="G1384" s="40">
        <v>2023</v>
      </c>
      <c r="H1384" s="23">
        <v>122188077172</v>
      </c>
      <c r="I1384" s="23">
        <v>131009664212</v>
      </c>
      <c r="J1384" s="23">
        <v>28583790280</v>
      </c>
      <c r="K1384" s="23">
        <f t="shared" si="516"/>
        <v>27508276859.5</v>
      </c>
      <c r="L1384" s="23">
        <v>28583790280</v>
      </c>
      <c r="M1384" s="23">
        <v>102425873932</v>
      </c>
      <c r="N1384" s="23">
        <v>173907942330</v>
      </c>
      <c r="O1384" s="25">
        <f t="shared" si="464"/>
        <v>93604286892</v>
      </c>
      <c r="P1384" s="23">
        <v>-8331312241</v>
      </c>
      <c r="Q1384" s="23">
        <f>7628130515+10545151700</f>
        <v>18173282215</v>
      </c>
      <c r="R1384" s="25">
        <f t="shared" si="465"/>
        <v>155734660115</v>
      </c>
      <c r="S1384" s="26">
        <f t="shared" si="466"/>
        <v>0.21818077660092064</v>
      </c>
      <c r="T1384" s="27">
        <f t="shared" si="467"/>
        <v>4.2747331958104473</v>
      </c>
      <c r="U1384" s="26">
        <f t="shared" si="468"/>
        <v>25.598536930037184</v>
      </c>
      <c r="V1384" s="26">
        <f t="shared" si="469"/>
        <v>6.322022394141376</v>
      </c>
      <c r="W1384" s="143"/>
      <c r="X1384" s="143"/>
      <c r="Y1384" s="143"/>
      <c r="Z1384" s="30">
        <f t="shared" si="495"/>
        <v>0</v>
      </c>
      <c r="AA1384" s="31">
        <f t="shared" si="470"/>
        <v>48</v>
      </c>
      <c r="AB1384" s="32">
        <v>3.2500000000000001E-2</v>
      </c>
      <c r="AC1384" s="32">
        <v>5.0500000000000003E-2</v>
      </c>
      <c r="AD1384" s="33">
        <f t="shared" si="499"/>
        <v>0.71448383182273811</v>
      </c>
      <c r="AE1384" s="34">
        <f t="shared" si="500"/>
        <v>-6.359311193652295E-2</v>
      </c>
      <c r="AF1384" s="33">
        <f t="shared" si="501"/>
        <v>1.1887265038935599</v>
      </c>
      <c r="AG1384" s="33">
        <f t="shared" si="502"/>
        <v>0</v>
      </c>
      <c r="AH1384" s="35">
        <f t="shared" si="503"/>
        <v>6.08414561632447</v>
      </c>
      <c r="AI1384" s="36">
        <f t="shared" si="476"/>
        <v>10.775293320649372</v>
      </c>
      <c r="AJ1384" s="23"/>
      <c r="AK1384" s="158">
        <v>572</v>
      </c>
      <c r="AL1384" s="44"/>
      <c r="AM1384" s="44"/>
      <c r="AN1384" s="44"/>
      <c r="AO1384" s="44"/>
      <c r="AP1384" s="44"/>
      <c r="AQ1384" s="44"/>
      <c r="AR1384" s="44"/>
    </row>
    <row r="1385" spans="1:44" ht="16.8">
      <c r="A1385" s="70" t="s">
        <v>2820</v>
      </c>
      <c r="B1385" s="71">
        <v>533</v>
      </c>
      <c r="C1385" s="71" t="s">
        <v>2821</v>
      </c>
      <c r="D1385" s="19" t="s">
        <v>2822</v>
      </c>
      <c r="E1385" s="20" t="s">
        <v>414</v>
      </c>
      <c r="F1385" s="21">
        <v>1989</v>
      </c>
      <c r="G1385" s="40">
        <v>2021</v>
      </c>
      <c r="H1385" s="23">
        <v>30562326000000</v>
      </c>
      <c r="I1385" s="23">
        <v>165831996000000</v>
      </c>
      <c r="J1385" s="23">
        <v>160435177000000</v>
      </c>
      <c r="K1385" s="23">
        <f>AVERAGE(J1385,160435177000000)</f>
        <v>160435177000000</v>
      </c>
      <c r="L1385" s="23">
        <v>160435177000000</v>
      </c>
      <c r="M1385" s="23">
        <v>17784908000000</v>
      </c>
      <c r="N1385" s="23">
        <v>10084491000000</v>
      </c>
      <c r="O1385" s="25">
        <f t="shared" si="464"/>
        <v>-129872851000000</v>
      </c>
      <c r="P1385" s="23">
        <v>965437000000</v>
      </c>
      <c r="Q1385" s="23">
        <v>2514159000000</v>
      </c>
      <c r="R1385" s="25">
        <f t="shared" si="465"/>
        <v>7570332000000</v>
      </c>
      <c r="S1385" s="26">
        <f t="shared" si="466"/>
        <v>0.96745610539476345</v>
      </c>
      <c r="T1385" s="27">
        <f t="shared" si="467"/>
        <v>0.19049641463604955</v>
      </c>
      <c r="U1385" s="26">
        <f t="shared" si="468"/>
        <v>32.741996319504963</v>
      </c>
      <c r="V1385" s="26">
        <f t="shared" si="469"/>
        <v>6.2857106456148323E-2</v>
      </c>
      <c r="W1385" s="143"/>
      <c r="X1385" s="143"/>
      <c r="Y1385" s="143"/>
      <c r="Z1385" s="30">
        <f t="shared" si="495"/>
        <v>0</v>
      </c>
      <c r="AA1385" s="31">
        <f t="shared" si="470"/>
        <v>32</v>
      </c>
      <c r="AB1385" s="32">
        <v>1.84E-2</v>
      </c>
      <c r="AC1385" s="32">
        <v>2.58E-2</v>
      </c>
      <c r="AD1385" s="33">
        <f t="shared" si="499"/>
        <v>-0.78315918599930501</v>
      </c>
      <c r="AE1385" s="34">
        <f t="shared" si="500"/>
        <v>5.8217776019532444E-3</v>
      </c>
      <c r="AF1385" s="33">
        <f t="shared" si="501"/>
        <v>4.5650611357291988E-2</v>
      </c>
      <c r="AG1385" s="33">
        <f t="shared" si="502"/>
        <v>0</v>
      </c>
      <c r="AH1385" s="35">
        <f t="shared" si="503"/>
        <v>6.2857106456148323E-2</v>
      </c>
      <c r="AI1385" s="36">
        <f t="shared" si="476"/>
        <v>-0.71813641062121958</v>
      </c>
      <c r="AJ1385" s="23"/>
      <c r="AK1385" s="158">
        <v>573</v>
      </c>
      <c r="AL1385" s="44"/>
      <c r="AM1385" s="44"/>
      <c r="AN1385" s="44"/>
      <c r="AO1385" s="44"/>
      <c r="AP1385" s="44"/>
      <c r="AQ1385" s="44"/>
      <c r="AR1385" s="44"/>
    </row>
    <row r="1386" spans="1:44" ht="16.8">
      <c r="A1386" s="70" t="s">
        <v>2823</v>
      </c>
      <c r="B1386" s="71"/>
      <c r="C1386" s="71" t="s">
        <v>2821</v>
      </c>
      <c r="D1386" s="19" t="s">
        <v>2822</v>
      </c>
      <c r="E1386" s="20" t="s">
        <v>414</v>
      </c>
      <c r="F1386" s="21">
        <v>1989</v>
      </c>
      <c r="G1386" s="40">
        <v>2022</v>
      </c>
      <c r="H1386" s="23">
        <v>33757206000000</v>
      </c>
      <c r="I1386" s="23">
        <v>185056051000000</v>
      </c>
      <c r="J1386" s="23">
        <v>164576151000000</v>
      </c>
      <c r="K1386" s="23">
        <f t="shared" ref="K1386:K1387" si="517">AVERAGE(J1385:J1386)</f>
        <v>162505664000000</v>
      </c>
      <c r="L1386" s="23">
        <v>164576151000000</v>
      </c>
      <c r="M1386" s="23">
        <v>20479900000000</v>
      </c>
      <c r="N1386" s="23">
        <v>12170179000000</v>
      </c>
      <c r="O1386" s="25">
        <f t="shared" si="464"/>
        <v>-130818945000000</v>
      </c>
      <c r="P1386" s="23">
        <v>2945752000000</v>
      </c>
      <c r="Q1386" s="23">
        <v>3475409000000</v>
      </c>
      <c r="R1386" s="25">
        <f t="shared" si="465"/>
        <v>8694770000000</v>
      </c>
      <c r="S1386" s="26">
        <f t="shared" si="466"/>
        <v>0.88933136804048629</v>
      </c>
      <c r="T1386" s="27">
        <f t="shared" si="467"/>
        <v>0.20511602558988026</v>
      </c>
      <c r="U1386" s="26">
        <f t="shared" si="468"/>
        <v>32.851679873496572</v>
      </c>
      <c r="V1386" s="26">
        <f t="shared" si="469"/>
        <v>7.4890798883170004E-2</v>
      </c>
      <c r="W1386" s="143"/>
      <c r="X1386" s="143"/>
      <c r="Y1386" s="143"/>
      <c r="Z1386" s="30">
        <f t="shared" si="495"/>
        <v>0</v>
      </c>
      <c r="AA1386" s="31">
        <f t="shared" si="470"/>
        <v>33</v>
      </c>
      <c r="AB1386" s="32">
        <v>3.15E-2</v>
      </c>
      <c r="AC1386" s="32">
        <v>8.0199999999999994E-2</v>
      </c>
      <c r="AD1386" s="33">
        <f t="shared" si="499"/>
        <v>-0.7069152523956107</v>
      </c>
      <c r="AE1386" s="34">
        <f t="shared" si="500"/>
        <v>1.59181609251999E-2</v>
      </c>
      <c r="AF1386" s="33">
        <f t="shared" si="501"/>
        <v>4.6984521462635126E-2</v>
      </c>
      <c r="AG1386" s="33">
        <f t="shared" si="502"/>
        <v>0</v>
      </c>
      <c r="AH1386" s="35">
        <f t="shared" si="503"/>
        <v>7.3948618472672867E-2</v>
      </c>
      <c r="AI1386" s="36">
        <f t="shared" si="476"/>
        <v>-0.59701533828008413</v>
      </c>
      <c r="AJ1386" s="23"/>
      <c r="AK1386" s="158">
        <v>574</v>
      </c>
      <c r="AL1386" s="44"/>
      <c r="AM1386" s="44"/>
      <c r="AN1386" s="44"/>
      <c r="AO1386" s="44"/>
      <c r="AP1386" s="44"/>
      <c r="AQ1386" s="44"/>
      <c r="AR1386" s="44"/>
    </row>
    <row r="1387" spans="1:44" ht="16.8">
      <c r="A1387" s="70" t="s">
        <v>2824</v>
      </c>
      <c r="B1387" s="71"/>
      <c r="C1387" s="71" t="s">
        <v>2821</v>
      </c>
      <c r="D1387" s="19" t="s">
        <v>2822</v>
      </c>
      <c r="E1387" s="20" t="s">
        <v>414</v>
      </c>
      <c r="F1387" s="21">
        <v>1989</v>
      </c>
      <c r="G1387" s="40">
        <v>2023</v>
      </c>
      <c r="H1387" s="23">
        <v>49343846000000</v>
      </c>
      <c r="I1387" s="23">
        <v>201416835000000</v>
      </c>
      <c r="J1387" s="23">
        <v>178971836000000</v>
      </c>
      <c r="K1387" s="23">
        <f t="shared" si="517"/>
        <v>171773993500000</v>
      </c>
      <c r="L1387" s="23">
        <v>178971836000000</v>
      </c>
      <c r="M1387" s="23">
        <v>22444999000000</v>
      </c>
      <c r="N1387" s="23">
        <v>14699192000000</v>
      </c>
      <c r="O1387" s="25">
        <f t="shared" si="464"/>
        <v>-129627990000000</v>
      </c>
      <c r="P1387" s="23">
        <v>2165099000000</v>
      </c>
      <c r="Q1387" s="23">
        <v>3140808000000</v>
      </c>
      <c r="R1387" s="25">
        <f t="shared" si="465"/>
        <v>11558384000000</v>
      </c>
      <c r="S1387" s="26">
        <f t="shared" si="466"/>
        <v>0.88856443405041097</v>
      </c>
      <c r="T1387" s="27">
        <f t="shared" si="467"/>
        <v>0.27570732414009541</v>
      </c>
      <c r="U1387" s="26">
        <f t="shared" si="468"/>
        <v>32.936397682590474</v>
      </c>
      <c r="V1387" s="26">
        <f t="shared" si="469"/>
        <v>8.5572860597200942E-2</v>
      </c>
      <c r="W1387" s="143"/>
      <c r="X1387" s="143"/>
      <c r="Y1387" s="143"/>
      <c r="Z1387" s="30">
        <f t="shared" si="495"/>
        <v>0</v>
      </c>
      <c r="AA1387" s="31">
        <f t="shared" si="470"/>
        <v>34</v>
      </c>
      <c r="AB1387" s="32">
        <v>3.2500000000000001E-2</v>
      </c>
      <c r="AC1387" s="32">
        <v>5.0500000000000003E-2</v>
      </c>
      <c r="AD1387" s="33">
        <f t="shared" si="499"/>
        <v>-0.64358071161231378</v>
      </c>
      <c r="AE1387" s="34">
        <f t="shared" si="500"/>
        <v>1.0749344760580714E-2</v>
      </c>
      <c r="AF1387" s="33">
        <f t="shared" si="501"/>
        <v>5.7385391841749477E-2</v>
      </c>
      <c r="AG1387" s="33">
        <f t="shared" si="502"/>
        <v>0</v>
      </c>
      <c r="AH1387" s="35">
        <f t="shared" si="503"/>
        <v>8.2131313666581593E-2</v>
      </c>
      <c r="AI1387" s="36">
        <f t="shared" si="476"/>
        <v>-0.48574466452560866</v>
      </c>
      <c r="AJ1387" s="23"/>
      <c r="AK1387" s="158">
        <v>575</v>
      </c>
      <c r="AL1387" s="44"/>
      <c r="AM1387" s="44"/>
      <c r="AN1387" s="44"/>
      <c r="AO1387" s="44"/>
      <c r="AP1387" s="44"/>
      <c r="AQ1387" s="44"/>
      <c r="AR1387" s="44"/>
    </row>
    <row r="1388" spans="1:44" ht="16.8">
      <c r="A1388" s="70" t="s">
        <v>2825</v>
      </c>
      <c r="B1388" s="71">
        <v>534</v>
      </c>
      <c r="C1388" s="71" t="s">
        <v>2826</v>
      </c>
      <c r="D1388" s="19" t="s">
        <v>2827</v>
      </c>
      <c r="E1388" s="20" t="s">
        <v>414</v>
      </c>
      <c r="F1388" s="160">
        <v>1995</v>
      </c>
      <c r="G1388" s="40">
        <v>2021</v>
      </c>
      <c r="H1388" s="23">
        <v>1205815319102</v>
      </c>
      <c r="I1388" s="23">
        <v>1145326358509</v>
      </c>
      <c r="J1388" s="23">
        <v>276940734187</v>
      </c>
      <c r="K1388" s="23">
        <f>AVERAGE(644865449194,J1388)</f>
        <v>460903091690.5</v>
      </c>
      <c r="L1388" s="23">
        <v>267967072454</v>
      </c>
      <c r="M1388" s="23">
        <v>868385624322</v>
      </c>
      <c r="N1388" s="23">
        <v>659260549082</v>
      </c>
      <c r="O1388" s="25">
        <f t="shared" si="464"/>
        <v>937848246648</v>
      </c>
      <c r="P1388" s="23">
        <v>48112229057</v>
      </c>
      <c r="Q1388" s="23">
        <f>40036046250+54565236220</f>
        <v>94601282470</v>
      </c>
      <c r="R1388" s="25">
        <f t="shared" si="465"/>
        <v>564659266612</v>
      </c>
      <c r="S1388" s="26">
        <f t="shared" si="466"/>
        <v>0.24180071656390137</v>
      </c>
      <c r="T1388" s="27">
        <f t="shared" si="467"/>
        <v>4.4998637633323169</v>
      </c>
      <c r="U1388" s="26">
        <f t="shared" si="468"/>
        <v>27.766710741587129</v>
      </c>
      <c r="V1388" s="26">
        <f t="shared" si="469"/>
        <v>1.4303669490780908</v>
      </c>
      <c r="W1388" s="143"/>
      <c r="X1388" s="143"/>
      <c r="Y1388" s="143"/>
      <c r="Z1388" s="30">
        <f t="shared" si="495"/>
        <v>0</v>
      </c>
      <c r="AA1388" s="31">
        <f t="shared" si="470"/>
        <v>26</v>
      </c>
      <c r="AB1388" s="32">
        <v>1.84E-2</v>
      </c>
      <c r="AC1388" s="32">
        <v>2.58E-2</v>
      </c>
      <c r="AD1388" s="33">
        <f t="shared" si="499"/>
        <v>0.81884804246442244</v>
      </c>
      <c r="AE1388" s="34">
        <f t="shared" si="500"/>
        <v>4.2007440673619958E-2</v>
      </c>
      <c r="AF1388" s="33">
        <f t="shared" si="501"/>
        <v>0.49301167515875599</v>
      </c>
      <c r="AG1388" s="33">
        <f t="shared" si="502"/>
        <v>0</v>
      </c>
      <c r="AH1388" s="35">
        <f t="shared" si="503"/>
        <v>2.3805113069312669</v>
      </c>
      <c r="AI1388" s="36">
        <f t="shared" si="476"/>
        <v>5.0488779028555371</v>
      </c>
      <c r="AJ1388" s="23"/>
      <c r="AK1388" s="158">
        <v>576</v>
      </c>
      <c r="AL1388" s="44"/>
      <c r="AM1388" s="44"/>
      <c r="AN1388" s="44"/>
      <c r="AO1388" s="44"/>
      <c r="AP1388" s="44"/>
      <c r="AQ1388" s="44"/>
      <c r="AR1388" s="44"/>
    </row>
    <row r="1389" spans="1:44" ht="16.8">
      <c r="A1389" s="70" t="s">
        <v>2828</v>
      </c>
      <c r="B1389" s="71"/>
      <c r="C1389" s="71" t="s">
        <v>2826</v>
      </c>
      <c r="D1389" s="19" t="s">
        <v>2827</v>
      </c>
      <c r="E1389" s="20" t="s">
        <v>414</v>
      </c>
      <c r="F1389" s="160">
        <v>1995</v>
      </c>
      <c r="G1389" s="40">
        <v>2022</v>
      </c>
      <c r="H1389" s="23">
        <v>821003580348</v>
      </c>
      <c r="I1389" s="23">
        <v>1144875781365</v>
      </c>
      <c r="J1389" s="23">
        <v>233436735540</v>
      </c>
      <c r="K1389" s="23">
        <f t="shared" ref="K1389:K1390" si="518">AVERAGE(J1388:J1389)</f>
        <v>255188734863.5</v>
      </c>
      <c r="L1389" s="23">
        <v>224393950817</v>
      </c>
      <c r="M1389" s="23">
        <v>911439045825</v>
      </c>
      <c r="N1389" s="23">
        <v>863331702038</v>
      </c>
      <c r="O1389" s="25">
        <f t="shared" si="464"/>
        <v>596609629531</v>
      </c>
      <c r="P1389" s="23">
        <v>37372652927</v>
      </c>
      <c r="Q1389" s="23">
        <f>44995293772+57631718055</f>
        <v>102627011827</v>
      </c>
      <c r="R1389" s="25">
        <f t="shared" si="465"/>
        <v>760704690211</v>
      </c>
      <c r="S1389" s="26">
        <f t="shared" si="466"/>
        <v>0.20389699855619323</v>
      </c>
      <c r="T1389" s="27">
        <f t="shared" si="467"/>
        <v>3.6587598612119141</v>
      </c>
      <c r="U1389" s="26">
        <f t="shared" si="468"/>
        <v>27.766317259158683</v>
      </c>
      <c r="V1389" s="26">
        <f t="shared" si="469"/>
        <v>3.383110553448978</v>
      </c>
      <c r="W1389" s="143"/>
      <c r="X1389" s="143"/>
      <c r="Y1389" s="143"/>
      <c r="Z1389" s="30">
        <f t="shared" si="495"/>
        <v>0</v>
      </c>
      <c r="AA1389" s="31">
        <f t="shared" si="470"/>
        <v>27</v>
      </c>
      <c r="AB1389" s="32">
        <v>3.15E-2</v>
      </c>
      <c r="AC1389" s="32">
        <v>8.0199999999999994E-2</v>
      </c>
      <c r="AD1389" s="33">
        <f t="shared" si="499"/>
        <v>0.52111297945326507</v>
      </c>
      <c r="AE1389" s="34">
        <f t="shared" si="500"/>
        <v>3.2643412966987334E-2</v>
      </c>
      <c r="AF1389" s="33">
        <f t="shared" si="501"/>
        <v>0.66444299250005556</v>
      </c>
      <c r="AG1389" s="33">
        <f t="shared" si="502"/>
        <v>0</v>
      </c>
      <c r="AH1389" s="35">
        <f t="shared" si="503"/>
        <v>3.6983540745670931</v>
      </c>
      <c r="AI1389" s="36">
        <f t="shared" si="476"/>
        <v>6.5620523033149762</v>
      </c>
      <c r="AJ1389" s="23"/>
      <c r="AK1389" s="158">
        <v>577</v>
      </c>
      <c r="AL1389" s="44"/>
      <c r="AM1389" s="44"/>
      <c r="AN1389" s="44"/>
      <c r="AO1389" s="44"/>
      <c r="AP1389" s="44"/>
      <c r="AQ1389" s="44"/>
      <c r="AR1389" s="44"/>
    </row>
    <row r="1390" spans="1:44" ht="16.8">
      <c r="A1390" s="70" t="s">
        <v>2829</v>
      </c>
      <c r="B1390" s="71"/>
      <c r="C1390" s="71" t="s">
        <v>2826</v>
      </c>
      <c r="D1390" s="19" t="s">
        <v>2827</v>
      </c>
      <c r="E1390" s="20" t="s">
        <v>414</v>
      </c>
      <c r="F1390" s="160">
        <v>1995</v>
      </c>
      <c r="G1390" s="40">
        <v>2023</v>
      </c>
      <c r="H1390" s="23">
        <v>1214117529930</v>
      </c>
      <c r="I1390" s="23">
        <v>1821114066062</v>
      </c>
      <c r="J1390" s="23">
        <v>668957131977</v>
      </c>
      <c r="K1390" s="23">
        <f t="shared" si="518"/>
        <v>451196933758.5</v>
      </c>
      <c r="L1390" s="23">
        <v>584576962684</v>
      </c>
      <c r="M1390" s="23">
        <v>1152156934085</v>
      </c>
      <c r="N1390" s="23">
        <v>980089882652</v>
      </c>
      <c r="O1390" s="25">
        <f t="shared" si="464"/>
        <v>629540567246</v>
      </c>
      <c r="P1390" s="23">
        <v>84320836052</v>
      </c>
      <c r="Q1390" s="23">
        <f>46289273562+92865234126</f>
        <v>139154507688</v>
      </c>
      <c r="R1390" s="25">
        <f t="shared" si="465"/>
        <v>840935374964</v>
      </c>
      <c r="S1390" s="26">
        <f t="shared" si="466"/>
        <v>0.3673340096831833</v>
      </c>
      <c r="T1390" s="27">
        <f t="shared" si="467"/>
        <v>2.076916483940038</v>
      </c>
      <c r="U1390" s="26">
        <f t="shared" si="468"/>
        <v>28.230469553955537</v>
      </c>
      <c r="V1390" s="26">
        <f t="shared" si="469"/>
        <v>2.1721997853305144</v>
      </c>
      <c r="W1390" s="143"/>
      <c r="X1390" s="143"/>
      <c r="Y1390" s="143"/>
      <c r="Z1390" s="30">
        <f t="shared" si="495"/>
        <v>0</v>
      </c>
      <c r="AA1390" s="31">
        <f t="shared" si="470"/>
        <v>28</v>
      </c>
      <c r="AB1390" s="32">
        <v>3.2500000000000001E-2</v>
      </c>
      <c r="AC1390" s="32">
        <v>5.0500000000000003E-2</v>
      </c>
      <c r="AD1390" s="33">
        <f t="shared" si="499"/>
        <v>0.3456898054756814</v>
      </c>
      <c r="AE1390" s="34">
        <f t="shared" si="500"/>
        <v>4.6301787253961765E-2</v>
      </c>
      <c r="AF1390" s="33">
        <f t="shared" si="501"/>
        <v>0.46176974338705168</v>
      </c>
      <c r="AG1390" s="33">
        <f t="shared" si="502"/>
        <v>0</v>
      </c>
      <c r="AH1390" s="35">
        <f t="shared" si="503"/>
        <v>1.4651011788386126</v>
      </c>
      <c r="AI1390" s="36">
        <f t="shared" si="476"/>
        <v>3.468591600742247</v>
      </c>
      <c r="AJ1390" s="23"/>
      <c r="AK1390" s="158">
        <v>578</v>
      </c>
      <c r="AL1390" s="44"/>
      <c r="AM1390" s="44"/>
      <c r="AN1390" s="44"/>
      <c r="AO1390" s="44"/>
      <c r="AP1390" s="44"/>
      <c r="AQ1390" s="44"/>
      <c r="AR1390" s="44"/>
    </row>
    <row r="1391" spans="1:44" ht="16.8">
      <c r="A1391" s="145"/>
      <c r="B1391" s="145">
        <v>535</v>
      </c>
      <c r="C1391" s="145" t="s">
        <v>2830</v>
      </c>
      <c r="D1391" s="146" t="s">
        <v>2831</v>
      </c>
      <c r="E1391" s="147" t="s">
        <v>1371</v>
      </c>
      <c r="F1391" s="148"/>
      <c r="G1391" s="148">
        <v>2021</v>
      </c>
      <c r="H1391" s="149"/>
      <c r="I1391" s="149"/>
      <c r="J1391" s="149"/>
      <c r="K1391" s="149"/>
      <c r="L1391" s="149"/>
      <c r="M1391" s="149"/>
      <c r="N1391" s="149"/>
      <c r="O1391" s="149">
        <f t="shared" si="464"/>
        <v>0</v>
      </c>
      <c r="P1391" s="149"/>
      <c r="Q1391" s="149"/>
      <c r="R1391" s="149">
        <f t="shared" si="465"/>
        <v>0</v>
      </c>
      <c r="S1391" s="150" t="e">
        <f t="shared" si="466"/>
        <v>#DIV/0!</v>
      </c>
      <c r="T1391" s="151" t="e">
        <f t="shared" si="467"/>
        <v>#DIV/0!</v>
      </c>
      <c r="U1391" s="150" t="e">
        <f t="shared" si="468"/>
        <v>#NUM!</v>
      </c>
      <c r="V1391" s="150" t="e">
        <f t="shared" si="469"/>
        <v>#DIV/0!</v>
      </c>
      <c r="W1391" s="152"/>
      <c r="X1391" s="152"/>
      <c r="Y1391" s="152"/>
      <c r="Z1391" s="153">
        <f>W1391*Y1391</f>
        <v>0</v>
      </c>
      <c r="AA1391" s="148">
        <f t="shared" si="470"/>
        <v>2021</v>
      </c>
      <c r="AB1391" s="149"/>
      <c r="AC1391" s="149"/>
      <c r="AD1391" s="150" t="e">
        <f t="shared" si="499"/>
        <v>#DIV/0!</v>
      </c>
      <c r="AE1391" s="154" t="e">
        <f t="shared" si="500"/>
        <v>#DIV/0!</v>
      </c>
      <c r="AF1391" s="150" t="e">
        <f t="shared" si="501"/>
        <v>#DIV/0!</v>
      </c>
      <c r="AG1391" s="150" t="e">
        <f t="shared" si="502"/>
        <v>#DIV/0!</v>
      </c>
      <c r="AH1391" s="155" t="e">
        <f t="shared" si="503"/>
        <v>#DIV/0!</v>
      </c>
      <c r="AI1391" s="156" t="e">
        <f t="shared" si="476"/>
        <v>#DIV/0!</v>
      </c>
      <c r="AJ1391" s="149"/>
      <c r="AK1391" s="149"/>
      <c r="AL1391" s="157"/>
      <c r="AM1391" s="157"/>
      <c r="AN1391" s="157"/>
      <c r="AO1391" s="157"/>
      <c r="AP1391" s="157"/>
      <c r="AQ1391" s="157"/>
      <c r="AR1391" s="157"/>
    </row>
    <row r="1392" spans="1:44" ht="16.8">
      <c r="A1392" s="70" t="s">
        <v>2832</v>
      </c>
      <c r="B1392" s="71">
        <v>536</v>
      </c>
      <c r="C1392" s="71" t="s">
        <v>2833</v>
      </c>
      <c r="D1392" s="19" t="s">
        <v>2834</v>
      </c>
      <c r="E1392" s="20" t="s">
        <v>414</v>
      </c>
      <c r="F1392" s="160">
        <v>1993</v>
      </c>
      <c r="G1392" s="40">
        <v>2021</v>
      </c>
      <c r="H1392" s="23">
        <v>965611047552</v>
      </c>
      <c r="I1392" s="23">
        <v>1268743492740</v>
      </c>
      <c r="J1392" s="23">
        <v>304707254762</v>
      </c>
      <c r="K1392" s="23">
        <f>AVERAGE(J1392,408705879197)</f>
        <v>356706566979.5</v>
      </c>
      <c r="L1392" s="23">
        <v>271923340332</v>
      </c>
      <c r="M1392" s="23">
        <v>964036237978</v>
      </c>
      <c r="N1392" s="23">
        <v>866451098588</v>
      </c>
      <c r="O1392" s="25">
        <f t="shared" si="464"/>
        <v>693687707220</v>
      </c>
      <c r="P1392" s="23">
        <v>59720671255</v>
      </c>
      <c r="Q1392" s="23">
        <f>150461607802+85058370307</f>
        <v>235519978109</v>
      </c>
      <c r="R1392" s="25">
        <f t="shared" si="465"/>
        <v>630931120479</v>
      </c>
      <c r="S1392" s="26">
        <f t="shared" si="466"/>
        <v>0.24016458528110282</v>
      </c>
      <c r="T1392" s="27">
        <f t="shared" si="467"/>
        <v>3.5510414309159861</v>
      </c>
      <c r="U1392" s="26">
        <f t="shared" si="468"/>
        <v>27.869048150848478</v>
      </c>
      <c r="V1392" s="26">
        <f t="shared" si="469"/>
        <v>2.4290304098544815</v>
      </c>
      <c r="W1392" s="143"/>
      <c r="X1392" s="143"/>
      <c r="Y1392" s="143"/>
      <c r="Z1392" s="30">
        <f t="shared" ref="Z1392:Z1394" si="519">X1392*Y1392</f>
        <v>0</v>
      </c>
      <c r="AA1392" s="31">
        <f t="shared" si="470"/>
        <v>28</v>
      </c>
      <c r="AB1392" s="32">
        <v>1.84E-2</v>
      </c>
      <c r="AC1392" s="32">
        <v>2.58E-2</v>
      </c>
      <c r="AD1392" s="33">
        <f t="shared" si="499"/>
        <v>0.54675173602025751</v>
      </c>
      <c r="AE1392" s="34">
        <f t="shared" si="500"/>
        <v>4.7070721226736084E-2</v>
      </c>
      <c r="AF1392" s="33">
        <f t="shared" si="501"/>
        <v>0.49728816272896142</v>
      </c>
      <c r="AG1392" s="33">
        <f t="shared" si="502"/>
        <v>0</v>
      </c>
      <c r="AH1392" s="35">
        <f t="shared" si="503"/>
        <v>2.8435525739771621</v>
      </c>
      <c r="AI1392" s="36">
        <f t="shared" si="476"/>
        <v>5.2066046039244736</v>
      </c>
      <c r="AJ1392" s="23"/>
      <c r="AK1392" s="158">
        <v>579</v>
      </c>
      <c r="AL1392" s="44"/>
      <c r="AM1392" s="44"/>
      <c r="AN1392" s="44"/>
      <c r="AO1392" s="44"/>
      <c r="AP1392" s="44"/>
      <c r="AQ1392" s="44"/>
      <c r="AR1392" s="44"/>
    </row>
    <row r="1393" spans="1:44" ht="16.8">
      <c r="A1393" s="70" t="s">
        <v>2835</v>
      </c>
      <c r="B1393" s="71"/>
      <c r="C1393" s="71" t="s">
        <v>2833</v>
      </c>
      <c r="D1393" s="19" t="s">
        <v>2834</v>
      </c>
      <c r="E1393" s="20" t="s">
        <v>414</v>
      </c>
      <c r="F1393" s="160">
        <v>1993</v>
      </c>
      <c r="G1393" s="40">
        <v>2022</v>
      </c>
      <c r="H1393" s="23">
        <v>1055145769022</v>
      </c>
      <c r="I1393" s="23">
        <v>1456695376147</v>
      </c>
      <c r="J1393" s="23">
        <v>428854173261</v>
      </c>
      <c r="K1393" s="23">
        <f t="shared" ref="K1393:K1394" si="520">AVERAGE(J1392:J1393)</f>
        <v>366780714011.5</v>
      </c>
      <c r="L1393" s="23">
        <v>312013032780</v>
      </c>
      <c r="M1393" s="23">
        <v>1027841202886</v>
      </c>
      <c r="N1393" s="23">
        <v>1021675009233</v>
      </c>
      <c r="O1393" s="25">
        <f t="shared" si="464"/>
        <v>743132736242</v>
      </c>
      <c r="P1393" s="23">
        <v>91829420972</v>
      </c>
      <c r="Q1393" s="23">
        <f>173296409898+88027974504</f>
        <v>261324384402</v>
      </c>
      <c r="R1393" s="25">
        <f t="shared" si="465"/>
        <v>760350624831</v>
      </c>
      <c r="S1393" s="26">
        <f t="shared" si="466"/>
        <v>0.29440209688543895</v>
      </c>
      <c r="T1393" s="27">
        <f t="shared" si="467"/>
        <v>3.3817362038398633</v>
      </c>
      <c r="U1393" s="26">
        <f t="shared" si="468"/>
        <v>28.007191545199117</v>
      </c>
      <c r="V1393" s="26">
        <f t="shared" si="469"/>
        <v>2.7855199856581514</v>
      </c>
      <c r="W1393" s="143"/>
      <c r="X1393" s="143"/>
      <c r="Y1393" s="143"/>
      <c r="Z1393" s="30">
        <f t="shared" si="519"/>
        <v>0</v>
      </c>
      <c r="AA1393" s="31">
        <f t="shared" si="470"/>
        <v>29</v>
      </c>
      <c r="AB1393" s="32">
        <v>3.15E-2</v>
      </c>
      <c r="AC1393" s="32">
        <v>8.0199999999999994E-2</v>
      </c>
      <c r="AD1393" s="33">
        <f t="shared" si="499"/>
        <v>0.51014971861008229</v>
      </c>
      <c r="AE1393" s="34">
        <f t="shared" si="500"/>
        <v>6.3039549981198803E-2</v>
      </c>
      <c r="AF1393" s="33">
        <f t="shared" si="501"/>
        <v>0.52196954646904192</v>
      </c>
      <c r="AG1393" s="33">
        <f t="shared" si="502"/>
        <v>0</v>
      </c>
      <c r="AH1393" s="35">
        <f t="shared" si="503"/>
        <v>2.382336637799745</v>
      </c>
      <c r="AI1393" s="36">
        <f t="shared" si="476"/>
        <v>4.8052711734533604</v>
      </c>
      <c r="AJ1393" s="23"/>
      <c r="AK1393" s="158">
        <v>580</v>
      </c>
      <c r="AL1393" s="44"/>
      <c r="AM1393" s="44"/>
      <c r="AN1393" s="44"/>
      <c r="AO1393" s="44"/>
      <c r="AP1393" s="44"/>
      <c r="AQ1393" s="44"/>
      <c r="AR1393" s="44"/>
    </row>
    <row r="1394" spans="1:44" ht="16.8">
      <c r="A1394" s="70" t="s">
        <v>2836</v>
      </c>
      <c r="B1394" s="71"/>
      <c r="C1394" s="71" t="s">
        <v>2833</v>
      </c>
      <c r="D1394" s="19" t="s">
        <v>2834</v>
      </c>
      <c r="E1394" s="20" t="s">
        <v>414</v>
      </c>
      <c r="F1394" s="160">
        <v>1993</v>
      </c>
      <c r="G1394" s="40">
        <v>2023</v>
      </c>
      <c r="H1394" s="23">
        <v>770385094402</v>
      </c>
      <c r="I1394" s="23">
        <v>1355871069270</v>
      </c>
      <c r="J1394" s="23">
        <v>355899753750</v>
      </c>
      <c r="K1394" s="23">
        <f t="shared" si="520"/>
        <v>392376963505.5</v>
      </c>
      <c r="L1394" s="23">
        <v>233682771214</v>
      </c>
      <c r="M1394" s="23">
        <v>999971315520</v>
      </c>
      <c r="N1394" s="23">
        <v>787684319980</v>
      </c>
      <c r="O1394" s="25">
        <f t="shared" si="464"/>
        <v>536702323188</v>
      </c>
      <c r="P1394" s="23">
        <v>18641772642</v>
      </c>
      <c r="Q1394" s="23">
        <f>167439134031+92954672832</f>
        <v>260393806863</v>
      </c>
      <c r="R1394" s="25">
        <f t="shared" si="465"/>
        <v>527290513117</v>
      </c>
      <c r="S1394" s="26">
        <f t="shared" si="466"/>
        <v>0.26248790302872688</v>
      </c>
      <c r="T1394" s="27">
        <f t="shared" si="467"/>
        <v>3.2967132767203595</v>
      </c>
      <c r="U1394" s="26">
        <f t="shared" si="468"/>
        <v>27.935465219266913</v>
      </c>
      <c r="V1394" s="26">
        <f t="shared" si="469"/>
        <v>2.0074683104298985</v>
      </c>
      <c r="W1394" s="143"/>
      <c r="X1394" s="143"/>
      <c r="Y1394" s="143"/>
      <c r="Z1394" s="30">
        <f t="shared" si="519"/>
        <v>0</v>
      </c>
      <c r="AA1394" s="31">
        <f t="shared" si="470"/>
        <v>30</v>
      </c>
      <c r="AB1394" s="32">
        <v>3.2500000000000001E-2</v>
      </c>
      <c r="AC1394" s="32">
        <v>5.0500000000000003E-2</v>
      </c>
      <c r="AD1394" s="33">
        <f t="shared" si="499"/>
        <v>0.39583581016811586</v>
      </c>
      <c r="AE1394" s="34">
        <f t="shared" si="500"/>
        <v>1.3748927213290801E-2</v>
      </c>
      <c r="AF1394" s="33">
        <f t="shared" si="501"/>
        <v>0.38889428727238262</v>
      </c>
      <c r="AG1394" s="33">
        <f t="shared" si="502"/>
        <v>0</v>
      </c>
      <c r="AH1394" s="35">
        <f t="shared" si="503"/>
        <v>2.213219626258311</v>
      </c>
      <c r="AI1394" s="36">
        <f t="shared" si="476"/>
        <v>3.9908222445575197</v>
      </c>
      <c r="AJ1394" s="23"/>
      <c r="AK1394" s="158">
        <v>581</v>
      </c>
      <c r="AL1394" s="44"/>
      <c r="AM1394" s="44"/>
      <c r="AN1394" s="44"/>
      <c r="AO1394" s="44"/>
      <c r="AP1394" s="44"/>
      <c r="AQ1394" s="44"/>
      <c r="AR1394" s="44"/>
    </row>
    <row r="1395" spans="1:44" ht="16.8">
      <c r="A1395" s="145"/>
      <c r="B1395" s="145">
        <v>537</v>
      </c>
      <c r="C1395" s="145" t="s">
        <v>2837</v>
      </c>
      <c r="D1395" s="146" t="s">
        <v>2838</v>
      </c>
      <c r="E1395" s="147" t="s">
        <v>1371</v>
      </c>
      <c r="F1395" s="148"/>
      <c r="G1395" s="148">
        <v>2021</v>
      </c>
      <c r="H1395" s="149"/>
      <c r="I1395" s="149"/>
      <c r="J1395" s="149"/>
      <c r="K1395" s="149"/>
      <c r="L1395" s="149"/>
      <c r="M1395" s="149"/>
      <c r="N1395" s="149"/>
      <c r="O1395" s="149">
        <f t="shared" si="464"/>
        <v>0</v>
      </c>
      <c r="P1395" s="149"/>
      <c r="Q1395" s="149"/>
      <c r="R1395" s="149">
        <f t="shared" si="465"/>
        <v>0</v>
      </c>
      <c r="S1395" s="150" t="e">
        <f t="shared" si="466"/>
        <v>#DIV/0!</v>
      </c>
      <c r="T1395" s="151" t="e">
        <f t="shared" si="467"/>
        <v>#DIV/0!</v>
      </c>
      <c r="U1395" s="150" t="e">
        <f t="shared" si="468"/>
        <v>#NUM!</v>
      </c>
      <c r="V1395" s="150" t="e">
        <f t="shared" si="469"/>
        <v>#DIV/0!</v>
      </c>
      <c r="W1395" s="152"/>
      <c r="X1395" s="152"/>
      <c r="Y1395" s="152"/>
      <c r="Z1395" s="153">
        <f>W1395*Y1395</f>
        <v>0</v>
      </c>
      <c r="AA1395" s="148">
        <f t="shared" si="470"/>
        <v>2021</v>
      </c>
      <c r="AB1395" s="149"/>
      <c r="AC1395" s="149"/>
      <c r="AD1395" s="150" t="e">
        <f t="shared" si="499"/>
        <v>#DIV/0!</v>
      </c>
      <c r="AE1395" s="154" t="e">
        <f t="shared" si="500"/>
        <v>#DIV/0!</v>
      </c>
      <c r="AF1395" s="150" t="e">
        <f t="shared" si="501"/>
        <v>#DIV/0!</v>
      </c>
      <c r="AG1395" s="150" t="e">
        <f t="shared" si="502"/>
        <v>#DIV/0!</v>
      </c>
      <c r="AH1395" s="155" t="e">
        <f t="shared" si="503"/>
        <v>#DIV/0!</v>
      </c>
      <c r="AI1395" s="156" t="e">
        <f t="shared" si="476"/>
        <v>#DIV/0!</v>
      </c>
      <c r="AJ1395" s="149"/>
      <c r="AK1395" s="149"/>
      <c r="AL1395" s="157"/>
      <c r="AM1395" s="157"/>
      <c r="AN1395" s="157"/>
      <c r="AO1395" s="157"/>
      <c r="AP1395" s="157"/>
      <c r="AQ1395" s="157"/>
      <c r="AR1395" s="157"/>
    </row>
    <row r="1396" spans="1:44" ht="16.8">
      <c r="A1396" s="70" t="s">
        <v>2839</v>
      </c>
      <c r="B1396" s="71">
        <v>538</v>
      </c>
      <c r="C1396" s="71" t="s">
        <v>2840</v>
      </c>
      <c r="D1396" s="19" t="s">
        <v>2841</v>
      </c>
      <c r="E1396" s="20" t="s">
        <v>414</v>
      </c>
      <c r="F1396" s="166">
        <v>2007</v>
      </c>
      <c r="G1396" s="40">
        <v>2021</v>
      </c>
      <c r="H1396" s="23">
        <v>652000247903</v>
      </c>
      <c r="I1396" s="23">
        <v>805533862329</v>
      </c>
      <c r="J1396" s="23">
        <v>240984720485</v>
      </c>
      <c r="K1396" s="23">
        <f>AVERAGE(J1396,244789367644)</f>
        <v>242887044064.5</v>
      </c>
      <c r="L1396" s="23">
        <v>240513520485</v>
      </c>
      <c r="M1396" s="23">
        <v>564549141844</v>
      </c>
      <c r="N1396" s="23">
        <v>599686317334</v>
      </c>
      <c r="O1396" s="25">
        <f t="shared" si="464"/>
        <v>411486727418</v>
      </c>
      <c r="P1396" s="23">
        <v>13356818950</v>
      </c>
      <c r="Q1396" s="23">
        <f>1636263819+23833252263</f>
        <v>25469516082</v>
      </c>
      <c r="R1396" s="25">
        <f t="shared" si="465"/>
        <v>574216801252</v>
      </c>
      <c r="S1396" s="26">
        <f t="shared" si="466"/>
        <v>0.29916150239575634</v>
      </c>
      <c r="T1396" s="27">
        <f t="shared" si="467"/>
        <v>2.7108673416289832</v>
      </c>
      <c r="U1396" s="26">
        <f t="shared" si="468"/>
        <v>27.414771077573686</v>
      </c>
      <c r="V1396" s="26">
        <f t="shared" si="469"/>
        <v>2.4689926119515455</v>
      </c>
      <c r="W1396" s="143"/>
      <c r="X1396" s="143"/>
      <c r="Y1396" s="143"/>
      <c r="Z1396" s="30">
        <f t="shared" ref="Z1396:Z1407" si="521">X1396*Y1396</f>
        <v>0</v>
      </c>
      <c r="AA1396" s="31">
        <f t="shared" si="470"/>
        <v>14</v>
      </c>
      <c r="AB1396" s="32">
        <v>1.84E-2</v>
      </c>
      <c r="AC1396" s="32">
        <v>2.58E-2</v>
      </c>
      <c r="AD1396" s="33">
        <f t="shared" si="499"/>
        <v>0.51082486616799561</v>
      </c>
      <c r="AE1396" s="34">
        <f t="shared" si="500"/>
        <v>1.6581325223724418E-2</v>
      </c>
      <c r="AF1396" s="33">
        <f t="shared" si="501"/>
        <v>0.71284005316895749</v>
      </c>
      <c r="AG1396" s="33">
        <f t="shared" si="502"/>
        <v>0</v>
      </c>
      <c r="AH1396" s="35">
        <f t="shared" si="503"/>
        <v>2.4884827391839859</v>
      </c>
      <c r="AI1396" s="36">
        <f t="shared" si="476"/>
        <v>5.4770586093563542</v>
      </c>
      <c r="AJ1396" s="23"/>
      <c r="AK1396" s="158">
        <v>582</v>
      </c>
      <c r="AL1396" s="44"/>
      <c r="AM1396" s="44"/>
      <c r="AN1396" s="44"/>
      <c r="AO1396" s="44"/>
      <c r="AP1396" s="44"/>
      <c r="AQ1396" s="44"/>
      <c r="AR1396" s="44"/>
    </row>
    <row r="1397" spans="1:44" ht="16.8">
      <c r="A1397" s="74" t="s">
        <v>2842</v>
      </c>
      <c r="B1397" s="75"/>
      <c r="C1397" s="71" t="s">
        <v>2840</v>
      </c>
      <c r="D1397" s="19" t="s">
        <v>2841</v>
      </c>
      <c r="E1397" s="20" t="s">
        <v>414</v>
      </c>
      <c r="F1397" s="166">
        <v>2007</v>
      </c>
      <c r="G1397" s="40">
        <v>2022</v>
      </c>
      <c r="H1397" s="23">
        <v>703103932528</v>
      </c>
      <c r="I1397" s="23">
        <v>833947780574</v>
      </c>
      <c r="J1397" s="23">
        <v>261882176890</v>
      </c>
      <c r="K1397" s="23">
        <f t="shared" ref="K1397:K1398" si="522">AVERAGE(J1396:J1397)</f>
        <v>251433448687.5</v>
      </c>
      <c r="L1397" s="23">
        <v>261597176890</v>
      </c>
      <c r="M1397" s="23">
        <v>572065603684</v>
      </c>
      <c r="N1397" s="23">
        <v>591414524511</v>
      </c>
      <c r="O1397" s="25">
        <f t="shared" si="464"/>
        <v>441506755638</v>
      </c>
      <c r="P1397" s="23">
        <v>20896385985</v>
      </c>
      <c r="Q1397" s="23">
        <f>21680643673+24604348307</f>
        <v>46284991980</v>
      </c>
      <c r="R1397" s="25">
        <f t="shared" si="465"/>
        <v>545129532531</v>
      </c>
      <c r="S1397" s="26">
        <f t="shared" si="466"/>
        <v>0.31402706858905299</v>
      </c>
      <c r="T1397" s="27">
        <f t="shared" si="467"/>
        <v>2.6877351693426372</v>
      </c>
      <c r="U1397" s="26">
        <f t="shared" si="468"/>
        <v>27.449436624124246</v>
      </c>
      <c r="V1397" s="26">
        <f t="shared" si="469"/>
        <v>2.352171230988656</v>
      </c>
      <c r="W1397" s="76"/>
      <c r="X1397" s="76"/>
      <c r="Y1397" s="76"/>
      <c r="Z1397" s="30">
        <f t="shared" si="521"/>
        <v>0</v>
      </c>
      <c r="AA1397" s="31">
        <f t="shared" si="470"/>
        <v>15</v>
      </c>
      <c r="AB1397" s="32">
        <v>3.15E-2</v>
      </c>
      <c r="AC1397" s="32">
        <v>8.0199999999999994E-2</v>
      </c>
      <c r="AD1397" s="33">
        <f t="shared" si="499"/>
        <v>0.52941774763656568</v>
      </c>
      <c r="AE1397" s="34">
        <f t="shared" si="500"/>
        <v>2.5057187598265654E-2</v>
      </c>
      <c r="AF1397" s="33">
        <f t="shared" si="501"/>
        <v>0.65367346161145901</v>
      </c>
      <c r="AG1397" s="33">
        <f t="shared" si="502"/>
        <v>0</v>
      </c>
      <c r="AH1397" s="35">
        <f t="shared" si="503"/>
        <v>2.2583229280219994</v>
      </c>
      <c r="AI1397" s="36">
        <f t="shared" si="476"/>
        <v>5.0858267111412649</v>
      </c>
      <c r="AJ1397" s="76"/>
      <c r="AK1397" s="158">
        <v>583</v>
      </c>
    </row>
    <row r="1398" spans="1:44" ht="16.8">
      <c r="A1398" s="74" t="s">
        <v>2843</v>
      </c>
      <c r="B1398" s="75"/>
      <c r="C1398" s="71" t="s">
        <v>2840</v>
      </c>
      <c r="D1398" s="19" t="s">
        <v>2841</v>
      </c>
      <c r="E1398" s="20" t="s">
        <v>414</v>
      </c>
      <c r="F1398" s="166">
        <v>2007</v>
      </c>
      <c r="G1398" s="40">
        <v>2023</v>
      </c>
      <c r="H1398" s="23">
        <v>682187734636</v>
      </c>
      <c r="I1398" s="23">
        <v>807561235493</v>
      </c>
      <c r="J1398" s="23">
        <v>222949267353</v>
      </c>
      <c r="K1398" s="23">
        <f t="shared" si="522"/>
        <v>242415722121.5</v>
      </c>
      <c r="L1398" s="23">
        <v>222663267353</v>
      </c>
      <c r="M1398" s="23">
        <v>584611968140</v>
      </c>
      <c r="N1398" s="23">
        <v>463642989019</v>
      </c>
      <c r="O1398" s="25">
        <f t="shared" si="464"/>
        <v>459524467283</v>
      </c>
      <c r="P1398" s="23">
        <v>15652456601</v>
      </c>
      <c r="Q1398" s="23">
        <f>919041396+26021905668</f>
        <v>26940947064</v>
      </c>
      <c r="R1398" s="25">
        <f t="shared" si="465"/>
        <v>436702041955</v>
      </c>
      <c r="S1398" s="26">
        <f t="shared" si="466"/>
        <v>0.27607722802208789</v>
      </c>
      <c r="T1398" s="27">
        <f t="shared" si="467"/>
        <v>3.0637641437035561</v>
      </c>
      <c r="U1398" s="26">
        <f t="shared" si="468"/>
        <v>27.417284722595877</v>
      </c>
      <c r="V1398" s="26">
        <f t="shared" si="469"/>
        <v>1.9125945502273147</v>
      </c>
      <c r="W1398" s="76"/>
      <c r="X1398" s="76"/>
      <c r="Y1398" s="76"/>
      <c r="Z1398" s="30">
        <f t="shared" si="521"/>
        <v>0</v>
      </c>
      <c r="AA1398" s="31">
        <f t="shared" si="470"/>
        <v>16</v>
      </c>
      <c r="AB1398" s="32">
        <v>3.2500000000000001E-2</v>
      </c>
      <c r="AC1398" s="32">
        <v>5.0500000000000003E-2</v>
      </c>
      <c r="AD1398" s="33">
        <f t="shared" si="499"/>
        <v>0.56902739642086642</v>
      </c>
      <c r="AE1398" s="34">
        <f t="shared" si="500"/>
        <v>1.9382377351786193E-2</v>
      </c>
      <c r="AF1398" s="33">
        <f t="shared" si="501"/>
        <v>0.54076647412180712</v>
      </c>
      <c r="AG1398" s="33">
        <f t="shared" si="502"/>
        <v>0</v>
      </c>
      <c r="AH1398" s="35">
        <f t="shared" si="503"/>
        <v>2.0795896507024842</v>
      </c>
      <c r="AI1398" s="36">
        <f t="shared" si="476"/>
        <v>4.5740872193019877</v>
      </c>
      <c r="AJ1398" s="76"/>
      <c r="AK1398" s="158">
        <v>584</v>
      </c>
    </row>
    <row r="1399" spans="1:44" ht="16.8">
      <c r="A1399" s="70" t="s">
        <v>2844</v>
      </c>
      <c r="B1399" s="71">
        <v>539</v>
      </c>
      <c r="C1399" s="71" t="s">
        <v>2845</v>
      </c>
      <c r="D1399" s="19" t="s">
        <v>2846</v>
      </c>
      <c r="E1399" s="20" t="s">
        <v>414</v>
      </c>
      <c r="F1399" s="160">
        <v>2004</v>
      </c>
      <c r="G1399" s="40">
        <v>2021</v>
      </c>
      <c r="H1399" s="23">
        <v>5062620383406</v>
      </c>
      <c r="I1399" s="23">
        <v>7495704578583</v>
      </c>
      <c r="J1399" s="23">
        <v>4277200229024</v>
      </c>
      <c r="K1399" s="23">
        <f>AVERAGE(4566523278536,J1399)</f>
        <v>4421861753780</v>
      </c>
      <c r="L1399" s="23">
        <v>3896088221242</v>
      </c>
      <c r="M1399" s="23">
        <v>2502914493846</v>
      </c>
      <c r="N1399" s="23">
        <v>3484219388593</v>
      </c>
      <c r="O1399" s="25">
        <f t="shared" si="464"/>
        <v>1166532162164</v>
      </c>
      <c r="P1399" s="23">
        <v>70781785768</v>
      </c>
      <c r="Q1399" s="23">
        <f>25239575877+200099244674</f>
        <v>225338820551</v>
      </c>
      <c r="R1399" s="25">
        <f t="shared" si="465"/>
        <v>3258880568042</v>
      </c>
      <c r="S1399" s="26">
        <f t="shared" si="466"/>
        <v>0.57062017108371266</v>
      </c>
      <c r="T1399" s="27">
        <f t="shared" si="467"/>
        <v>1.2994111262172938</v>
      </c>
      <c r="U1399" s="26">
        <f t="shared" si="468"/>
        <v>29.645351249546831</v>
      </c>
      <c r="V1399" s="26">
        <f t="shared" si="469"/>
        <v>0.78795303485337087</v>
      </c>
      <c r="W1399" s="143"/>
      <c r="X1399" s="143"/>
      <c r="Y1399" s="143"/>
      <c r="Z1399" s="30">
        <f t="shared" si="521"/>
        <v>0</v>
      </c>
      <c r="AA1399" s="31">
        <f t="shared" si="470"/>
        <v>17</v>
      </c>
      <c r="AB1399" s="32">
        <v>1.84E-2</v>
      </c>
      <c r="AC1399" s="32">
        <v>2.58E-2</v>
      </c>
      <c r="AD1399" s="33">
        <f t="shared" si="499"/>
        <v>0.15562675262003497</v>
      </c>
      <c r="AE1399" s="34">
        <f t="shared" si="500"/>
        <v>9.4429796460015637E-3</v>
      </c>
      <c r="AF1399" s="33">
        <f t="shared" si="501"/>
        <v>0.43476640973196734</v>
      </c>
      <c r="AG1399" s="33">
        <f t="shared" si="502"/>
        <v>0</v>
      </c>
      <c r="AH1399" s="35">
        <f t="shared" si="503"/>
        <v>0.81460282475203472</v>
      </c>
      <c r="AI1399" s="36">
        <f t="shared" si="476"/>
        <v>2.4493042515159713</v>
      </c>
      <c r="AJ1399" s="23"/>
      <c r="AK1399" s="158">
        <v>585</v>
      </c>
      <c r="AL1399" s="44"/>
      <c r="AM1399" s="44"/>
      <c r="AN1399" s="44"/>
      <c r="AO1399" s="44"/>
      <c r="AP1399" s="44"/>
      <c r="AQ1399" s="44"/>
      <c r="AR1399" s="44"/>
    </row>
    <row r="1400" spans="1:44" ht="16.8">
      <c r="A1400" s="74" t="s">
        <v>2847</v>
      </c>
      <c r="B1400" s="75"/>
      <c r="C1400" s="71" t="s">
        <v>2845</v>
      </c>
      <c r="D1400" s="19" t="s">
        <v>2846</v>
      </c>
      <c r="E1400" s="20" t="s">
        <v>414</v>
      </c>
      <c r="F1400" s="160">
        <v>2004</v>
      </c>
      <c r="G1400" s="40">
        <v>2022</v>
      </c>
      <c r="H1400" s="23">
        <v>5235382974606</v>
      </c>
      <c r="I1400" s="23">
        <v>7580974010059</v>
      </c>
      <c r="J1400" s="23">
        <v>4097649577189</v>
      </c>
      <c r="K1400" s="23">
        <f t="shared" ref="K1400:K1401" si="523">AVERAGE(J1399:J1400)</f>
        <v>4187424903106.5</v>
      </c>
      <c r="L1400" s="23">
        <v>3152094491474</v>
      </c>
      <c r="M1400" s="23">
        <v>3483324432870</v>
      </c>
      <c r="N1400" s="23">
        <v>3045529728963</v>
      </c>
      <c r="O1400" s="25">
        <f t="shared" si="464"/>
        <v>2083288483132</v>
      </c>
      <c r="P1400" s="23">
        <v>51600579029</v>
      </c>
      <c r="Q1400" s="23">
        <f>26794089460+214701491537</f>
        <v>241495580997</v>
      </c>
      <c r="R1400" s="25">
        <f t="shared" si="465"/>
        <v>2804034147966</v>
      </c>
      <c r="S1400" s="26">
        <f t="shared" si="466"/>
        <v>0.5405175603757425</v>
      </c>
      <c r="T1400" s="27">
        <f t="shared" si="467"/>
        <v>1.6609219643532327</v>
      </c>
      <c r="U1400" s="26">
        <f t="shared" si="468"/>
        <v>29.65666280469701</v>
      </c>
      <c r="V1400" s="26">
        <f t="shared" si="469"/>
        <v>0.72730372470766724</v>
      </c>
      <c r="W1400" s="76"/>
      <c r="X1400" s="76"/>
      <c r="Y1400" s="76"/>
      <c r="Z1400" s="30">
        <f t="shared" si="521"/>
        <v>0</v>
      </c>
      <c r="AA1400" s="31">
        <f t="shared" si="470"/>
        <v>18</v>
      </c>
      <c r="AB1400" s="32">
        <v>3.15E-2</v>
      </c>
      <c r="AC1400" s="32">
        <v>8.0199999999999994E-2</v>
      </c>
      <c r="AD1400" s="33">
        <f t="shared" si="499"/>
        <v>0.27480485757736905</v>
      </c>
      <c r="AE1400" s="34">
        <f t="shared" si="500"/>
        <v>6.8065896229867716E-3</v>
      </c>
      <c r="AF1400" s="33">
        <f t="shared" si="501"/>
        <v>0.36987782100893618</v>
      </c>
      <c r="AG1400" s="33">
        <f t="shared" si="502"/>
        <v>0</v>
      </c>
      <c r="AH1400" s="35">
        <f t="shared" si="503"/>
        <v>0.74323820804907448</v>
      </c>
      <c r="AI1400" s="36">
        <f t="shared" si="476"/>
        <v>2.3031300719435883</v>
      </c>
      <c r="AJ1400" s="76"/>
      <c r="AK1400" s="158">
        <v>586</v>
      </c>
    </row>
    <row r="1401" spans="1:44" ht="16.8">
      <c r="A1401" s="74" t="s">
        <v>2848</v>
      </c>
      <c r="B1401" s="75"/>
      <c r="C1401" s="71" t="s">
        <v>2845</v>
      </c>
      <c r="D1401" s="19" t="s">
        <v>2846</v>
      </c>
      <c r="E1401" s="20" t="s">
        <v>414</v>
      </c>
      <c r="F1401" s="160">
        <v>2004</v>
      </c>
      <c r="G1401" s="40">
        <v>2023</v>
      </c>
      <c r="H1401" s="23">
        <v>6136596079496</v>
      </c>
      <c r="I1401" s="23">
        <v>8581450628041</v>
      </c>
      <c r="J1401" s="23">
        <v>5219658470260</v>
      </c>
      <c r="K1401" s="23">
        <f t="shared" si="523"/>
        <v>4658654023724.5</v>
      </c>
      <c r="L1401" s="23">
        <v>4319113180277</v>
      </c>
      <c r="M1401" s="23">
        <v>3361792157781</v>
      </c>
      <c r="N1401" s="23">
        <v>2879566997423</v>
      </c>
      <c r="O1401" s="25">
        <f t="shared" si="464"/>
        <v>1817482899219</v>
      </c>
      <c r="P1401" s="23">
        <v>-42089215119</v>
      </c>
      <c r="Q1401" s="23">
        <f>20805481640+209250376902</f>
        <v>230055858542</v>
      </c>
      <c r="R1401" s="25">
        <f t="shared" si="465"/>
        <v>2649511138881</v>
      </c>
      <c r="S1401" s="26">
        <f t="shared" si="466"/>
        <v>0.60824896588044108</v>
      </c>
      <c r="T1401" s="27">
        <f t="shared" si="467"/>
        <v>1.420800016891995</v>
      </c>
      <c r="U1401" s="26">
        <f t="shared" si="468"/>
        <v>29.780624086004799</v>
      </c>
      <c r="V1401" s="26">
        <f t="shared" si="469"/>
        <v>0.61811136494760432</v>
      </c>
      <c r="W1401" s="76"/>
      <c r="X1401" s="76"/>
      <c r="Y1401" s="76"/>
      <c r="Z1401" s="30">
        <f t="shared" si="521"/>
        <v>0</v>
      </c>
      <c r="AA1401" s="31">
        <f t="shared" si="470"/>
        <v>19</v>
      </c>
      <c r="AB1401" s="32">
        <v>3.2500000000000001E-2</v>
      </c>
      <c r="AC1401" s="32">
        <v>5.0500000000000003E-2</v>
      </c>
      <c r="AD1401" s="33">
        <f t="shared" si="499"/>
        <v>0.21179203586863735</v>
      </c>
      <c r="AE1401" s="34">
        <f t="shared" si="500"/>
        <v>-4.9046736901880023E-3</v>
      </c>
      <c r="AF1401" s="33">
        <f t="shared" si="501"/>
        <v>0.30874863163849942</v>
      </c>
      <c r="AG1401" s="33">
        <f t="shared" si="502"/>
        <v>0</v>
      </c>
      <c r="AH1401" s="35">
        <f t="shared" si="503"/>
        <v>0.55167728191985788</v>
      </c>
      <c r="AI1401" s="36">
        <f t="shared" si="476"/>
        <v>1.8178316662030074</v>
      </c>
      <c r="AJ1401" s="76"/>
      <c r="AK1401" s="158">
        <v>587</v>
      </c>
    </row>
    <row r="1402" spans="1:44" ht="16.8">
      <c r="A1402" s="70" t="s">
        <v>2849</v>
      </c>
      <c r="B1402" s="71">
        <v>540</v>
      </c>
      <c r="C1402" s="71" t="s">
        <v>2850</v>
      </c>
      <c r="D1402" s="19" t="s">
        <v>2851</v>
      </c>
      <c r="E1402" s="20" t="s">
        <v>414</v>
      </c>
      <c r="F1402" s="160">
        <v>1989</v>
      </c>
      <c r="G1402" s="40">
        <v>2021</v>
      </c>
      <c r="H1402" s="23">
        <v>570758520318</v>
      </c>
      <c r="I1402" s="23">
        <v>804712577571</v>
      </c>
      <c r="J1402" s="23">
        <v>162160606300</v>
      </c>
      <c r="K1402" s="23">
        <f>AVERAGE(J1402,162160606300)</f>
        <v>162160606300</v>
      </c>
      <c r="L1402" s="23">
        <v>160658218130</v>
      </c>
      <c r="M1402" s="23">
        <v>642551971271</v>
      </c>
      <c r="N1402" s="23">
        <v>185894780650</v>
      </c>
      <c r="O1402" s="25">
        <f t="shared" si="464"/>
        <v>410100302188</v>
      </c>
      <c r="P1402" s="23">
        <v>9449244223</v>
      </c>
      <c r="Q1402" s="23">
        <f>6103101298+24751061128</f>
        <v>30854162426</v>
      </c>
      <c r="R1402" s="25">
        <f t="shared" si="465"/>
        <v>155040618224</v>
      </c>
      <c r="S1402" s="26">
        <f t="shared" si="466"/>
        <v>0.20151369671576003</v>
      </c>
      <c r="T1402" s="27">
        <f t="shared" si="467"/>
        <v>3.552625735311957</v>
      </c>
      <c r="U1402" s="26">
        <f t="shared" si="468"/>
        <v>27.413751004113045</v>
      </c>
      <c r="V1402" s="26">
        <f t="shared" si="469"/>
        <v>1.1463621460941713</v>
      </c>
      <c r="W1402" s="143"/>
      <c r="X1402" s="143"/>
      <c r="Y1402" s="143"/>
      <c r="Z1402" s="30">
        <f t="shared" si="521"/>
        <v>0</v>
      </c>
      <c r="AA1402" s="31">
        <f t="shared" si="470"/>
        <v>32</v>
      </c>
      <c r="AB1402" s="32">
        <v>1.84E-2</v>
      </c>
      <c r="AC1402" s="32">
        <v>2.58E-2</v>
      </c>
      <c r="AD1402" s="33">
        <f t="shared" si="499"/>
        <v>0.50962332840114799</v>
      </c>
      <c r="AE1402" s="34">
        <f t="shared" si="500"/>
        <v>1.1742384158480846E-2</v>
      </c>
      <c r="AF1402" s="33">
        <f t="shared" si="501"/>
        <v>0.19266583193217299</v>
      </c>
      <c r="AG1402" s="33">
        <f t="shared" si="502"/>
        <v>0</v>
      </c>
      <c r="AH1402" s="35">
        <f t="shared" si="503"/>
        <v>1.1463621460941713</v>
      </c>
      <c r="AI1402" s="36">
        <f t="shared" si="476"/>
        <v>2.4101467233735931</v>
      </c>
      <c r="AJ1402" s="23"/>
      <c r="AK1402" s="158">
        <v>588</v>
      </c>
      <c r="AL1402" s="44"/>
      <c r="AM1402" s="44"/>
      <c r="AN1402" s="44"/>
      <c r="AO1402" s="44"/>
      <c r="AP1402" s="44"/>
      <c r="AQ1402" s="44"/>
      <c r="AR1402" s="44"/>
    </row>
    <row r="1403" spans="1:44" ht="16.8">
      <c r="A1403" s="74" t="s">
        <v>2852</v>
      </c>
      <c r="B1403" s="75"/>
      <c r="C1403" s="71" t="s">
        <v>2850</v>
      </c>
      <c r="D1403" s="19" t="s">
        <v>2851</v>
      </c>
      <c r="E1403" s="20" t="s">
        <v>414</v>
      </c>
      <c r="F1403" s="160">
        <v>1989</v>
      </c>
      <c r="G1403" s="40">
        <v>2022</v>
      </c>
      <c r="H1403" s="23">
        <v>61543502589</v>
      </c>
      <c r="I1403" s="23">
        <v>669322416683</v>
      </c>
      <c r="J1403" s="23">
        <v>223641558714</v>
      </c>
      <c r="K1403" s="23">
        <f>AVERAGE(J1402:J1404)</f>
        <v>184800767236</v>
      </c>
      <c r="L1403" s="23">
        <v>220956223954</v>
      </c>
      <c r="M1403" s="23">
        <v>445680857969</v>
      </c>
      <c r="N1403" s="23">
        <v>18771213545</v>
      </c>
      <c r="O1403" s="25">
        <f t="shared" si="464"/>
        <v>-159412721365</v>
      </c>
      <c r="P1403" s="23">
        <v>724785101</v>
      </c>
      <c r="Q1403" s="23">
        <v>13103723113</v>
      </c>
      <c r="R1403" s="25">
        <f t="shared" si="465"/>
        <v>5667490432</v>
      </c>
      <c r="S1403" s="26">
        <f t="shared" si="466"/>
        <v>0.33413128432529343</v>
      </c>
      <c r="T1403" s="27">
        <f t="shared" si="467"/>
        <v>0.2785325594712032</v>
      </c>
      <c r="U1403" s="26">
        <f t="shared" si="468"/>
        <v>27.229531719220361</v>
      </c>
      <c r="V1403" s="26">
        <f t="shared" si="469"/>
        <v>0.10157540915957455</v>
      </c>
      <c r="W1403" s="76"/>
      <c r="X1403" s="76"/>
      <c r="Y1403" s="76"/>
      <c r="Z1403" s="30">
        <f t="shared" si="521"/>
        <v>0</v>
      </c>
      <c r="AA1403" s="31">
        <f t="shared" si="470"/>
        <v>33</v>
      </c>
      <c r="AB1403" s="32">
        <v>3.15E-2</v>
      </c>
      <c r="AC1403" s="32">
        <v>8.0199999999999994E-2</v>
      </c>
      <c r="AD1403" s="33">
        <f t="shared" si="499"/>
        <v>-0.23817030087683436</v>
      </c>
      <c r="AE1403" s="34">
        <f t="shared" si="500"/>
        <v>1.0828639276596467E-3</v>
      </c>
      <c r="AF1403" s="33">
        <f t="shared" si="501"/>
        <v>8.4675042860311057E-3</v>
      </c>
      <c r="AG1403" s="33">
        <f t="shared" si="502"/>
        <v>0</v>
      </c>
      <c r="AH1403" s="35">
        <f t="shared" si="503"/>
        <v>8.3934370932395572E-2</v>
      </c>
      <c r="AI1403" s="36">
        <f t="shared" si="476"/>
        <v>-0.17241121647717944</v>
      </c>
      <c r="AJ1403" s="76"/>
      <c r="AK1403" s="158">
        <v>589</v>
      </c>
    </row>
    <row r="1404" spans="1:44" ht="16.8">
      <c r="A1404" s="74" t="s">
        <v>2853</v>
      </c>
      <c r="B1404" s="75"/>
      <c r="C1404" s="71" t="s">
        <v>2850</v>
      </c>
      <c r="D1404" s="19" t="s">
        <v>2851</v>
      </c>
      <c r="E1404" s="20" t="s">
        <v>414</v>
      </c>
      <c r="F1404" s="160">
        <v>1989</v>
      </c>
      <c r="G1404" s="40">
        <v>2023</v>
      </c>
      <c r="H1404" s="23">
        <v>60668062100</v>
      </c>
      <c r="I1404" s="23">
        <v>613556209562</v>
      </c>
      <c r="J1404" s="23">
        <v>168600136694</v>
      </c>
      <c r="K1404" s="23">
        <f>AVERAGE(J1403)</f>
        <v>223641558714</v>
      </c>
      <c r="L1404" s="23">
        <v>166891885174</v>
      </c>
      <c r="M1404" s="23">
        <v>444956072868</v>
      </c>
      <c r="N1404" s="23">
        <v>17217337262</v>
      </c>
      <c r="O1404" s="25">
        <f t="shared" si="464"/>
        <v>-106223823074</v>
      </c>
      <c r="P1404" s="23">
        <v>197595898403</v>
      </c>
      <c r="Q1404" s="23">
        <f>50495350+214035611481</f>
        <v>214086106831</v>
      </c>
      <c r="R1404" s="25">
        <f t="shared" si="465"/>
        <v>-196868769569</v>
      </c>
      <c r="S1404" s="26">
        <f t="shared" si="466"/>
        <v>0.27479167200403487</v>
      </c>
      <c r="T1404" s="27">
        <f t="shared" si="467"/>
        <v>0.36351714786340877</v>
      </c>
      <c r="U1404" s="26">
        <f t="shared" si="468"/>
        <v>27.142537718028372</v>
      </c>
      <c r="V1404" s="26">
        <f t="shared" si="469"/>
        <v>7.6986305054411119E-2</v>
      </c>
      <c r="W1404" s="76"/>
      <c r="X1404" s="76"/>
      <c r="Y1404" s="76"/>
      <c r="Z1404" s="30">
        <f t="shared" si="521"/>
        <v>0</v>
      </c>
      <c r="AA1404" s="31">
        <f t="shared" si="470"/>
        <v>34</v>
      </c>
      <c r="AB1404" s="32">
        <v>3.2500000000000001E-2</v>
      </c>
      <c r="AC1404" s="32">
        <v>5.0500000000000003E-2</v>
      </c>
      <c r="AD1404" s="33">
        <f t="shared" si="499"/>
        <v>-0.17312810369864909</v>
      </c>
      <c r="AE1404" s="34">
        <f t="shared" si="500"/>
        <v>0.32205019739602664</v>
      </c>
      <c r="AF1404" s="33">
        <f t="shared" si="501"/>
        <v>-0.32086509190337903</v>
      </c>
      <c r="AG1404" s="33">
        <f t="shared" si="502"/>
        <v>0</v>
      </c>
      <c r="AH1404" s="35">
        <f t="shared" si="503"/>
        <v>0.10211935529594808</v>
      </c>
      <c r="AI1404" s="36">
        <f t="shared" si="476"/>
        <v>-0.71361889606914419</v>
      </c>
      <c r="AJ1404" s="76"/>
      <c r="AK1404" s="158">
        <v>590</v>
      </c>
    </row>
    <row r="1405" spans="1:44" ht="16.8">
      <c r="A1405" s="70" t="s">
        <v>2854</v>
      </c>
      <c r="B1405" s="71">
        <v>541</v>
      </c>
      <c r="C1405" s="71" t="s">
        <v>2855</v>
      </c>
      <c r="D1405" s="19" t="s">
        <v>2856</v>
      </c>
      <c r="E1405" s="20" t="s">
        <v>414</v>
      </c>
      <c r="F1405" s="166">
        <v>2007</v>
      </c>
      <c r="G1405" s="40">
        <v>2021</v>
      </c>
      <c r="H1405" s="23">
        <v>3329699079073</v>
      </c>
      <c r="I1405" s="23">
        <v>5283977459862</v>
      </c>
      <c r="J1405" s="23">
        <v>1237397013551</v>
      </c>
      <c r="K1405" s="23">
        <f>AVERAGE(J1405,1284372254491)</f>
        <v>1260884634021</v>
      </c>
      <c r="L1405" s="23">
        <v>735410488216</v>
      </c>
      <c r="M1405" s="23">
        <v>4046580446311</v>
      </c>
      <c r="N1405" s="23">
        <v>1236894840351</v>
      </c>
      <c r="O1405" s="25">
        <f t="shared" si="464"/>
        <v>2594288590857</v>
      </c>
      <c r="P1405" s="23">
        <v>231471190675</v>
      </c>
      <c r="Q1405" s="23">
        <f>139368317397+151248465406</f>
        <v>290616782803</v>
      </c>
      <c r="R1405" s="25">
        <f t="shared" si="465"/>
        <v>946278057548</v>
      </c>
      <c r="S1405" s="26">
        <f t="shared" si="466"/>
        <v>0.23417908629445908</v>
      </c>
      <c r="T1405" s="27">
        <f t="shared" si="467"/>
        <v>4.5276741798316893</v>
      </c>
      <c r="U1405" s="26">
        <f t="shared" si="468"/>
        <v>29.295700236845615</v>
      </c>
      <c r="V1405" s="26">
        <f t="shared" si="469"/>
        <v>0.98097383930082815</v>
      </c>
      <c r="W1405" s="143"/>
      <c r="X1405" s="143"/>
      <c r="Y1405" s="143"/>
      <c r="Z1405" s="30">
        <f t="shared" si="521"/>
        <v>0</v>
      </c>
      <c r="AA1405" s="31">
        <f t="shared" si="470"/>
        <v>14</v>
      </c>
      <c r="AB1405" s="32">
        <v>1.84E-2</v>
      </c>
      <c r="AC1405" s="32">
        <v>2.58E-2</v>
      </c>
      <c r="AD1405" s="33">
        <f t="shared" si="499"/>
        <v>0.49097268309027842</v>
      </c>
      <c r="AE1405" s="34">
        <f t="shared" si="500"/>
        <v>4.3806241119174881E-2</v>
      </c>
      <c r="AF1405" s="33">
        <f t="shared" si="501"/>
        <v>0.17908442356843696</v>
      </c>
      <c r="AG1405" s="33">
        <f t="shared" si="502"/>
        <v>0</v>
      </c>
      <c r="AH1405" s="35">
        <f t="shared" si="503"/>
        <v>0.9995941697009928</v>
      </c>
      <c r="AI1405" s="36">
        <f t="shared" si="476"/>
        <v>2.2410687247520138</v>
      </c>
      <c r="AJ1405" s="23"/>
      <c r="AK1405" s="158">
        <v>591</v>
      </c>
      <c r="AL1405" s="44"/>
      <c r="AM1405" s="44"/>
      <c r="AN1405" s="44"/>
      <c r="AO1405" s="44"/>
      <c r="AP1405" s="44"/>
      <c r="AQ1405" s="44"/>
      <c r="AR1405" s="44"/>
    </row>
    <row r="1406" spans="1:44" ht="16.8">
      <c r="A1406" s="74" t="s">
        <v>2857</v>
      </c>
      <c r="B1406" s="75"/>
      <c r="C1406" s="71" t="s">
        <v>2855</v>
      </c>
      <c r="D1406" s="19" t="s">
        <v>2856</v>
      </c>
      <c r="E1406" s="20" t="s">
        <v>414</v>
      </c>
      <c r="F1406" s="166">
        <v>2007</v>
      </c>
      <c r="G1406" s="40">
        <v>2022</v>
      </c>
      <c r="H1406" s="23">
        <v>4691054841743</v>
      </c>
      <c r="I1406" s="23">
        <v>6997712255913</v>
      </c>
      <c r="J1406" s="23">
        <v>1133146634995</v>
      </c>
      <c r="K1406" s="23">
        <f>AVERAGE(J1407)</f>
        <v>1934612402068</v>
      </c>
      <c r="L1406" s="23">
        <v>953671059756</v>
      </c>
      <c r="M1406" s="23">
        <v>5864565620918</v>
      </c>
      <c r="N1406" s="23">
        <v>1952147705469</v>
      </c>
      <c r="O1406" s="25">
        <f t="shared" si="464"/>
        <v>3737383781987</v>
      </c>
      <c r="P1406" s="23">
        <v>71604402352</v>
      </c>
      <c r="Q1406" s="23">
        <f>220922946690+230772885147</f>
        <v>451695831837</v>
      </c>
      <c r="R1406" s="25">
        <f t="shared" si="465"/>
        <v>1500451873632</v>
      </c>
      <c r="S1406" s="26">
        <f t="shared" si="466"/>
        <v>0.16193101310181796</v>
      </c>
      <c r="T1406" s="27">
        <f t="shared" si="467"/>
        <v>4.9189443191693609</v>
      </c>
      <c r="U1406" s="26">
        <f t="shared" si="468"/>
        <v>29.576604390982517</v>
      </c>
      <c r="V1406" s="26">
        <f t="shared" si="469"/>
        <v>1.00906398789869</v>
      </c>
      <c r="W1406" s="76"/>
      <c r="X1406" s="76"/>
      <c r="Y1406" s="76"/>
      <c r="Z1406" s="30">
        <f t="shared" si="521"/>
        <v>0</v>
      </c>
      <c r="AA1406" s="31">
        <f t="shared" si="470"/>
        <v>15</v>
      </c>
      <c r="AB1406" s="32">
        <v>3.15E-2</v>
      </c>
      <c r="AC1406" s="32">
        <v>8.0199999999999994E-2</v>
      </c>
      <c r="AD1406" s="33">
        <f t="shared" si="499"/>
        <v>0.53408651932336115</v>
      </c>
      <c r="AE1406" s="34">
        <f t="shared" si="500"/>
        <v>1.023254454218162E-2</v>
      </c>
      <c r="AF1406" s="33">
        <f t="shared" si="501"/>
        <v>0.21442034464394166</v>
      </c>
      <c r="AG1406" s="33">
        <f t="shared" si="502"/>
        <v>0</v>
      </c>
      <c r="AH1406" s="35">
        <f t="shared" si="503"/>
        <v>1.7227670675451583</v>
      </c>
      <c r="AI1406" s="36">
        <f t="shared" si="476"/>
        <v>3.0855835904172535</v>
      </c>
      <c r="AJ1406" s="76"/>
      <c r="AK1406" s="158">
        <v>592</v>
      </c>
    </row>
    <row r="1407" spans="1:44" ht="16.8">
      <c r="A1407" s="70" t="s">
        <v>2858</v>
      </c>
      <c r="B1407" s="71"/>
      <c r="C1407" s="71" t="s">
        <v>2855</v>
      </c>
      <c r="D1407" s="19" t="s">
        <v>2856</v>
      </c>
      <c r="E1407" s="20" t="s">
        <v>414</v>
      </c>
      <c r="F1407" s="166">
        <v>2007</v>
      </c>
      <c r="G1407" s="40">
        <v>2023</v>
      </c>
      <c r="H1407" s="23">
        <v>5632480189826</v>
      </c>
      <c r="I1407" s="23">
        <v>7721553529302</v>
      </c>
      <c r="J1407" s="23">
        <v>1934612402068</v>
      </c>
      <c r="K1407" s="23">
        <f>AVERAGE(J1405:J1407)</f>
        <v>1435052016871.3333</v>
      </c>
      <c r="L1407" s="23">
        <v>1667519168741</v>
      </c>
      <c r="M1407" s="23">
        <v>5786941127234</v>
      </c>
      <c r="N1407" s="23">
        <v>1774922351603</v>
      </c>
      <c r="O1407" s="25">
        <f t="shared" si="464"/>
        <v>3964961021085</v>
      </c>
      <c r="P1407" s="23">
        <v>-77624493684</v>
      </c>
      <c r="Q1407" s="23">
        <f>128329960235+192636130792</f>
        <v>320966091027</v>
      </c>
      <c r="R1407" s="25">
        <f t="shared" si="465"/>
        <v>1453956260576</v>
      </c>
      <c r="S1407" s="26">
        <f t="shared" si="466"/>
        <v>0.25054704273258877</v>
      </c>
      <c r="T1407" s="27">
        <f t="shared" si="467"/>
        <v>3.3777603852545819</v>
      </c>
      <c r="U1407" s="26">
        <f t="shared" si="468"/>
        <v>29.675036694085858</v>
      </c>
      <c r="V1407" s="26">
        <f t="shared" si="469"/>
        <v>1.2368348538840035</v>
      </c>
      <c r="W1407" s="143"/>
      <c r="X1407" s="143"/>
      <c r="Y1407" s="143"/>
      <c r="Z1407" s="30">
        <f t="shared" si="521"/>
        <v>0</v>
      </c>
      <c r="AA1407" s="31">
        <f t="shared" si="470"/>
        <v>16</v>
      </c>
      <c r="AB1407" s="32">
        <v>3.2500000000000001E-2</v>
      </c>
      <c r="AC1407" s="32">
        <v>5.0500000000000003E-2</v>
      </c>
      <c r="AD1407" s="33">
        <f t="shared" si="499"/>
        <v>0.5134926548185722</v>
      </c>
      <c r="AE1407" s="34">
        <f t="shared" si="500"/>
        <v>-1.0052963226820623E-2</v>
      </c>
      <c r="AF1407" s="33">
        <f t="shared" si="501"/>
        <v>0.18829841107213463</v>
      </c>
      <c r="AG1407" s="33">
        <f t="shared" si="502"/>
        <v>0</v>
      </c>
      <c r="AH1407" s="35">
        <f t="shared" si="503"/>
        <v>0.91745630789180321</v>
      </c>
      <c r="AI1407" s="36">
        <f t="shared" si="476"/>
        <v>2.1409581016945851</v>
      </c>
      <c r="AJ1407" s="23"/>
      <c r="AK1407" s="158">
        <v>593</v>
      </c>
      <c r="AL1407" s="44"/>
      <c r="AM1407" s="44"/>
      <c r="AN1407" s="44"/>
      <c r="AO1407" s="44"/>
      <c r="AP1407" s="44"/>
      <c r="AQ1407" s="44"/>
      <c r="AR1407" s="44"/>
    </row>
    <row r="1408" spans="1:44" ht="16.8">
      <c r="A1408" s="145"/>
      <c r="B1408" s="145">
        <v>542</v>
      </c>
      <c r="C1408" s="145" t="s">
        <v>2859</v>
      </c>
      <c r="D1408" s="146" t="s">
        <v>2860</v>
      </c>
      <c r="E1408" s="147" t="s">
        <v>178</v>
      </c>
      <c r="F1408" s="148"/>
      <c r="G1408" s="148">
        <v>2021</v>
      </c>
      <c r="H1408" s="149"/>
      <c r="I1408" s="149"/>
      <c r="J1408" s="149"/>
      <c r="K1408" s="149"/>
      <c r="L1408" s="149"/>
      <c r="M1408" s="149"/>
      <c r="N1408" s="149"/>
      <c r="O1408" s="149">
        <f t="shared" si="464"/>
        <v>0</v>
      </c>
      <c r="P1408" s="149"/>
      <c r="Q1408" s="149"/>
      <c r="R1408" s="149">
        <f t="shared" si="465"/>
        <v>0</v>
      </c>
      <c r="S1408" s="150" t="e">
        <f t="shared" si="466"/>
        <v>#DIV/0!</v>
      </c>
      <c r="T1408" s="151" t="e">
        <f t="shared" si="467"/>
        <v>#DIV/0!</v>
      </c>
      <c r="U1408" s="150" t="e">
        <f t="shared" si="468"/>
        <v>#NUM!</v>
      </c>
      <c r="V1408" s="150" t="e">
        <f t="shared" si="469"/>
        <v>#DIV/0!</v>
      </c>
      <c r="W1408" s="152"/>
      <c r="X1408" s="152"/>
      <c r="Y1408" s="152"/>
      <c r="Z1408" s="153">
        <f>W1408*Y1408</f>
        <v>0</v>
      </c>
      <c r="AA1408" s="148">
        <f t="shared" si="470"/>
        <v>2021</v>
      </c>
      <c r="AB1408" s="149"/>
      <c r="AC1408" s="149"/>
      <c r="AD1408" s="150" t="e">
        <f t="shared" si="499"/>
        <v>#DIV/0!</v>
      </c>
      <c r="AE1408" s="154" t="e">
        <f t="shared" si="500"/>
        <v>#DIV/0!</v>
      </c>
      <c r="AF1408" s="150" t="e">
        <f t="shared" si="501"/>
        <v>#DIV/0!</v>
      </c>
      <c r="AG1408" s="150" t="e">
        <f t="shared" si="502"/>
        <v>#DIV/0!</v>
      </c>
      <c r="AH1408" s="155" t="e">
        <f t="shared" si="503"/>
        <v>#DIV/0!</v>
      </c>
      <c r="AI1408" s="156" t="e">
        <f t="shared" si="476"/>
        <v>#DIV/0!</v>
      </c>
      <c r="AJ1408" s="149"/>
      <c r="AK1408" s="149"/>
      <c r="AL1408" s="157"/>
      <c r="AM1408" s="157"/>
      <c r="AN1408" s="157"/>
      <c r="AO1408" s="157"/>
      <c r="AP1408" s="157"/>
      <c r="AQ1408" s="157"/>
      <c r="AR1408" s="157"/>
    </row>
    <row r="1409" spans="1:44" ht="16.8">
      <c r="A1409" s="70" t="s">
        <v>2861</v>
      </c>
      <c r="B1409" s="71">
        <v>543</v>
      </c>
      <c r="C1409" s="71" t="s">
        <v>2862</v>
      </c>
      <c r="D1409" s="19" t="s">
        <v>2863</v>
      </c>
      <c r="E1409" s="20" t="s">
        <v>414</v>
      </c>
      <c r="F1409" s="166">
        <v>1995</v>
      </c>
      <c r="G1409" s="40">
        <v>2021</v>
      </c>
      <c r="H1409" s="23">
        <v>1221006445462</v>
      </c>
      <c r="I1409" s="23">
        <v>1711161558903</v>
      </c>
      <c r="J1409" s="23">
        <v>630014419183</v>
      </c>
      <c r="K1409" s="23">
        <f>AVERAGE(,J1409,723028145089)</f>
        <v>451014188090.66669</v>
      </c>
      <c r="L1409" s="23">
        <v>619648166683</v>
      </c>
      <c r="M1409" s="23">
        <v>1081147139720</v>
      </c>
      <c r="N1409" s="23">
        <v>5204375249570</v>
      </c>
      <c r="O1409" s="25">
        <f t="shared" si="464"/>
        <v>601358278779</v>
      </c>
      <c r="P1409" s="23">
        <v>287089388147</v>
      </c>
      <c r="Q1409" s="23">
        <f>197034411564+67321304029</f>
        <v>264355715593</v>
      </c>
      <c r="R1409" s="25">
        <f t="shared" si="465"/>
        <v>4940019533977</v>
      </c>
      <c r="S1409" s="26">
        <f t="shared" si="466"/>
        <v>0.36817939013712581</v>
      </c>
      <c r="T1409" s="27">
        <f t="shared" si="467"/>
        <v>1.9704834309412929</v>
      </c>
      <c r="U1409" s="26">
        <f t="shared" si="468"/>
        <v>28.168193530053092</v>
      </c>
      <c r="V1409" s="26">
        <f t="shared" si="469"/>
        <v>11.539271683674334</v>
      </c>
      <c r="W1409" s="143"/>
      <c r="X1409" s="143"/>
      <c r="Y1409" s="143"/>
      <c r="Z1409" s="30">
        <f t="shared" ref="Z1409:Z1411" si="524">X1409*Y1409</f>
        <v>0</v>
      </c>
      <c r="AA1409" s="31">
        <f t="shared" si="470"/>
        <v>26</v>
      </c>
      <c r="AB1409" s="32">
        <v>1.84E-2</v>
      </c>
      <c r="AC1409" s="32">
        <v>2.58E-2</v>
      </c>
      <c r="AD1409" s="33">
        <f t="shared" si="499"/>
        <v>0.35143278882709461</v>
      </c>
      <c r="AE1409" s="34">
        <f t="shared" si="500"/>
        <v>0.16777456614385886</v>
      </c>
      <c r="AF1409" s="33">
        <f t="shared" si="501"/>
        <v>2.8869392888559116</v>
      </c>
      <c r="AG1409" s="33">
        <f t="shared" si="502"/>
        <v>0</v>
      </c>
      <c r="AH1409" s="35">
        <f t="shared" si="503"/>
        <v>8.2607240264738877</v>
      </c>
      <c r="AI1409" s="36">
        <f t="shared" si="476"/>
        <v>18.444227418892311</v>
      </c>
      <c r="AJ1409" s="23"/>
      <c r="AK1409" s="158">
        <v>594</v>
      </c>
      <c r="AL1409" s="44"/>
      <c r="AM1409" s="44"/>
      <c r="AN1409" s="44"/>
      <c r="AO1409" s="44"/>
      <c r="AP1409" s="44"/>
      <c r="AQ1409" s="44"/>
      <c r="AR1409" s="44"/>
    </row>
    <row r="1410" spans="1:44" ht="16.8">
      <c r="A1410" s="70" t="s">
        <v>2864</v>
      </c>
      <c r="B1410" s="71"/>
      <c r="C1410" s="71" t="s">
        <v>2862</v>
      </c>
      <c r="D1410" s="19" t="s">
        <v>2863</v>
      </c>
      <c r="E1410" s="20" t="s">
        <v>414</v>
      </c>
      <c r="F1410" s="166">
        <v>1995</v>
      </c>
      <c r="G1410" s="40">
        <v>2022</v>
      </c>
      <c r="H1410" s="23">
        <v>1876998079284</v>
      </c>
      <c r="I1410" s="23">
        <v>2988806966543</v>
      </c>
      <c r="J1410" s="23">
        <v>872745442329</v>
      </c>
      <c r="K1410" s="23">
        <f>AVERAGE(J1409:J1411)</f>
        <v>874934463556.33337</v>
      </c>
      <c r="L1410" s="23">
        <v>862554103579</v>
      </c>
      <c r="M1410" s="23">
        <v>2116061524214</v>
      </c>
      <c r="N1410" s="23">
        <v>5707202573088</v>
      </c>
      <c r="O1410" s="25">
        <f t="shared" si="464"/>
        <v>1014443975705</v>
      </c>
      <c r="P1410" s="23">
        <v>321017891395</v>
      </c>
      <c r="Q1410" s="23">
        <f>226193552007+92525769842</f>
        <v>318719321849</v>
      </c>
      <c r="R1410" s="25">
        <f t="shared" si="465"/>
        <v>5388483251239</v>
      </c>
      <c r="S1410" s="26">
        <f t="shared" si="466"/>
        <v>0.292004619936516</v>
      </c>
      <c r="T1410" s="27">
        <f t="shared" si="467"/>
        <v>2.1760931534564181</v>
      </c>
      <c r="U1410" s="26">
        <f t="shared" si="468"/>
        <v>28.725895415861181</v>
      </c>
      <c r="V1410" s="26">
        <f t="shared" si="469"/>
        <v>6.5230057916452582</v>
      </c>
      <c r="W1410" s="143"/>
      <c r="X1410" s="143"/>
      <c r="Y1410" s="143"/>
      <c r="Z1410" s="30">
        <f t="shared" si="524"/>
        <v>0</v>
      </c>
      <c r="AA1410" s="31">
        <f t="shared" si="470"/>
        <v>27</v>
      </c>
      <c r="AB1410" s="32">
        <v>3.15E-2</v>
      </c>
      <c r="AC1410" s="32">
        <v>8.0199999999999994E-2</v>
      </c>
      <c r="AD1410" s="33">
        <f t="shared" si="499"/>
        <v>0.33941435062912589</v>
      </c>
      <c r="AE1410" s="34">
        <f t="shared" si="500"/>
        <v>0.10740669939159871</v>
      </c>
      <c r="AF1410" s="33">
        <f t="shared" si="501"/>
        <v>1.8028876777785294</v>
      </c>
      <c r="AG1410" s="33">
        <f t="shared" si="502"/>
        <v>0</v>
      </c>
      <c r="AH1410" s="35">
        <f t="shared" si="503"/>
        <v>6.5393668030597958</v>
      </c>
      <c r="AI1410" s="36">
        <f t="shared" si="476"/>
        <v>13.046562739632133</v>
      </c>
      <c r="AJ1410" s="23"/>
      <c r="AK1410" s="158">
        <v>595</v>
      </c>
      <c r="AL1410" s="44"/>
      <c r="AM1410" s="44"/>
      <c r="AN1410" s="44"/>
      <c r="AO1410" s="44"/>
      <c r="AP1410" s="44"/>
      <c r="AQ1410" s="44"/>
      <c r="AR1410" s="44"/>
    </row>
    <row r="1411" spans="1:44" ht="16.8">
      <c r="A1411" s="70" t="s">
        <v>2865</v>
      </c>
      <c r="B1411" s="71"/>
      <c r="C1411" s="71" t="s">
        <v>2862</v>
      </c>
      <c r="D1411" s="19" t="s">
        <v>2863</v>
      </c>
      <c r="E1411" s="20" t="s">
        <v>414</v>
      </c>
      <c r="F1411" s="166">
        <v>1995</v>
      </c>
      <c r="G1411" s="40">
        <v>2023</v>
      </c>
      <c r="H1411" s="23">
        <v>2127050626036</v>
      </c>
      <c r="I1411" s="23">
        <v>3356184076994</v>
      </c>
      <c r="J1411" s="23">
        <v>1122043529157</v>
      </c>
      <c r="K1411" s="23">
        <f>AVERAGE(J1410)</f>
        <v>872745442329</v>
      </c>
      <c r="L1411" s="23">
        <v>1111721604907</v>
      </c>
      <c r="M1411" s="23">
        <v>2234140547837</v>
      </c>
      <c r="N1411" s="23">
        <v>5089081007694</v>
      </c>
      <c r="O1411" s="25">
        <f t="shared" si="464"/>
        <v>1015329021129</v>
      </c>
      <c r="P1411" s="23">
        <v>302336331166</v>
      </c>
      <c r="Q1411" s="23">
        <f>121784059524+78979856518</f>
        <v>200763916042</v>
      </c>
      <c r="R1411" s="25">
        <f t="shared" si="465"/>
        <v>4888317091652</v>
      </c>
      <c r="S1411" s="26">
        <f t="shared" si="466"/>
        <v>0.33432121225066103</v>
      </c>
      <c r="T1411" s="27">
        <f t="shared" si="467"/>
        <v>1.9132943145545296</v>
      </c>
      <c r="U1411" s="26">
        <f t="shared" si="468"/>
        <v>28.841825753146697</v>
      </c>
      <c r="V1411" s="26">
        <f t="shared" si="469"/>
        <v>5.8311172546640035</v>
      </c>
      <c r="W1411" s="143"/>
      <c r="X1411" s="143"/>
      <c r="Y1411" s="143"/>
      <c r="Z1411" s="30">
        <f t="shared" si="524"/>
        <v>0</v>
      </c>
      <c r="AA1411" s="31">
        <f t="shared" si="470"/>
        <v>28</v>
      </c>
      <c r="AB1411" s="32">
        <v>3.2500000000000001E-2</v>
      </c>
      <c r="AC1411" s="32">
        <v>5.0500000000000003E-2</v>
      </c>
      <c r="AD1411" s="33">
        <f t="shared" si="499"/>
        <v>0.30252483112856837</v>
      </c>
      <c r="AE1411" s="34">
        <f t="shared" si="500"/>
        <v>9.0083357834410141E-2</v>
      </c>
      <c r="AF1411" s="33">
        <f t="shared" si="501"/>
        <v>1.4565104235969888</v>
      </c>
      <c r="AG1411" s="33">
        <f t="shared" si="502"/>
        <v>0</v>
      </c>
      <c r="AH1411" s="35">
        <f t="shared" si="503"/>
        <v>4.5355468619987196</v>
      </c>
      <c r="AI1411" s="36">
        <f t="shared" si="476"/>
        <v>9.8311777581912381</v>
      </c>
      <c r="AJ1411" s="23"/>
      <c r="AK1411" s="158">
        <v>596</v>
      </c>
      <c r="AL1411" s="44"/>
      <c r="AM1411" s="44"/>
      <c r="AN1411" s="44"/>
      <c r="AO1411" s="44"/>
      <c r="AP1411" s="44"/>
      <c r="AQ1411" s="44"/>
      <c r="AR1411" s="44"/>
    </row>
    <row r="1412" spans="1:44" ht="16.8">
      <c r="A1412" s="145"/>
      <c r="B1412" s="145">
        <v>544</v>
      </c>
      <c r="C1412" s="145" t="s">
        <v>2866</v>
      </c>
      <c r="D1412" s="146" t="s">
        <v>2867</v>
      </c>
      <c r="E1412" s="147" t="s">
        <v>1371</v>
      </c>
      <c r="F1412" s="148"/>
      <c r="G1412" s="148">
        <v>2021</v>
      </c>
      <c r="H1412" s="149"/>
      <c r="I1412" s="149"/>
      <c r="J1412" s="149"/>
      <c r="K1412" s="149"/>
      <c r="L1412" s="149"/>
      <c r="M1412" s="149"/>
      <c r="N1412" s="149"/>
      <c r="O1412" s="149">
        <f t="shared" si="464"/>
        <v>0</v>
      </c>
      <c r="P1412" s="149"/>
      <c r="Q1412" s="149"/>
      <c r="R1412" s="149">
        <f t="shared" si="465"/>
        <v>0</v>
      </c>
      <c r="S1412" s="150" t="e">
        <f t="shared" si="466"/>
        <v>#DIV/0!</v>
      </c>
      <c r="T1412" s="151" t="e">
        <f t="shared" si="467"/>
        <v>#DIV/0!</v>
      </c>
      <c r="U1412" s="150" t="e">
        <f t="shared" si="468"/>
        <v>#NUM!</v>
      </c>
      <c r="V1412" s="150" t="e">
        <f t="shared" si="469"/>
        <v>#DIV/0!</v>
      </c>
      <c r="W1412" s="152"/>
      <c r="X1412" s="152"/>
      <c r="Y1412" s="152"/>
      <c r="Z1412" s="153">
        <f>W1412*Y1412</f>
        <v>0</v>
      </c>
      <c r="AA1412" s="148">
        <f t="shared" si="470"/>
        <v>2021</v>
      </c>
      <c r="AB1412" s="149"/>
      <c r="AC1412" s="149"/>
      <c r="AD1412" s="150" t="e">
        <f t="shared" si="499"/>
        <v>#DIV/0!</v>
      </c>
      <c r="AE1412" s="154" t="e">
        <f t="shared" si="500"/>
        <v>#DIV/0!</v>
      </c>
      <c r="AF1412" s="150" t="e">
        <f t="shared" si="501"/>
        <v>#DIV/0!</v>
      </c>
      <c r="AG1412" s="150" t="e">
        <f t="shared" si="502"/>
        <v>#DIV/0!</v>
      </c>
      <c r="AH1412" s="155" t="e">
        <f t="shared" si="503"/>
        <v>#DIV/0!</v>
      </c>
      <c r="AI1412" s="156" t="e">
        <f t="shared" si="476"/>
        <v>#DIV/0!</v>
      </c>
      <c r="AJ1412" s="149"/>
      <c r="AK1412" s="149"/>
      <c r="AL1412" s="157"/>
      <c r="AM1412" s="157"/>
      <c r="AN1412" s="157"/>
      <c r="AO1412" s="157"/>
      <c r="AP1412" s="157"/>
      <c r="AQ1412" s="157"/>
      <c r="AR1412" s="157"/>
    </row>
    <row r="1413" spans="1:44" ht="16.8">
      <c r="A1413" s="70" t="s">
        <v>2868</v>
      </c>
      <c r="B1413" s="71">
        <v>545</v>
      </c>
      <c r="C1413" s="71" t="s">
        <v>2869</v>
      </c>
      <c r="D1413" s="19" t="s">
        <v>2870</v>
      </c>
      <c r="E1413" s="20" t="s">
        <v>414</v>
      </c>
      <c r="F1413" s="21">
        <v>1988</v>
      </c>
      <c r="G1413" s="40">
        <v>2021</v>
      </c>
      <c r="H1413" s="23">
        <v>25265933056476</v>
      </c>
      <c r="I1413" s="23">
        <v>53697940895875</v>
      </c>
      <c r="J1413" s="23">
        <v>23128655834466</v>
      </c>
      <c r="K1413" s="23">
        <f>AVERAGE(J1413,32279955665838)</f>
        <v>27704305750152</v>
      </c>
      <c r="L1413" s="23">
        <v>22364710509820</v>
      </c>
      <c r="M1413" s="23">
        <v>21417985230037</v>
      </c>
      <c r="N1413" s="23">
        <v>35671052233610</v>
      </c>
      <c r="O1413" s="25">
        <f t="shared" si="464"/>
        <v>2901222546656</v>
      </c>
      <c r="P1413" s="23">
        <v>5349301099496</v>
      </c>
      <c r="Q1413" s="23">
        <f>3604610784981+4612325935574</f>
        <v>8216936720555</v>
      </c>
      <c r="R1413" s="25">
        <f t="shared" si="465"/>
        <v>27454115513055</v>
      </c>
      <c r="S1413" s="26">
        <f t="shared" si="466"/>
        <v>0.43071774166004773</v>
      </c>
      <c r="T1413" s="27">
        <f t="shared" si="467"/>
        <v>1.1297232327412474</v>
      </c>
      <c r="U1413" s="26">
        <f t="shared" si="468"/>
        <v>31.614395772124862</v>
      </c>
      <c r="V1413" s="26">
        <f t="shared" si="469"/>
        <v>1.2875634767860693</v>
      </c>
      <c r="W1413" s="143"/>
      <c r="X1413" s="143"/>
      <c r="Y1413" s="143"/>
      <c r="Z1413" s="30">
        <f t="shared" ref="Z1413:Z1418" si="525">X1413*Y1413</f>
        <v>0</v>
      </c>
      <c r="AA1413" s="31">
        <f t="shared" si="470"/>
        <v>33</v>
      </c>
      <c r="AB1413" s="32">
        <v>1.84E-2</v>
      </c>
      <c r="AC1413" s="32">
        <v>2.58E-2</v>
      </c>
      <c r="AD1413" s="33">
        <f t="shared" si="499"/>
        <v>5.4028562329451774E-2</v>
      </c>
      <c r="AE1413" s="34">
        <f t="shared" si="500"/>
        <v>9.961836543916576E-2</v>
      </c>
      <c r="AF1413" s="33">
        <f t="shared" si="501"/>
        <v>0.51126942774753559</v>
      </c>
      <c r="AG1413" s="33">
        <f t="shared" si="502"/>
        <v>0</v>
      </c>
      <c r="AH1413" s="35">
        <f t="shared" si="503"/>
        <v>1.542288167929478</v>
      </c>
      <c r="AI1413" s="36">
        <f t="shared" si="476"/>
        <v>3.4337772659065195</v>
      </c>
      <c r="AJ1413" s="23"/>
      <c r="AK1413" s="158">
        <v>597</v>
      </c>
      <c r="AL1413" s="44"/>
      <c r="AM1413" s="44"/>
      <c r="AN1413" s="44"/>
      <c r="AO1413" s="44"/>
      <c r="AP1413" s="44"/>
      <c r="AQ1413" s="44"/>
      <c r="AR1413" s="44"/>
    </row>
    <row r="1414" spans="1:44" ht="16.8">
      <c r="A1414" s="74" t="s">
        <v>2868</v>
      </c>
      <c r="B1414" s="75"/>
      <c r="C1414" s="71" t="s">
        <v>2869</v>
      </c>
      <c r="D1414" s="19" t="s">
        <v>2870</v>
      </c>
      <c r="E1414" s="20" t="s">
        <v>414</v>
      </c>
      <c r="F1414" s="21">
        <v>1988</v>
      </c>
      <c r="G1414" s="40">
        <v>2022</v>
      </c>
      <c r="H1414" s="23">
        <v>30937711076141</v>
      </c>
      <c r="I1414" s="23">
        <v>51650403735130</v>
      </c>
      <c r="J1414" s="23">
        <v>26294279047318</v>
      </c>
      <c r="K1414" s="23">
        <f>AVERAGE(J1414)</f>
        <v>26294279047318</v>
      </c>
      <c r="L1414" s="23">
        <v>24521161696202</v>
      </c>
      <c r="M1414" s="23">
        <v>25356124687812</v>
      </c>
      <c r="N1414" s="23">
        <v>44023010881275</v>
      </c>
      <c r="O1414" s="25">
        <f t="shared" si="464"/>
        <v>6416549379939</v>
      </c>
      <c r="P1414" s="23">
        <v>6491343454469</v>
      </c>
      <c r="Q1414" s="23">
        <f>4526440691815+5846280653514</f>
        <v>10372721345329</v>
      </c>
      <c r="R1414" s="25">
        <f t="shared" si="465"/>
        <v>33650289535946</v>
      </c>
      <c r="S1414" s="26">
        <f t="shared" si="466"/>
        <v>0.50908177179327563</v>
      </c>
      <c r="T1414" s="27">
        <f t="shared" si="467"/>
        <v>1.2616739557217975</v>
      </c>
      <c r="U1414" s="26">
        <f t="shared" si="468"/>
        <v>31.5755191282135</v>
      </c>
      <c r="V1414" s="26">
        <f t="shared" si="469"/>
        <v>1.6742429333032167</v>
      </c>
      <c r="W1414" s="76"/>
      <c r="X1414" s="76"/>
      <c r="Y1414" s="76"/>
      <c r="Z1414" s="30">
        <f t="shared" si="525"/>
        <v>0</v>
      </c>
      <c r="AA1414" s="31">
        <f t="shared" si="470"/>
        <v>34</v>
      </c>
      <c r="AB1414" s="32">
        <v>3.15E-2</v>
      </c>
      <c r="AC1414" s="32">
        <v>8.0199999999999994E-2</v>
      </c>
      <c r="AD1414" s="33">
        <f t="shared" si="499"/>
        <v>0.12423038187356485</v>
      </c>
      <c r="AE1414" s="34">
        <f t="shared" si="500"/>
        <v>0.12567846493044768</v>
      </c>
      <c r="AF1414" s="33">
        <f t="shared" si="501"/>
        <v>0.65150099713661613</v>
      </c>
      <c r="AG1414" s="33">
        <f t="shared" si="502"/>
        <v>0</v>
      </c>
      <c r="AH1414" s="35">
        <f t="shared" si="503"/>
        <v>1.6742429333032167</v>
      </c>
      <c r="AI1414" s="36">
        <f t="shared" si="476"/>
        <v>4.1492225330049548</v>
      </c>
      <c r="AJ1414" s="76"/>
      <c r="AK1414" s="158">
        <v>598</v>
      </c>
    </row>
    <row r="1415" spans="1:44" ht="16.8">
      <c r="A1415" s="74" t="s">
        <v>2871</v>
      </c>
      <c r="B1415" s="75"/>
      <c r="C1415" s="71" t="s">
        <v>2869</v>
      </c>
      <c r="D1415" s="19" t="s">
        <v>2870</v>
      </c>
      <c r="E1415" s="20" t="s">
        <v>414</v>
      </c>
      <c r="F1415" s="21">
        <v>1988</v>
      </c>
      <c r="G1415" s="40">
        <v>2023</v>
      </c>
      <c r="H1415" s="23">
        <v>36705751751876</v>
      </c>
      <c r="I1415" s="23">
        <v>60282827532899</v>
      </c>
      <c r="J1415" s="23">
        <v>30349816316666</v>
      </c>
      <c r="K1415" s="23">
        <f>AVERAGE(J1413:J1415)</f>
        <v>26590917066150</v>
      </c>
      <c r="L1415" s="23">
        <v>29651673556227</v>
      </c>
      <c r="M1415" s="23">
        <v>29933011216233</v>
      </c>
      <c r="N1415" s="23">
        <v>52625174861333</v>
      </c>
      <c r="O1415" s="25">
        <f t="shared" si="464"/>
        <v>7054078195649</v>
      </c>
      <c r="P1415" s="23">
        <v>7788049739616</v>
      </c>
      <c r="Q1415" s="23">
        <f>5242551906960+6625373638359</f>
        <v>11867925545319</v>
      </c>
      <c r="R1415" s="25">
        <f t="shared" si="465"/>
        <v>40757249316014</v>
      </c>
      <c r="S1415" s="26">
        <f t="shared" si="466"/>
        <v>0.50345707988071342</v>
      </c>
      <c r="T1415" s="27">
        <f t="shared" si="467"/>
        <v>1.2378981470395829</v>
      </c>
      <c r="U1415" s="26">
        <f t="shared" si="468"/>
        <v>31.730068395237375</v>
      </c>
      <c r="V1415" s="26">
        <f t="shared" si="469"/>
        <v>1.9790658114730604</v>
      </c>
      <c r="W1415" s="76"/>
      <c r="X1415" s="76"/>
      <c r="Y1415" s="76"/>
      <c r="Z1415" s="30">
        <f t="shared" si="525"/>
        <v>0</v>
      </c>
      <c r="AA1415" s="31">
        <f t="shared" si="470"/>
        <v>35</v>
      </c>
      <c r="AB1415" s="32">
        <v>3.2500000000000001E-2</v>
      </c>
      <c r="AC1415" s="32">
        <v>5.0500000000000003E-2</v>
      </c>
      <c r="AD1415" s="33">
        <f t="shared" si="499"/>
        <v>0.11701637903098155</v>
      </c>
      <c r="AE1415" s="34">
        <f t="shared" si="500"/>
        <v>0.1291918454781458</v>
      </c>
      <c r="AF1415" s="33">
        <f t="shared" si="501"/>
        <v>0.67610049136747885</v>
      </c>
      <c r="AG1415" s="33">
        <f t="shared" si="502"/>
        <v>0</v>
      </c>
      <c r="AH1415" s="35">
        <f t="shared" si="503"/>
        <v>1.7339536527090917</v>
      </c>
      <c r="AI1415" s="36">
        <f t="shared" si="476"/>
        <v>4.2863735127283533</v>
      </c>
      <c r="AJ1415" s="76"/>
      <c r="AK1415" s="158">
        <v>599</v>
      </c>
    </row>
    <row r="1416" spans="1:44" ht="16.8">
      <c r="A1416" s="70" t="s">
        <v>2872</v>
      </c>
      <c r="B1416" s="71">
        <v>546</v>
      </c>
      <c r="C1416" s="71" t="s">
        <v>2873</v>
      </c>
      <c r="D1416" s="19" t="s">
        <v>2874</v>
      </c>
      <c r="E1416" s="20" t="s">
        <v>414</v>
      </c>
      <c r="F1416" s="170">
        <v>2012</v>
      </c>
      <c r="G1416" s="40">
        <v>2021</v>
      </c>
      <c r="H1416" s="23">
        <v>10221931678747</v>
      </c>
      <c r="I1416" s="23">
        <v>10786068729507</v>
      </c>
      <c r="J1416" s="23">
        <v>9106794490746</v>
      </c>
      <c r="K1416" s="23">
        <f>AVERAGE(J1416,9106794490746)</f>
        <v>9106794490746</v>
      </c>
      <c r="L1416" s="23">
        <v>9106707790746</v>
      </c>
      <c r="M1416" s="23">
        <v>1225129904764</v>
      </c>
      <c r="N1416" s="23">
        <v>22619505421050</v>
      </c>
      <c r="O1416" s="25">
        <f t="shared" si="464"/>
        <v>1115223888001</v>
      </c>
      <c r="P1416" s="23">
        <v>443898346428</v>
      </c>
      <c r="Q1416" s="23">
        <f>2071124789339+585528444388</f>
        <v>2656653233727</v>
      </c>
      <c r="R1416" s="25">
        <f t="shared" si="465"/>
        <v>19962852187323</v>
      </c>
      <c r="S1416" s="26">
        <f t="shared" si="466"/>
        <v>0.84431081602817171</v>
      </c>
      <c r="T1416" s="27">
        <f t="shared" si="467"/>
        <v>1.1224618065745189</v>
      </c>
      <c r="U1416" s="26">
        <f t="shared" si="468"/>
        <v>30.009276484926655</v>
      </c>
      <c r="V1416" s="26">
        <f t="shared" si="469"/>
        <v>2.4838054096899995</v>
      </c>
      <c r="W1416" s="143"/>
      <c r="X1416" s="143"/>
      <c r="Y1416" s="143"/>
      <c r="Z1416" s="30">
        <f t="shared" si="525"/>
        <v>0</v>
      </c>
      <c r="AA1416" s="31">
        <f t="shared" si="470"/>
        <v>9</v>
      </c>
      <c r="AB1416" s="32">
        <v>1.84E-2</v>
      </c>
      <c r="AC1416" s="32">
        <v>2.58E-2</v>
      </c>
      <c r="AD1416" s="33">
        <f t="shared" si="499"/>
        <v>0.10339484347528106</v>
      </c>
      <c r="AE1416" s="34">
        <f t="shared" si="500"/>
        <v>4.115478563692495E-2</v>
      </c>
      <c r="AF1416" s="33">
        <f t="shared" si="501"/>
        <v>1.8507996460945455</v>
      </c>
      <c r="AG1416" s="33">
        <f t="shared" si="502"/>
        <v>0</v>
      </c>
      <c r="AH1416" s="35">
        <f t="shared" si="503"/>
        <v>2.4838054096899995</v>
      </c>
      <c r="AI1416" s="36">
        <f t="shared" si="476"/>
        <v>8.7731347538640314</v>
      </c>
      <c r="AJ1416" s="23"/>
      <c r="AK1416" s="158">
        <v>600</v>
      </c>
      <c r="AL1416" s="44"/>
      <c r="AM1416" s="44"/>
      <c r="AN1416" s="44"/>
      <c r="AO1416" s="44"/>
      <c r="AP1416" s="44"/>
      <c r="AQ1416" s="44"/>
      <c r="AR1416" s="44"/>
    </row>
    <row r="1417" spans="1:44" ht="16.8">
      <c r="A1417" s="74" t="s">
        <v>2875</v>
      </c>
      <c r="B1417" s="75"/>
      <c r="C1417" s="71" t="s">
        <v>2873</v>
      </c>
      <c r="D1417" s="19" t="s">
        <v>2874</v>
      </c>
      <c r="E1417" s="20" t="s">
        <v>414</v>
      </c>
      <c r="F1417" s="170">
        <v>2012</v>
      </c>
      <c r="G1417" s="40">
        <v>2022</v>
      </c>
      <c r="H1417" s="23">
        <v>9326797408285</v>
      </c>
      <c r="I1417" s="23">
        <v>10523796935046</v>
      </c>
      <c r="J1417" s="23">
        <v>8474461394877</v>
      </c>
      <c r="K1417" s="23">
        <f t="shared" ref="K1417:K1418" si="526">AVERAGE(J1416:J1417)</f>
        <v>8790627942811.5</v>
      </c>
      <c r="L1417" s="23">
        <v>8474374694877</v>
      </c>
      <c r="M1417" s="23">
        <v>2049335540169</v>
      </c>
      <c r="N1417" s="23">
        <v>30276710796279</v>
      </c>
      <c r="O1417" s="25">
        <f t="shared" si="464"/>
        <v>852422713408</v>
      </c>
      <c r="P1417" s="23">
        <v>398074197408</v>
      </c>
      <c r="Q1417" s="23">
        <f>3259297597681+887338884656</f>
        <v>4146636482337</v>
      </c>
      <c r="R1417" s="25">
        <f t="shared" si="465"/>
        <v>26130074313942</v>
      </c>
      <c r="S1417" s="26">
        <f t="shared" si="466"/>
        <v>0.80526652568291479</v>
      </c>
      <c r="T1417" s="27">
        <f t="shared" si="467"/>
        <v>1.1005882727752543</v>
      </c>
      <c r="U1417" s="26">
        <f t="shared" si="468"/>
        <v>29.984660183504815</v>
      </c>
      <c r="V1417" s="26">
        <f t="shared" si="469"/>
        <v>3.4442034167806699</v>
      </c>
      <c r="W1417" s="76"/>
      <c r="X1417" s="76"/>
      <c r="Y1417" s="76"/>
      <c r="Z1417" s="30">
        <f t="shared" si="525"/>
        <v>0</v>
      </c>
      <c r="AA1417" s="31">
        <f t="shared" si="470"/>
        <v>10</v>
      </c>
      <c r="AB1417" s="32">
        <v>3.15E-2</v>
      </c>
      <c r="AC1417" s="32">
        <v>8.0199999999999994E-2</v>
      </c>
      <c r="AD1417" s="33">
        <f t="shared" si="499"/>
        <v>8.0999540248566565E-2</v>
      </c>
      <c r="AE1417" s="34">
        <f t="shared" si="500"/>
        <v>3.7826100205558558E-2</v>
      </c>
      <c r="AF1417" s="33">
        <f t="shared" si="501"/>
        <v>2.4829512081256997</v>
      </c>
      <c r="AG1417" s="33">
        <f t="shared" si="502"/>
        <v>0</v>
      </c>
      <c r="AH1417" s="35">
        <f t="shared" si="503"/>
        <v>3.5727003033587414</v>
      </c>
      <c r="AI1417" s="36">
        <f t="shared" si="476"/>
        <v>11.916595278759614</v>
      </c>
      <c r="AJ1417" s="76"/>
      <c r="AK1417" s="158">
        <v>601</v>
      </c>
    </row>
    <row r="1418" spans="1:44" ht="16.8">
      <c r="A1418" s="70" t="s">
        <v>2876</v>
      </c>
      <c r="B1418" s="71"/>
      <c r="C1418" s="71" t="s">
        <v>2873</v>
      </c>
      <c r="D1418" s="19" t="s">
        <v>2874</v>
      </c>
      <c r="E1418" s="20" t="s">
        <v>414</v>
      </c>
      <c r="F1418" s="170">
        <v>2012</v>
      </c>
      <c r="G1418" s="40">
        <v>2023</v>
      </c>
      <c r="H1418" s="23">
        <v>13098449902604</v>
      </c>
      <c r="I1418" s="23">
        <v>11415308018413</v>
      </c>
      <c r="J1418" s="23">
        <v>11379279324447</v>
      </c>
      <c r="K1418" s="23">
        <f t="shared" si="526"/>
        <v>9926870359662</v>
      </c>
      <c r="L1418" s="23">
        <v>11378723422861</v>
      </c>
      <c r="M1418" s="23">
        <v>1719170578157</v>
      </c>
      <c r="N1418" s="23">
        <v>31975613596365</v>
      </c>
      <c r="O1418" s="25">
        <f t="shared" si="464"/>
        <v>1719726479743</v>
      </c>
      <c r="P1418" s="23">
        <v>-329196524512</v>
      </c>
      <c r="Q1418" s="23">
        <f>4169668799072+1076478805719</f>
        <v>5246147604791</v>
      </c>
      <c r="R1418" s="25">
        <f t="shared" si="465"/>
        <v>26729465991574</v>
      </c>
      <c r="S1418" s="26">
        <f t="shared" si="466"/>
        <v>0.99684382638577207</v>
      </c>
      <c r="T1418" s="27">
        <f t="shared" si="467"/>
        <v>1.1511352737766607</v>
      </c>
      <c r="U1418" s="26">
        <f t="shared" si="468"/>
        <v>30.065976379200482</v>
      </c>
      <c r="V1418" s="26">
        <f t="shared" si="469"/>
        <v>3.2211172744129337</v>
      </c>
      <c r="W1418" s="143"/>
      <c r="X1418" s="143"/>
      <c r="Y1418" s="143"/>
      <c r="Z1418" s="30">
        <f t="shared" si="525"/>
        <v>0</v>
      </c>
      <c r="AA1418" s="31">
        <f t="shared" si="470"/>
        <v>11</v>
      </c>
      <c r="AB1418" s="32">
        <v>3.2500000000000001E-2</v>
      </c>
      <c r="AC1418" s="32">
        <v>5.0500000000000003E-2</v>
      </c>
      <c r="AD1418" s="33">
        <f t="shared" si="499"/>
        <v>0.15065090464217565</v>
      </c>
      <c r="AE1418" s="34">
        <f t="shared" si="500"/>
        <v>-2.8838163979544213E-2</v>
      </c>
      <c r="AF1418" s="33">
        <f t="shared" si="501"/>
        <v>2.341545751411974</v>
      </c>
      <c r="AG1418" s="33">
        <f t="shared" si="502"/>
        <v>0</v>
      </c>
      <c r="AH1418" s="35">
        <f t="shared" si="503"/>
        <v>2.8099858246443845</v>
      </c>
      <c r="AI1418" s="36">
        <f t="shared" si="476"/>
        <v>10.677494460303146</v>
      </c>
      <c r="AJ1418" s="23"/>
      <c r="AK1418" s="158">
        <v>602</v>
      </c>
      <c r="AL1418" s="44"/>
      <c r="AM1418" s="44"/>
      <c r="AN1418" s="44"/>
      <c r="AO1418" s="44"/>
      <c r="AP1418" s="44"/>
      <c r="AQ1418" s="44"/>
      <c r="AR1418" s="44"/>
    </row>
    <row r="1419" spans="1:44" ht="16.8">
      <c r="A1419" s="171" t="s">
        <v>2877</v>
      </c>
      <c r="B1419" s="145">
        <v>547</v>
      </c>
      <c r="C1419" s="145" t="s">
        <v>2878</v>
      </c>
      <c r="D1419" s="146" t="s">
        <v>2879</v>
      </c>
      <c r="E1419" s="147" t="s">
        <v>178</v>
      </c>
      <c r="F1419" s="148"/>
      <c r="G1419" s="148">
        <v>2021</v>
      </c>
      <c r="H1419" s="149"/>
      <c r="I1419" s="149"/>
      <c r="J1419" s="149"/>
      <c r="K1419" s="149"/>
      <c r="L1419" s="149"/>
      <c r="M1419" s="149"/>
      <c r="N1419" s="149"/>
      <c r="O1419" s="149">
        <f t="shared" si="464"/>
        <v>0</v>
      </c>
      <c r="P1419" s="149"/>
      <c r="Q1419" s="149"/>
      <c r="R1419" s="149">
        <f t="shared" si="465"/>
        <v>0</v>
      </c>
      <c r="S1419" s="150" t="e">
        <f t="shared" si="466"/>
        <v>#DIV/0!</v>
      </c>
      <c r="T1419" s="151" t="e">
        <f t="shared" si="467"/>
        <v>#DIV/0!</v>
      </c>
      <c r="U1419" s="150" t="e">
        <f t="shared" si="468"/>
        <v>#NUM!</v>
      </c>
      <c r="V1419" s="150" t="e">
        <f t="shared" si="469"/>
        <v>#DIV/0!</v>
      </c>
      <c r="W1419" s="152"/>
      <c r="X1419" s="152"/>
      <c r="Y1419" s="152"/>
      <c r="Z1419" s="153">
        <f>W1419*Y1419</f>
        <v>0</v>
      </c>
      <c r="AA1419" s="148">
        <f t="shared" si="470"/>
        <v>2021</v>
      </c>
      <c r="AB1419" s="149"/>
      <c r="AC1419" s="149"/>
      <c r="AD1419" s="150" t="e">
        <f t="shared" si="499"/>
        <v>#DIV/0!</v>
      </c>
      <c r="AE1419" s="154" t="e">
        <f t="shared" si="500"/>
        <v>#DIV/0!</v>
      </c>
      <c r="AF1419" s="150" t="e">
        <f t="shared" si="501"/>
        <v>#DIV/0!</v>
      </c>
      <c r="AG1419" s="150" t="e">
        <f t="shared" si="502"/>
        <v>#DIV/0!</v>
      </c>
      <c r="AH1419" s="155" t="e">
        <f t="shared" si="503"/>
        <v>#DIV/0!</v>
      </c>
      <c r="AI1419" s="156" t="e">
        <f t="shared" si="476"/>
        <v>#DIV/0!</v>
      </c>
      <c r="AJ1419" s="149"/>
      <c r="AK1419" s="149"/>
      <c r="AL1419" s="157"/>
      <c r="AM1419" s="157"/>
      <c r="AN1419" s="157"/>
      <c r="AO1419" s="157"/>
      <c r="AP1419" s="157"/>
      <c r="AQ1419" s="157"/>
      <c r="AR1419" s="157"/>
    </row>
    <row r="1420" spans="1:44" ht="16.8">
      <c r="A1420" s="171" t="s">
        <v>2880</v>
      </c>
      <c r="B1420" s="145"/>
      <c r="C1420" s="145" t="s">
        <v>2878</v>
      </c>
      <c r="D1420" s="146" t="s">
        <v>2879</v>
      </c>
      <c r="E1420" s="147" t="s">
        <v>178</v>
      </c>
      <c r="F1420" s="148"/>
      <c r="G1420" s="148">
        <v>2022</v>
      </c>
      <c r="H1420" s="149"/>
      <c r="I1420" s="149"/>
      <c r="J1420" s="149"/>
      <c r="K1420" s="149"/>
      <c r="L1420" s="149"/>
      <c r="M1420" s="149"/>
      <c r="N1420" s="149"/>
      <c r="O1420" s="149">
        <f t="shared" si="464"/>
        <v>0</v>
      </c>
      <c r="P1420" s="149"/>
      <c r="Q1420" s="149"/>
      <c r="R1420" s="149">
        <f t="shared" si="465"/>
        <v>0</v>
      </c>
      <c r="S1420" s="150" t="e">
        <f t="shared" si="466"/>
        <v>#DIV/0!</v>
      </c>
      <c r="T1420" s="151" t="e">
        <f t="shared" si="467"/>
        <v>#DIV/0!</v>
      </c>
      <c r="U1420" s="150" t="e">
        <f t="shared" si="468"/>
        <v>#NUM!</v>
      </c>
      <c r="V1420" s="150" t="e">
        <f t="shared" si="469"/>
        <v>#DIV/0!</v>
      </c>
      <c r="W1420" s="152"/>
      <c r="X1420" s="152"/>
      <c r="Y1420" s="152"/>
      <c r="Z1420" s="153"/>
      <c r="AA1420" s="148"/>
      <c r="AB1420" s="149"/>
      <c r="AC1420" s="149"/>
      <c r="AD1420" s="150" t="e">
        <f t="shared" si="499"/>
        <v>#DIV/0!</v>
      </c>
      <c r="AE1420" s="154" t="e">
        <f t="shared" si="500"/>
        <v>#DIV/0!</v>
      </c>
      <c r="AF1420" s="150" t="e">
        <f t="shared" si="501"/>
        <v>#DIV/0!</v>
      </c>
      <c r="AG1420" s="150" t="e">
        <f t="shared" si="502"/>
        <v>#DIV/0!</v>
      </c>
      <c r="AH1420" s="155" t="e">
        <f t="shared" si="503"/>
        <v>#DIV/0!</v>
      </c>
      <c r="AI1420" s="156" t="e">
        <f t="shared" si="476"/>
        <v>#DIV/0!</v>
      </c>
      <c r="AJ1420" s="149"/>
      <c r="AK1420" s="149"/>
      <c r="AL1420" s="157"/>
      <c r="AM1420" s="157"/>
      <c r="AN1420" s="157"/>
      <c r="AO1420" s="157"/>
      <c r="AP1420" s="157"/>
      <c r="AQ1420" s="157"/>
      <c r="AR1420" s="157"/>
    </row>
    <row r="1421" spans="1:44" ht="16.8">
      <c r="A1421" s="171" t="s">
        <v>2881</v>
      </c>
      <c r="B1421" s="145"/>
      <c r="C1421" s="145" t="s">
        <v>2878</v>
      </c>
      <c r="D1421" s="146" t="s">
        <v>2879</v>
      </c>
      <c r="E1421" s="147" t="s">
        <v>178</v>
      </c>
      <c r="F1421" s="148"/>
      <c r="G1421" s="148">
        <v>2023</v>
      </c>
      <c r="H1421" s="149"/>
      <c r="I1421" s="149"/>
      <c r="J1421" s="149">
        <v>11379279324447</v>
      </c>
      <c r="K1421" s="149"/>
      <c r="L1421" s="149"/>
      <c r="M1421" s="149"/>
      <c r="N1421" s="149"/>
      <c r="O1421" s="149">
        <f t="shared" si="464"/>
        <v>0</v>
      </c>
      <c r="P1421" s="149"/>
      <c r="Q1421" s="149"/>
      <c r="R1421" s="149">
        <f t="shared" si="465"/>
        <v>0</v>
      </c>
      <c r="S1421" s="150" t="e">
        <f t="shared" si="466"/>
        <v>#DIV/0!</v>
      </c>
      <c r="T1421" s="151" t="e">
        <f t="shared" si="467"/>
        <v>#DIV/0!</v>
      </c>
      <c r="U1421" s="150" t="e">
        <f t="shared" si="468"/>
        <v>#NUM!</v>
      </c>
      <c r="V1421" s="150" t="e">
        <f t="shared" si="469"/>
        <v>#DIV/0!</v>
      </c>
      <c r="W1421" s="152"/>
      <c r="X1421" s="152"/>
      <c r="Y1421" s="152"/>
      <c r="Z1421" s="153"/>
      <c r="AA1421" s="148"/>
      <c r="AB1421" s="149"/>
      <c r="AC1421" s="149"/>
      <c r="AD1421" s="150" t="e">
        <f t="shared" si="499"/>
        <v>#DIV/0!</v>
      </c>
      <c r="AE1421" s="154" t="e">
        <f t="shared" si="500"/>
        <v>#DIV/0!</v>
      </c>
      <c r="AF1421" s="150" t="e">
        <f t="shared" si="501"/>
        <v>#DIV/0!</v>
      </c>
      <c r="AG1421" s="150">
        <f t="shared" si="502"/>
        <v>0</v>
      </c>
      <c r="AH1421" s="155">
        <f t="shared" si="503"/>
        <v>0</v>
      </c>
      <c r="AI1421" s="156" t="e">
        <f t="shared" si="476"/>
        <v>#DIV/0!</v>
      </c>
      <c r="AJ1421" s="149"/>
      <c r="AK1421" s="149"/>
      <c r="AL1421" s="157"/>
      <c r="AM1421" s="157"/>
      <c r="AN1421" s="157"/>
      <c r="AO1421" s="157"/>
      <c r="AP1421" s="157"/>
      <c r="AQ1421" s="157"/>
      <c r="AR1421" s="157"/>
    </row>
    <row r="1422" spans="1:44" ht="16.8">
      <c r="A1422" s="70" t="s">
        <v>2882</v>
      </c>
      <c r="B1422" s="71">
        <v>548</v>
      </c>
      <c r="C1422" s="71" t="s">
        <v>2883</v>
      </c>
      <c r="D1422" s="19" t="s">
        <v>2884</v>
      </c>
      <c r="E1422" s="20" t="s">
        <v>414</v>
      </c>
      <c r="F1422" s="21">
        <v>2007</v>
      </c>
      <c r="G1422" s="40">
        <v>2021</v>
      </c>
      <c r="H1422" s="23">
        <v>9254466760704</v>
      </c>
      <c r="I1422" s="23">
        <v>9455959420408</v>
      </c>
      <c r="J1422" s="23">
        <v>6473315533147</v>
      </c>
      <c r="K1422" s="23">
        <f>AVERAGE(J1422,1193556748441)</f>
        <v>3833436140794</v>
      </c>
      <c r="L1422" s="23">
        <v>6473315533147</v>
      </c>
      <c r="M1422" s="23">
        <v>2982643887261</v>
      </c>
      <c r="N1422" s="23">
        <v>1383479260656</v>
      </c>
      <c r="O1422" s="25">
        <f t="shared" si="464"/>
        <v>2781151227557</v>
      </c>
      <c r="P1422" s="23">
        <v>845975042902</v>
      </c>
      <c r="Q1422" s="23">
        <v>348544634635</v>
      </c>
      <c r="R1422" s="25">
        <f t="shared" si="465"/>
        <v>1034934626021</v>
      </c>
      <c r="S1422" s="26">
        <f t="shared" si="466"/>
        <v>0.68457522344863164</v>
      </c>
      <c r="T1422" s="27">
        <f t="shared" si="467"/>
        <v>1.4296331938889659</v>
      </c>
      <c r="U1422" s="26">
        <f t="shared" si="468"/>
        <v>29.87766628517107</v>
      </c>
      <c r="V1422" s="26">
        <f t="shared" si="469"/>
        <v>0.36089795417054921</v>
      </c>
      <c r="W1422" s="143"/>
      <c r="X1422" s="143"/>
      <c r="Y1422" s="143"/>
      <c r="Z1422" s="30">
        <f t="shared" ref="Z1422:Z1433" si="527">X1422*Y1422</f>
        <v>0</v>
      </c>
      <c r="AA1422" s="31">
        <f t="shared" ref="AA1422:AA1443" si="528">G1422-F1422</f>
        <v>14</v>
      </c>
      <c r="AB1422" s="32">
        <v>1.84E-2</v>
      </c>
      <c r="AC1422" s="32">
        <v>2.58E-2</v>
      </c>
      <c r="AD1422" s="33">
        <f t="shared" si="499"/>
        <v>0.29411623970748813</v>
      </c>
      <c r="AE1422" s="34">
        <f t="shared" si="500"/>
        <v>8.9464749719230324E-2</v>
      </c>
      <c r="AF1422" s="33">
        <f t="shared" si="501"/>
        <v>0.10944787091486326</v>
      </c>
      <c r="AG1422" s="33">
        <f t="shared" si="502"/>
        <v>0</v>
      </c>
      <c r="AH1422" s="35">
        <f t="shared" si="503"/>
        <v>0.21372034988435393</v>
      </c>
      <c r="AI1422" s="36">
        <f t="shared" si="476"/>
        <v>1.0530884611593108</v>
      </c>
      <c r="AJ1422" s="23"/>
      <c r="AK1422" s="158">
        <v>603</v>
      </c>
      <c r="AL1422" s="44"/>
      <c r="AM1422" s="44"/>
      <c r="AN1422" s="44"/>
      <c r="AO1422" s="44"/>
      <c r="AP1422" s="44"/>
      <c r="AQ1422" s="44"/>
      <c r="AR1422" s="44"/>
    </row>
    <row r="1423" spans="1:44" ht="16.8">
      <c r="A1423" s="70" t="s">
        <v>2885</v>
      </c>
      <c r="B1423" s="71"/>
      <c r="C1423" s="71" t="s">
        <v>2883</v>
      </c>
      <c r="D1423" s="19" t="s">
        <v>2884</v>
      </c>
      <c r="E1423" s="20" t="s">
        <v>414</v>
      </c>
      <c r="F1423" s="21">
        <v>2007</v>
      </c>
      <c r="G1423" s="40">
        <v>2022</v>
      </c>
      <c r="H1423" s="23">
        <v>5087806007585</v>
      </c>
      <c r="I1423" s="23">
        <v>5287996409107</v>
      </c>
      <c r="J1423" s="23">
        <v>1939966665884</v>
      </c>
      <c r="K1423" s="23">
        <f t="shared" ref="K1423:K1424" si="529">AVERAGE(J1422:J1423)</f>
        <v>4206641099515.5</v>
      </c>
      <c r="L1423" s="23">
        <v>1939966665884</v>
      </c>
      <c r="M1423" s="23">
        <v>3348029743223</v>
      </c>
      <c r="N1423" s="23">
        <v>850241318065</v>
      </c>
      <c r="O1423" s="25">
        <f t="shared" si="464"/>
        <v>3147839341701</v>
      </c>
      <c r="P1423" s="23">
        <v>318225400741</v>
      </c>
      <c r="Q1423" s="23">
        <v>335303399833</v>
      </c>
      <c r="R1423" s="25">
        <f t="shared" si="465"/>
        <v>514937918232</v>
      </c>
      <c r="S1423" s="26">
        <f t="shared" si="466"/>
        <v>0.36686232663528001</v>
      </c>
      <c r="T1423" s="27">
        <f t="shared" si="467"/>
        <v>2.6226254796324548</v>
      </c>
      <c r="U1423" s="26">
        <f t="shared" si="468"/>
        <v>29.296460539413218</v>
      </c>
      <c r="V1423" s="26">
        <f t="shared" si="469"/>
        <v>0.20211881592725525</v>
      </c>
      <c r="W1423" s="143"/>
      <c r="X1423" s="143"/>
      <c r="Y1423" s="143"/>
      <c r="Z1423" s="30">
        <f t="shared" si="527"/>
        <v>0</v>
      </c>
      <c r="AA1423" s="31">
        <f t="shared" si="528"/>
        <v>15</v>
      </c>
      <c r="AB1423" s="32">
        <v>3.15E-2</v>
      </c>
      <c r="AC1423" s="32">
        <v>8.0199999999999994E-2</v>
      </c>
      <c r="AD1423" s="33">
        <f t="shared" si="499"/>
        <v>0.59528015871564954</v>
      </c>
      <c r="AE1423" s="34">
        <f t="shared" si="500"/>
        <v>6.0178823153690393E-2</v>
      </c>
      <c r="AF1423" s="33">
        <f t="shared" si="501"/>
        <v>9.7378643704290849E-2</v>
      </c>
      <c r="AG1423" s="33">
        <f t="shared" si="502"/>
        <v>0</v>
      </c>
      <c r="AH1423" s="35">
        <f t="shared" si="503"/>
        <v>0.43827625134866111</v>
      </c>
      <c r="AI1423" s="36">
        <f t="shared" si="476"/>
        <v>1.5582123184467669</v>
      </c>
      <c r="AJ1423" s="23"/>
      <c r="AK1423" s="158">
        <v>604</v>
      </c>
      <c r="AL1423" s="44"/>
      <c r="AM1423" s="44"/>
      <c r="AN1423" s="44"/>
      <c r="AO1423" s="44"/>
      <c r="AP1423" s="44"/>
      <c r="AQ1423" s="44"/>
      <c r="AR1423" s="44"/>
    </row>
    <row r="1424" spans="1:44" ht="16.8">
      <c r="A1424" s="70" t="s">
        <v>2886</v>
      </c>
      <c r="B1424" s="71"/>
      <c r="C1424" s="71" t="s">
        <v>2883</v>
      </c>
      <c r="D1424" s="19" t="s">
        <v>2884</v>
      </c>
      <c r="E1424" s="20" t="s">
        <v>414</v>
      </c>
      <c r="F1424" s="21">
        <v>2007</v>
      </c>
      <c r="G1424" s="40">
        <v>2023</v>
      </c>
      <c r="H1424" s="23">
        <v>8045915032712</v>
      </c>
      <c r="I1424" s="23">
        <v>8234683118841</v>
      </c>
      <c r="J1424" s="23">
        <v>4590747359986</v>
      </c>
      <c r="K1424" s="23">
        <f t="shared" si="529"/>
        <v>3265357012935</v>
      </c>
      <c r="L1424" s="23">
        <v>4590747359986</v>
      </c>
      <c r="M1424" s="23">
        <v>3643935758855</v>
      </c>
      <c r="N1424" s="23">
        <v>944166710638</v>
      </c>
      <c r="O1424" s="25">
        <f t="shared" si="464"/>
        <v>3455167672726</v>
      </c>
      <c r="P1424" s="23">
        <v>444917590949</v>
      </c>
      <c r="Q1424" s="23">
        <v>328963860533</v>
      </c>
      <c r="R1424" s="25">
        <f t="shared" si="465"/>
        <v>615202850105</v>
      </c>
      <c r="S1424" s="26">
        <f t="shared" si="466"/>
        <v>0.55748925535244276</v>
      </c>
      <c r="T1424" s="27">
        <f t="shared" si="467"/>
        <v>1.7526372944941446</v>
      </c>
      <c r="U1424" s="26">
        <f t="shared" si="468"/>
        <v>29.739375999017057</v>
      </c>
      <c r="V1424" s="26">
        <f t="shared" si="469"/>
        <v>0.28914654872281637</v>
      </c>
      <c r="W1424" s="143"/>
      <c r="X1424" s="143"/>
      <c r="Y1424" s="143"/>
      <c r="Z1424" s="30">
        <f t="shared" si="527"/>
        <v>0</v>
      </c>
      <c r="AA1424" s="31">
        <f t="shared" si="528"/>
        <v>16</v>
      </c>
      <c r="AB1424" s="32">
        <v>3.2500000000000001E-2</v>
      </c>
      <c r="AC1424" s="32">
        <v>5.0500000000000003E-2</v>
      </c>
      <c r="AD1424" s="33">
        <f t="shared" si="499"/>
        <v>0.41958720485801787</v>
      </c>
      <c r="AE1424" s="34">
        <f t="shared" si="500"/>
        <v>5.4029716083552275E-2</v>
      </c>
      <c r="AF1424" s="33">
        <f t="shared" si="501"/>
        <v>7.470874607152915E-2</v>
      </c>
      <c r="AG1424" s="33">
        <f t="shared" si="502"/>
        <v>0</v>
      </c>
      <c r="AH1424" s="35">
        <f t="shared" si="503"/>
        <v>0.2056673209394122</v>
      </c>
      <c r="AI1424" s="36">
        <f t="shared" si="476"/>
        <v>1.031352431322053</v>
      </c>
      <c r="AJ1424" s="23"/>
      <c r="AK1424" s="158">
        <v>605</v>
      </c>
      <c r="AL1424" s="44"/>
      <c r="AM1424" s="44"/>
      <c r="AN1424" s="44"/>
      <c r="AO1424" s="44"/>
      <c r="AP1424" s="44"/>
      <c r="AQ1424" s="44"/>
      <c r="AR1424" s="44"/>
    </row>
    <row r="1425" spans="1:44" ht="16.8">
      <c r="A1425" s="70" t="s">
        <v>2887</v>
      </c>
      <c r="B1425" s="71">
        <v>549</v>
      </c>
      <c r="C1425" s="71" t="s">
        <v>2888</v>
      </c>
      <c r="D1425" s="19" t="s">
        <v>2889</v>
      </c>
      <c r="E1425" s="20" t="s">
        <v>414</v>
      </c>
      <c r="F1425" s="21">
        <v>1990</v>
      </c>
      <c r="G1425" s="40">
        <v>2021</v>
      </c>
      <c r="H1425" s="23">
        <v>51394724017298</v>
      </c>
      <c r="I1425" s="23">
        <v>78768074688564</v>
      </c>
      <c r="J1425" s="23">
        <v>26575344013434</v>
      </c>
      <c r="K1425" s="23">
        <f>AVERAGE(J1425,13708720044649)</f>
        <v>20142032029041.5</v>
      </c>
      <c r="L1425" s="23">
        <v>16561261573886</v>
      </c>
      <c r="M1425" s="23">
        <v>52192730675130</v>
      </c>
      <c r="N1425" s="23">
        <v>78992156122272</v>
      </c>
      <c r="O1425" s="25">
        <f t="shared" si="464"/>
        <v>34833462443412</v>
      </c>
      <c r="P1425" s="23">
        <v>8851812129710</v>
      </c>
      <c r="Q1425" s="23">
        <f>2132583045802+1479072397239</f>
        <v>3611655443041</v>
      </c>
      <c r="R1425" s="25">
        <f t="shared" si="465"/>
        <v>75380500679231</v>
      </c>
      <c r="S1425" s="26">
        <f t="shared" si="466"/>
        <v>0.3373872488125238</v>
      </c>
      <c r="T1425" s="27">
        <f t="shared" si="467"/>
        <v>3.1033097199755502</v>
      </c>
      <c r="U1425" s="26">
        <f t="shared" si="468"/>
        <v>31.997528887153418</v>
      </c>
      <c r="V1425" s="26">
        <f t="shared" si="469"/>
        <v>3.9217570505487376</v>
      </c>
      <c r="W1425" s="143"/>
      <c r="X1425" s="143"/>
      <c r="Y1425" s="143"/>
      <c r="Z1425" s="30">
        <f t="shared" si="527"/>
        <v>0</v>
      </c>
      <c r="AA1425" s="31">
        <f t="shared" si="528"/>
        <v>31</v>
      </c>
      <c r="AB1425" s="32">
        <v>1.84E-2</v>
      </c>
      <c r="AC1425" s="32">
        <v>2.58E-2</v>
      </c>
      <c r="AD1425" s="33">
        <f t="shared" si="499"/>
        <v>0.4422281816730671</v>
      </c>
      <c r="AE1425" s="34">
        <f t="shared" si="500"/>
        <v>0.1123781705304923</v>
      </c>
      <c r="AF1425" s="33">
        <f t="shared" si="501"/>
        <v>0.95699305813012558</v>
      </c>
      <c r="AG1425" s="33">
        <f t="shared" si="502"/>
        <v>0</v>
      </c>
      <c r="AH1425" s="35">
        <f t="shared" si="503"/>
        <v>2.9723850830431764</v>
      </c>
      <c r="AI1425" s="36">
        <f t="shared" si="476"/>
        <v>6.8184654316229611</v>
      </c>
      <c r="AJ1425" s="23"/>
      <c r="AK1425" s="158">
        <v>606</v>
      </c>
      <c r="AL1425" s="44"/>
      <c r="AM1425" s="44"/>
      <c r="AN1425" s="44"/>
      <c r="AO1425" s="44"/>
      <c r="AP1425" s="44"/>
      <c r="AQ1425" s="44"/>
      <c r="AR1425" s="44"/>
    </row>
    <row r="1426" spans="1:44" ht="16.8">
      <c r="A1426" s="74" t="s">
        <v>2890</v>
      </c>
      <c r="B1426" s="75"/>
      <c r="C1426" s="71" t="s">
        <v>2888</v>
      </c>
      <c r="D1426" s="19" t="s">
        <v>2889</v>
      </c>
      <c r="E1426" s="20" t="s">
        <v>414</v>
      </c>
      <c r="F1426" s="21">
        <v>1990</v>
      </c>
      <c r="G1426" s="40">
        <v>2022</v>
      </c>
      <c r="H1426" s="23">
        <v>55651707958020</v>
      </c>
      <c r="I1426" s="23">
        <v>82662652366363</v>
      </c>
      <c r="J1426" s="23">
        <v>21489088811222</v>
      </c>
      <c r="K1426" s="23">
        <f t="shared" ref="K1426:K1427" si="530">AVERAGE(J1425:J1426)</f>
        <v>24032216412328</v>
      </c>
      <c r="L1426" s="23">
        <v>12487956920689</v>
      </c>
      <c r="M1426" s="23">
        <v>61173563555141</v>
      </c>
      <c r="N1426" s="23">
        <v>100723549227433</v>
      </c>
      <c r="O1426" s="25">
        <f t="shared" si="464"/>
        <v>43163751037331</v>
      </c>
      <c r="P1426" s="23">
        <v>15066392289428</v>
      </c>
      <c r="Q1426" s="23">
        <f>2440389587646+1074753539576</f>
        <v>3515143127222</v>
      </c>
      <c r="R1426" s="25">
        <f t="shared" si="465"/>
        <v>97208406100211</v>
      </c>
      <c r="S1426" s="26">
        <f t="shared" si="466"/>
        <v>0.25996127871607366</v>
      </c>
      <c r="T1426" s="27">
        <f t="shared" si="467"/>
        <v>4.456430167998171</v>
      </c>
      <c r="U1426" s="26">
        <f t="shared" si="468"/>
        <v>32.045789012162025</v>
      </c>
      <c r="V1426" s="26">
        <f t="shared" si="469"/>
        <v>4.1911885070976655</v>
      </c>
      <c r="W1426" s="76"/>
      <c r="X1426" s="76"/>
      <c r="Y1426" s="76"/>
      <c r="Z1426" s="30">
        <f t="shared" si="527"/>
        <v>0</v>
      </c>
      <c r="AA1426" s="31">
        <f t="shared" si="528"/>
        <v>32</v>
      </c>
      <c r="AB1426" s="32">
        <v>3.15E-2</v>
      </c>
      <c r="AC1426" s="32">
        <v>8.0199999999999994E-2</v>
      </c>
      <c r="AD1426" s="33">
        <f t="shared" si="499"/>
        <v>0.5221675061432598</v>
      </c>
      <c r="AE1426" s="34">
        <f t="shared" si="500"/>
        <v>0.18226359617222737</v>
      </c>
      <c r="AF1426" s="33">
        <f t="shared" si="501"/>
        <v>1.1759652432803733</v>
      </c>
      <c r="AG1426" s="33">
        <f t="shared" si="502"/>
        <v>0</v>
      </c>
      <c r="AH1426" s="35">
        <f t="shared" si="503"/>
        <v>4.687194981242448</v>
      </c>
      <c r="AI1426" s="36">
        <f t="shared" si="476"/>
        <v>9.449650326080711</v>
      </c>
      <c r="AJ1426" s="76"/>
      <c r="AK1426" s="158">
        <v>607</v>
      </c>
    </row>
    <row r="1427" spans="1:44" ht="16.8">
      <c r="A1427" s="74" t="s">
        <v>2891</v>
      </c>
      <c r="B1427" s="75"/>
      <c r="C1427" s="71" t="s">
        <v>2888</v>
      </c>
      <c r="D1427" s="19" t="s">
        <v>2889</v>
      </c>
      <c r="E1427" s="20" t="s">
        <v>414</v>
      </c>
      <c r="F1427" s="21">
        <v>1990</v>
      </c>
      <c r="G1427" s="40">
        <v>2023</v>
      </c>
      <c r="H1427" s="23">
        <v>62217752152939</v>
      </c>
      <c r="I1427" s="23">
        <v>87754455330448</v>
      </c>
      <c r="J1427" s="23">
        <v>22455835056055</v>
      </c>
      <c r="K1427" s="23">
        <f t="shared" si="530"/>
        <v>21972461933638.5</v>
      </c>
      <c r="L1427" s="23">
        <v>14971948871764</v>
      </c>
      <c r="M1427" s="23">
        <v>65298620274393</v>
      </c>
      <c r="N1427" s="23">
        <v>90014136902542</v>
      </c>
      <c r="O1427" s="25">
        <f t="shared" si="464"/>
        <v>47245803281175</v>
      </c>
      <c r="P1427" s="23">
        <v>11793095479543</v>
      </c>
      <c r="Q1427" s="23">
        <f>2543871863091+1474856883595</f>
        <v>4018728746686</v>
      </c>
      <c r="R1427" s="25">
        <f t="shared" si="465"/>
        <v>85995408155856</v>
      </c>
      <c r="S1427" s="26">
        <f t="shared" si="466"/>
        <v>0.25589395970261969</v>
      </c>
      <c r="T1427" s="27">
        <f t="shared" si="467"/>
        <v>4.1556214682429973</v>
      </c>
      <c r="U1427" s="26">
        <f t="shared" si="468"/>
        <v>32.105563749982174</v>
      </c>
      <c r="V1427" s="26">
        <f t="shared" si="469"/>
        <v>4.0966796153477842</v>
      </c>
      <c r="W1427" s="76"/>
      <c r="X1427" s="76"/>
      <c r="Y1427" s="76"/>
      <c r="Z1427" s="30">
        <f t="shared" si="527"/>
        <v>0</v>
      </c>
      <c r="AA1427" s="31">
        <f t="shared" si="528"/>
        <v>33</v>
      </c>
      <c r="AB1427" s="32">
        <v>3.2500000000000001E-2</v>
      </c>
      <c r="AC1427" s="32">
        <v>5.0500000000000003E-2</v>
      </c>
      <c r="AD1427" s="33">
        <f t="shared" si="499"/>
        <v>0.53838637711631043</v>
      </c>
      <c r="AE1427" s="34">
        <f t="shared" si="500"/>
        <v>0.13438742722674243</v>
      </c>
      <c r="AF1427" s="33">
        <f t="shared" si="501"/>
        <v>0.97995489610221909</v>
      </c>
      <c r="AG1427" s="33">
        <f t="shared" si="502"/>
        <v>0</v>
      </c>
      <c r="AH1427" s="35">
        <f t="shared" si="503"/>
        <v>4.0084965300932129</v>
      </c>
      <c r="AI1427" s="36">
        <f t="shared" si="476"/>
        <v>8.0765537378875472</v>
      </c>
      <c r="AJ1427" s="76"/>
      <c r="AK1427" s="158">
        <v>608</v>
      </c>
    </row>
    <row r="1428" spans="1:44" ht="16.8">
      <c r="A1428" s="70" t="s">
        <v>2892</v>
      </c>
      <c r="B1428" s="71">
        <v>550</v>
      </c>
      <c r="C1428" s="71" t="s">
        <v>2893</v>
      </c>
      <c r="D1428" s="19" t="s">
        <v>2894</v>
      </c>
      <c r="E1428" s="20" t="s">
        <v>414</v>
      </c>
      <c r="F1428" s="21">
        <v>1991</v>
      </c>
      <c r="G1428" s="40">
        <v>2021</v>
      </c>
      <c r="H1428" s="23">
        <v>228510699557</v>
      </c>
      <c r="I1428" s="23">
        <v>380965039531</v>
      </c>
      <c r="J1428" s="23">
        <v>115572149180</v>
      </c>
      <c r="K1428" s="23">
        <f>AVERAGE(J1428,128327166026)</f>
        <v>121949657603</v>
      </c>
      <c r="L1428" s="23">
        <v>111270221410</v>
      </c>
      <c r="M1428" s="23">
        <v>265392890351</v>
      </c>
      <c r="N1428" s="23">
        <v>340145626776</v>
      </c>
      <c r="O1428" s="25">
        <f t="shared" si="464"/>
        <v>117240478147</v>
      </c>
      <c r="P1428" s="23">
        <v>60786014194</v>
      </c>
      <c r="Q1428" s="23">
        <f>14748419315+23006786668</f>
        <v>37755205983</v>
      </c>
      <c r="R1428" s="25">
        <f t="shared" si="465"/>
        <v>302390420793</v>
      </c>
      <c r="S1428" s="26">
        <f t="shared" si="466"/>
        <v>0.30336681109184988</v>
      </c>
      <c r="T1428" s="27">
        <f t="shared" si="467"/>
        <v>2.053655476383041</v>
      </c>
      <c r="U1428" s="26">
        <f t="shared" si="468"/>
        <v>26.665973448101774</v>
      </c>
      <c r="V1428" s="26">
        <f t="shared" si="469"/>
        <v>2.7892298630581176</v>
      </c>
      <c r="W1428" s="143"/>
      <c r="X1428" s="143"/>
      <c r="Y1428" s="143"/>
      <c r="Z1428" s="30">
        <f t="shared" si="527"/>
        <v>0</v>
      </c>
      <c r="AA1428" s="31">
        <f t="shared" si="528"/>
        <v>30</v>
      </c>
      <c r="AB1428" s="32">
        <v>1.84E-2</v>
      </c>
      <c r="AC1428" s="32">
        <v>2.58E-2</v>
      </c>
      <c r="AD1428" s="33">
        <f t="shared" si="499"/>
        <v>0.30774602911420135</v>
      </c>
      <c r="AE1428" s="34">
        <f t="shared" si="500"/>
        <v>0.15955798534383284</v>
      </c>
      <c r="AF1428" s="33">
        <f t="shared" si="501"/>
        <v>0.79374847929686154</v>
      </c>
      <c r="AG1428" s="33">
        <f t="shared" si="502"/>
        <v>0</v>
      </c>
      <c r="AH1428" s="35">
        <f t="shared" si="503"/>
        <v>2.9431452922644352</v>
      </c>
      <c r="AI1428" s="36">
        <f t="shared" si="476"/>
        <v>6.1551916883624855</v>
      </c>
      <c r="AJ1428" s="23"/>
      <c r="AK1428" s="158">
        <v>609</v>
      </c>
      <c r="AL1428" s="44"/>
      <c r="AM1428" s="44"/>
      <c r="AN1428" s="44"/>
      <c r="AO1428" s="44"/>
      <c r="AP1428" s="44"/>
      <c r="AQ1428" s="44"/>
      <c r="AR1428" s="44"/>
    </row>
    <row r="1429" spans="1:44" ht="16.8">
      <c r="A1429" s="74" t="s">
        <v>2895</v>
      </c>
      <c r="B1429" s="75"/>
      <c r="C1429" s="71" t="s">
        <v>2893</v>
      </c>
      <c r="D1429" s="19" t="s">
        <v>2894</v>
      </c>
      <c r="E1429" s="20" t="s">
        <v>414</v>
      </c>
      <c r="F1429" s="21">
        <v>1991</v>
      </c>
      <c r="G1429" s="40">
        <v>2022</v>
      </c>
      <c r="H1429" s="23">
        <v>295075353154</v>
      </c>
      <c r="I1429" s="23">
        <v>406005991149</v>
      </c>
      <c r="J1429" s="23">
        <v>111655333291</v>
      </c>
      <c r="K1429" s="23">
        <f t="shared" ref="K1429:K1430" si="531">AVERAGE(J1428:J1429)</f>
        <v>113613741235.5</v>
      </c>
      <c r="L1429" s="23">
        <v>107684606354</v>
      </c>
      <c r="M1429" s="23">
        <v>294350657858</v>
      </c>
      <c r="N1429" s="23">
        <v>401582500817</v>
      </c>
      <c r="O1429" s="25">
        <f t="shared" si="464"/>
        <v>187390746800</v>
      </c>
      <c r="P1429" s="23">
        <v>69270226003</v>
      </c>
      <c r="Q1429" s="23">
        <f>18038802215+32557754127</f>
        <v>50596556342</v>
      </c>
      <c r="R1429" s="25">
        <f t="shared" si="465"/>
        <v>350985944475</v>
      </c>
      <c r="S1429" s="26">
        <f t="shared" si="466"/>
        <v>0.27500907800649582</v>
      </c>
      <c r="T1429" s="27">
        <f t="shared" si="467"/>
        <v>2.7401813791655214</v>
      </c>
      <c r="U1429" s="26">
        <f t="shared" si="468"/>
        <v>26.729633752963899</v>
      </c>
      <c r="V1429" s="26">
        <f t="shared" si="469"/>
        <v>3.5346296711116545</v>
      </c>
      <c r="W1429" s="76"/>
      <c r="X1429" s="76"/>
      <c r="Y1429" s="76"/>
      <c r="Z1429" s="30">
        <f t="shared" si="527"/>
        <v>0</v>
      </c>
      <c r="AA1429" s="31">
        <f t="shared" si="528"/>
        <v>31</v>
      </c>
      <c r="AB1429" s="32">
        <v>3.15E-2</v>
      </c>
      <c r="AC1429" s="32">
        <v>8.0199999999999994E-2</v>
      </c>
      <c r="AD1429" s="33">
        <f t="shared" si="499"/>
        <v>0.46154675272077333</v>
      </c>
      <c r="AE1429" s="34">
        <f t="shared" si="500"/>
        <v>0.17061380253765404</v>
      </c>
      <c r="AF1429" s="33">
        <f t="shared" si="501"/>
        <v>0.86448464339579612</v>
      </c>
      <c r="AG1429" s="33">
        <f t="shared" si="502"/>
        <v>0</v>
      </c>
      <c r="AH1429" s="35">
        <f t="shared" si="503"/>
        <v>3.596626233431965</v>
      </c>
      <c r="AI1429" s="36">
        <f t="shared" si="476"/>
        <v>7.2421409834557355</v>
      </c>
      <c r="AJ1429" s="76"/>
      <c r="AK1429" s="158">
        <v>610</v>
      </c>
    </row>
    <row r="1430" spans="1:44" ht="16.8">
      <c r="A1430" s="74" t="s">
        <v>2896</v>
      </c>
      <c r="B1430" s="75"/>
      <c r="C1430" s="71" t="s">
        <v>2893</v>
      </c>
      <c r="D1430" s="19" t="s">
        <v>2894</v>
      </c>
      <c r="E1430" s="20" t="s">
        <v>414</v>
      </c>
      <c r="F1430" s="21">
        <v>1991</v>
      </c>
      <c r="G1430" s="40">
        <v>2023</v>
      </c>
      <c r="H1430" s="23">
        <v>271943803007</v>
      </c>
      <c r="I1430" s="23">
        <v>408907473086</v>
      </c>
      <c r="J1430" s="23">
        <v>326812372842</v>
      </c>
      <c r="K1430" s="23">
        <f t="shared" si="531"/>
        <v>219233853066.5</v>
      </c>
      <c r="L1430" s="23">
        <v>114605291876</v>
      </c>
      <c r="M1430" s="23">
        <v>291656074161</v>
      </c>
      <c r="N1430" s="23">
        <v>313867666225</v>
      </c>
      <c r="O1430" s="25">
        <f t="shared" si="464"/>
        <v>157338511131</v>
      </c>
      <c r="P1430" s="23">
        <v>36692331691</v>
      </c>
      <c r="Q1430" s="23">
        <f>17249650459+27624956562</f>
        <v>44874607021</v>
      </c>
      <c r="R1430" s="25">
        <f t="shared" si="465"/>
        <v>268993059204</v>
      </c>
      <c r="S1430" s="26">
        <f t="shared" si="466"/>
        <v>0.79923306457465004</v>
      </c>
      <c r="T1430" s="27">
        <f t="shared" si="467"/>
        <v>2.3728730022452735</v>
      </c>
      <c r="U1430" s="26">
        <f t="shared" si="468"/>
        <v>26.736754740222391</v>
      </c>
      <c r="V1430" s="26">
        <f t="shared" si="469"/>
        <v>1.4316569354359465</v>
      </c>
      <c r="W1430" s="76"/>
      <c r="X1430" s="76"/>
      <c r="Y1430" s="76"/>
      <c r="Z1430" s="30">
        <f t="shared" si="527"/>
        <v>0</v>
      </c>
      <c r="AA1430" s="31">
        <f t="shared" si="528"/>
        <v>32</v>
      </c>
      <c r="AB1430" s="32">
        <v>3.2500000000000001E-2</v>
      </c>
      <c r="AC1430" s="32">
        <v>5.0500000000000003E-2</v>
      </c>
      <c r="AD1430" s="33">
        <f t="shared" si="499"/>
        <v>0.38477778345202585</v>
      </c>
      <c r="AE1430" s="34">
        <f t="shared" si="500"/>
        <v>8.9732602375997658E-2</v>
      </c>
      <c r="AF1430" s="33">
        <f t="shared" si="501"/>
        <v>0.65783356115730929</v>
      </c>
      <c r="AG1430" s="33">
        <f t="shared" si="502"/>
        <v>0</v>
      </c>
      <c r="AH1430" s="35">
        <f t="shared" si="503"/>
        <v>0.96039101425557649</v>
      </c>
      <c r="AI1430" s="36">
        <f t="shared" si="476"/>
        <v>3.7186007495435245</v>
      </c>
      <c r="AJ1430" s="76"/>
      <c r="AK1430" s="158">
        <v>611</v>
      </c>
    </row>
    <row r="1431" spans="1:44" ht="16.8">
      <c r="A1431" s="70" t="s">
        <v>2897</v>
      </c>
      <c r="B1431" s="71">
        <v>551</v>
      </c>
      <c r="C1431" s="71" t="s">
        <v>2898</v>
      </c>
      <c r="D1431" s="19" t="s">
        <v>2899</v>
      </c>
      <c r="E1431" s="20" t="s">
        <v>414</v>
      </c>
      <c r="F1431" s="21">
        <v>1982</v>
      </c>
      <c r="G1431" s="40">
        <v>2021</v>
      </c>
      <c r="H1431" s="23">
        <v>3153040220084</v>
      </c>
      <c r="I1431" s="23">
        <v>3765800622277</v>
      </c>
      <c r="J1431" s="23">
        <v>2155361074843</v>
      </c>
      <c r="K1431" s="23">
        <f>AVERAGE(J1431,1418574391641)</f>
        <v>1786967733242</v>
      </c>
      <c r="L1431" s="23">
        <v>2084754714843</v>
      </c>
      <c r="M1431" s="23">
        <v>1610439547434</v>
      </c>
      <c r="N1431" s="23">
        <v>4150320316468</v>
      </c>
      <c r="O1431" s="25">
        <f t="shared" si="464"/>
        <v>1068285505241</v>
      </c>
      <c r="P1431" s="23">
        <v>330633107637</v>
      </c>
      <c r="Q1431" s="23">
        <f>155965433704+156288786389</f>
        <v>312254220093</v>
      </c>
      <c r="R1431" s="25">
        <f t="shared" si="465"/>
        <v>3838066096375</v>
      </c>
      <c r="S1431" s="26">
        <f t="shared" si="466"/>
        <v>0.5723513512884163</v>
      </c>
      <c r="T1431" s="27">
        <f t="shared" si="467"/>
        <v>1.5124274321746534</v>
      </c>
      <c r="U1431" s="26">
        <f t="shared" si="468"/>
        <v>28.95698160325303</v>
      </c>
      <c r="V1431" s="26">
        <f t="shared" si="469"/>
        <v>2.3225491088964967</v>
      </c>
      <c r="W1431" s="143"/>
      <c r="X1431" s="143"/>
      <c r="Y1431" s="143"/>
      <c r="Z1431" s="30">
        <f t="shared" si="527"/>
        <v>0</v>
      </c>
      <c r="AA1431" s="31">
        <f t="shared" si="528"/>
        <v>39</v>
      </c>
      <c r="AB1431" s="32">
        <v>1.84E-2</v>
      </c>
      <c r="AC1431" s="32">
        <v>2.58E-2</v>
      </c>
      <c r="AD1431" s="33">
        <f t="shared" si="499"/>
        <v>0.28368084569359348</v>
      </c>
      <c r="AE1431" s="34">
        <f t="shared" si="500"/>
        <v>8.7798888151726401E-2</v>
      </c>
      <c r="AF1431" s="33">
        <f t="shared" si="501"/>
        <v>1.0191899363100918</v>
      </c>
      <c r="AG1431" s="33">
        <f t="shared" si="502"/>
        <v>0</v>
      </c>
      <c r="AH1431" s="35">
        <f t="shared" si="503"/>
        <v>1.9255800640133189</v>
      </c>
      <c r="AI1431" s="36">
        <f t="shared" si="476"/>
        <v>5.7522423120813508</v>
      </c>
      <c r="AJ1431" s="23"/>
      <c r="AK1431" s="158">
        <v>612</v>
      </c>
      <c r="AL1431" s="44"/>
      <c r="AM1431" s="44"/>
      <c r="AN1431" s="44"/>
      <c r="AO1431" s="44"/>
      <c r="AP1431" s="44"/>
      <c r="AQ1431" s="44"/>
      <c r="AR1431" s="44"/>
    </row>
    <row r="1432" spans="1:44" ht="16.8">
      <c r="A1432" s="74" t="s">
        <v>2900</v>
      </c>
      <c r="B1432" s="75"/>
      <c r="C1432" s="71" t="s">
        <v>2898</v>
      </c>
      <c r="D1432" s="19" t="s">
        <v>2899</v>
      </c>
      <c r="E1432" s="20" t="s">
        <v>414</v>
      </c>
      <c r="F1432" s="21">
        <v>1982</v>
      </c>
      <c r="G1432" s="40">
        <v>2022</v>
      </c>
      <c r="H1432" s="23">
        <v>3492441927983</v>
      </c>
      <c r="I1432" s="23">
        <v>3988337367283</v>
      </c>
      <c r="J1432" s="23">
        <v>1476678498622</v>
      </c>
      <c r="K1432" s="23">
        <f t="shared" ref="K1432:K1433" si="532">AVERAGE(J1431:J1432)</f>
        <v>1816019786732.5</v>
      </c>
      <c r="L1432" s="23">
        <v>1329859942431</v>
      </c>
      <c r="M1432" s="23">
        <v>2511658868661</v>
      </c>
      <c r="N1432" s="23">
        <v>3166709117208</v>
      </c>
      <c r="O1432" s="25">
        <f t="shared" si="464"/>
        <v>2162581985552</v>
      </c>
      <c r="P1432" s="23">
        <v>361392800018</v>
      </c>
      <c r="Q1432" s="23">
        <f>61436683707+184319410486</f>
        <v>245756094193</v>
      </c>
      <c r="R1432" s="25">
        <f t="shared" si="465"/>
        <v>2920953023015</v>
      </c>
      <c r="S1432" s="26">
        <f t="shared" si="466"/>
        <v>0.37024914460232006</v>
      </c>
      <c r="T1432" s="27">
        <f t="shared" si="467"/>
        <v>2.626172739362894</v>
      </c>
      <c r="U1432" s="26">
        <f t="shared" si="468"/>
        <v>29.014395560057707</v>
      </c>
      <c r="V1432" s="26">
        <f t="shared" si="469"/>
        <v>1.7437635538684011</v>
      </c>
      <c r="W1432" s="76"/>
      <c r="X1432" s="76"/>
      <c r="Y1432" s="76"/>
      <c r="Z1432" s="30">
        <f t="shared" si="527"/>
        <v>0</v>
      </c>
      <c r="AA1432" s="31">
        <f t="shared" si="528"/>
        <v>40</v>
      </c>
      <c r="AB1432" s="32">
        <v>3.15E-2</v>
      </c>
      <c r="AC1432" s="32">
        <v>8.0199999999999994E-2</v>
      </c>
      <c r="AD1432" s="33">
        <f t="shared" si="499"/>
        <v>0.54222644335256653</v>
      </c>
      <c r="AE1432" s="34">
        <f t="shared" si="500"/>
        <v>9.0612394774465602E-2</v>
      </c>
      <c r="AF1432" s="33">
        <f t="shared" si="501"/>
        <v>0.73237360685083142</v>
      </c>
      <c r="AG1432" s="33">
        <f t="shared" si="502"/>
        <v>0</v>
      </c>
      <c r="AH1432" s="35">
        <f t="shared" si="503"/>
        <v>2.1444810906118663</v>
      </c>
      <c r="AI1432" s="36">
        <f t="shared" si="476"/>
        <v>5.338843077926942</v>
      </c>
      <c r="AJ1432" s="76"/>
      <c r="AK1432" s="158">
        <v>613</v>
      </c>
    </row>
    <row r="1433" spans="1:44" ht="16.8">
      <c r="A1433" s="74" t="s">
        <v>2901</v>
      </c>
      <c r="B1433" s="75"/>
      <c r="C1433" s="71" t="s">
        <v>2898</v>
      </c>
      <c r="D1433" s="19" t="s">
        <v>2899</v>
      </c>
      <c r="E1433" s="20" t="s">
        <v>414</v>
      </c>
      <c r="F1433" s="21">
        <v>1982</v>
      </c>
      <c r="G1433" s="40">
        <v>2023</v>
      </c>
      <c r="H1433" s="23">
        <v>2873181555790</v>
      </c>
      <c r="I1433" s="23">
        <v>3357159038688</v>
      </c>
      <c r="J1433" s="23">
        <v>813586753931</v>
      </c>
      <c r="K1433" s="23">
        <f t="shared" si="532"/>
        <v>1145132626276.5</v>
      </c>
      <c r="L1433" s="23">
        <v>641499414655</v>
      </c>
      <c r="M1433" s="23">
        <v>2543572284757</v>
      </c>
      <c r="N1433" s="23">
        <v>936395864836</v>
      </c>
      <c r="O1433" s="25">
        <f t="shared" si="464"/>
        <v>2231682141135</v>
      </c>
      <c r="P1433" s="23">
        <v>28881350991</v>
      </c>
      <c r="Q1433" s="23">
        <f>4768816127+155116113077</f>
        <v>159884929204</v>
      </c>
      <c r="R1433" s="25">
        <f t="shared" si="465"/>
        <v>776510935632</v>
      </c>
      <c r="S1433" s="26">
        <f t="shared" si="466"/>
        <v>0.2423438224269992</v>
      </c>
      <c r="T1433" s="27">
        <f t="shared" si="467"/>
        <v>4.4788529656495548</v>
      </c>
      <c r="U1433" s="26">
        <f t="shared" si="468"/>
        <v>28.842116208046455</v>
      </c>
      <c r="V1433" s="26">
        <f t="shared" si="469"/>
        <v>0.81771826542116255</v>
      </c>
      <c r="W1433" s="76"/>
      <c r="X1433" s="76"/>
      <c r="Y1433" s="76"/>
      <c r="Z1433" s="30">
        <f t="shared" si="527"/>
        <v>0</v>
      </c>
      <c r="AA1433" s="31">
        <f t="shared" si="528"/>
        <v>41</v>
      </c>
      <c r="AB1433" s="32">
        <v>3.2500000000000001E-2</v>
      </c>
      <c r="AC1433" s="32">
        <v>5.0500000000000003E-2</v>
      </c>
      <c r="AD1433" s="33">
        <f t="shared" si="499"/>
        <v>0.6647531783323426</v>
      </c>
      <c r="AE1433" s="34">
        <f t="shared" si="500"/>
        <v>8.6029141479955096E-3</v>
      </c>
      <c r="AF1433" s="33">
        <f t="shared" si="501"/>
        <v>0.23130001488862012</v>
      </c>
      <c r="AG1433" s="33">
        <f t="shared" si="502"/>
        <v>0</v>
      </c>
      <c r="AH1433" s="35">
        <f t="shared" si="503"/>
        <v>1.1509477757739102</v>
      </c>
      <c r="AI1433" s="36">
        <f t="shared" si="476"/>
        <v>2.7239857187123615</v>
      </c>
      <c r="AJ1433" s="76"/>
      <c r="AK1433" s="158">
        <v>614</v>
      </c>
    </row>
    <row r="1434" spans="1:44" ht="16.8">
      <c r="A1434" s="145"/>
      <c r="B1434" s="145">
        <v>552</v>
      </c>
      <c r="C1434" s="145" t="s">
        <v>2902</v>
      </c>
      <c r="D1434" s="146" t="s">
        <v>2903</v>
      </c>
      <c r="E1434" s="147" t="s">
        <v>178</v>
      </c>
      <c r="F1434" s="148"/>
      <c r="G1434" s="148">
        <v>2021</v>
      </c>
      <c r="H1434" s="149"/>
      <c r="I1434" s="149"/>
      <c r="J1434" s="149"/>
      <c r="K1434" s="149"/>
      <c r="L1434" s="149"/>
      <c r="M1434" s="149"/>
      <c r="N1434" s="149"/>
      <c r="O1434" s="149">
        <f t="shared" si="464"/>
        <v>0</v>
      </c>
      <c r="P1434" s="149"/>
      <c r="Q1434" s="149"/>
      <c r="R1434" s="149">
        <f t="shared" si="465"/>
        <v>0</v>
      </c>
      <c r="S1434" s="150" t="e">
        <f t="shared" si="466"/>
        <v>#DIV/0!</v>
      </c>
      <c r="T1434" s="151" t="e">
        <f t="shared" si="467"/>
        <v>#DIV/0!</v>
      </c>
      <c r="U1434" s="150" t="e">
        <f t="shared" si="468"/>
        <v>#NUM!</v>
      </c>
      <c r="V1434" s="150" t="e">
        <f t="shared" si="469"/>
        <v>#DIV/0!</v>
      </c>
      <c r="W1434" s="152"/>
      <c r="X1434" s="152"/>
      <c r="Y1434" s="152"/>
      <c r="Z1434" s="153">
        <f>W1434*Y1434</f>
        <v>0</v>
      </c>
      <c r="AA1434" s="148">
        <f t="shared" si="528"/>
        <v>2021</v>
      </c>
      <c r="AB1434" s="149"/>
      <c r="AC1434" s="149"/>
      <c r="AD1434" s="150" t="e">
        <f t="shared" si="499"/>
        <v>#DIV/0!</v>
      </c>
      <c r="AE1434" s="154" t="e">
        <f t="shared" si="500"/>
        <v>#DIV/0!</v>
      </c>
      <c r="AF1434" s="150" t="e">
        <f t="shared" si="501"/>
        <v>#DIV/0!</v>
      </c>
      <c r="AG1434" s="150" t="e">
        <f t="shared" si="502"/>
        <v>#DIV/0!</v>
      </c>
      <c r="AH1434" s="155" t="e">
        <f t="shared" si="503"/>
        <v>#DIV/0!</v>
      </c>
      <c r="AI1434" s="156" t="e">
        <f t="shared" si="476"/>
        <v>#DIV/0!</v>
      </c>
      <c r="AJ1434" s="149"/>
      <c r="AK1434" s="149"/>
      <c r="AL1434" s="157"/>
      <c r="AM1434" s="157"/>
      <c r="AN1434" s="157"/>
      <c r="AO1434" s="157"/>
      <c r="AP1434" s="157"/>
      <c r="AQ1434" s="157"/>
      <c r="AR1434" s="157"/>
    </row>
    <row r="1435" spans="1:44" ht="16.8">
      <c r="A1435" s="70" t="s">
        <v>2904</v>
      </c>
      <c r="B1435" s="71">
        <v>553</v>
      </c>
      <c r="C1435" s="71" t="s">
        <v>2905</v>
      </c>
      <c r="D1435" s="19" t="s">
        <v>2906</v>
      </c>
      <c r="E1435" s="20" t="s">
        <v>414</v>
      </c>
      <c r="F1435" s="21">
        <v>1990</v>
      </c>
      <c r="G1435" s="40">
        <v>2021</v>
      </c>
      <c r="H1435" s="23">
        <v>1689479334239</v>
      </c>
      <c r="I1435" s="23">
        <v>10731211063284</v>
      </c>
      <c r="J1435" s="23">
        <v>3686592691375</v>
      </c>
      <c r="K1435" s="23">
        <f>AVERAGE(J1435,3239614949264)</f>
        <v>3463103820319.5</v>
      </c>
      <c r="L1435" s="23">
        <v>2262720710817</v>
      </c>
      <c r="M1435" s="23">
        <v>7044618371909</v>
      </c>
      <c r="N1435" s="23">
        <v>3206290165333</v>
      </c>
      <c r="O1435" s="25">
        <f t="shared" si="464"/>
        <v>-573241376578</v>
      </c>
      <c r="P1435" s="23">
        <v>720561816175</v>
      </c>
      <c r="Q1435" s="23">
        <f>154146091638+137355616968</f>
        <v>291501708606</v>
      </c>
      <c r="R1435" s="25">
        <f t="shared" si="465"/>
        <v>2914788456727</v>
      </c>
      <c r="S1435" s="26">
        <f t="shared" si="466"/>
        <v>0.34353929576395986</v>
      </c>
      <c r="T1435" s="27">
        <f t="shared" si="467"/>
        <v>0.74665835962980165</v>
      </c>
      <c r="U1435" s="26">
        <f t="shared" si="468"/>
        <v>30.004177533237005</v>
      </c>
      <c r="V1435" s="26">
        <f t="shared" si="469"/>
        <v>0.92584292348393793</v>
      </c>
      <c r="W1435" s="143"/>
      <c r="X1435" s="143"/>
      <c r="Y1435" s="143"/>
      <c r="Z1435" s="30">
        <f t="shared" ref="Z1435:Z1443" si="533">X1435*Y1435</f>
        <v>0</v>
      </c>
      <c r="AA1435" s="31">
        <f t="shared" si="528"/>
        <v>31</v>
      </c>
      <c r="AB1435" s="32">
        <v>1.84E-2</v>
      </c>
      <c r="AC1435" s="32">
        <v>2.58E-2</v>
      </c>
      <c r="AD1435" s="33">
        <f t="shared" si="499"/>
        <v>-5.3418143879333489E-2</v>
      </c>
      <c r="AE1435" s="34">
        <f t="shared" si="500"/>
        <v>6.7146365114404097E-2</v>
      </c>
      <c r="AF1435" s="33">
        <f t="shared" si="501"/>
        <v>0.27161784811965173</v>
      </c>
      <c r="AG1435" s="33">
        <f t="shared" si="502"/>
        <v>0</v>
      </c>
      <c r="AH1435" s="35">
        <f t="shared" si="503"/>
        <v>0.86971641126352361</v>
      </c>
      <c r="AI1435" s="36">
        <f t="shared" si="476"/>
        <v>1.7959584485633397</v>
      </c>
      <c r="AJ1435" s="23"/>
      <c r="AK1435" s="158">
        <v>615</v>
      </c>
      <c r="AL1435" s="44"/>
      <c r="AM1435" s="44"/>
      <c r="AN1435" s="44"/>
      <c r="AO1435" s="44"/>
      <c r="AP1435" s="44"/>
      <c r="AQ1435" s="44"/>
      <c r="AR1435" s="44"/>
    </row>
    <row r="1436" spans="1:44" ht="16.8">
      <c r="A1436" s="70" t="s">
        <v>2907</v>
      </c>
      <c r="B1436" s="71"/>
      <c r="C1436" s="71" t="s">
        <v>2905</v>
      </c>
      <c r="D1436" s="19" t="s">
        <v>2906</v>
      </c>
      <c r="E1436" s="20" t="s">
        <v>414</v>
      </c>
      <c r="F1436" s="21">
        <v>1990</v>
      </c>
      <c r="G1436" s="40">
        <v>2022</v>
      </c>
      <c r="H1436" s="23">
        <v>2618727023263</v>
      </c>
      <c r="I1436" s="23">
        <v>13030653009572</v>
      </c>
      <c r="J1436" s="23">
        <v>5082896989616</v>
      </c>
      <c r="K1436" s="23">
        <f t="shared" ref="K1436:K1437" si="534">AVERAGE(J1435:J1436)</f>
        <v>4384744840495.5</v>
      </c>
      <c r="L1436" s="23">
        <v>3210578779512</v>
      </c>
      <c r="M1436" s="23">
        <v>7947756019956</v>
      </c>
      <c r="N1436" s="23">
        <v>3898243608570</v>
      </c>
      <c r="O1436" s="25">
        <f t="shared" si="464"/>
        <v>-591851756249</v>
      </c>
      <c r="P1436" s="23">
        <v>1161293797024</v>
      </c>
      <c r="Q1436" s="23">
        <f>142172449496+524441250459</f>
        <v>666613699955</v>
      </c>
      <c r="R1436" s="25">
        <f t="shared" si="465"/>
        <v>3231629908615</v>
      </c>
      <c r="S1436" s="26">
        <f t="shared" si="466"/>
        <v>0.39007231532312525</v>
      </c>
      <c r="T1436" s="27">
        <f t="shared" si="467"/>
        <v>0.81565574405903229</v>
      </c>
      <c r="U1436" s="26">
        <f t="shared" si="468"/>
        <v>30.198325621663113</v>
      </c>
      <c r="V1436" s="26">
        <f t="shared" si="469"/>
        <v>0.88904685457808241</v>
      </c>
      <c r="W1436" s="143"/>
      <c r="X1436" s="143"/>
      <c r="Y1436" s="143"/>
      <c r="Z1436" s="30">
        <f t="shared" si="533"/>
        <v>0</v>
      </c>
      <c r="AA1436" s="31">
        <f t="shared" si="528"/>
        <v>32</v>
      </c>
      <c r="AB1436" s="32">
        <v>3.15E-2</v>
      </c>
      <c r="AC1436" s="32">
        <v>8.0199999999999994E-2</v>
      </c>
      <c r="AD1436" s="33">
        <f t="shared" si="499"/>
        <v>-4.5419961364502617E-2</v>
      </c>
      <c r="AE1436" s="34">
        <f t="shared" si="500"/>
        <v>8.91201535464832E-2</v>
      </c>
      <c r="AF1436" s="33">
        <f t="shared" si="501"/>
        <v>0.24800214588180067</v>
      </c>
      <c r="AG1436" s="33">
        <f t="shared" si="502"/>
        <v>0</v>
      </c>
      <c r="AH1436" s="35">
        <f t="shared" si="503"/>
        <v>0.76693342724313252</v>
      </c>
      <c r="AI1436" s="36">
        <f t="shared" si="476"/>
        <v>1.6556047699807479</v>
      </c>
      <c r="AJ1436" s="23"/>
      <c r="AK1436" s="158">
        <v>616</v>
      </c>
      <c r="AL1436" s="44"/>
      <c r="AM1436" s="44"/>
      <c r="AN1436" s="44"/>
      <c r="AO1436" s="44"/>
      <c r="AP1436" s="44"/>
      <c r="AQ1436" s="44"/>
      <c r="AR1436" s="44"/>
    </row>
    <row r="1437" spans="1:44" ht="16.8">
      <c r="A1437" s="70" t="s">
        <v>2908</v>
      </c>
      <c r="B1437" s="71"/>
      <c r="C1437" s="71" t="s">
        <v>2905</v>
      </c>
      <c r="D1437" s="19" t="s">
        <v>2906</v>
      </c>
      <c r="E1437" s="20" t="s">
        <v>414</v>
      </c>
      <c r="F1437" s="21">
        <v>1990</v>
      </c>
      <c r="G1437" s="40">
        <v>2023</v>
      </c>
      <c r="H1437" s="23">
        <v>3380201263412</v>
      </c>
      <c r="I1437" s="23">
        <v>13546025168428</v>
      </c>
      <c r="J1437" s="23">
        <v>3813651116409</v>
      </c>
      <c r="K1437" s="23">
        <f t="shared" si="534"/>
        <v>4448274053012.5</v>
      </c>
      <c r="L1437" s="23">
        <v>1915337161256</v>
      </c>
      <c r="M1437" s="23">
        <v>9732374052019</v>
      </c>
      <c r="N1437" s="23">
        <v>3845826296568</v>
      </c>
      <c r="O1437" s="25">
        <f t="shared" si="464"/>
        <v>1464864102156</v>
      </c>
      <c r="P1437" s="23">
        <v>2533934246423</v>
      </c>
      <c r="Q1437" s="23">
        <f>109543154417+551943343263</f>
        <v>661486497680</v>
      </c>
      <c r="R1437" s="25">
        <f t="shared" si="465"/>
        <v>3184339798888</v>
      </c>
      <c r="S1437" s="26">
        <f t="shared" si="466"/>
        <v>0.28153285329024452</v>
      </c>
      <c r="T1437" s="27">
        <f t="shared" si="467"/>
        <v>1.7648074353631826</v>
      </c>
      <c r="U1437" s="26">
        <f t="shared" si="468"/>
        <v>30.237114274716582</v>
      </c>
      <c r="V1437" s="26">
        <f t="shared" si="469"/>
        <v>0.86456595316187745</v>
      </c>
      <c r="W1437" s="143"/>
      <c r="X1437" s="143"/>
      <c r="Y1437" s="143"/>
      <c r="Z1437" s="30">
        <f t="shared" si="533"/>
        <v>0</v>
      </c>
      <c r="AA1437" s="31">
        <f t="shared" si="528"/>
        <v>33</v>
      </c>
      <c r="AB1437" s="32">
        <v>3.2500000000000001E-2</v>
      </c>
      <c r="AC1437" s="32">
        <v>5.0500000000000003E-2</v>
      </c>
      <c r="AD1437" s="33">
        <f t="shared" si="499"/>
        <v>0.10813977413611994</v>
      </c>
      <c r="AE1437" s="34">
        <f t="shared" si="500"/>
        <v>0.18706109097810425</v>
      </c>
      <c r="AF1437" s="33">
        <f t="shared" si="501"/>
        <v>0.2350755855902148</v>
      </c>
      <c r="AG1437" s="33">
        <f t="shared" si="502"/>
        <v>0</v>
      </c>
      <c r="AH1437" s="35">
        <f t="shared" si="503"/>
        <v>1.0084368441624247</v>
      </c>
      <c r="AI1437" s="36">
        <f t="shared" si="476"/>
        <v>2.1758395329428231</v>
      </c>
      <c r="AJ1437" s="23"/>
      <c r="AK1437" s="158">
        <v>617</v>
      </c>
      <c r="AL1437" s="44"/>
      <c r="AM1437" s="44"/>
      <c r="AN1437" s="44"/>
      <c r="AO1437" s="44"/>
      <c r="AP1437" s="44"/>
      <c r="AQ1437" s="44"/>
      <c r="AR1437" s="44"/>
    </row>
    <row r="1438" spans="1:44" ht="16.8">
      <c r="A1438" s="70" t="s">
        <v>2909</v>
      </c>
      <c r="B1438" s="71">
        <v>554</v>
      </c>
      <c r="C1438" s="71" t="s">
        <v>2910</v>
      </c>
      <c r="D1438" s="19" t="s">
        <v>2911</v>
      </c>
      <c r="E1438" s="20" t="s">
        <v>414</v>
      </c>
      <c r="F1438" s="21">
        <v>2007</v>
      </c>
      <c r="G1438" s="40">
        <v>2021</v>
      </c>
      <c r="H1438" s="23">
        <v>542291019615</v>
      </c>
      <c r="I1438" s="23">
        <v>1298789801126</v>
      </c>
      <c r="J1438" s="23">
        <v>641219249238</v>
      </c>
      <c r="K1438" s="23">
        <f>AVERAGE(J1438,415516051937)</f>
        <v>528367650587.5</v>
      </c>
      <c r="L1438" s="23">
        <v>329159072033</v>
      </c>
      <c r="M1438" s="23">
        <v>657570551888</v>
      </c>
      <c r="N1438" s="23">
        <v>1631604805643</v>
      </c>
      <c r="O1438" s="25">
        <f t="shared" si="464"/>
        <v>213131947582</v>
      </c>
      <c r="P1438" s="23">
        <v>56045742052</v>
      </c>
      <c r="Q1438" s="23">
        <f>5165769205+36846256965</f>
        <v>42012026170</v>
      </c>
      <c r="R1438" s="25">
        <f t="shared" si="465"/>
        <v>1589592779473</v>
      </c>
      <c r="S1438" s="26">
        <f t="shared" si="466"/>
        <v>0.49370517745218506</v>
      </c>
      <c r="T1438" s="27">
        <f t="shared" si="467"/>
        <v>1.6475044004275001</v>
      </c>
      <c r="U1438" s="26">
        <f t="shared" si="468"/>
        <v>27.892454024608085</v>
      </c>
      <c r="V1438" s="26">
        <f t="shared" si="469"/>
        <v>3.0880104106085864</v>
      </c>
      <c r="W1438" s="143"/>
      <c r="X1438" s="143"/>
      <c r="Y1438" s="143"/>
      <c r="Z1438" s="30">
        <f t="shared" si="533"/>
        <v>0</v>
      </c>
      <c r="AA1438" s="31">
        <f t="shared" si="528"/>
        <v>14</v>
      </c>
      <c r="AB1438" s="32">
        <v>1.84E-2</v>
      </c>
      <c r="AC1438" s="32">
        <v>2.58E-2</v>
      </c>
      <c r="AD1438" s="33">
        <f t="shared" si="499"/>
        <v>0.1641004167088646</v>
      </c>
      <c r="AE1438" s="34">
        <f t="shared" si="500"/>
        <v>4.3152280687306394E-2</v>
      </c>
      <c r="AF1438" s="33">
        <f t="shared" si="501"/>
        <v>1.2239030350368361</v>
      </c>
      <c r="AG1438" s="33">
        <f t="shared" si="502"/>
        <v>0</v>
      </c>
      <c r="AH1438" s="35">
        <f t="shared" si="503"/>
        <v>2.5445349739296437</v>
      </c>
      <c r="AI1438" s="36">
        <f t="shared" si="476"/>
        <v>6.8407486825640689</v>
      </c>
      <c r="AJ1438" s="23"/>
      <c r="AK1438" s="158">
        <v>618</v>
      </c>
      <c r="AL1438" s="44"/>
      <c r="AM1438" s="44"/>
      <c r="AN1438" s="44"/>
      <c r="AO1438" s="44"/>
      <c r="AP1438" s="44"/>
      <c r="AQ1438" s="44"/>
      <c r="AR1438" s="44"/>
    </row>
    <row r="1439" spans="1:44" ht="16.8">
      <c r="A1439" s="74" t="s">
        <v>2912</v>
      </c>
      <c r="B1439" s="75"/>
      <c r="C1439" s="71" t="s">
        <v>2910</v>
      </c>
      <c r="D1439" s="19" t="s">
        <v>2911</v>
      </c>
      <c r="E1439" s="20" t="s">
        <v>414</v>
      </c>
      <c r="F1439" s="21">
        <v>2007</v>
      </c>
      <c r="G1439" s="40">
        <v>2022</v>
      </c>
      <c r="H1439" s="23">
        <v>507086690811</v>
      </c>
      <c r="I1439" s="23">
        <v>1493942558482</v>
      </c>
      <c r="J1439" s="23">
        <v>758113396480</v>
      </c>
      <c r="K1439" s="23">
        <f t="shared" ref="K1439:K1440" si="535">AVERAGE(J1438:J1439)</f>
        <v>699666322859</v>
      </c>
      <c r="L1439" s="23">
        <v>329481834933</v>
      </c>
      <c r="M1439" s="23">
        <v>735829162002</v>
      </c>
      <c r="N1439" s="23">
        <v>1844793076599</v>
      </c>
      <c r="O1439" s="25">
        <f t="shared" si="464"/>
        <v>177604855878</v>
      </c>
      <c r="P1439" s="23">
        <v>81200439796</v>
      </c>
      <c r="Q1439" s="23">
        <f>4748858296+52353210099</f>
        <v>57102068395</v>
      </c>
      <c r="R1439" s="25">
        <f t="shared" si="465"/>
        <v>1787691008204</v>
      </c>
      <c r="S1439" s="26">
        <f t="shared" si="466"/>
        <v>0.50745819655229685</v>
      </c>
      <c r="T1439" s="27">
        <f t="shared" si="467"/>
        <v>1.5390429366587566</v>
      </c>
      <c r="U1439" s="26">
        <f t="shared" si="468"/>
        <v>28.032439753762141</v>
      </c>
      <c r="V1439" s="26">
        <f t="shared" si="469"/>
        <v>2.6366755356478282</v>
      </c>
      <c r="W1439" s="76"/>
      <c r="X1439" s="76"/>
      <c r="Y1439" s="76"/>
      <c r="Z1439" s="30">
        <f t="shared" si="533"/>
        <v>0</v>
      </c>
      <c r="AA1439" s="31">
        <f t="shared" si="528"/>
        <v>15</v>
      </c>
      <c r="AB1439" s="32">
        <v>3.15E-2</v>
      </c>
      <c r="AC1439" s="32">
        <v>8.0199999999999994E-2</v>
      </c>
      <c r="AD1439" s="33">
        <f t="shared" si="499"/>
        <v>0.11888332310344307</v>
      </c>
      <c r="AE1439" s="34">
        <f t="shared" si="500"/>
        <v>5.4353120429548533E-2</v>
      </c>
      <c r="AF1439" s="33">
        <f t="shared" si="501"/>
        <v>1.1966263348307573</v>
      </c>
      <c r="AG1439" s="33">
        <f t="shared" si="502"/>
        <v>0</v>
      </c>
      <c r="AH1439" s="35">
        <f t="shared" si="503"/>
        <v>2.4333999176964394</v>
      </c>
      <c r="AI1439" s="36">
        <f t="shared" si="476"/>
        <v>6.6010211789634381</v>
      </c>
      <c r="AJ1439" s="76"/>
      <c r="AK1439" s="158">
        <v>619</v>
      </c>
    </row>
    <row r="1440" spans="1:44" ht="16.8">
      <c r="A1440" s="74" t="s">
        <v>2913</v>
      </c>
      <c r="B1440" s="75"/>
      <c r="C1440" s="71" t="s">
        <v>2910</v>
      </c>
      <c r="D1440" s="19" t="s">
        <v>2911</v>
      </c>
      <c r="E1440" s="20" t="s">
        <v>414</v>
      </c>
      <c r="F1440" s="21">
        <v>2007</v>
      </c>
      <c r="G1440" s="40">
        <v>2023</v>
      </c>
      <c r="H1440" s="23">
        <v>653888180348</v>
      </c>
      <c r="I1440" s="23">
        <v>1521525696222</v>
      </c>
      <c r="J1440" s="23">
        <v>762492214987</v>
      </c>
      <c r="K1440" s="23">
        <f t="shared" si="535"/>
        <v>760302805733.5</v>
      </c>
      <c r="L1440" s="23">
        <v>461174129269</v>
      </c>
      <c r="M1440" s="23">
        <v>759033481235</v>
      </c>
      <c r="N1440" s="23">
        <v>1765167951743</v>
      </c>
      <c r="O1440" s="25">
        <f t="shared" si="464"/>
        <v>192714051079</v>
      </c>
      <c r="P1440" s="23">
        <v>84687795019</v>
      </c>
      <c r="Q1440" s="23">
        <f>4765520334+50207507001</f>
        <v>54973027335</v>
      </c>
      <c r="R1440" s="25">
        <f t="shared" si="465"/>
        <v>1710194924408</v>
      </c>
      <c r="S1440" s="26">
        <f t="shared" si="466"/>
        <v>0.50113660050585673</v>
      </c>
      <c r="T1440" s="27">
        <f t="shared" si="467"/>
        <v>1.4178769771506221</v>
      </c>
      <c r="U1440" s="26">
        <f t="shared" si="468"/>
        <v>28.050734694883513</v>
      </c>
      <c r="V1440" s="26">
        <f t="shared" si="469"/>
        <v>2.3216643927021408</v>
      </c>
      <c r="W1440" s="76"/>
      <c r="X1440" s="76"/>
      <c r="Y1440" s="76"/>
      <c r="Z1440" s="30">
        <f t="shared" si="533"/>
        <v>0</v>
      </c>
      <c r="AA1440" s="31">
        <f t="shared" si="528"/>
        <v>16</v>
      </c>
      <c r="AB1440" s="32">
        <v>3.2500000000000001E-2</v>
      </c>
      <c r="AC1440" s="32">
        <v>5.0500000000000003E-2</v>
      </c>
      <c r="AD1440" s="33">
        <f t="shared" si="499"/>
        <v>0.12665842683926767</v>
      </c>
      <c r="AE1440" s="34">
        <f t="shared" si="500"/>
        <v>5.5659786245662937E-2</v>
      </c>
      <c r="AF1440" s="33">
        <f t="shared" si="501"/>
        <v>1.1240000275082256</v>
      </c>
      <c r="AG1440" s="33">
        <f t="shared" si="502"/>
        <v>0</v>
      </c>
      <c r="AH1440" s="35">
        <f t="shared" si="503"/>
        <v>2.3149979987311675</v>
      </c>
      <c r="AI1440" s="36">
        <f t="shared" si="476"/>
        <v>6.2541119024593606</v>
      </c>
      <c r="AJ1440" s="76"/>
      <c r="AK1440" s="158">
        <v>620</v>
      </c>
    </row>
    <row r="1441" spans="1:44" ht="16.8">
      <c r="A1441" s="70" t="s">
        <v>2914</v>
      </c>
      <c r="B1441" s="71">
        <v>555</v>
      </c>
      <c r="C1441" s="71" t="s">
        <v>2915</v>
      </c>
      <c r="D1441" s="19" t="s">
        <v>2916</v>
      </c>
      <c r="E1441" s="20" t="s">
        <v>414</v>
      </c>
      <c r="F1441" s="21">
        <v>2001</v>
      </c>
      <c r="G1441" s="40">
        <v>2021</v>
      </c>
      <c r="H1441" s="23">
        <v>431146109440</v>
      </c>
      <c r="I1441" s="23">
        <v>467761723730</v>
      </c>
      <c r="J1441" s="23">
        <v>300378377622</v>
      </c>
      <c r="K1441" s="23">
        <f>AVERAGE(J1441,339141681959)</f>
        <v>319760029790.5</v>
      </c>
      <c r="L1441" s="23">
        <v>300378377622</v>
      </c>
      <c r="M1441" s="23">
        <v>167383346108</v>
      </c>
      <c r="N1441" s="23">
        <v>510841937122</v>
      </c>
      <c r="O1441" s="25">
        <f t="shared" si="464"/>
        <v>130767731818</v>
      </c>
      <c r="P1441" s="23">
        <v>15674119441</v>
      </c>
      <c r="Q1441" s="23">
        <f>9979351947+19365371016</f>
        <v>29344722963</v>
      </c>
      <c r="R1441" s="25">
        <f t="shared" si="465"/>
        <v>481497214159</v>
      </c>
      <c r="S1441" s="26">
        <f t="shared" si="466"/>
        <v>0.64216108839932251</v>
      </c>
      <c r="T1441" s="27">
        <f t="shared" si="467"/>
        <v>1.4353433587771747</v>
      </c>
      <c r="U1441" s="26">
        <f t="shared" si="468"/>
        <v>26.871224865880578</v>
      </c>
      <c r="V1441" s="26">
        <f t="shared" si="469"/>
        <v>1.5975790890959474</v>
      </c>
      <c r="W1441" s="143"/>
      <c r="X1441" s="143"/>
      <c r="Y1441" s="143"/>
      <c r="Z1441" s="30">
        <f t="shared" si="533"/>
        <v>0</v>
      </c>
      <c r="AA1441" s="31">
        <f t="shared" si="528"/>
        <v>20</v>
      </c>
      <c r="AB1441" s="32">
        <v>1.84E-2</v>
      </c>
      <c r="AC1441" s="32">
        <v>2.58E-2</v>
      </c>
      <c r="AD1441" s="33">
        <f t="shared" si="499"/>
        <v>0.27956056509976723</v>
      </c>
      <c r="AE1441" s="34">
        <f t="shared" si="500"/>
        <v>3.3508768772297769E-2</v>
      </c>
      <c r="AF1441" s="33">
        <f t="shared" si="501"/>
        <v>1.0293642889791648</v>
      </c>
      <c r="AG1441" s="33">
        <f t="shared" si="502"/>
        <v>0</v>
      </c>
      <c r="AH1441" s="35">
        <f t="shared" si="503"/>
        <v>1.7006614829142264</v>
      </c>
      <c r="AI1441" s="36">
        <f t="shared" si="476"/>
        <v>5.4799485909464076</v>
      </c>
      <c r="AJ1441" s="23"/>
      <c r="AK1441" s="158">
        <v>621</v>
      </c>
      <c r="AL1441" s="44"/>
      <c r="AM1441" s="44"/>
      <c r="AN1441" s="44"/>
      <c r="AO1441" s="44"/>
      <c r="AP1441" s="44"/>
      <c r="AQ1441" s="44"/>
      <c r="AR1441" s="44"/>
    </row>
    <row r="1442" spans="1:44" ht="16.8">
      <c r="A1442" s="74" t="s">
        <v>2917</v>
      </c>
      <c r="B1442" s="75"/>
      <c r="C1442" s="71" t="s">
        <v>2915</v>
      </c>
      <c r="D1442" s="19" t="s">
        <v>2916</v>
      </c>
      <c r="E1442" s="20" t="s">
        <v>414</v>
      </c>
      <c r="F1442" s="21">
        <v>2001</v>
      </c>
      <c r="G1442" s="40">
        <v>2022</v>
      </c>
      <c r="H1442" s="23">
        <v>337268555090</v>
      </c>
      <c r="I1442" s="23">
        <v>376125469752</v>
      </c>
      <c r="J1442" s="23">
        <v>213402810498</v>
      </c>
      <c r="K1442" s="23">
        <f t="shared" ref="K1442:K1443" si="536">AVERAGE(J1441:J1442)</f>
        <v>256890594060</v>
      </c>
      <c r="L1442" s="23">
        <v>213402810498</v>
      </c>
      <c r="M1442" s="23">
        <v>162722659254</v>
      </c>
      <c r="N1442" s="23">
        <v>489509946376</v>
      </c>
      <c r="O1442" s="25">
        <f t="shared" si="464"/>
        <v>123865744592</v>
      </c>
      <c r="P1442" s="23">
        <v>10264016818</v>
      </c>
      <c r="Q1442" s="23">
        <f>8987260818+19665023764</f>
        <v>28652284582</v>
      </c>
      <c r="R1442" s="25">
        <f t="shared" si="465"/>
        <v>460857661794</v>
      </c>
      <c r="S1442" s="26">
        <f t="shared" si="466"/>
        <v>0.56737133658804895</v>
      </c>
      <c r="T1442" s="27">
        <f t="shared" si="467"/>
        <v>1.5804316461575414</v>
      </c>
      <c r="U1442" s="26">
        <f t="shared" si="468"/>
        <v>26.653188620821066</v>
      </c>
      <c r="V1442" s="26">
        <f t="shared" si="469"/>
        <v>1.9055191497656347</v>
      </c>
      <c r="W1442" s="76"/>
      <c r="X1442" s="76"/>
      <c r="Y1442" s="76"/>
      <c r="Z1442" s="30">
        <f t="shared" si="533"/>
        <v>0</v>
      </c>
      <c r="AA1442" s="31">
        <f t="shared" si="528"/>
        <v>21</v>
      </c>
      <c r="AB1442" s="32">
        <v>3.15E-2</v>
      </c>
      <c r="AC1442" s="32">
        <v>8.0199999999999994E-2</v>
      </c>
      <c r="AD1442" s="33">
        <f t="shared" si="499"/>
        <v>0.32932027887840576</v>
      </c>
      <c r="AE1442" s="34">
        <f t="shared" si="500"/>
        <v>2.7288810898043213E-2</v>
      </c>
      <c r="AF1442" s="33">
        <f t="shared" si="501"/>
        <v>1.2252764007124233</v>
      </c>
      <c r="AG1442" s="33">
        <f t="shared" si="502"/>
        <v>0</v>
      </c>
      <c r="AH1442" s="35">
        <f t="shared" si="503"/>
        <v>2.2938308320948173</v>
      </c>
      <c r="AI1442" s="36">
        <f t="shared" si="476"/>
        <v>6.7706316243571614</v>
      </c>
      <c r="AJ1442" s="76"/>
      <c r="AK1442" s="158">
        <v>622</v>
      </c>
    </row>
    <row r="1443" spans="1:44" ht="16.8">
      <c r="A1443" s="74" t="s">
        <v>2918</v>
      </c>
      <c r="B1443" s="75"/>
      <c r="C1443" s="71" t="s">
        <v>2915</v>
      </c>
      <c r="D1443" s="19" t="s">
        <v>2916</v>
      </c>
      <c r="E1443" s="20" t="s">
        <v>414</v>
      </c>
      <c r="F1443" s="21">
        <v>2001</v>
      </c>
      <c r="G1443" s="40">
        <v>2023</v>
      </c>
      <c r="H1443" s="23">
        <v>304561844915</v>
      </c>
      <c r="I1443" s="23">
        <v>338058332599</v>
      </c>
      <c r="J1443" s="23">
        <v>175297233660</v>
      </c>
      <c r="K1443" s="23">
        <f t="shared" si="536"/>
        <v>194350022079</v>
      </c>
      <c r="L1443" s="23">
        <v>175297233660</v>
      </c>
      <c r="M1443" s="23">
        <v>162761098939</v>
      </c>
      <c r="N1443" s="23">
        <v>249213956069</v>
      </c>
      <c r="O1443" s="25">
        <f t="shared" si="464"/>
        <v>129264611255</v>
      </c>
      <c r="P1443" s="23">
        <v>10302456503</v>
      </c>
      <c r="Q1443" s="23">
        <f>5198633961+15221270884</f>
        <v>20419904845</v>
      </c>
      <c r="R1443" s="25">
        <f t="shared" si="465"/>
        <v>228794051224</v>
      </c>
      <c r="S1443" s="26">
        <f t="shared" si="466"/>
        <v>0.51854137808794998</v>
      </c>
      <c r="T1443" s="27">
        <f t="shared" si="467"/>
        <v>1.7374024595602966</v>
      </c>
      <c r="U1443" s="26">
        <f t="shared" si="468"/>
        <v>26.546484299192777</v>
      </c>
      <c r="V1443" s="26">
        <f t="shared" si="469"/>
        <v>1.2822944572020616</v>
      </c>
      <c r="W1443" s="76"/>
      <c r="X1443" s="76"/>
      <c r="Y1443" s="76"/>
      <c r="Z1443" s="30">
        <f t="shared" si="533"/>
        <v>0</v>
      </c>
      <c r="AA1443" s="31">
        <f t="shared" si="528"/>
        <v>22</v>
      </c>
      <c r="AB1443" s="32">
        <v>3.2500000000000001E-2</v>
      </c>
      <c r="AC1443" s="32">
        <v>5.0500000000000003E-2</v>
      </c>
      <c r="AD1443" s="33">
        <f t="shared" si="499"/>
        <v>0.38237368758583995</v>
      </c>
      <c r="AE1443" s="34">
        <f t="shared" si="500"/>
        <v>3.0475381049756958E-2</v>
      </c>
      <c r="AF1443" s="33">
        <f t="shared" si="501"/>
        <v>0.67678867568512879</v>
      </c>
      <c r="AG1443" s="33">
        <f t="shared" si="502"/>
        <v>0</v>
      </c>
      <c r="AH1443" s="35">
        <f t="shared" si="503"/>
        <v>1.4216650820192982</v>
      </c>
      <c r="AI1443" s="36">
        <f t="shared" si="476"/>
        <v>4.1565816703528906</v>
      </c>
      <c r="AJ1443" s="76"/>
      <c r="AK1443" s="158">
        <v>623</v>
      </c>
    </row>
    <row r="1444" spans="1:44" ht="16.8">
      <c r="A1444" s="145"/>
      <c r="B1444" s="145">
        <v>556</v>
      </c>
      <c r="C1444" s="145" t="s">
        <v>2919</v>
      </c>
      <c r="D1444" s="146" t="s">
        <v>2920</v>
      </c>
      <c r="E1444" s="147" t="s">
        <v>949</v>
      </c>
      <c r="F1444" s="148"/>
      <c r="G1444" s="148">
        <v>2021</v>
      </c>
      <c r="H1444" s="149"/>
      <c r="I1444" s="149"/>
      <c r="J1444" s="149"/>
      <c r="K1444" s="149"/>
      <c r="L1444" s="149"/>
      <c r="M1444" s="149"/>
      <c r="N1444" s="149"/>
      <c r="O1444" s="149">
        <f t="shared" si="464"/>
        <v>0</v>
      </c>
      <c r="P1444" s="149"/>
      <c r="Q1444" s="149"/>
      <c r="R1444" s="149">
        <f t="shared" si="465"/>
        <v>0</v>
      </c>
      <c r="S1444" s="150" t="e">
        <f t="shared" si="466"/>
        <v>#DIV/0!</v>
      </c>
      <c r="T1444" s="151" t="e">
        <f t="shared" si="467"/>
        <v>#DIV/0!</v>
      </c>
      <c r="U1444" s="150" t="e">
        <f t="shared" si="468"/>
        <v>#NUM!</v>
      </c>
      <c r="V1444" s="150" t="e">
        <f t="shared" si="469"/>
        <v>#DIV/0!</v>
      </c>
      <c r="W1444" s="152"/>
      <c r="X1444" s="152"/>
      <c r="Y1444" s="152"/>
      <c r="Z1444" s="153">
        <f>W1444*Y1444</f>
        <v>0</v>
      </c>
      <c r="AA1444" s="148">
        <f>G1444-F1441</f>
        <v>20</v>
      </c>
      <c r="AB1444" s="149"/>
      <c r="AC1444" s="149"/>
      <c r="AD1444" s="150" t="e">
        <f t="shared" si="499"/>
        <v>#DIV/0!</v>
      </c>
      <c r="AE1444" s="154" t="e">
        <f t="shared" si="500"/>
        <v>#DIV/0!</v>
      </c>
      <c r="AF1444" s="150" t="e">
        <f t="shared" si="501"/>
        <v>#DIV/0!</v>
      </c>
      <c r="AG1444" s="150" t="e">
        <f t="shared" si="502"/>
        <v>#DIV/0!</v>
      </c>
      <c r="AH1444" s="155" t="e">
        <f t="shared" si="503"/>
        <v>#DIV/0!</v>
      </c>
      <c r="AI1444" s="156" t="e">
        <f t="shared" si="476"/>
        <v>#DIV/0!</v>
      </c>
      <c r="AJ1444" s="149"/>
      <c r="AK1444" s="149"/>
      <c r="AL1444" s="157"/>
      <c r="AM1444" s="157"/>
      <c r="AN1444" s="157"/>
      <c r="AO1444" s="157"/>
      <c r="AP1444" s="157"/>
      <c r="AQ1444" s="157"/>
      <c r="AR1444" s="157"/>
    </row>
    <row r="1445" spans="1:44" ht="16.8">
      <c r="A1445" s="70" t="s">
        <v>2921</v>
      </c>
      <c r="B1445" s="71">
        <v>557</v>
      </c>
      <c r="C1445" s="71" t="s">
        <v>2922</v>
      </c>
      <c r="D1445" s="19" t="s">
        <v>2923</v>
      </c>
      <c r="E1445" s="20" t="s">
        <v>414</v>
      </c>
      <c r="F1445" s="21">
        <v>1990</v>
      </c>
      <c r="G1445" s="40">
        <v>2021</v>
      </c>
      <c r="H1445" s="23">
        <v>7051853577</v>
      </c>
      <c r="I1445" s="23">
        <v>18439684991</v>
      </c>
      <c r="J1445" s="23">
        <v>13768451651</v>
      </c>
      <c r="K1445" s="23">
        <f>AVERAGE(J1445,27238024092)</f>
        <v>20503237871.5</v>
      </c>
      <c r="L1445" s="23">
        <v>6754505795</v>
      </c>
      <c r="M1445" s="23">
        <v>4673233340</v>
      </c>
      <c r="N1445" s="23">
        <v>2187415636</v>
      </c>
      <c r="O1445" s="25">
        <f t="shared" si="464"/>
        <v>297347782</v>
      </c>
      <c r="P1445" s="23">
        <v>127606111</v>
      </c>
      <c r="Q1445" s="23">
        <f>129287166+174279229</f>
        <v>303566395</v>
      </c>
      <c r="R1445" s="25">
        <f t="shared" si="465"/>
        <v>1883849241</v>
      </c>
      <c r="S1445" s="26">
        <f t="shared" si="466"/>
        <v>0.74667499242639312</v>
      </c>
      <c r="T1445" s="27">
        <f t="shared" si="467"/>
        <v>1.0440221373738565</v>
      </c>
      <c r="U1445" s="26">
        <f t="shared" si="468"/>
        <v>23.637770972011374</v>
      </c>
      <c r="V1445" s="26">
        <f t="shared" si="469"/>
        <v>0.10668635118556377</v>
      </c>
      <c r="W1445" s="143"/>
      <c r="X1445" s="143"/>
      <c r="Y1445" s="143"/>
      <c r="Z1445" s="30">
        <f t="shared" ref="Z1445:Z1450" si="537">X1445*Y1445</f>
        <v>0</v>
      </c>
      <c r="AA1445" s="31">
        <f t="shared" ref="AA1445:AA1450" si="538">G1445-F1445</f>
        <v>31</v>
      </c>
      <c r="AB1445" s="32">
        <v>1.84E-2</v>
      </c>
      <c r="AC1445" s="32">
        <v>2.58E-2</v>
      </c>
      <c r="AD1445" s="33">
        <f t="shared" si="499"/>
        <v>1.6125426337007864E-2</v>
      </c>
      <c r="AE1445" s="34">
        <f t="shared" si="500"/>
        <v>6.9201893124682824E-3</v>
      </c>
      <c r="AF1445" s="33">
        <f t="shared" si="501"/>
        <v>0.10216276698433108</v>
      </c>
      <c r="AG1445" s="33">
        <f t="shared" si="502"/>
        <v>0</v>
      </c>
      <c r="AH1445" s="35">
        <f t="shared" si="503"/>
        <v>0.15887157767962445</v>
      </c>
      <c r="AI1445" s="36">
        <f t="shared" si="476"/>
        <v>0.52504748536978196</v>
      </c>
      <c r="AJ1445" s="23"/>
      <c r="AK1445" s="158">
        <v>624</v>
      </c>
      <c r="AL1445" s="44"/>
      <c r="AM1445" s="44"/>
      <c r="AN1445" s="44"/>
      <c r="AO1445" s="44"/>
      <c r="AP1445" s="44"/>
      <c r="AQ1445" s="44"/>
      <c r="AR1445" s="44"/>
    </row>
    <row r="1446" spans="1:44" ht="16.8">
      <c r="A1446" s="70" t="s">
        <v>2924</v>
      </c>
      <c r="B1446" s="71"/>
      <c r="C1446" s="71" t="s">
        <v>2922</v>
      </c>
      <c r="D1446" s="19" t="s">
        <v>2923</v>
      </c>
      <c r="E1446" s="20" t="s">
        <v>414</v>
      </c>
      <c r="F1446" s="21">
        <v>1990</v>
      </c>
      <c r="G1446" s="40">
        <v>2022</v>
      </c>
      <c r="H1446" s="23">
        <v>8038560913</v>
      </c>
      <c r="I1446" s="23">
        <v>19798387553</v>
      </c>
      <c r="J1446" s="23">
        <v>14603644212</v>
      </c>
      <c r="K1446" s="23">
        <f t="shared" ref="K1446:K1447" si="539">AVERAGE(J1445:J1446)</f>
        <v>14186047931.5</v>
      </c>
      <c r="L1446" s="23">
        <v>9218063487</v>
      </c>
      <c r="M1446" s="23">
        <v>5194743341</v>
      </c>
      <c r="N1446" s="23">
        <v>5197982826</v>
      </c>
      <c r="O1446" s="25">
        <f t="shared" si="464"/>
        <v>-1179502574</v>
      </c>
      <c r="P1446" s="23">
        <v>1124674840</v>
      </c>
      <c r="Q1446" s="23">
        <f>251938809+1349894514</f>
        <v>1601833323</v>
      </c>
      <c r="R1446" s="25">
        <f t="shared" si="465"/>
        <v>3596149503</v>
      </c>
      <c r="S1446" s="26">
        <f t="shared" si="466"/>
        <v>0.73761785766170374</v>
      </c>
      <c r="T1446" s="27">
        <f t="shared" si="467"/>
        <v>0.87204442932472503</v>
      </c>
      <c r="U1446" s="26">
        <f t="shared" si="468"/>
        <v>23.708866334613578</v>
      </c>
      <c r="V1446" s="26">
        <f t="shared" si="469"/>
        <v>0.36641514614214171</v>
      </c>
      <c r="W1446" s="143"/>
      <c r="X1446" s="143"/>
      <c r="Y1446" s="143"/>
      <c r="Z1446" s="30">
        <f t="shared" si="537"/>
        <v>0</v>
      </c>
      <c r="AA1446" s="31">
        <f t="shared" si="538"/>
        <v>32</v>
      </c>
      <c r="AB1446" s="32">
        <v>3.15E-2</v>
      </c>
      <c r="AC1446" s="32">
        <v>8.0199999999999994E-2</v>
      </c>
      <c r="AD1446" s="33">
        <f t="shared" si="499"/>
        <v>-5.9575688719219609E-2</v>
      </c>
      <c r="AE1446" s="34">
        <f t="shared" si="500"/>
        <v>5.6806385721527144E-2</v>
      </c>
      <c r="AF1446" s="33">
        <f t="shared" si="501"/>
        <v>0.18163850431623077</v>
      </c>
      <c r="AG1446" s="33">
        <f t="shared" si="502"/>
        <v>0</v>
      </c>
      <c r="AH1446" s="35">
        <f t="shared" si="503"/>
        <v>0.35593737772170259</v>
      </c>
      <c r="AI1446" s="36">
        <f t="shared" si="476"/>
        <v>0.96338255551233853</v>
      </c>
      <c r="AJ1446" s="23"/>
      <c r="AK1446" s="158">
        <v>625</v>
      </c>
      <c r="AL1446" s="44"/>
      <c r="AM1446" s="44"/>
      <c r="AN1446" s="44"/>
      <c r="AO1446" s="44"/>
      <c r="AP1446" s="44"/>
      <c r="AQ1446" s="44"/>
      <c r="AR1446" s="44"/>
    </row>
    <row r="1447" spans="1:44" ht="16.8">
      <c r="A1447" s="74" t="s">
        <v>2925</v>
      </c>
      <c r="B1447" s="75"/>
      <c r="C1447" s="71" t="s">
        <v>2922</v>
      </c>
      <c r="D1447" s="19" t="s">
        <v>2923</v>
      </c>
      <c r="E1447" s="20" t="s">
        <v>414</v>
      </c>
      <c r="F1447" s="21">
        <v>1990</v>
      </c>
      <c r="G1447" s="40">
        <v>2023</v>
      </c>
      <c r="H1447" s="23">
        <v>8768525586</v>
      </c>
      <c r="I1447" s="23">
        <v>20903255290</v>
      </c>
      <c r="J1447" s="23">
        <v>14225785185</v>
      </c>
      <c r="K1447" s="23">
        <f t="shared" si="539"/>
        <v>14414714698.5</v>
      </c>
      <c r="L1447" s="23">
        <v>9710404280</v>
      </c>
      <c r="M1447" s="23">
        <v>6677470105</v>
      </c>
      <c r="N1447" s="23">
        <v>6492569736</v>
      </c>
      <c r="O1447" s="25">
        <f t="shared" si="464"/>
        <v>-941878694</v>
      </c>
      <c r="P1447" s="23">
        <v>1781685785</v>
      </c>
      <c r="Q1447" s="23">
        <f>255058076+155100623</f>
        <v>410158699</v>
      </c>
      <c r="R1447" s="25">
        <f t="shared" si="465"/>
        <v>6082411037</v>
      </c>
      <c r="S1447" s="26">
        <f t="shared" si="466"/>
        <v>0.68055357826517748</v>
      </c>
      <c r="T1447" s="27">
        <f t="shared" si="467"/>
        <v>0.90300314313998886</v>
      </c>
      <c r="U1447" s="26">
        <f t="shared" si="468"/>
        <v>23.763170739290938</v>
      </c>
      <c r="V1447" s="26">
        <f t="shared" si="469"/>
        <v>0.45041264234495176</v>
      </c>
      <c r="W1447" s="76"/>
      <c r="X1447" s="76"/>
      <c r="Y1447" s="76"/>
      <c r="Z1447" s="30">
        <f t="shared" si="537"/>
        <v>0</v>
      </c>
      <c r="AA1447" s="31">
        <f t="shared" si="538"/>
        <v>33</v>
      </c>
      <c r="AB1447" s="32">
        <v>3.2500000000000001E-2</v>
      </c>
      <c r="AC1447" s="32">
        <v>5.0500000000000003E-2</v>
      </c>
      <c r="AD1447" s="33">
        <f t="shared" si="499"/>
        <v>-4.5058948041006297E-2</v>
      </c>
      <c r="AE1447" s="34">
        <f t="shared" si="500"/>
        <v>8.5234847887656451E-2</v>
      </c>
      <c r="AF1447" s="33">
        <f t="shared" si="501"/>
        <v>0.29097912993053249</v>
      </c>
      <c r="AG1447" s="33">
        <f t="shared" si="502"/>
        <v>0</v>
      </c>
      <c r="AH1447" s="35">
        <f t="shared" si="503"/>
        <v>0.45639447324467664</v>
      </c>
      <c r="AI1447" s="36">
        <f t="shared" si="476"/>
        <v>1.4818836514089453</v>
      </c>
      <c r="AJ1447" s="76"/>
      <c r="AK1447" s="158">
        <v>626</v>
      </c>
    </row>
    <row r="1448" spans="1:44" ht="16.8">
      <c r="A1448" s="70" t="s">
        <v>2926</v>
      </c>
      <c r="B1448" s="71">
        <v>558</v>
      </c>
      <c r="C1448" s="71" t="s">
        <v>2927</v>
      </c>
      <c r="D1448" s="19" t="s">
        <v>2928</v>
      </c>
      <c r="E1448" s="20" t="s">
        <v>414</v>
      </c>
      <c r="F1448" s="21">
        <v>2009</v>
      </c>
      <c r="G1448" s="40">
        <v>2021</v>
      </c>
      <c r="H1448" s="23">
        <v>1287237970137</v>
      </c>
      <c r="I1448" s="23">
        <v>3232345373971</v>
      </c>
      <c r="J1448" s="23">
        <v>1330315411554</v>
      </c>
      <c r="K1448" s="23">
        <f>AVERAGE(J1448,758754665369)</f>
        <v>1044535038461.5</v>
      </c>
      <c r="L1448" s="23">
        <v>620603862899</v>
      </c>
      <c r="M1448" s="23">
        <v>1902029962417</v>
      </c>
      <c r="N1448" s="23">
        <v>1955301419313</v>
      </c>
      <c r="O1448" s="25">
        <f t="shared" si="464"/>
        <v>666634107238</v>
      </c>
      <c r="P1448" s="23">
        <v>550615355463</v>
      </c>
      <c r="Q1448" s="23">
        <v>85027576435</v>
      </c>
      <c r="R1448" s="25">
        <f t="shared" si="465"/>
        <v>1870273842878</v>
      </c>
      <c r="S1448" s="26">
        <f t="shared" si="466"/>
        <v>0.4115635112097199</v>
      </c>
      <c r="T1448" s="27">
        <f t="shared" si="467"/>
        <v>2.0741700899571924</v>
      </c>
      <c r="U1448" s="26">
        <f t="shared" si="468"/>
        <v>28.804229111636548</v>
      </c>
      <c r="V1448" s="26">
        <f t="shared" si="469"/>
        <v>1.8719347339395829</v>
      </c>
      <c r="W1448" s="143"/>
      <c r="X1448" s="143"/>
      <c r="Y1448" s="143"/>
      <c r="Z1448" s="30">
        <f t="shared" si="537"/>
        <v>0</v>
      </c>
      <c r="AA1448" s="31">
        <f t="shared" si="538"/>
        <v>12</v>
      </c>
      <c r="AB1448" s="32">
        <v>1.84E-2</v>
      </c>
      <c r="AC1448" s="32">
        <v>2.58E-2</v>
      </c>
      <c r="AD1448" s="33">
        <f t="shared" si="499"/>
        <v>0.2062385141780276</v>
      </c>
      <c r="AE1448" s="34">
        <f t="shared" si="500"/>
        <v>0.17034545871766116</v>
      </c>
      <c r="AF1448" s="33">
        <f t="shared" si="501"/>
        <v>0.57861200660631495</v>
      </c>
      <c r="AG1448" s="33">
        <f t="shared" si="502"/>
        <v>0</v>
      </c>
      <c r="AH1448" s="35">
        <f t="shared" si="503"/>
        <v>1.4698028770702778</v>
      </c>
      <c r="AI1448" s="36">
        <f t="shared" si="476"/>
        <v>3.8651923580894758</v>
      </c>
      <c r="AJ1448" s="23"/>
      <c r="AK1448" s="158">
        <v>627</v>
      </c>
      <c r="AL1448" s="44"/>
      <c r="AM1448" s="44"/>
      <c r="AN1448" s="44"/>
      <c r="AO1448" s="44"/>
      <c r="AP1448" s="44"/>
      <c r="AQ1448" s="44"/>
      <c r="AR1448" s="44"/>
    </row>
    <row r="1449" spans="1:44" ht="16.8">
      <c r="A1449" s="74" t="s">
        <v>2929</v>
      </c>
      <c r="B1449" s="75"/>
      <c r="C1449" s="71" t="s">
        <v>2927</v>
      </c>
      <c r="D1449" s="19" t="s">
        <v>2928</v>
      </c>
      <c r="E1449" s="20" t="s">
        <v>414</v>
      </c>
      <c r="F1449" s="21">
        <v>2009</v>
      </c>
      <c r="G1449" s="40">
        <v>2022</v>
      </c>
      <c r="H1449" s="23">
        <v>1744506986111</v>
      </c>
      <c r="I1449" s="23">
        <v>5049419497076</v>
      </c>
      <c r="J1449" s="23">
        <v>2162498791622</v>
      </c>
      <c r="K1449" s="23">
        <f t="shared" ref="K1449:K1450" si="540">AVERAGE(J1448:J1449)</f>
        <v>1746407101588</v>
      </c>
      <c r="L1449" s="23">
        <v>910335413837</v>
      </c>
      <c r="M1449" s="23">
        <v>2886920705454</v>
      </c>
      <c r="N1449" s="23">
        <v>3205610066164</v>
      </c>
      <c r="O1449" s="25">
        <f t="shared" si="464"/>
        <v>834171572274</v>
      </c>
      <c r="P1449" s="23">
        <v>1040793233703</v>
      </c>
      <c r="Q1449" s="23">
        <v>113764933866</v>
      </c>
      <c r="R1449" s="25">
        <f t="shared" si="465"/>
        <v>3091845132298</v>
      </c>
      <c r="S1449" s="26">
        <f t="shared" si="466"/>
        <v>0.42826681222945573</v>
      </c>
      <c r="T1449" s="27">
        <f t="shared" si="467"/>
        <v>1.9163343088653721</v>
      </c>
      <c r="U1449" s="26">
        <f t="shared" si="468"/>
        <v>29.250294401534376</v>
      </c>
      <c r="V1449" s="26">
        <f t="shared" si="469"/>
        <v>1.8355457116780809</v>
      </c>
      <c r="W1449" s="76"/>
      <c r="X1449" s="76"/>
      <c r="Y1449" s="76"/>
      <c r="Z1449" s="30">
        <f t="shared" si="537"/>
        <v>0</v>
      </c>
      <c r="AA1449" s="31">
        <f t="shared" si="538"/>
        <v>13</v>
      </c>
      <c r="AB1449" s="32">
        <v>3.15E-2</v>
      </c>
      <c r="AC1449" s="32">
        <v>8.0199999999999994E-2</v>
      </c>
      <c r="AD1449" s="33">
        <f t="shared" si="499"/>
        <v>0.16520147964672952</v>
      </c>
      <c r="AE1449" s="34">
        <f t="shared" si="500"/>
        <v>0.20612136391236632</v>
      </c>
      <c r="AF1449" s="33">
        <f t="shared" si="501"/>
        <v>0.61231694734185083</v>
      </c>
      <c r="AG1449" s="33">
        <f t="shared" si="502"/>
        <v>0</v>
      </c>
      <c r="AH1449" s="35">
        <f t="shared" si="503"/>
        <v>1.4823638647028357</v>
      </c>
      <c r="AI1449" s="36">
        <f t="shared" si="476"/>
        <v>3.9898214759843311</v>
      </c>
      <c r="AJ1449" s="76"/>
      <c r="AK1449" s="158">
        <v>628</v>
      </c>
    </row>
    <row r="1450" spans="1:44" ht="16.8">
      <c r="A1450" s="74" t="s">
        <v>2930</v>
      </c>
      <c r="B1450" s="75"/>
      <c r="C1450" s="71" t="s">
        <v>2927</v>
      </c>
      <c r="D1450" s="19" t="s">
        <v>2928</v>
      </c>
      <c r="E1450" s="20" t="s">
        <v>414</v>
      </c>
      <c r="F1450" s="21">
        <v>2009</v>
      </c>
      <c r="G1450" s="40">
        <v>2023</v>
      </c>
      <c r="H1450" s="23">
        <v>1600183520090</v>
      </c>
      <c r="I1450" s="23">
        <v>5358949358065</v>
      </c>
      <c r="J1450" s="23">
        <v>2188203556382</v>
      </c>
      <c r="K1450" s="23">
        <f t="shared" si="540"/>
        <v>2175351174002</v>
      </c>
      <c r="L1450" s="23">
        <v>937258799894</v>
      </c>
      <c r="M1450" s="23">
        <v>3170745801683</v>
      </c>
      <c r="N1450" s="23">
        <v>326812372842</v>
      </c>
      <c r="O1450" s="25">
        <f t="shared" si="464"/>
        <v>662924720196</v>
      </c>
      <c r="P1450" s="23">
        <v>357825466214</v>
      </c>
      <c r="Q1450" s="23">
        <v>125377657586</v>
      </c>
      <c r="R1450" s="25">
        <f t="shared" si="465"/>
        <v>201434715256</v>
      </c>
      <c r="S1450" s="26">
        <f t="shared" si="466"/>
        <v>0.40832697048887817</v>
      </c>
      <c r="T1450" s="27">
        <f t="shared" si="467"/>
        <v>1.7073016761976243</v>
      </c>
      <c r="U1450" s="26">
        <f t="shared" si="468"/>
        <v>29.30978905651137</v>
      </c>
      <c r="V1450" s="26">
        <f t="shared" si="469"/>
        <v>0.15023430549871281</v>
      </c>
      <c r="W1450" s="76"/>
      <c r="X1450" s="76"/>
      <c r="Y1450" s="76"/>
      <c r="Z1450" s="30">
        <f t="shared" si="537"/>
        <v>0</v>
      </c>
      <c r="AA1450" s="31">
        <f t="shared" si="538"/>
        <v>14</v>
      </c>
      <c r="AB1450" s="32">
        <v>3.2500000000000001E-2</v>
      </c>
      <c r="AC1450" s="32">
        <v>5.0500000000000003E-2</v>
      </c>
      <c r="AD1450" s="33">
        <f t="shared" si="499"/>
        <v>0.12370423303185826</v>
      </c>
      <c r="AE1450" s="34">
        <f t="shared" si="500"/>
        <v>6.6771570751174819E-2</v>
      </c>
      <c r="AF1450" s="33">
        <f t="shared" si="501"/>
        <v>3.7588471507544477E-2</v>
      </c>
      <c r="AG1450" s="33">
        <f t="shared" si="502"/>
        <v>0</v>
      </c>
      <c r="AH1450" s="35">
        <f t="shared" si="503"/>
        <v>0.14935190644802498</v>
      </c>
      <c r="AI1450" s="36">
        <f t="shared" si="476"/>
        <v>0.51531914111279642</v>
      </c>
      <c r="AJ1450" s="76"/>
      <c r="AK1450" s="158">
        <v>629</v>
      </c>
    </row>
    <row r="1451" spans="1:44" ht="16.8">
      <c r="A1451" s="145"/>
      <c r="B1451" s="145">
        <v>559</v>
      </c>
      <c r="C1451" s="145" t="s">
        <v>2931</v>
      </c>
      <c r="D1451" s="146" t="s">
        <v>2932</v>
      </c>
      <c r="E1451" s="147" t="s">
        <v>178</v>
      </c>
      <c r="F1451" s="148"/>
      <c r="G1451" s="148">
        <v>2021</v>
      </c>
      <c r="H1451" s="149"/>
      <c r="I1451" s="149"/>
      <c r="J1451" s="149"/>
      <c r="K1451" s="149"/>
      <c r="L1451" s="149"/>
      <c r="M1451" s="149"/>
      <c r="N1451" s="149"/>
      <c r="O1451" s="149">
        <f t="shared" si="464"/>
        <v>0</v>
      </c>
      <c r="P1451" s="149"/>
      <c r="Q1451" s="149"/>
      <c r="R1451" s="149">
        <f t="shared" si="465"/>
        <v>0</v>
      </c>
      <c r="S1451" s="150" t="e">
        <f t="shared" si="466"/>
        <v>#DIV/0!</v>
      </c>
      <c r="T1451" s="151" t="e">
        <f t="shared" si="467"/>
        <v>#DIV/0!</v>
      </c>
      <c r="U1451" s="150" t="e">
        <f t="shared" si="468"/>
        <v>#NUM!</v>
      </c>
      <c r="V1451" s="150" t="e">
        <f t="shared" si="469"/>
        <v>#DIV/0!</v>
      </c>
      <c r="W1451" s="152"/>
      <c r="X1451" s="152"/>
      <c r="Y1451" s="152"/>
      <c r="Z1451" s="153">
        <f>W1451*Y1451</f>
        <v>0</v>
      </c>
      <c r="AA1451" s="148">
        <f>G1451-F1448</f>
        <v>12</v>
      </c>
      <c r="AB1451" s="149"/>
      <c r="AC1451" s="149"/>
      <c r="AD1451" s="150" t="e">
        <f t="shared" si="499"/>
        <v>#DIV/0!</v>
      </c>
      <c r="AE1451" s="154" t="e">
        <f t="shared" si="500"/>
        <v>#DIV/0!</v>
      </c>
      <c r="AF1451" s="150" t="e">
        <f t="shared" si="501"/>
        <v>#DIV/0!</v>
      </c>
      <c r="AG1451" s="150" t="e">
        <f t="shared" si="502"/>
        <v>#DIV/0!</v>
      </c>
      <c r="AH1451" s="155" t="e">
        <f t="shared" si="503"/>
        <v>#DIV/0!</v>
      </c>
      <c r="AI1451" s="156" t="e">
        <f t="shared" si="476"/>
        <v>#DIV/0!</v>
      </c>
      <c r="AJ1451" s="149"/>
      <c r="AK1451" s="149"/>
      <c r="AL1451" s="157"/>
      <c r="AM1451" s="157"/>
      <c r="AN1451" s="157"/>
      <c r="AO1451" s="157"/>
      <c r="AP1451" s="157"/>
      <c r="AQ1451" s="157"/>
      <c r="AR1451" s="157"/>
    </row>
    <row r="1452" spans="1:44" ht="16.8">
      <c r="A1452" s="70" t="s">
        <v>2933</v>
      </c>
      <c r="B1452" s="71">
        <v>560</v>
      </c>
      <c r="C1452" s="71" t="s">
        <v>2934</v>
      </c>
      <c r="D1452" s="19" t="s">
        <v>2935</v>
      </c>
      <c r="E1452" s="20" t="s">
        <v>414</v>
      </c>
      <c r="F1452" s="21">
        <v>1960</v>
      </c>
      <c r="G1452" s="40">
        <v>2021</v>
      </c>
      <c r="H1452" s="23">
        <v>456148078013</v>
      </c>
      <c r="I1452" s="23">
        <v>802990455686</v>
      </c>
      <c r="J1452" s="23">
        <v>77221163753</v>
      </c>
      <c r="K1452" s="23">
        <f>AVERAGE(J1452,90523104046)</f>
        <v>83872133899.5</v>
      </c>
      <c r="L1452" s="23">
        <v>77236163753</v>
      </c>
      <c r="M1452" s="23">
        <v>725754291933</v>
      </c>
      <c r="N1452" s="23">
        <v>497919255007</v>
      </c>
      <c r="O1452" s="25">
        <f t="shared" si="464"/>
        <v>378911914260</v>
      </c>
      <c r="P1452" s="23">
        <v>41643368414</v>
      </c>
      <c r="Q1452" s="23">
        <f>25148186054+28308719785</f>
        <v>53456905839</v>
      </c>
      <c r="R1452" s="25">
        <f t="shared" si="465"/>
        <v>444462349168</v>
      </c>
      <c r="S1452" s="26">
        <f t="shared" si="466"/>
        <v>9.6166975841611282E-2</v>
      </c>
      <c r="T1452" s="27">
        <f t="shared" si="467"/>
        <v>5.9058872922761179</v>
      </c>
      <c r="U1452" s="26">
        <f t="shared" si="468"/>
        <v>27.411608665001864</v>
      </c>
      <c r="V1452" s="26">
        <f t="shared" si="469"/>
        <v>5.9366470346829736</v>
      </c>
      <c r="W1452" s="143"/>
      <c r="X1452" s="143"/>
      <c r="Y1452" s="143"/>
      <c r="Z1452" s="30">
        <f t="shared" ref="Z1452:Z1463" si="541">X1452*Y1452</f>
        <v>0</v>
      </c>
      <c r="AA1452" s="31">
        <f t="shared" ref="AA1452:AA1463" si="542">G1452-F1452</f>
        <v>61</v>
      </c>
      <c r="AB1452" s="32">
        <v>1.84E-2</v>
      </c>
      <c r="AC1452" s="32">
        <v>2.58E-2</v>
      </c>
      <c r="AD1452" s="33">
        <f t="shared" si="499"/>
        <v>0.47187598753747712</v>
      </c>
      <c r="AE1452" s="34">
        <f t="shared" si="500"/>
        <v>5.1860352908458668E-2</v>
      </c>
      <c r="AF1452" s="33">
        <f t="shared" si="501"/>
        <v>0.55350888173171731</v>
      </c>
      <c r="AG1452" s="33">
        <f t="shared" si="502"/>
        <v>0</v>
      </c>
      <c r="AH1452" s="35">
        <f t="shared" si="503"/>
        <v>6.4479636256149551</v>
      </c>
      <c r="AI1452" s="36">
        <f t="shared" si="476"/>
        <v>8.9133986144464359</v>
      </c>
      <c r="AJ1452" s="23"/>
      <c r="AK1452" s="158">
        <v>630</v>
      </c>
      <c r="AL1452" s="44"/>
      <c r="AM1452" s="44"/>
      <c r="AN1452" s="44"/>
      <c r="AO1452" s="44"/>
      <c r="AP1452" s="44"/>
      <c r="AQ1452" s="44"/>
      <c r="AR1452" s="44"/>
    </row>
    <row r="1453" spans="1:44" ht="16.8">
      <c r="A1453" s="74" t="s">
        <v>2936</v>
      </c>
      <c r="B1453" s="75"/>
      <c r="C1453" s="71" t="s">
        <v>2934</v>
      </c>
      <c r="D1453" s="19" t="s">
        <v>2935</v>
      </c>
      <c r="E1453" s="20" t="s">
        <v>414</v>
      </c>
      <c r="F1453" s="21">
        <v>1960</v>
      </c>
      <c r="G1453" s="40">
        <v>2022</v>
      </c>
      <c r="H1453" s="23">
        <v>808492330756</v>
      </c>
      <c r="I1453" s="23">
        <v>1325019303064</v>
      </c>
      <c r="J1453" s="23">
        <v>83658309752</v>
      </c>
      <c r="K1453" s="23">
        <f t="shared" ref="K1453:K1454" si="543">AVERAGE(J1452:J1453)</f>
        <v>80439736752.5</v>
      </c>
      <c r="L1453" s="23">
        <v>83658309752</v>
      </c>
      <c r="M1453" s="23">
        <v>1241360993312</v>
      </c>
      <c r="N1453" s="23">
        <v>632794475004</v>
      </c>
      <c r="O1453" s="25">
        <f t="shared" si="464"/>
        <v>724834021004</v>
      </c>
      <c r="P1453" s="23">
        <v>7613760364</v>
      </c>
      <c r="Q1453" s="23">
        <f>29680077438+226800366536</f>
        <v>256480443974</v>
      </c>
      <c r="R1453" s="25">
        <f t="shared" si="465"/>
        <v>376314031030</v>
      </c>
      <c r="S1453" s="26">
        <f t="shared" si="466"/>
        <v>6.3137427174492416E-2</v>
      </c>
      <c r="T1453" s="27">
        <f t="shared" si="467"/>
        <v>9.6642202448594361</v>
      </c>
      <c r="U1453" s="26">
        <f t="shared" si="468"/>
        <v>27.912448143610806</v>
      </c>
      <c r="V1453" s="26">
        <f t="shared" si="469"/>
        <v>7.8666900284744319</v>
      </c>
      <c r="W1453" s="76"/>
      <c r="X1453" s="76"/>
      <c r="Y1453" s="76"/>
      <c r="Z1453" s="30">
        <f t="shared" si="541"/>
        <v>0</v>
      </c>
      <c r="AA1453" s="31">
        <f t="shared" si="542"/>
        <v>62</v>
      </c>
      <c r="AB1453" s="32">
        <v>3.15E-2</v>
      </c>
      <c r="AC1453" s="32">
        <v>8.0199999999999994E-2</v>
      </c>
      <c r="AD1453" s="33">
        <f t="shared" si="499"/>
        <v>0.54703657473357548</v>
      </c>
      <c r="AE1453" s="34">
        <f t="shared" si="500"/>
        <v>5.7461505250480461E-3</v>
      </c>
      <c r="AF1453" s="33">
        <f t="shared" si="501"/>
        <v>0.28400645195115592</v>
      </c>
      <c r="AG1453" s="33">
        <f t="shared" si="502"/>
        <v>0</v>
      </c>
      <c r="AH1453" s="35">
        <f t="shared" si="503"/>
        <v>7.5640360996998499</v>
      </c>
      <c r="AI1453" s="36">
        <f t="shared" si="476"/>
        <v>9.1657458915540229</v>
      </c>
      <c r="AJ1453" s="76"/>
      <c r="AK1453" s="158">
        <v>631</v>
      </c>
    </row>
    <row r="1454" spans="1:44" ht="16.8">
      <c r="A1454" s="74" t="s">
        <v>2937</v>
      </c>
      <c r="B1454" s="75"/>
      <c r="C1454" s="71" t="s">
        <v>2934</v>
      </c>
      <c r="D1454" s="19" t="s">
        <v>2935</v>
      </c>
      <c r="E1454" s="20" t="s">
        <v>414</v>
      </c>
      <c r="F1454" s="21">
        <v>1960</v>
      </c>
      <c r="G1454" s="40">
        <v>2023</v>
      </c>
      <c r="H1454" s="23">
        <v>777385166190</v>
      </c>
      <c r="I1454" s="23">
        <v>1275256787112</v>
      </c>
      <c r="J1454" s="23">
        <v>71058599255</v>
      </c>
      <c r="K1454" s="23">
        <f t="shared" si="543"/>
        <v>77358454503.5</v>
      </c>
      <c r="L1454" s="23">
        <v>71058599255</v>
      </c>
      <c r="M1454" s="23">
        <v>1204198187857</v>
      </c>
      <c r="N1454" s="23">
        <v>299796286824</v>
      </c>
      <c r="O1454" s="25">
        <f t="shared" si="464"/>
        <v>706326566935</v>
      </c>
      <c r="P1454" s="23">
        <v>18310845545</v>
      </c>
      <c r="Q1454" s="23">
        <f>12357365205+50162142769</f>
        <v>62519507974</v>
      </c>
      <c r="R1454" s="25">
        <f t="shared" si="465"/>
        <v>237276778850</v>
      </c>
      <c r="S1454" s="26">
        <f t="shared" si="466"/>
        <v>5.5721012405605216E-2</v>
      </c>
      <c r="T1454" s="27">
        <f t="shared" si="467"/>
        <v>10.940057562917689</v>
      </c>
      <c r="U1454" s="26">
        <f t="shared" si="468"/>
        <v>27.874168675916817</v>
      </c>
      <c r="V1454" s="26">
        <f t="shared" si="469"/>
        <v>3.8754172216617389</v>
      </c>
      <c r="W1454" s="76"/>
      <c r="X1454" s="76"/>
      <c r="Y1454" s="76"/>
      <c r="Z1454" s="30">
        <f t="shared" si="541"/>
        <v>0</v>
      </c>
      <c r="AA1454" s="31">
        <f t="shared" si="542"/>
        <v>63</v>
      </c>
      <c r="AB1454" s="32">
        <v>3.2500000000000001E-2</v>
      </c>
      <c r="AC1454" s="32">
        <v>5.0500000000000003E-2</v>
      </c>
      <c r="AD1454" s="33">
        <f t="shared" si="499"/>
        <v>0.55387007077576644</v>
      </c>
      <c r="AE1454" s="34">
        <f t="shared" si="500"/>
        <v>1.4358555649382199E-2</v>
      </c>
      <c r="AF1454" s="33">
        <f t="shared" si="501"/>
        <v>0.18606196120496402</v>
      </c>
      <c r="AG1454" s="33">
        <f t="shared" si="502"/>
        <v>0</v>
      </c>
      <c r="AH1454" s="35">
        <f t="shared" si="503"/>
        <v>4.2190007960634688</v>
      </c>
      <c r="AI1454" s="36">
        <f t="shared" si="476"/>
        <v>5.5177513308799053</v>
      </c>
      <c r="AJ1454" s="76"/>
      <c r="AK1454" s="158">
        <v>632</v>
      </c>
    </row>
    <row r="1455" spans="1:44" ht="16.8">
      <c r="A1455" s="70" t="s">
        <v>2938</v>
      </c>
      <c r="B1455" s="71">
        <v>561</v>
      </c>
      <c r="C1455" s="71" t="s">
        <v>2939</v>
      </c>
      <c r="D1455" s="19" t="s">
        <v>2940</v>
      </c>
      <c r="E1455" s="20" t="s">
        <v>414</v>
      </c>
      <c r="F1455" s="21">
        <v>2007</v>
      </c>
      <c r="G1455" s="40">
        <v>2021</v>
      </c>
      <c r="H1455" s="23">
        <v>90655321141</v>
      </c>
      <c r="I1455" s="23">
        <v>1253935213844</v>
      </c>
      <c r="J1455" s="23">
        <v>184299074691</v>
      </c>
      <c r="K1455" s="23">
        <f>AVERAGE(J1455,225764582989)</f>
        <v>205031828840</v>
      </c>
      <c r="L1455" s="23">
        <v>33812131564</v>
      </c>
      <c r="M1455" s="23">
        <v>1069636139153</v>
      </c>
      <c r="N1455" s="23">
        <v>42697462993</v>
      </c>
      <c r="O1455" s="25">
        <f t="shared" si="464"/>
        <v>56843189577</v>
      </c>
      <c r="P1455" s="23">
        <v>35576486753</v>
      </c>
      <c r="Q1455" s="23">
        <v>11121153827</v>
      </c>
      <c r="R1455" s="25">
        <f t="shared" si="465"/>
        <v>31576309166</v>
      </c>
      <c r="S1455" s="26">
        <f t="shared" si="466"/>
        <v>0.14697655242173327</v>
      </c>
      <c r="T1455" s="27">
        <f t="shared" si="467"/>
        <v>2.6811477699773687</v>
      </c>
      <c r="U1455" s="26">
        <f t="shared" si="468"/>
        <v>27.857307893203391</v>
      </c>
      <c r="V1455" s="26">
        <f t="shared" si="469"/>
        <v>0.20824797415390406</v>
      </c>
      <c r="W1455" s="143"/>
      <c r="X1455" s="143"/>
      <c r="Y1455" s="143"/>
      <c r="Z1455" s="30">
        <f t="shared" si="541"/>
        <v>0</v>
      </c>
      <c r="AA1455" s="31">
        <f t="shared" si="542"/>
        <v>14</v>
      </c>
      <c r="AB1455" s="32">
        <v>1.84E-2</v>
      </c>
      <c r="AC1455" s="32">
        <v>2.58E-2</v>
      </c>
      <c r="AD1455" s="33">
        <f t="shared" si="499"/>
        <v>4.5331839276404405E-2</v>
      </c>
      <c r="AE1455" s="34">
        <f t="shared" si="500"/>
        <v>2.837186990222448E-2</v>
      </c>
      <c r="AF1455" s="33">
        <f t="shared" si="501"/>
        <v>2.5181770810312656E-2</v>
      </c>
      <c r="AG1455" s="33">
        <f t="shared" si="502"/>
        <v>0</v>
      </c>
      <c r="AH1455" s="35">
        <f t="shared" si="503"/>
        <v>0.23167486361278553</v>
      </c>
      <c r="AI1455" s="36">
        <f t="shared" si="476"/>
        <v>0.40889353228161684</v>
      </c>
      <c r="AJ1455" s="23"/>
      <c r="AK1455" s="158">
        <v>633</v>
      </c>
      <c r="AL1455" s="44"/>
      <c r="AM1455" s="44"/>
      <c r="AN1455" s="44"/>
      <c r="AO1455" s="44"/>
      <c r="AP1455" s="44"/>
      <c r="AQ1455" s="44"/>
      <c r="AR1455" s="44"/>
    </row>
    <row r="1456" spans="1:44" ht="16.8">
      <c r="A1456" s="74" t="s">
        <v>2941</v>
      </c>
      <c r="B1456" s="75"/>
      <c r="C1456" s="71" t="s">
        <v>2939</v>
      </c>
      <c r="D1456" s="19" t="s">
        <v>2940</v>
      </c>
      <c r="E1456" s="20" t="s">
        <v>414</v>
      </c>
      <c r="F1456" s="21">
        <v>2007</v>
      </c>
      <c r="G1456" s="40">
        <v>2022</v>
      </c>
      <c r="H1456" s="23">
        <v>262885207031</v>
      </c>
      <c r="I1456" s="23">
        <v>1120632874640</v>
      </c>
      <c r="J1456" s="23">
        <v>89334556446</v>
      </c>
      <c r="K1456" s="23">
        <f t="shared" ref="K1456:K1457" si="544">AVERAGE(J1455:J1456)</f>
        <v>136816815568.5</v>
      </c>
      <c r="L1456" s="23">
        <v>87795356446</v>
      </c>
      <c r="M1456" s="23">
        <v>1031298318194</v>
      </c>
      <c r="N1456" s="23">
        <v>144961003809</v>
      </c>
      <c r="O1456" s="25">
        <f t="shared" si="464"/>
        <v>175089850585</v>
      </c>
      <c r="P1456" s="23">
        <v>-43791581326</v>
      </c>
      <c r="Q1456" s="23">
        <v>4584947722</v>
      </c>
      <c r="R1456" s="25">
        <f t="shared" si="465"/>
        <v>140376056087</v>
      </c>
      <c r="S1456" s="26">
        <f t="shared" si="466"/>
        <v>7.9717950871911067E-2</v>
      </c>
      <c r="T1456" s="27">
        <f t="shared" si="467"/>
        <v>2.9942951161966285</v>
      </c>
      <c r="U1456" s="26">
        <f t="shared" si="468"/>
        <v>27.74491470828837</v>
      </c>
      <c r="V1456" s="26">
        <f t="shared" si="469"/>
        <v>1.0595262227574831</v>
      </c>
      <c r="W1456" s="76"/>
      <c r="X1456" s="76"/>
      <c r="Y1456" s="76"/>
      <c r="Z1456" s="30">
        <f t="shared" si="541"/>
        <v>0</v>
      </c>
      <c r="AA1456" s="31">
        <f t="shared" si="542"/>
        <v>15</v>
      </c>
      <c r="AB1456" s="32">
        <v>3.15E-2</v>
      </c>
      <c r="AC1456" s="32">
        <v>8.0199999999999994E-2</v>
      </c>
      <c r="AD1456" s="33">
        <f t="shared" si="499"/>
        <v>0.15624193663000213</v>
      </c>
      <c r="AE1456" s="34">
        <f t="shared" si="500"/>
        <v>-3.9077544766896039E-2</v>
      </c>
      <c r="AF1456" s="33">
        <f t="shared" si="501"/>
        <v>0.12526498130094157</v>
      </c>
      <c r="AG1456" s="33">
        <f t="shared" si="502"/>
        <v>0</v>
      </c>
      <c r="AH1456" s="35">
        <f t="shared" si="503"/>
        <v>1.6226755868724156</v>
      </c>
      <c r="AI1456" s="36">
        <f t="shared" si="476"/>
        <v>2.1688317864478708</v>
      </c>
      <c r="AJ1456" s="76"/>
      <c r="AK1456" s="158">
        <v>634</v>
      </c>
    </row>
    <row r="1457" spans="1:44" ht="16.8">
      <c r="A1457" s="74" t="s">
        <v>2942</v>
      </c>
      <c r="B1457" s="75"/>
      <c r="C1457" s="71" t="s">
        <v>2939</v>
      </c>
      <c r="D1457" s="19" t="s">
        <v>2940</v>
      </c>
      <c r="E1457" s="20" t="s">
        <v>414</v>
      </c>
      <c r="F1457" s="21">
        <v>2007</v>
      </c>
      <c r="G1457" s="40">
        <v>2023</v>
      </c>
      <c r="H1457" s="23">
        <v>302212422315</v>
      </c>
      <c r="I1457" s="23">
        <v>1071589346747</v>
      </c>
      <c r="J1457" s="23">
        <v>4715197280</v>
      </c>
      <c r="K1457" s="23">
        <f t="shared" si="544"/>
        <v>47024876863</v>
      </c>
      <c r="L1457" s="23">
        <v>4097597280</v>
      </c>
      <c r="M1457" s="23">
        <v>1066874149467</v>
      </c>
      <c r="N1457" s="23">
        <v>18271816853</v>
      </c>
      <c r="O1457" s="25">
        <f t="shared" si="464"/>
        <v>298114825035</v>
      </c>
      <c r="P1457" s="23">
        <v>35939331273</v>
      </c>
      <c r="Q1457" s="23">
        <v>7624360669</v>
      </c>
      <c r="R1457" s="25">
        <f t="shared" si="465"/>
        <v>10647456184</v>
      </c>
      <c r="S1457" s="26">
        <f t="shared" si="466"/>
        <v>4.4001905154374852E-3</v>
      </c>
      <c r="T1457" s="27">
        <f t="shared" si="467"/>
        <v>73.753568655970994</v>
      </c>
      <c r="U1457" s="26">
        <f t="shared" si="468"/>
        <v>27.700164033121947</v>
      </c>
      <c r="V1457" s="26">
        <f t="shared" si="469"/>
        <v>0.38855639975905149</v>
      </c>
      <c r="W1457" s="76"/>
      <c r="X1457" s="76"/>
      <c r="Y1457" s="76"/>
      <c r="Z1457" s="30">
        <f t="shared" si="541"/>
        <v>0</v>
      </c>
      <c r="AA1457" s="31">
        <f t="shared" si="542"/>
        <v>16</v>
      </c>
      <c r="AB1457" s="32">
        <v>3.2500000000000001E-2</v>
      </c>
      <c r="AC1457" s="32">
        <v>5.0500000000000003E-2</v>
      </c>
      <c r="AD1457" s="33">
        <f t="shared" si="499"/>
        <v>0.2781987577050673</v>
      </c>
      <c r="AE1457" s="34">
        <f t="shared" si="500"/>
        <v>3.3538343192847361E-2</v>
      </c>
      <c r="AF1457" s="33">
        <f t="shared" si="501"/>
        <v>9.9361347855148486E-3</v>
      </c>
      <c r="AG1457" s="33">
        <f t="shared" si="502"/>
        <v>0</v>
      </c>
      <c r="AH1457" s="35">
        <f t="shared" si="503"/>
        <v>3.8750906415945336</v>
      </c>
      <c r="AI1457" s="36">
        <f t="shared" si="476"/>
        <v>4.2886720761027997</v>
      </c>
      <c r="AJ1457" s="76"/>
      <c r="AK1457" s="158">
        <v>635</v>
      </c>
    </row>
    <row r="1458" spans="1:44" ht="16.8">
      <c r="A1458" s="70" t="s">
        <v>2943</v>
      </c>
      <c r="B1458" s="71">
        <v>562</v>
      </c>
      <c r="C1458" s="71" t="s">
        <v>2944</v>
      </c>
      <c r="D1458" s="19" t="s">
        <v>2945</v>
      </c>
      <c r="E1458" s="20" t="s">
        <v>414</v>
      </c>
      <c r="F1458" s="21">
        <v>1996</v>
      </c>
      <c r="G1458" s="40">
        <v>2021</v>
      </c>
      <c r="H1458" s="23">
        <v>179749399623</v>
      </c>
      <c r="I1458" s="23">
        <v>202626115905</v>
      </c>
      <c r="J1458" s="23">
        <v>61052827309</v>
      </c>
      <c r="K1458" s="23">
        <f>AVERAGE(J1458,59331512973)</f>
        <v>60192170141</v>
      </c>
      <c r="L1458" s="23">
        <v>60763777286</v>
      </c>
      <c r="M1458" s="23">
        <v>141573288596</v>
      </c>
      <c r="N1458" s="23">
        <v>197530930686</v>
      </c>
      <c r="O1458" s="25">
        <f t="shared" si="464"/>
        <v>118985622337</v>
      </c>
      <c r="P1458" s="23">
        <v>2946974001</v>
      </c>
      <c r="Q1458" s="23">
        <v>11270562575</v>
      </c>
      <c r="R1458" s="25">
        <f t="shared" si="465"/>
        <v>186260368111</v>
      </c>
      <c r="S1458" s="26">
        <f t="shared" si="466"/>
        <v>0.30130779063851887</v>
      </c>
      <c r="T1458" s="27">
        <f t="shared" si="467"/>
        <v>2.9581669812422002</v>
      </c>
      <c r="U1458" s="26">
        <f t="shared" si="468"/>
        <v>26.03462832422953</v>
      </c>
      <c r="V1458" s="26">
        <f t="shared" si="469"/>
        <v>3.2816715234437357</v>
      </c>
      <c r="W1458" s="143"/>
      <c r="X1458" s="143"/>
      <c r="Y1458" s="143"/>
      <c r="Z1458" s="30">
        <f t="shared" si="541"/>
        <v>0</v>
      </c>
      <c r="AA1458" s="31">
        <f t="shared" si="542"/>
        <v>25</v>
      </c>
      <c r="AB1458" s="32">
        <v>1.84E-2</v>
      </c>
      <c r="AC1458" s="32">
        <v>2.58E-2</v>
      </c>
      <c r="AD1458" s="33">
        <f t="shared" si="499"/>
        <v>0.58721760423412384</v>
      </c>
      <c r="AE1458" s="34">
        <f t="shared" si="500"/>
        <v>1.4543900167250259E-2</v>
      </c>
      <c r="AF1458" s="33">
        <f t="shared" si="501"/>
        <v>0.91923179437702407</v>
      </c>
      <c r="AG1458" s="33">
        <f t="shared" si="502"/>
        <v>0</v>
      </c>
      <c r="AH1458" s="35">
        <f t="shared" si="503"/>
        <v>3.2354100439322537</v>
      </c>
      <c r="AI1458" s="36">
        <f t="shared" si="476"/>
        <v>6.993897550691532</v>
      </c>
      <c r="AJ1458" s="23"/>
      <c r="AK1458" s="158">
        <v>636</v>
      </c>
      <c r="AL1458" s="44"/>
      <c r="AM1458" s="44"/>
      <c r="AN1458" s="44"/>
      <c r="AO1458" s="44"/>
      <c r="AP1458" s="44"/>
      <c r="AQ1458" s="44"/>
      <c r="AR1458" s="44"/>
    </row>
    <row r="1459" spans="1:44" ht="16.8">
      <c r="A1459" s="74" t="s">
        <v>2946</v>
      </c>
      <c r="B1459" s="75"/>
      <c r="C1459" s="71" t="s">
        <v>2944</v>
      </c>
      <c r="D1459" s="19" t="s">
        <v>2945</v>
      </c>
      <c r="E1459" s="20" t="s">
        <v>414</v>
      </c>
      <c r="F1459" s="21">
        <v>1996</v>
      </c>
      <c r="G1459" s="40">
        <v>2022</v>
      </c>
      <c r="H1459" s="23">
        <v>180405545989</v>
      </c>
      <c r="I1459" s="23">
        <v>220185600065</v>
      </c>
      <c r="J1459" s="23">
        <v>79503752525</v>
      </c>
      <c r="K1459" s="23">
        <f t="shared" ref="K1459:K1460" si="545">AVERAGE(J1458:J1459)</f>
        <v>70278289917</v>
      </c>
      <c r="L1459" s="23">
        <v>71535323341</v>
      </c>
      <c r="M1459" s="23">
        <v>140681847540</v>
      </c>
      <c r="N1459" s="23">
        <v>145551346626</v>
      </c>
      <c r="O1459" s="25">
        <f t="shared" si="464"/>
        <v>108870222648</v>
      </c>
      <c r="P1459" s="23">
        <v>721888942</v>
      </c>
      <c r="Q1459" s="23">
        <v>8394813204</v>
      </c>
      <c r="R1459" s="25">
        <f t="shared" si="465"/>
        <v>137156533422</v>
      </c>
      <c r="S1459" s="26">
        <f t="shared" si="466"/>
        <v>0.36107607628078336</v>
      </c>
      <c r="T1459" s="27">
        <f t="shared" si="467"/>
        <v>2.5219085839457125</v>
      </c>
      <c r="U1459" s="26">
        <f t="shared" si="468"/>
        <v>26.117736664296476</v>
      </c>
      <c r="V1459" s="26">
        <f t="shared" si="469"/>
        <v>2.0710712625178971</v>
      </c>
      <c r="W1459" s="76"/>
      <c r="X1459" s="76"/>
      <c r="Y1459" s="76"/>
      <c r="Z1459" s="30">
        <f t="shared" si="541"/>
        <v>0</v>
      </c>
      <c r="AA1459" s="31">
        <f t="shared" si="542"/>
        <v>26</v>
      </c>
      <c r="AB1459" s="32">
        <v>3.15E-2</v>
      </c>
      <c r="AC1459" s="32">
        <v>8.0199999999999994E-2</v>
      </c>
      <c r="AD1459" s="33">
        <f t="shared" si="499"/>
        <v>0.49444751435089718</v>
      </c>
      <c r="AE1459" s="34">
        <f t="shared" si="500"/>
        <v>3.2785474698931011E-3</v>
      </c>
      <c r="AF1459" s="33">
        <f t="shared" si="501"/>
        <v>0.62291327580691302</v>
      </c>
      <c r="AG1459" s="33">
        <f t="shared" si="502"/>
        <v>0</v>
      </c>
      <c r="AH1459" s="35">
        <f t="shared" si="503"/>
        <v>1.8307481345642307</v>
      </c>
      <c r="AI1459" s="36">
        <f t="shared" si="476"/>
        <v>4.4842889284059702</v>
      </c>
      <c r="AJ1459" s="76"/>
      <c r="AK1459" s="158">
        <v>637</v>
      </c>
    </row>
    <row r="1460" spans="1:44" ht="16.8">
      <c r="A1460" s="74" t="s">
        <v>2947</v>
      </c>
      <c r="B1460" s="75"/>
      <c r="C1460" s="71" t="s">
        <v>2944</v>
      </c>
      <c r="D1460" s="19" t="s">
        <v>2945</v>
      </c>
      <c r="E1460" s="20" t="s">
        <v>414</v>
      </c>
      <c r="F1460" s="21">
        <v>1996</v>
      </c>
      <c r="G1460" s="40">
        <v>2023</v>
      </c>
      <c r="H1460" s="23">
        <v>178118163168</v>
      </c>
      <c r="I1460" s="23">
        <v>213945608926</v>
      </c>
      <c r="J1460" s="23">
        <v>74825466608</v>
      </c>
      <c r="K1460" s="23">
        <f t="shared" si="545"/>
        <v>77164609566.5</v>
      </c>
      <c r="L1460" s="23">
        <v>66724120208</v>
      </c>
      <c r="M1460" s="23">
        <v>139120142318</v>
      </c>
      <c r="N1460" s="23">
        <v>115619862855</v>
      </c>
      <c r="O1460" s="25">
        <f t="shared" si="464"/>
        <v>111394042960</v>
      </c>
      <c r="P1460" s="23">
        <v>317453125</v>
      </c>
      <c r="Q1460" s="23">
        <v>10503677566</v>
      </c>
      <c r="R1460" s="25">
        <f t="shared" si="465"/>
        <v>105116185289</v>
      </c>
      <c r="S1460" s="26">
        <f t="shared" si="466"/>
        <v>0.3497406045565572</v>
      </c>
      <c r="T1460" s="27">
        <f t="shared" si="467"/>
        <v>2.6694718883178954</v>
      </c>
      <c r="U1460" s="26">
        <f t="shared" si="468"/>
        <v>26.088987655765948</v>
      </c>
      <c r="V1460" s="26">
        <f t="shared" si="469"/>
        <v>1.4983535004522959</v>
      </c>
      <c r="W1460" s="76"/>
      <c r="X1460" s="76"/>
      <c r="Y1460" s="76"/>
      <c r="Z1460" s="30">
        <f t="shared" si="541"/>
        <v>0</v>
      </c>
      <c r="AA1460" s="31">
        <f t="shared" si="542"/>
        <v>27</v>
      </c>
      <c r="AB1460" s="32">
        <v>3.2500000000000001E-2</v>
      </c>
      <c r="AC1460" s="32">
        <v>5.0500000000000003E-2</v>
      </c>
      <c r="AD1460" s="33">
        <f t="shared" si="499"/>
        <v>0.52066524533592662</v>
      </c>
      <c r="AE1460" s="34">
        <f t="shared" si="500"/>
        <v>1.4838029468966639E-3</v>
      </c>
      <c r="AF1460" s="33">
        <f t="shared" si="501"/>
        <v>0.49132200383396429</v>
      </c>
      <c r="AG1460" s="33">
        <f t="shared" si="502"/>
        <v>0</v>
      </c>
      <c r="AH1460" s="35">
        <f t="shared" si="503"/>
        <v>1.5451940107599469</v>
      </c>
      <c r="AI1460" s="36">
        <f t="shared" si="476"/>
        <v>3.7934322419407964</v>
      </c>
      <c r="AJ1460" s="76"/>
      <c r="AK1460" s="158">
        <v>638</v>
      </c>
    </row>
    <row r="1461" spans="1:44" ht="16.8">
      <c r="A1461" s="70" t="s">
        <v>2948</v>
      </c>
      <c r="B1461" s="71">
        <v>563</v>
      </c>
      <c r="C1461" s="71" t="s">
        <v>2949</v>
      </c>
      <c r="D1461" s="19" t="s">
        <v>2950</v>
      </c>
      <c r="E1461" s="20" t="s">
        <v>414</v>
      </c>
      <c r="F1461" s="21">
        <v>2000</v>
      </c>
      <c r="G1461" s="40">
        <v>2021</v>
      </c>
      <c r="H1461" s="23">
        <v>935778061624</v>
      </c>
      <c r="I1461" s="23">
        <v>1277216734272</v>
      </c>
      <c r="J1461" s="23">
        <v>567211061499</v>
      </c>
      <c r="K1461" s="23">
        <f>AVERAGE(J1461,697068783129)</f>
        <v>632139922314</v>
      </c>
      <c r="L1461" s="23">
        <v>563205914703</v>
      </c>
      <c r="M1461" s="23">
        <v>710005672773</v>
      </c>
      <c r="N1461" s="23">
        <v>5551485307629</v>
      </c>
      <c r="O1461" s="25">
        <f t="shared" si="464"/>
        <v>372572146921</v>
      </c>
      <c r="P1461" s="23">
        <v>159847710227</v>
      </c>
      <c r="Q1461" s="23">
        <f>118699606021+47764854613</f>
        <v>166464460634</v>
      </c>
      <c r="R1461" s="25">
        <f t="shared" si="465"/>
        <v>5385020846995</v>
      </c>
      <c r="S1461" s="26">
        <f t="shared" si="466"/>
        <v>0.44409930302260275</v>
      </c>
      <c r="T1461" s="27">
        <f t="shared" si="467"/>
        <v>1.6615203022458873</v>
      </c>
      <c r="U1461" s="26">
        <f t="shared" si="468"/>
        <v>27.875704400012509</v>
      </c>
      <c r="V1461" s="26">
        <f t="shared" si="469"/>
        <v>8.782051428277672</v>
      </c>
      <c r="W1461" s="143"/>
      <c r="X1461" s="143"/>
      <c r="Y1461" s="143"/>
      <c r="Z1461" s="30">
        <f t="shared" si="541"/>
        <v>0</v>
      </c>
      <c r="AA1461" s="31">
        <f t="shared" si="542"/>
        <v>21</v>
      </c>
      <c r="AB1461" s="32">
        <v>1.84E-2</v>
      </c>
      <c r="AC1461" s="32">
        <v>2.58E-2</v>
      </c>
      <c r="AD1461" s="33">
        <f t="shared" si="499"/>
        <v>0.29170628361157686</v>
      </c>
      <c r="AE1461" s="34">
        <f t="shared" si="500"/>
        <v>0.1251531599436109</v>
      </c>
      <c r="AF1461" s="33">
        <f t="shared" si="501"/>
        <v>4.2162153865486305</v>
      </c>
      <c r="AG1461" s="33">
        <f t="shared" si="502"/>
        <v>0</v>
      </c>
      <c r="AH1461" s="35">
        <f t="shared" si="503"/>
        <v>9.7873361160443224</v>
      </c>
      <c r="AI1461" s="36">
        <f t="shared" si="476"/>
        <v>24.22610885590975</v>
      </c>
      <c r="AJ1461" s="23"/>
      <c r="AK1461" s="158">
        <v>639</v>
      </c>
      <c r="AL1461" s="44"/>
      <c r="AM1461" s="44"/>
      <c r="AN1461" s="44"/>
      <c r="AO1461" s="44"/>
      <c r="AP1461" s="44"/>
      <c r="AQ1461" s="44"/>
      <c r="AR1461" s="44"/>
    </row>
    <row r="1462" spans="1:44" ht="16.8">
      <c r="A1462" s="74" t="s">
        <v>2951</v>
      </c>
      <c r="B1462" s="75"/>
      <c r="C1462" s="71" t="s">
        <v>2949</v>
      </c>
      <c r="D1462" s="19" t="s">
        <v>2950</v>
      </c>
      <c r="E1462" s="20" t="s">
        <v>414</v>
      </c>
      <c r="F1462" s="21">
        <v>2000</v>
      </c>
      <c r="G1462" s="40">
        <v>2022</v>
      </c>
      <c r="H1462" s="23">
        <v>1585777621675</v>
      </c>
      <c r="I1462" s="23">
        <v>2578650183096</v>
      </c>
      <c r="J1462" s="23">
        <v>1609731031486</v>
      </c>
      <c r="K1462" s="23">
        <f t="shared" ref="K1462:K1463" si="546">AVERAGE(J1461:J1462)</f>
        <v>1088471046492.5</v>
      </c>
      <c r="L1462" s="23">
        <v>1425133077292</v>
      </c>
      <c r="M1462" s="23">
        <v>968919151610</v>
      </c>
      <c r="N1462" s="23">
        <v>6775200253095</v>
      </c>
      <c r="O1462" s="25">
        <f t="shared" si="464"/>
        <v>160644544383</v>
      </c>
      <c r="P1462" s="23">
        <v>239732739927</v>
      </c>
      <c r="Q1462" s="23">
        <f>143681567442+64271875379</f>
        <v>207953442821</v>
      </c>
      <c r="R1462" s="25">
        <f t="shared" si="465"/>
        <v>6567246810274</v>
      </c>
      <c r="S1462" s="26">
        <f t="shared" si="466"/>
        <v>0.62425335628631551</v>
      </c>
      <c r="T1462" s="27">
        <f t="shared" si="467"/>
        <v>1.1127224867226102</v>
      </c>
      <c r="U1462" s="26">
        <f t="shared" si="468"/>
        <v>28.578287193106615</v>
      </c>
      <c r="V1462" s="26">
        <f t="shared" si="469"/>
        <v>6.2245112306179138</v>
      </c>
      <c r="W1462" s="76"/>
      <c r="X1462" s="76"/>
      <c r="Y1462" s="76"/>
      <c r="Z1462" s="30">
        <f t="shared" si="541"/>
        <v>0</v>
      </c>
      <c r="AA1462" s="31">
        <f t="shared" si="542"/>
        <v>22</v>
      </c>
      <c r="AB1462" s="32">
        <v>3.15E-2</v>
      </c>
      <c r="AC1462" s="32">
        <v>8.0199999999999994E-2</v>
      </c>
      <c r="AD1462" s="33">
        <f t="shared" si="499"/>
        <v>6.2297920608263987E-2</v>
      </c>
      <c r="AE1462" s="34">
        <f t="shared" si="500"/>
        <v>9.2968306247406582E-2</v>
      </c>
      <c r="AF1462" s="33">
        <f t="shared" si="501"/>
        <v>2.5467769352061467</v>
      </c>
      <c r="AG1462" s="33">
        <f t="shared" si="502"/>
        <v>0</v>
      </c>
      <c r="AH1462" s="35">
        <f t="shared" si="503"/>
        <v>4.2089020591474657</v>
      </c>
      <c r="AI1462" s="36">
        <f t="shared" si="476"/>
        <v>12.818179078804034</v>
      </c>
      <c r="AJ1462" s="76"/>
      <c r="AK1462" s="158">
        <v>640</v>
      </c>
    </row>
    <row r="1463" spans="1:44" ht="16.8">
      <c r="A1463" s="74" t="s">
        <v>2952</v>
      </c>
      <c r="B1463" s="75"/>
      <c r="C1463" s="71" t="s">
        <v>2949</v>
      </c>
      <c r="D1463" s="19" t="s">
        <v>2950</v>
      </c>
      <c r="E1463" s="20" t="s">
        <v>414</v>
      </c>
      <c r="F1463" s="21">
        <v>2000</v>
      </c>
      <c r="G1463" s="40">
        <v>2023</v>
      </c>
      <c r="H1463" s="23">
        <v>1071764691450</v>
      </c>
      <c r="I1463" s="23">
        <v>2006287818697</v>
      </c>
      <c r="J1463" s="23">
        <v>842283926244</v>
      </c>
      <c r="K1463" s="23">
        <f t="shared" si="546"/>
        <v>1226007478865</v>
      </c>
      <c r="L1463" s="23">
        <v>839432091925</v>
      </c>
      <c r="M1463" s="23">
        <v>1164003892453</v>
      </c>
      <c r="N1463" s="23">
        <v>3981921710938</v>
      </c>
      <c r="O1463" s="25">
        <f t="shared" si="464"/>
        <v>232332599525</v>
      </c>
      <c r="P1463" s="23">
        <v>37056457843</v>
      </c>
      <c r="Q1463" s="23">
        <f>145056296613+76186451537</f>
        <v>221242748150</v>
      </c>
      <c r="R1463" s="25">
        <f t="shared" si="465"/>
        <v>3760678962788</v>
      </c>
      <c r="S1463" s="26">
        <f t="shared" si="466"/>
        <v>0.41982208055822628</v>
      </c>
      <c r="T1463" s="27">
        <f t="shared" si="467"/>
        <v>1.2767735493555064</v>
      </c>
      <c r="U1463" s="26">
        <f t="shared" si="468"/>
        <v>28.327307274087943</v>
      </c>
      <c r="V1463" s="26">
        <f t="shared" si="469"/>
        <v>3.2478771782243454</v>
      </c>
      <c r="W1463" s="76"/>
      <c r="X1463" s="76"/>
      <c r="Y1463" s="76"/>
      <c r="Z1463" s="30">
        <f t="shared" si="541"/>
        <v>0</v>
      </c>
      <c r="AA1463" s="31">
        <f t="shared" si="542"/>
        <v>23</v>
      </c>
      <c r="AB1463" s="32">
        <v>3.2500000000000001E-2</v>
      </c>
      <c r="AC1463" s="32">
        <v>5.0500000000000003E-2</v>
      </c>
      <c r="AD1463" s="33">
        <f t="shared" si="499"/>
        <v>0.11580222805514032</v>
      </c>
      <c r="AE1463" s="34">
        <f t="shared" si="500"/>
        <v>1.8470160411513947E-2</v>
      </c>
      <c r="AF1463" s="33">
        <f t="shared" si="501"/>
        <v>1.8744463918593712</v>
      </c>
      <c r="AG1463" s="33">
        <f t="shared" si="502"/>
        <v>0</v>
      </c>
      <c r="AH1463" s="35">
        <f t="shared" si="503"/>
        <v>4.7275290277645441</v>
      </c>
      <c r="AI1463" s="36">
        <f t="shared" si="476"/>
        <v>11.078023019142758</v>
      </c>
      <c r="AJ1463" s="76"/>
      <c r="AK1463" s="158">
        <v>641</v>
      </c>
    </row>
    <row r="1464" spans="1:44" ht="16.8">
      <c r="A1464" s="145"/>
      <c r="B1464" s="145">
        <v>564</v>
      </c>
      <c r="C1464" s="145" t="s">
        <v>2953</v>
      </c>
      <c r="D1464" s="146" t="s">
        <v>2954</v>
      </c>
      <c r="E1464" s="147" t="s">
        <v>178</v>
      </c>
      <c r="F1464" s="148"/>
      <c r="G1464" s="148">
        <v>2021</v>
      </c>
      <c r="H1464" s="149"/>
      <c r="I1464" s="149"/>
      <c r="J1464" s="149"/>
      <c r="K1464" s="149"/>
      <c r="L1464" s="149"/>
      <c r="M1464" s="149"/>
      <c r="N1464" s="149"/>
      <c r="O1464" s="149">
        <f t="shared" si="464"/>
        <v>0</v>
      </c>
      <c r="P1464" s="149"/>
      <c r="Q1464" s="149"/>
      <c r="R1464" s="149">
        <f t="shared" si="465"/>
        <v>0</v>
      </c>
      <c r="S1464" s="150" t="e">
        <f t="shared" si="466"/>
        <v>#DIV/0!</v>
      </c>
      <c r="T1464" s="151" t="e">
        <f t="shared" si="467"/>
        <v>#DIV/0!</v>
      </c>
      <c r="U1464" s="150" t="e">
        <f t="shared" si="468"/>
        <v>#NUM!</v>
      </c>
      <c r="V1464" s="150" t="e">
        <f t="shared" si="469"/>
        <v>#DIV/0!</v>
      </c>
      <c r="W1464" s="152"/>
      <c r="X1464" s="152"/>
      <c r="Y1464" s="152"/>
      <c r="Z1464" s="153">
        <f>W1464*Y1464</f>
        <v>0</v>
      </c>
      <c r="AA1464" s="148">
        <f>G1464-F1461</f>
        <v>21</v>
      </c>
      <c r="AB1464" s="149"/>
      <c r="AC1464" s="149"/>
      <c r="AD1464" s="150" t="e">
        <f t="shared" si="499"/>
        <v>#DIV/0!</v>
      </c>
      <c r="AE1464" s="154" t="e">
        <f t="shared" si="500"/>
        <v>#DIV/0!</v>
      </c>
      <c r="AF1464" s="150" t="e">
        <f t="shared" si="501"/>
        <v>#DIV/0!</v>
      </c>
      <c r="AG1464" s="150" t="e">
        <f t="shared" si="502"/>
        <v>#DIV/0!</v>
      </c>
      <c r="AH1464" s="155" t="e">
        <f t="shared" si="503"/>
        <v>#DIV/0!</v>
      </c>
      <c r="AI1464" s="156" t="e">
        <f t="shared" si="476"/>
        <v>#DIV/0!</v>
      </c>
      <c r="AJ1464" s="149"/>
      <c r="AK1464" s="149"/>
      <c r="AL1464" s="157"/>
      <c r="AM1464" s="157"/>
      <c r="AN1464" s="157"/>
      <c r="AO1464" s="157"/>
      <c r="AP1464" s="157"/>
      <c r="AQ1464" s="157"/>
      <c r="AR1464" s="157"/>
    </row>
    <row r="1465" spans="1:44" ht="16.8">
      <c r="A1465" s="70" t="s">
        <v>2955</v>
      </c>
      <c r="B1465" s="71">
        <v>565</v>
      </c>
      <c r="C1465" s="71" t="s">
        <v>2956</v>
      </c>
      <c r="D1465" s="19" t="s">
        <v>2957</v>
      </c>
      <c r="E1465" s="20" t="s">
        <v>414</v>
      </c>
      <c r="F1465" s="21">
        <v>2011</v>
      </c>
      <c r="G1465" s="40">
        <v>2021</v>
      </c>
      <c r="H1465" s="23">
        <v>435194245742</v>
      </c>
      <c r="I1465" s="23">
        <v>554417310268</v>
      </c>
      <c r="J1465" s="23">
        <v>179055330688</v>
      </c>
      <c r="K1465" s="23">
        <f>AVERAGE(J1465,179055330688)</f>
        <v>179055330688</v>
      </c>
      <c r="L1465" s="23">
        <v>166264871292</v>
      </c>
      <c r="M1465" s="23">
        <v>375361979580</v>
      </c>
      <c r="N1465" s="23">
        <v>732482617921</v>
      </c>
      <c r="O1465" s="25">
        <f t="shared" si="464"/>
        <v>268929374450</v>
      </c>
      <c r="P1465" s="23">
        <v>47138407153</v>
      </c>
      <c r="Q1465" s="23">
        <f>53137180+4274038017</f>
        <v>4327175197</v>
      </c>
      <c r="R1465" s="25">
        <f t="shared" si="465"/>
        <v>728155442724</v>
      </c>
      <c r="S1465" s="26">
        <f t="shared" si="466"/>
        <v>0.32296129174149768</v>
      </c>
      <c r="T1465" s="27">
        <f t="shared" si="467"/>
        <v>2.6174756120172682</v>
      </c>
      <c r="U1465" s="26">
        <f t="shared" si="468"/>
        <v>27.041183507761794</v>
      </c>
      <c r="V1465" s="26">
        <f t="shared" si="469"/>
        <v>4.0908171519190066</v>
      </c>
      <c r="W1465" s="143"/>
      <c r="X1465" s="143"/>
      <c r="Y1465" s="143"/>
      <c r="Z1465" s="30">
        <f t="shared" ref="Z1465:Z1482" si="547">X1465*Y1465</f>
        <v>0</v>
      </c>
      <c r="AA1465" s="31">
        <f t="shared" ref="AA1465:AA1719" si="548">G1465-F1465</f>
        <v>10</v>
      </c>
      <c r="AB1465" s="32">
        <v>1.84E-2</v>
      </c>
      <c r="AC1465" s="32">
        <v>2.58E-2</v>
      </c>
      <c r="AD1465" s="33">
        <f t="shared" si="499"/>
        <v>0.48506669880130932</v>
      </c>
      <c r="AE1465" s="34">
        <f t="shared" si="500"/>
        <v>8.5023332208393254E-2</v>
      </c>
      <c r="AF1465" s="33">
        <f t="shared" si="501"/>
        <v>1.3133706852912235</v>
      </c>
      <c r="AG1465" s="33">
        <f t="shared" si="502"/>
        <v>0</v>
      </c>
      <c r="AH1465" s="35">
        <f t="shared" si="503"/>
        <v>4.0908171519190066</v>
      </c>
      <c r="AI1465" s="36">
        <f t="shared" si="476"/>
        <v>9.126053117033365</v>
      </c>
      <c r="AJ1465" s="23"/>
      <c r="AK1465" s="158">
        <v>642</v>
      </c>
      <c r="AL1465" s="44"/>
      <c r="AM1465" s="44"/>
      <c r="AN1465" s="44"/>
      <c r="AO1465" s="44"/>
      <c r="AP1465" s="44"/>
      <c r="AQ1465" s="44"/>
      <c r="AR1465" s="44"/>
    </row>
    <row r="1466" spans="1:44" ht="16.8">
      <c r="A1466" s="74" t="s">
        <v>2958</v>
      </c>
      <c r="B1466" s="75"/>
      <c r="C1466" s="71" t="s">
        <v>2956</v>
      </c>
      <c r="D1466" s="19" t="s">
        <v>2957</v>
      </c>
      <c r="E1466" s="20" t="s">
        <v>414</v>
      </c>
      <c r="F1466" s="21">
        <v>2011</v>
      </c>
      <c r="G1466" s="40">
        <v>2022</v>
      </c>
      <c r="H1466" s="23">
        <v>524723467828</v>
      </c>
      <c r="I1466" s="23">
        <v>755615504831</v>
      </c>
      <c r="J1466" s="23">
        <v>340056107665</v>
      </c>
      <c r="K1466" s="23">
        <f t="shared" ref="K1466:K1467" si="549">AVERAGE(J1465:J1466)</f>
        <v>259555719176.5</v>
      </c>
      <c r="L1466" s="23">
        <v>336345648269</v>
      </c>
      <c r="M1466" s="23">
        <v>415559397166</v>
      </c>
      <c r="N1466" s="23">
        <v>744508311726</v>
      </c>
      <c r="O1466" s="25">
        <f t="shared" si="464"/>
        <v>188377819559</v>
      </c>
      <c r="P1466" s="23">
        <v>40197417586</v>
      </c>
      <c r="Q1466" s="23">
        <f>182821335+2799623015</f>
        <v>2982444350</v>
      </c>
      <c r="R1466" s="25">
        <f t="shared" si="465"/>
        <v>741525867376</v>
      </c>
      <c r="S1466" s="26">
        <f t="shared" si="466"/>
        <v>0.45003855200278947</v>
      </c>
      <c r="T1466" s="27">
        <f t="shared" si="467"/>
        <v>1.5600721178599599</v>
      </c>
      <c r="U1466" s="26">
        <f t="shared" si="468"/>
        <v>27.350798492256036</v>
      </c>
      <c r="V1466" s="26">
        <f t="shared" si="469"/>
        <v>2.8683949407399814</v>
      </c>
      <c r="W1466" s="76"/>
      <c r="X1466" s="76"/>
      <c r="Y1466" s="76"/>
      <c r="Z1466" s="30">
        <f t="shared" si="547"/>
        <v>0</v>
      </c>
      <c r="AA1466" s="31">
        <f t="shared" si="548"/>
        <v>11</v>
      </c>
      <c r="AB1466" s="32">
        <v>3.15E-2</v>
      </c>
      <c r="AC1466" s="32">
        <v>8.0199999999999994E-2</v>
      </c>
      <c r="AD1466" s="33">
        <f t="shared" si="499"/>
        <v>0.24930380379255498</v>
      </c>
      <c r="AE1466" s="34">
        <f t="shared" si="500"/>
        <v>5.3198243457154182E-2</v>
      </c>
      <c r="AF1466" s="33">
        <f t="shared" si="501"/>
        <v>0.98135342993239494</v>
      </c>
      <c r="AG1466" s="33">
        <f t="shared" si="502"/>
        <v>0</v>
      </c>
      <c r="AH1466" s="35">
        <f t="shared" si="503"/>
        <v>2.1893690333579854</v>
      </c>
      <c r="AI1466" s="36">
        <f t="shared" si="476"/>
        <v>5.8014774575259702</v>
      </c>
      <c r="AJ1466" s="76"/>
      <c r="AK1466" s="158">
        <v>643</v>
      </c>
    </row>
    <row r="1467" spans="1:44" ht="16.8">
      <c r="A1467" s="74" t="s">
        <v>2959</v>
      </c>
      <c r="B1467" s="75"/>
      <c r="C1467" s="71" t="s">
        <v>2956</v>
      </c>
      <c r="D1467" s="19" t="s">
        <v>2957</v>
      </c>
      <c r="E1467" s="20" t="s">
        <v>414</v>
      </c>
      <c r="F1467" s="21">
        <v>2011</v>
      </c>
      <c r="G1467" s="40">
        <v>2023</v>
      </c>
      <c r="H1467" s="23">
        <v>575515560357</v>
      </c>
      <c r="I1467" s="23">
        <v>778466579449</v>
      </c>
      <c r="J1467" s="23">
        <v>326812372842</v>
      </c>
      <c r="K1467" s="23">
        <f t="shared" si="549"/>
        <v>333434240253.5</v>
      </c>
      <c r="L1467" s="23">
        <v>326812372842</v>
      </c>
      <c r="M1467" s="23">
        <v>451654206607</v>
      </c>
      <c r="N1467" s="23">
        <v>913035594148</v>
      </c>
      <c r="O1467" s="25">
        <f t="shared" si="464"/>
        <v>248703187515</v>
      </c>
      <c r="P1467" s="23">
        <v>51863319941</v>
      </c>
      <c r="Q1467" s="23">
        <f>455170142+1502841660</f>
        <v>1958011802</v>
      </c>
      <c r="R1467" s="25">
        <f t="shared" si="465"/>
        <v>911077582346</v>
      </c>
      <c r="S1467" s="26">
        <f t="shared" si="466"/>
        <v>0.41981554696069079</v>
      </c>
      <c r="T1467" s="27">
        <f t="shared" si="467"/>
        <v>1.7609968537979359</v>
      </c>
      <c r="U1467" s="26">
        <f t="shared" si="468"/>
        <v>27.380591897882145</v>
      </c>
      <c r="V1467" s="26">
        <f t="shared" si="469"/>
        <v>2.7382778488911232</v>
      </c>
      <c r="W1467" s="76"/>
      <c r="X1467" s="76"/>
      <c r="Y1467" s="76"/>
      <c r="Z1467" s="30">
        <f t="shared" si="547"/>
        <v>0</v>
      </c>
      <c r="AA1467" s="31">
        <f t="shared" si="548"/>
        <v>12</v>
      </c>
      <c r="AB1467" s="32">
        <v>3.2500000000000001E-2</v>
      </c>
      <c r="AC1467" s="32">
        <v>5.0500000000000003E-2</v>
      </c>
      <c r="AD1467" s="33">
        <f t="shared" si="499"/>
        <v>0.31947831041254532</v>
      </c>
      <c r="AE1467" s="34">
        <f t="shared" si="500"/>
        <v>6.6622410402908949E-2</v>
      </c>
      <c r="AF1467" s="33">
        <f t="shared" si="501"/>
        <v>1.170348999427647</v>
      </c>
      <c r="AG1467" s="33">
        <f t="shared" si="502"/>
        <v>0</v>
      </c>
      <c r="AH1467" s="35">
        <f t="shared" si="503"/>
        <v>2.7937607937182176</v>
      </c>
      <c r="AI1467" s="36">
        <f t="shared" si="476"/>
        <v>7.1325578388885802</v>
      </c>
      <c r="AJ1467" s="76"/>
      <c r="AK1467" s="158">
        <v>644</v>
      </c>
    </row>
    <row r="1468" spans="1:44" ht="16.8">
      <c r="A1468" s="70" t="s">
        <v>2960</v>
      </c>
      <c r="B1468" s="71">
        <v>566</v>
      </c>
      <c r="C1468" s="71" t="s">
        <v>2961</v>
      </c>
      <c r="D1468" s="19" t="s">
        <v>2962</v>
      </c>
      <c r="E1468" s="20" t="s">
        <v>414</v>
      </c>
      <c r="F1468" s="172">
        <v>2003</v>
      </c>
      <c r="G1468" s="40">
        <v>2021</v>
      </c>
      <c r="H1468" s="23">
        <v>24186710802908</v>
      </c>
      <c r="I1468" s="23">
        <v>24369103140717</v>
      </c>
      <c r="J1468" s="23">
        <v>17043850217927</v>
      </c>
      <c r="K1468" s="23">
        <f>AVERAGE(J1468,8048473021702)</f>
        <v>12546161619814.5</v>
      </c>
      <c r="L1468" s="23">
        <v>17043850217927</v>
      </c>
      <c r="M1468" s="23">
        <v>7325252922790</v>
      </c>
      <c r="N1468" s="23">
        <v>4460112837812</v>
      </c>
      <c r="O1468" s="25">
        <f t="shared" si="464"/>
        <v>7142860584981</v>
      </c>
      <c r="P1468" s="23">
        <v>1147062381087</v>
      </c>
      <c r="Q1468" s="23">
        <v>2735420770099</v>
      </c>
      <c r="R1468" s="25">
        <f t="shared" si="465"/>
        <v>1724692067713</v>
      </c>
      <c r="S1468" s="26">
        <f t="shared" si="466"/>
        <v>0.69940408227208672</v>
      </c>
      <c r="T1468" s="27">
        <f t="shared" si="467"/>
        <v>1.4190872657087787</v>
      </c>
      <c r="U1468" s="26">
        <f t="shared" si="468"/>
        <v>30.824337181112384</v>
      </c>
      <c r="V1468" s="26">
        <f t="shared" si="469"/>
        <v>0.35549620457367775</v>
      </c>
      <c r="W1468" s="143"/>
      <c r="X1468" s="143"/>
      <c r="Y1468" s="143"/>
      <c r="Z1468" s="30">
        <f t="shared" si="547"/>
        <v>0</v>
      </c>
      <c r="AA1468" s="31">
        <f t="shared" si="548"/>
        <v>18</v>
      </c>
      <c r="AB1468" s="32">
        <v>1.84E-2</v>
      </c>
      <c r="AC1468" s="32">
        <v>2.58E-2</v>
      </c>
      <c r="AD1468" s="33">
        <f t="shared" si="499"/>
        <v>0.29311134446496662</v>
      </c>
      <c r="AE1468" s="34">
        <f t="shared" si="500"/>
        <v>4.7070356855703738E-2</v>
      </c>
      <c r="AF1468" s="33">
        <f t="shared" si="501"/>
        <v>7.0773719400091764E-2</v>
      </c>
      <c r="AG1468" s="33">
        <f t="shared" si="502"/>
        <v>0</v>
      </c>
      <c r="AH1468" s="35">
        <f t="shared" si="503"/>
        <v>0.26168458304807096</v>
      </c>
      <c r="AI1468" s="36">
        <f t="shared" si="476"/>
        <v>0.91286997002431891</v>
      </c>
      <c r="AJ1468" s="23"/>
      <c r="AK1468" s="158">
        <v>645</v>
      </c>
      <c r="AL1468" s="44"/>
      <c r="AM1468" s="44"/>
      <c r="AN1468" s="44"/>
      <c r="AO1468" s="44"/>
      <c r="AP1468" s="44"/>
      <c r="AQ1468" s="44"/>
      <c r="AR1468" s="44"/>
    </row>
    <row r="1469" spans="1:44" ht="16.8">
      <c r="A1469" s="74" t="s">
        <v>2963</v>
      </c>
      <c r="B1469" s="75"/>
      <c r="C1469" s="71" t="s">
        <v>2961</v>
      </c>
      <c r="D1469" s="19" t="s">
        <v>2962</v>
      </c>
      <c r="E1469" s="20" t="s">
        <v>414</v>
      </c>
      <c r="F1469" s="172">
        <v>2003</v>
      </c>
      <c r="G1469" s="40">
        <v>2022</v>
      </c>
      <c r="H1469" s="23">
        <v>15262466982681</v>
      </c>
      <c r="I1469" s="23">
        <v>15446955045214</v>
      </c>
      <c r="J1469" s="23">
        <v>7555122708990</v>
      </c>
      <c r="K1469" s="23">
        <f t="shared" ref="K1469:K1470" si="550">AVERAGE(J1468:J1469)</f>
        <v>12299486463458.5</v>
      </c>
      <c r="L1469" s="23">
        <v>7555122708990</v>
      </c>
      <c r="M1469" s="23">
        <v>7891832336224</v>
      </c>
      <c r="N1469" s="23">
        <v>3901444793030</v>
      </c>
      <c r="O1469" s="25">
        <f t="shared" si="464"/>
        <v>7707344273691</v>
      </c>
      <c r="P1469" s="23">
        <v>852487875934</v>
      </c>
      <c r="Q1469" s="23">
        <v>2486220005273</v>
      </c>
      <c r="R1469" s="25">
        <f t="shared" si="465"/>
        <v>1415224787757</v>
      </c>
      <c r="S1469" s="26">
        <f t="shared" si="466"/>
        <v>0.48910110030590381</v>
      </c>
      <c r="T1469" s="27">
        <f t="shared" si="467"/>
        <v>2.0201481260549041</v>
      </c>
      <c r="U1469" s="26">
        <f t="shared" si="468"/>
        <v>30.368433015396441</v>
      </c>
      <c r="V1469" s="26">
        <f t="shared" si="469"/>
        <v>0.31720387713918835</v>
      </c>
      <c r="W1469" s="76"/>
      <c r="X1469" s="76"/>
      <c r="Y1469" s="76"/>
      <c r="Z1469" s="30">
        <f t="shared" si="547"/>
        <v>0</v>
      </c>
      <c r="AA1469" s="31">
        <f t="shared" si="548"/>
        <v>19</v>
      </c>
      <c r="AB1469" s="32">
        <v>3.15E-2</v>
      </c>
      <c r="AC1469" s="32">
        <v>8.0199999999999994E-2</v>
      </c>
      <c r="AD1469" s="33">
        <f t="shared" si="499"/>
        <v>0.49895557092845955</v>
      </c>
      <c r="AE1469" s="34">
        <f t="shared" si="500"/>
        <v>5.5188085511916486E-2</v>
      </c>
      <c r="AF1469" s="33">
        <f t="shared" si="501"/>
        <v>9.161836644274339E-2</v>
      </c>
      <c r="AG1469" s="33">
        <f t="shared" si="502"/>
        <v>0</v>
      </c>
      <c r="AH1469" s="35">
        <f t="shared" si="503"/>
        <v>0.5163972768288182</v>
      </c>
      <c r="AI1469" s="36">
        <f t="shared" si="476"/>
        <v>1.4947478909207059</v>
      </c>
      <c r="AJ1469" s="76"/>
      <c r="AK1469" s="158">
        <v>646</v>
      </c>
    </row>
    <row r="1470" spans="1:44" ht="16.8">
      <c r="A1470" s="74" t="s">
        <v>2964</v>
      </c>
      <c r="B1470" s="75"/>
      <c r="C1470" s="71" t="s">
        <v>2961</v>
      </c>
      <c r="D1470" s="19" t="s">
        <v>2962</v>
      </c>
      <c r="E1470" s="20" t="s">
        <v>414</v>
      </c>
      <c r="F1470" s="172">
        <v>2003</v>
      </c>
      <c r="G1470" s="40">
        <v>2023</v>
      </c>
      <c r="H1470" s="23">
        <v>17728214113678</v>
      </c>
      <c r="I1470" s="23">
        <v>17910675072988</v>
      </c>
      <c r="J1470" s="23">
        <v>9598589845357</v>
      </c>
      <c r="K1470" s="23">
        <f t="shared" si="550"/>
        <v>8576856277173.5</v>
      </c>
      <c r="L1470" s="23">
        <v>9598589845357</v>
      </c>
      <c r="M1470" s="23">
        <v>8312085227631</v>
      </c>
      <c r="N1470" s="23">
        <v>2903163797459</v>
      </c>
      <c r="O1470" s="25">
        <f t="shared" si="464"/>
        <v>8129624268321</v>
      </c>
      <c r="P1470" s="23">
        <v>674358865907</v>
      </c>
      <c r="Q1470" s="23">
        <v>1695717795714</v>
      </c>
      <c r="R1470" s="25">
        <f t="shared" si="465"/>
        <v>1207446001745</v>
      </c>
      <c r="S1470" s="26">
        <f t="shared" si="466"/>
        <v>0.53591446476705518</v>
      </c>
      <c r="T1470" s="27">
        <f t="shared" si="467"/>
        <v>1.8469602722168024</v>
      </c>
      <c r="U1470" s="26">
        <f t="shared" si="468"/>
        <v>30.516418023808299</v>
      </c>
      <c r="V1470" s="26">
        <f t="shared" si="469"/>
        <v>0.33848810142540209</v>
      </c>
      <c r="W1470" s="76"/>
      <c r="X1470" s="76"/>
      <c r="Y1470" s="76"/>
      <c r="Z1470" s="30">
        <f t="shared" si="547"/>
        <v>0</v>
      </c>
      <c r="AA1470" s="31">
        <f t="shared" si="548"/>
        <v>20</v>
      </c>
      <c r="AB1470" s="32">
        <v>3.2500000000000001E-2</v>
      </c>
      <c r="AC1470" s="32">
        <v>5.0500000000000003E-2</v>
      </c>
      <c r="AD1470" s="33">
        <f t="shared" si="499"/>
        <v>0.45389826096402697</v>
      </c>
      <c r="AE1470" s="34">
        <f t="shared" si="500"/>
        <v>3.7651225493115829E-2</v>
      </c>
      <c r="AF1470" s="33">
        <f t="shared" si="501"/>
        <v>6.7414879496418917E-2</v>
      </c>
      <c r="AG1470" s="33">
        <f t="shared" si="502"/>
        <v>0</v>
      </c>
      <c r="AH1470" s="35">
        <f t="shared" si="503"/>
        <v>0.30245732386026569</v>
      </c>
      <c r="AI1470" s="36">
        <f t="shared" si="476"/>
        <v>1.1223160550456426</v>
      </c>
      <c r="AJ1470" s="76"/>
      <c r="AK1470" s="158">
        <v>647</v>
      </c>
    </row>
    <row r="1471" spans="1:44" ht="16.8">
      <c r="A1471" s="78" t="s">
        <v>2965</v>
      </c>
      <c r="B1471" s="79">
        <v>567</v>
      </c>
      <c r="C1471" s="79" t="s">
        <v>2966</v>
      </c>
      <c r="D1471" s="19" t="s">
        <v>2967</v>
      </c>
      <c r="E1471" s="20" t="s">
        <v>414</v>
      </c>
      <c r="F1471" s="21">
        <v>1990</v>
      </c>
      <c r="G1471" s="40">
        <v>2021</v>
      </c>
      <c r="H1471" s="23">
        <v>2670419985510</v>
      </c>
      <c r="I1471" s="23">
        <v>3776882006581</v>
      </c>
      <c r="J1471" s="23">
        <v>2292904517624</v>
      </c>
      <c r="K1471" s="23">
        <f>(J1471+2190145432192)/2</f>
        <v>2241524974908</v>
      </c>
      <c r="L1471" s="23">
        <v>1469191290275</v>
      </c>
      <c r="M1471" s="23">
        <f t="shared" ref="M1471:M1628" si="551">I1471-J1471</f>
        <v>1483977488957</v>
      </c>
      <c r="N1471" s="23">
        <v>1410192324621</v>
      </c>
      <c r="O1471" s="25">
        <f t="shared" si="464"/>
        <v>1201228695235</v>
      </c>
      <c r="P1471" s="23">
        <v>311249351298</v>
      </c>
      <c r="Q1471" s="23">
        <f>22738380107+40335190062</f>
        <v>63073570169</v>
      </c>
      <c r="R1471" s="25">
        <f t="shared" si="465"/>
        <v>1347118754452</v>
      </c>
      <c r="S1471" s="26">
        <f t="shared" si="466"/>
        <v>0.607089264008975</v>
      </c>
      <c r="T1471" s="27">
        <f t="shared" si="467"/>
        <v>1.8176121810592525</v>
      </c>
      <c r="U1471" s="26">
        <f t="shared" si="468"/>
        <v>28.95991991918704</v>
      </c>
      <c r="V1471" s="26">
        <f t="shared" si="469"/>
        <v>0.62912184356941159</v>
      </c>
      <c r="W1471" s="143"/>
      <c r="X1471" s="143"/>
      <c r="Y1471" s="143"/>
      <c r="Z1471" s="30">
        <f t="shared" si="547"/>
        <v>0</v>
      </c>
      <c r="AA1471" s="31">
        <f t="shared" si="548"/>
        <v>31</v>
      </c>
      <c r="AB1471" s="32">
        <v>1.84E-2</v>
      </c>
      <c r="AC1471" s="32">
        <v>2.58E-2</v>
      </c>
      <c r="AD1471" s="33">
        <f t="shared" si="499"/>
        <v>0.31804771585183966</v>
      </c>
      <c r="AE1471" s="34">
        <f t="shared" si="500"/>
        <v>8.240907466944053E-2</v>
      </c>
      <c r="AF1471" s="33">
        <f t="shared" si="501"/>
        <v>0.35667483180695686</v>
      </c>
      <c r="AG1471" s="33">
        <f t="shared" si="502"/>
        <v>0</v>
      </c>
      <c r="AH1471" s="35">
        <f t="shared" si="503"/>
        <v>0.61502444335636708</v>
      </c>
      <c r="AI1471" s="36">
        <f t="shared" si="476"/>
        <v>2.2890813518787492</v>
      </c>
      <c r="AJ1471" s="23"/>
      <c r="AK1471" s="158">
        <v>648</v>
      </c>
      <c r="AL1471" s="44"/>
      <c r="AM1471" s="44"/>
      <c r="AN1471" s="44"/>
      <c r="AO1471" s="44"/>
      <c r="AP1471" s="44"/>
      <c r="AQ1471" s="44"/>
      <c r="AR1471" s="44"/>
    </row>
    <row r="1472" spans="1:44" ht="16.8">
      <c r="A1472" s="78" t="s">
        <v>2968</v>
      </c>
      <c r="B1472" s="79"/>
      <c r="C1472" s="79" t="s">
        <v>2966</v>
      </c>
      <c r="D1472" s="19" t="s">
        <v>2967</v>
      </c>
      <c r="E1472" s="20" t="s">
        <v>414</v>
      </c>
      <c r="F1472" s="21">
        <v>1990</v>
      </c>
      <c r="G1472" s="40">
        <v>2022</v>
      </c>
      <c r="H1472" s="23">
        <v>2270925614282</v>
      </c>
      <c r="I1472" s="23">
        <v>4421840766471</v>
      </c>
      <c r="J1472" s="23">
        <v>2558068914241</v>
      </c>
      <c r="K1472" s="23">
        <f t="shared" ref="K1472:K1473" si="552">AVERAGE(J1471:J1472)</f>
        <v>2425486715932.5</v>
      </c>
      <c r="L1472" s="23">
        <v>1588033476517</v>
      </c>
      <c r="M1472" s="23">
        <f t="shared" si="551"/>
        <v>1863771852230</v>
      </c>
      <c r="N1472" s="23">
        <v>1303389521752</v>
      </c>
      <c r="O1472" s="25">
        <f t="shared" si="464"/>
        <v>682892137765</v>
      </c>
      <c r="P1472" s="23">
        <v>420619322717</v>
      </c>
      <c r="Q1472" s="23">
        <f>22989323571+47389532265</f>
        <v>70378855836</v>
      </c>
      <c r="R1472" s="25">
        <f t="shared" si="465"/>
        <v>1233010665916</v>
      </c>
      <c r="S1472" s="26">
        <f t="shared" si="466"/>
        <v>0.57850769607937591</v>
      </c>
      <c r="T1472" s="27">
        <f t="shared" si="467"/>
        <v>1.4300237670447431</v>
      </c>
      <c r="U1472" s="26">
        <f t="shared" si="468"/>
        <v>29.117577188323999</v>
      </c>
      <c r="V1472" s="26">
        <f t="shared" si="469"/>
        <v>0.53737236043814007</v>
      </c>
      <c r="W1472" s="143"/>
      <c r="X1472" s="143"/>
      <c r="Y1472" s="143"/>
      <c r="Z1472" s="30">
        <f t="shared" si="547"/>
        <v>0</v>
      </c>
      <c r="AA1472" s="31">
        <f t="shared" si="548"/>
        <v>32</v>
      </c>
      <c r="AB1472" s="32">
        <v>3.15E-2</v>
      </c>
      <c r="AC1472" s="32">
        <v>8.0199999999999994E-2</v>
      </c>
      <c r="AD1472" s="33">
        <f t="shared" si="499"/>
        <v>0.15443616670755994</v>
      </c>
      <c r="AE1472" s="34">
        <f t="shared" si="500"/>
        <v>9.5123127432897026E-2</v>
      </c>
      <c r="AF1472" s="33">
        <f t="shared" si="501"/>
        <v>0.27884556026200963</v>
      </c>
      <c r="AG1472" s="33">
        <f t="shared" si="502"/>
        <v>0</v>
      </c>
      <c r="AH1472" s="35">
        <f t="shared" si="503"/>
        <v>0.50952087900990983</v>
      </c>
      <c r="AI1472" s="36">
        <f t="shared" si="476"/>
        <v>1.7482070063296695</v>
      </c>
      <c r="AJ1472" s="23"/>
      <c r="AK1472" s="158">
        <v>649</v>
      </c>
      <c r="AL1472" s="44"/>
      <c r="AM1472" s="44"/>
      <c r="AN1472" s="44"/>
      <c r="AO1472" s="44"/>
      <c r="AP1472" s="44"/>
      <c r="AQ1472" s="44"/>
      <c r="AR1472" s="44"/>
    </row>
    <row r="1473" spans="1:44" ht="16.8">
      <c r="A1473" s="78" t="s">
        <v>2969</v>
      </c>
      <c r="B1473" s="79"/>
      <c r="C1473" s="79" t="s">
        <v>2966</v>
      </c>
      <c r="D1473" s="19" t="s">
        <v>2967</v>
      </c>
      <c r="E1473" s="20" t="s">
        <v>414</v>
      </c>
      <c r="F1473" s="21">
        <v>1990</v>
      </c>
      <c r="G1473" s="40">
        <v>2023</v>
      </c>
      <c r="H1473" s="23">
        <v>2093843614134</v>
      </c>
      <c r="I1473" s="23">
        <v>4698875086826</v>
      </c>
      <c r="J1473" s="23">
        <v>2790862058854</v>
      </c>
      <c r="K1473" s="23">
        <f t="shared" si="552"/>
        <v>2674465486547.5</v>
      </c>
      <c r="L1473" s="23">
        <v>2061099495958</v>
      </c>
      <c r="M1473" s="23">
        <f t="shared" si="551"/>
        <v>1908013027972</v>
      </c>
      <c r="N1473" s="23">
        <v>666012382553</v>
      </c>
      <c r="O1473" s="25">
        <f t="shared" si="464"/>
        <v>32744118176</v>
      </c>
      <c r="P1473" s="23">
        <v>131972098044</v>
      </c>
      <c r="Q1473" s="23">
        <f>17284956789+40712717925</f>
        <v>57997674714</v>
      </c>
      <c r="R1473" s="25">
        <f t="shared" si="465"/>
        <v>608014707839</v>
      </c>
      <c r="S1473" s="26">
        <f t="shared" si="466"/>
        <v>0.5939425941920865</v>
      </c>
      <c r="T1473" s="27">
        <f t="shared" si="467"/>
        <v>1.0158867236832643</v>
      </c>
      <c r="U1473" s="26">
        <f t="shared" si="468"/>
        <v>29.178344252768888</v>
      </c>
      <c r="V1473" s="26">
        <f t="shared" si="469"/>
        <v>0.24902635158427991</v>
      </c>
      <c r="W1473" s="143"/>
      <c r="X1473" s="143"/>
      <c r="Y1473" s="143"/>
      <c r="Z1473" s="30">
        <f t="shared" si="547"/>
        <v>0</v>
      </c>
      <c r="AA1473" s="31">
        <f t="shared" si="548"/>
        <v>33</v>
      </c>
      <c r="AB1473" s="32">
        <v>3.2500000000000001E-2</v>
      </c>
      <c r="AC1473" s="32">
        <v>5.0500000000000003E-2</v>
      </c>
      <c r="AD1473" s="33">
        <f t="shared" si="499"/>
        <v>6.9685015181193133E-3</v>
      </c>
      <c r="AE1473" s="34">
        <f t="shared" si="500"/>
        <v>2.8085891964654167E-2</v>
      </c>
      <c r="AF1473" s="33">
        <f t="shared" si="501"/>
        <v>0.12939580146398449</v>
      </c>
      <c r="AG1473" s="33">
        <f t="shared" si="502"/>
        <v>0</v>
      </c>
      <c r="AH1473" s="35">
        <f t="shared" si="503"/>
        <v>0.2386403801076725</v>
      </c>
      <c r="AI1473" s="36">
        <f t="shared" si="476"/>
        <v>0.71332897551108032</v>
      </c>
      <c r="AJ1473" s="23"/>
      <c r="AK1473" s="158">
        <v>650</v>
      </c>
      <c r="AL1473" s="44"/>
      <c r="AM1473" s="44"/>
      <c r="AN1473" s="44"/>
      <c r="AO1473" s="44"/>
      <c r="AP1473" s="44"/>
      <c r="AQ1473" s="44"/>
      <c r="AR1473" s="44"/>
    </row>
    <row r="1474" spans="1:44" ht="16.8">
      <c r="A1474" s="78" t="s">
        <v>2970</v>
      </c>
      <c r="B1474" s="79">
        <v>568</v>
      </c>
      <c r="C1474" s="79" t="s">
        <v>2971</v>
      </c>
      <c r="D1474" s="19" t="s">
        <v>2972</v>
      </c>
      <c r="E1474" s="20" t="s">
        <v>414</v>
      </c>
      <c r="F1474" s="21">
        <v>1990</v>
      </c>
      <c r="G1474" s="40">
        <v>2021</v>
      </c>
      <c r="H1474" s="23">
        <v>4116446813081</v>
      </c>
      <c r="I1474" s="23">
        <v>15891543990097</v>
      </c>
      <c r="J1474" s="23">
        <v>10501213587387</v>
      </c>
      <c r="K1474" s="23">
        <f>(J1474+9901226888952)/2</f>
        <v>10201220238169.5</v>
      </c>
      <c r="L1474" s="23">
        <v>4293242921198</v>
      </c>
      <c r="M1474" s="23">
        <f t="shared" si="551"/>
        <v>5390330402710</v>
      </c>
      <c r="N1474" s="23">
        <v>3778411799998</v>
      </c>
      <c r="O1474" s="25">
        <f t="shared" si="464"/>
        <v>-176796108117</v>
      </c>
      <c r="P1474" s="23">
        <v>1343673058877</v>
      </c>
      <c r="Q1474" s="23">
        <f>118551129818+221869319144</f>
        <v>340420448962</v>
      </c>
      <c r="R1474" s="25">
        <f t="shared" si="465"/>
        <v>3437991351036</v>
      </c>
      <c r="S1474" s="26">
        <f t="shared" si="466"/>
        <v>0.6608051171069943</v>
      </c>
      <c r="T1474" s="27">
        <f t="shared" si="467"/>
        <v>0.95881991507071151</v>
      </c>
      <c r="U1474" s="26">
        <f t="shared" si="468"/>
        <v>30.396808259163713</v>
      </c>
      <c r="V1474" s="26">
        <f t="shared" si="469"/>
        <v>0.37038821942697275</v>
      </c>
      <c r="W1474" s="143"/>
      <c r="X1474" s="143"/>
      <c r="Y1474" s="143"/>
      <c r="Z1474" s="30">
        <f t="shared" si="547"/>
        <v>0</v>
      </c>
      <c r="AA1474" s="31">
        <f t="shared" si="548"/>
        <v>31</v>
      </c>
      <c r="AB1474" s="32">
        <v>1.84E-2</v>
      </c>
      <c r="AC1474" s="32">
        <v>2.58E-2</v>
      </c>
      <c r="AD1474" s="33">
        <f t="shared" si="499"/>
        <v>-1.1125168720369307E-2</v>
      </c>
      <c r="AE1474" s="34">
        <f t="shared" si="500"/>
        <v>8.4552706754883314E-2</v>
      </c>
      <c r="AF1474" s="33">
        <f t="shared" si="501"/>
        <v>0.21634092654423159</v>
      </c>
      <c r="AG1474" s="33">
        <f t="shared" si="502"/>
        <v>0</v>
      </c>
      <c r="AH1474" s="35">
        <f t="shared" si="503"/>
        <v>0.35980715643535216</v>
      </c>
      <c r="AI1474" s="36">
        <f t="shared" si="476"/>
        <v>1.1787558010237098</v>
      </c>
      <c r="AJ1474" s="23"/>
      <c r="AK1474" s="173">
        <v>651</v>
      </c>
      <c r="AL1474" s="44"/>
      <c r="AM1474" s="44"/>
      <c r="AN1474" s="44"/>
      <c r="AO1474" s="44"/>
      <c r="AP1474" s="44"/>
      <c r="AQ1474" s="44"/>
      <c r="AR1474" s="44"/>
    </row>
    <row r="1475" spans="1:44" ht="16.8">
      <c r="A1475" s="78" t="s">
        <v>2973</v>
      </c>
      <c r="B1475" s="79"/>
      <c r="C1475" s="79" t="s">
        <v>2971</v>
      </c>
      <c r="D1475" s="19" t="s">
        <v>2972</v>
      </c>
      <c r="E1475" s="20" t="s">
        <v>414</v>
      </c>
      <c r="F1475" s="21">
        <v>1990</v>
      </c>
      <c r="G1475" s="40">
        <v>2022</v>
      </c>
      <c r="H1475" s="23">
        <v>3856213993344</v>
      </c>
      <c r="I1475" s="23">
        <v>15104924433426</v>
      </c>
      <c r="J1475" s="23">
        <v>8556912885411</v>
      </c>
      <c r="K1475" s="23">
        <f t="shared" ref="K1475:K1476" si="553">AVERAGE(J1474:J1475)</f>
        <v>9529063236399</v>
      </c>
      <c r="L1475" s="23">
        <v>3286819852605</v>
      </c>
      <c r="M1475" s="23">
        <f t="shared" si="551"/>
        <v>6548011548015</v>
      </c>
      <c r="N1475" s="23">
        <v>3581190677660</v>
      </c>
      <c r="O1475" s="25">
        <f t="shared" si="464"/>
        <v>569394140739</v>
      </c>
      <c r="P1475" s="23">
        <v>1361903401796</v>
      </c>
      <c r="Q1475" s="23">
        <f>4603697832+159148040047</f>
        <v>163751737879</v>
      </c>
      <c r="R1475" s="25">
        <f t="shared" si="465"/>
        <v>3417438939781</v>
      </c>
      <c r="S1475" s="26">
        <f t="shared" si="466"/>
        <v>0.5664982253387002</v>
      </c>
      <c r="T1475" s="27">
        <f t="shared" si="467"/>
        <v>1.1732355791534244</v>
      </c>
      <c r="U1475" s="26">
        <f t="shared" si="468"/>
        <v>30.346041928002336</v>
      </c>
      <c r="V1475" s="26">
        <f t="shared" si="469"/>
        <v>0.37581770514237028</v>
      </c>
      <c r="W1475" s="143"/>
      <c r="X1475" s="143"/>
      <c r="Y1475" s="143"/>
      <c r="Z1475" s="30">
        <f t="shared" si="547"/>
        <v>0</v>
      </c>
      <c r="AA1475" s="31">
        <f t="shared" si="548"/>
        <v>32</v>
      </c>
      <c r="AB1475" s="32">
        <v>3.15E-2</v>
      </c>
      <c r="AC1475" s="32">
        <v>8.0199999999999994E-2</v>
      </c>
      <c r="AD1475" s="33">
        <f t="shared" si="499"/>
        <v>3.7695927791533725E-2</v>
      </c>
      <c r="AE1475" s="34">
        <f t="shared" si="500"/>
        <v>9.0162874220159339E-2</v>
      </c>
      <c r="AF1475" s="33">
        <f t="shared" si="501"/>
        <v>0.22624667570123547</v>
      </c>
      <c r="AG1475" s="33">
        <f t="shared" si="502"/>
        <v>0</v>
      </c>
      <c r="AH1475" s="35">
        <f t="shared" si="503"/>
        <v>0.41851433170082936</v>
      </c>
      <c r="AI1475" s="36">
        <f t="shared" si="476"/>
        <v>1.3365914987729699</v>
      </c>
      <c r="AJ1475" s="23"/>
      <c r="AK1475" s="173">
        <v>652</v>
      </c>
      <c r="AL1475" s="44"/>
      <c r="AM1475" s="44"/>
      <c r="AN1475" s="44"/>
      <c r="AO1475" s="44"/>
      <c r="AP1475" s="44"/>
      <c r="AQ1475" s="44"/>
      <c r="AR1475" s="44"/>
    </row>
    <row r="1476" spans="1:44" ht="16.8">
      <c r="A1476" s="78" t="s">
        <v>2974</v>
      </c>
      <c r="B1476" s="79"/>
      <c r="C1476" s="79" t="s">
        <v>2971</v>
      </c>
      <c r="D1476" s="19" t="s">
        <v>2972</v>
      </c>
      <c r="E1476" s="20" t="s">
        <v>414</v>
      </c>
      <c r="F1476" s="21">
        <v>1990</v>
      </c>
      <c r="G1476" s="40">
        <v>2023</v>
      </c>
      <c r="H1476" s="23">
        <v>3353883065245</v>
      </c>
      <c r="I1476" s="23">
        <v>14438351768092</v>
      </c>
      <c r="J1476" s="23">
        <v>7209603634647</v>
      </c>
      <c r="K1476" s="23">
        <f t="shared" si="553"/>
        <v>7883258260029</v>
      </c>
      <c r="L1476" s="23">
        <v>2328692228742</v>
      </c>
      <c r="M1476" s="23">
        <f t="shared" si="551"/>
        <v>7228748133445</v>
      </c>
      <c r="N1476" s="23">
        <v>2889383967575</v>
      </c>
      <c r="O1476" s="25">
        <f t="shared" si="464"/>
        <v>1025190836503</v>
      </c>
      <c r="P1476" s="23">
        <v>866291361944</v>
      </c>
      <c r="Q1476" s="23">
        <f>14516125805+218473544853</f>
        <v>232989670658</v>
      </c>
      <c r="R1476" s="25">
        <f t="shared" si="465"/>
        <v>2656394296917</v>
      </c>
      <c r="S1476" s="26">
        <f t="shared" si="466"/>
        <v>0.49933702616803155</v>
      </c>
      <c r="T1476" s="27">
        <f t="shared" si="467"/>
        <v>1.4402431647469471</v>
      </c>
      <c r="U1476" s="26">
        <f t="shared" si="468"/>
        <v>30.300909099394431</v>
      </c>
      <c r="V1476" s="26">
        <f t="shared" si="469"/>
        <v>0.3665215412547414</v>
      </c>
      <c r="W1476" s="143"/>
      <c r="X1476" s="143"/>
      <c r="Y1476" s="143"/>
      <c r="Z1476" s="30">
        <f t="shared" si="547"/>
        <v>0</v>
      </c>
      <c r="AA1476" s="31">
        <f t="shared" si="548"/>
        <v>33</v>
      </c>
      <c r="AB1476" s="32">
        <v>3.2500000000000001E-2</v>
      </c>
      <c r="AC1476" s="32">
        <v>5.0500000000000003E-2</v>
      </c>
      <c r="AD1476" s="33">
        <f t="shared" si="499"/>
        <v>7.1004700049531827E-2</v>
      </c>
      <c r="AE1476" s="34">
        <f t="shared" si="500"/>
        <v>5.9999325120922632E-2</v>
      </c>
      <c r="AF1476" s="33">
        <f t="shared" si="501"/>
        <v>0.18398182421261491</v>
      </c>
      <c r="AG1476" s="33">
        <f t="shared" si="502"/>
        <v>0</v>
      </c>
      <c r="AH1476" s="35">
        <f t="shared" si="503"/>
        <v>0.40076876815939844</v>
      </c>
      <c r="AI1476" s="36">
        <f t="shared" si="476"/>
        <v>1.1771134832897574</v>
      </c>
      <c r="AJ1476" s="23"/>
      <c r="AK1476" s="173">
        <v>653</v>
      </c>
      <c r="AL1476" s="44"/>
      <c r="AM1476" s="44"/>
      <c r="AN1476" s="44"/>
      <c r="AO1476" s="44"/>
      <c r="AP1476" s="44"/>
      <c r="AQ1476" s="44"/>
      <c r="AR1476" s="44"/>
    </row>
    <row r="1477" spans="1:44" ht="16.8">
      <c r="A1477" s="78" t="s">
        <v>2975</v>
      </c>
      <c r="B1477" s="79">
        <v>569</v>
      </c>
      <c r="C1477" s="79" t="s">
        <v>2976</v>
      </c>
      <c r="D1477" s="19" t="s">
        <v>2977</v>
      </c>
      <c r="E1477" s="20" t="s">
        <v>414</v>
      </c>
      <c r="F1477" s="21">
        <v>2008</v>
      </c>
      <c r="G1477" s="40">
        <v>2021</v>
      </c>
      <c r="H1477" s="23">
        <v>802198494179</v>
      </c>
      <c r="I1477" s="23">
        <v>4265257318196</v>
      </c>
      <c r="J1477" s="23">
        <v>323214278061</v>
      </c>
      <c r="K1477" s="23">
        <f>(J1477+222700507014)/2</f>
        <v>272957392537.5</v>
      </c>
      <c r="L1477" s="23">
        <v>290705508121</v>
      </c>
      <c r="M1477" s="23">
        <f t="shared" si="551"/>
        <v>3942043040135</v>
      </c>
      <c r="N1477" s="23">
        <v>516362984812</v>
      </c>
      <c r="O1477" s="25">
        <f t="shared" si="464"/>
        <v>511492986058</v>
      </c>
      <c r="P1477" s="23">
        <v>236400430500</v>
      </c>
      <c r="Q1477" s="23">
        <f>5749197362+8359530014</f>
        <v>14108727376</v>
      </c>
      <c r="R1477" s="25">
        <f t="shared" si="465"/>
        <v>502254257436</v>
      </c>
      <c r="S1477" s="26">
        <f t="shared" si="466"/>
        <v>7.5778377234624661E-2</v>
      </c>
      <c r="T1477" s="27">
        <f t="shared" si="467"/>
        <v>2.7594884574567535</v>
      </c>
      <c r="U1477" s="26">
        <f t="shared" si="468"/>
        <v>29.081523627571837</v>
      </c>
      <c r="V1477" s="26">
        <f t="shared" si="469"/>
        <v>1.8917347502909632</v>
      </c>
      <c r="W1477" s="143"/>
      <c r="X1477" s="143"/>
      <c r="Y1477" s="143"/>
      <c r="Z1477" s="30">
        <f t="shared" si="547"/>
        <v>0</v>
      </c>
      <c r="AA1477" s="31">
        <f t="shared" si="548"/>
        <v>13</v>
      </c>
      <c r="AB1477" s="32">
        <v>1.84E-2</v>
      </c>
      <c r="AC1477" s="32">
        <v>2.58E-2</v>
      </c>
      <c r="AD1477" s="33">
        <f t="shared" si="499"/>
        <v>0.11992078036556469</v>
      </c>
      <c r="AE1477" s="34">
        <f t="shared" si="500"/>
        <v>5.5424658552601952E-2</v>
      </c>
      <c r="AF1477" s="33">
        <f t="shared" si="501"/>
        <v>0.11775473786618565</v>
      </c>
      <c r="AG1477" s="33">
        <f t="shared" si="502"/>
        <v>0</v>
      </c>
      <c r="AH1477" s="35">
        <f t="shared" si="503"/>
        <v>1.5975871731586906</v>
      </c>
      <c r="AI1477" s="36">
        <f t="shared" si="476"/>
        <v>2.2076772665294238</v>
      </c>
      <c r="AJ1477" s="23"/>
      <c r="AK1477" s="173">
        <v>654</v>
      </c>
      <c r="AL1477" s="44"/>
      <c r="AM1477" s="44"/>
      <c r="AN1477" s="44"/>
      <c r="AO1477" s="44"/>
      <c r="AP1477" s="44"/>
      <c r="AQ1477" s="44"/>
      <c r="AR1477" s="44"/>
    </row>
    <row r="1478" spans="1:44" ht="16.8">
      <c r="A1478" s="78" t="s">
        <v>2978</v>
      </c>
      <c r="B1478" s="79"/>
      <c r="C1478" s="79" t="s">
        <v>2976</v>
      </c>
      <c r="D1478" s="19" t="s">
        <v>2977</v>
      </c>
      <c r="E1478" s="20" t="s">
        <v>414</v>
      </c>
      <c r="F1478" s="21">
        <v>2008</v>
      </c>
      <c r="G1478" s="40">
        <v>2022</v>
      </c>
      <c r="H1478" s="23">
        <v>1231562458402</v>
      </c>
      <c r="I1478" s="23">
        <v>4492591095510</v>
      </c>
      <c r="J1478" s="23">
        <v>326545566169</v>
      </c>
      <c r="K1478" s="23">
        <f t="shared" ref="K1478:K1479" si="554">AVERAGE(J1477:J1478)</f>
        <v>324879922115</v>
      </c>
      <c r="L1478" s="23">
        <v>315146608222</v>
      </c>
      <c r="M1478" s="23">
        <f t="shared" si="551"/>
        <v>4166045529341</v>
      </c>
      <c r="N1478" s="23">
        <v>385322979961</v>
      </c>
      <c r="O1478" s="25">
        <f t="shared" si="464"/>
        <v>916415850180</v>
      </c>
      <c r="P1478" s="23">
        <v>224612752243</v>
      </c>
      <c r="Q1478" s="23">
        <f>6273637784+12802458637</f>
        <v>19076096421</v>
      </c>
      <c r="R1478" s="25">
        <f t="shared" si="465"/>
        <v>366246883540</v>
      </c>
      <c r="S1478" s="26">
        <f t="shared" si="466"/>
        <v>7.2685352222541966E-2</v>
      </c>
      <c r="T1478" s="27">
        <f t="shared" si="467"/>
        <v>3.9079032623903269</v>
      </c>
      <c r="U1478" s="26">
        <f t="shared" si="468"/>
        <v>29.133450732640615</v>
      </c>
      <c r="V1478" s="26">
        <f t="shared" si="469"/>
        <v>1.18604737852838</v>
      </c>
      <c r="W1478" s="143"/>
      <c r="X1478" s="143"/>
      <c r="Y1478" s="143"/>
      <c r="Z1478" s="30">
        <f t="shared" si="547"/>
        <v>0</v>
      </c>
      <c r="AA1478" s="31">
        <f t="shared" si="548"/>
        <v>14</v>
      </c>
      <c r="AB1478" s="32">
        <v>3.15E-2</v>
      </c>
      <c r="AC1478" s="32">
        <v>8.0199999999999994E-2</v>
      </c>
      <c r="AD1478" s="33">
        <f t="shared" si="499"/>
        <v>0.20398381038859453</v>
      </c>
      <c r="AE1478" s="34">
        <f t="shared" si="500"/>
        <v>4.9996259946177429E-2</v>
      </c>
      <c r="AF1478" s="33">
        <f t="shared" si="501"/>
        <v>8.1522416742096926E-2</v>
      </c>
      <c r="AG1478" s="33">
        <f t="shared" si="502"/>
        <v>0</v>
      </c>
      <c r="AH1478" s="35">
        <f t="shared" si="503"/>
        <v>1.1799975864978685</v>
      </c>
      <c r="AI1478" s="36">
        <f t="shared" si="476"/>
        <v>1.7637968981377501</v>
      </c>
      <c r="AJ1478" s="23"/>
      <c r="AK1478" s="173">
        <v>655</v>
      </c>
      <c r="AL1478" s="44"/>
      <c r="AM1478" s="44"/>
      <c r="AN1478" s="44"/>
      <c r="AO1478" s="44"/>
      <c r="AP1478" s="44"/>
      <c r="AQ1478" s="44"/>
      <c r="AR1478" s="44"/>
    </row>
    <row r="1479" spans="1:44" ht="16.8">
      <c r="A1479" s="78" t="s">
        <v>2979</v>
      </c>
      <c r="B1479" s="79"/>
      <c r="C1479" s="79" t="s">
        <v>2976</v>
      </c>
      <c r="D1479" s="19" t="s">
        <v>2977</v>
      </c>
      <c r="E1479" s="20" t="s">
        <v>414</v>
      </c>
      <c r="F1479" s="21">
        <v>2008</v>
      </c>
      <c r="G1479" s="40">
        <v>2023</v>
      </c>
      <c r="H1479" s="23">
        <v>1036383290648</v>
      </c>
      <c r="I1479" s="23">
        <v>4673591095510</v>
      </c>
      <c r="J1479" s="23">
        <v>172310356348</v>
      </c>
      <c r="K1479" s="23">
        <f t="shared" si="554"/>
        <v>249427961258.5</v>
      </c>
      <c r="L1479" s="23">
        <v>171644230752</v>
      </c>
      <c r="M1479" s="23">
        <f t="shared" si="551"/>
        <v>4501280739162</v>
      </c>
      <c r="N1479" s="23">
        <v>366584514938</v>
      </c>
      <c r="O1479" s="25">
        <f t="shared" si="464"/>
        <v>864739059896</v>
      </c>
      <c r="P1479" s="23">
        <v>351850830642</v>
      </c>
      <c r="Q1479" s="23">
        <f>26143107407+9937165626</f>
        <v>36080273033</v>
      </c>
      <c r="R1479" s="25">
        <f t="shared" si="465"/>
        <v>330504241905</v>
      </c>
      <c r="S1479" s="26">
        <f t="shared" si="466"/>
        <v>3.6868941425693309E-2</v>
      </c>
      <c r="T1479" s="27">
        <f t="shared" si="467"/>
        <v>6.0379733481716453</v>
      </c>
      <c r="U1479" s="26">
        <f t="shared" si="468"/>
        <v>29.172948863303766</v>
      </c>
      <c r="V1479" s="26">
        <f t="shared" si="469"/>
        <v>1.4697009633097322</v>
      </c>
      <c r="W1479" s="143"/>
      <c r="X1479" s="143"/>
      <c r="Y1479" s="143"/>
      <c r="Z1479" s="30">
        <f t="shared" si="547"/>
        <v>0</v>
      </c>
      <c r="AA1479" s="31">
        <f t="shared" si="548"/>
        <v>15</v>
      </c>
      <c r="AB1479" s="32">
        <v>3.2500000000000001E-2</v>
      </c>
      <c r="AC1479" s="32">
        <v>5.0500000000000003E-2</v>
      </c>
      <c r="AD1479" s="33">
        <f t="shared" si="499"/>
        <v>0.18502668338416894</v>
      </c>
      <c r="AE1479" s="34">
        <f t="shared" si="500"/>
        <v>7.5284898368629033E-2</v>
      </c>
      <c r="AF1479" s="33">
        <f t="shared" si="501"/>
        <v>7.0717406626035637E-2</v>
      </c>
      <c r="AG1479" s="33">
        <f t="shared" si="502"/>
        <v>0</v>
      </c>
      <c r="AH1479" s="35">
        <f t="shared" si="503"/>
        <v>2.1274665244011315</v>
      </c>
      <c r="AI1479" s="36">
        <f t="shared" si="476"/>
        <v>2.6882648440441326</v>
      </c>
      <c r="AJ1479" s="23"/>
      <c r="AK1479" s="173">
        <v>656</v>
      </c>
      <c r="AL1479" s="44"/>
      <c r="AM1479" s="44"/>
      <c r="AN1479" s="44"/>
      <c r="AO1479" s="44"/>
      <c r="AP1479" s="44"/>
      <c r="AQ1479" s="44"/>
      <c r="AR1479" s="44"/>
    </row>
    <row r="1480" spans="1:44" ht="16.8">
      <c r="A1480" s="78" t="s">
        <v>2980</v>
      </c>
      <c r="B1480" s="79">
        <v>570</v>
      </c>
      <c r="C1480" s="79" t="s">
        <v>2981</v>
      </c>
      <c r="D1480" s="19" t="s">
        <v>2982</v>
      </c>
      <c r="E1480" s="20" t="s">
        <v>414</v>
      </c>
      <c r="F1480" s="21">
        <v>2013</v>
      </c>
      <c r="G1480" s="40">
        <v>2021</v>
      </c>
      <c r="H1480" s="23">
        <v>390446450823</v>
      </c>
      <c r="I1480" s="23">
        <v>1520470470724</v>
      </c>
      <c r="J1480" s="23">
        <v>730519380027</v>
      </c>
      <c r="K1480" s="23">
        <f>(J1480+802903560127)/2</f>
        <v>766711470077</v>
      </c>
      <c r="L1480" s="23">
        <v>193958723689</v>
      </c>
      <c r="M1480" s="23">
        <f t="shared" si="551"/>
        <v>789951090697</v>
      </c>
      <c r="N1480" s="23">
        <v>275915471426</v>
      </c>
      <c r="O1480" s="25">
        <f t="shared" si="464"/>
        <v>196487727134</v>
      </c>
      <c r="P1480" s="23">
        <v>10974478553</v>
      </c>
      <c r="Q1480" s="23">
        <v>21130988212</v>
      </c>
      <c r="R1480" s="25">
        <f t="shared" si="465"/>
        <v>254784483214</v>
      </c>
      <c r="S1480" s="26">
        <f t="shared" si="466"/>
        <v>0.48045614439269563</v>
      </c>
      <c r="T1480" s="27">
        <f t="shared" si="467"/>
        <v>2.0130388744414254</v>
      </c>
      <c r="U1480" s="26">
        <f t="shared" si="468"/>
        <v>28.050040923108391</v>
      </c>
      <c r="V1480" s="26">
        <f t="shared" si="469"/>
        <v>0.35986871488734884</v>
      </c>
      <c r="W1480" s="143"/>
      <c r="X1480" s="143"/>
      <c r="Y1480" s="143"/>
      <c r="Z1480" s="30">
        <f t="shared" si="547"/>
        <v>0</v>
      </c>
      <c r="AA1480" s="31">
        <f t="shared" si="548"/>
        <v>8</v>
      </c>
      <c r="AB1480" s="32">
        <v>1.84E-2</v>
      </c>
      <c r="AC1480" s="32">
        <v>2.58E-2</v>
      </c>
      <c r="AD1480" s="33">
        <f t="shared" si="499"/>
        <v>0.12922824278227432</v>
      </c>
      <c r="AE1480" s="34">
        <f t="shared" si="500"/>
        <v>7.2178176191572468E-3</v>
      </c>
      <c r="AF1480" s="33">
        <f t="shared" si="501"/>
        <v>0.16756950438680976</v>
      </c>
      <c r="AG1480" s="33">
        <f t="shared" si="502"/>
        <v>0</v>
      </c>
      <c r="AH1480" s="35">
        <f t="shared" si="503"/>
        <v>0.37769767506483148</v>
      </c>
      <c r="AI1480" s="36">
        <f t="shared" si="476"/>
        <v>1.095855875546853</v>
      </c>
      <c r="AJ1480" s="23"/>
      <c r="AK1480" s="173">
        <v>657</v>
      </c>
      <c r="AL1480" s="44"/>
      <c r="AM1480" s="44"/>
      <c r="AN1480" s="44"/>
      <c r="AO1480" s="44"/>
      <c r="AP1480" s="44"/>
      <c r="AQ1480" s="44"/>
      <c r="AR1480" s="44"/>
    </row>
    <row r="1481" spans="1:44" ht="16.8">
      <c r="A1481" s="78" t="s">
        <v>2983</v>
      </c>
      <c r="B1481" s="79"/>
      <c r="C1481" s="79" t="s">
        <v>2981</v>
      </c>
      <c r="D1481" s="19" t="s">
        <v>2982</v>
      </c>
      <c r="E1481" s="20" t="s">
        <v>414</v>
      </c>
      <c r="F1481" s="21">
        <v>2013</v>
      </c>
      <c r="G1481" s="40">
        <v>2022</v>
      </c>
      <c r="H1481" s="23">
        <v>513273471242</v>
      </c>
      <c r="I1481" s="23">
        <v>1608188494023</v>
      </c>
      <c r="J1481" s="23">
        <v>657595488161</v>
      </c>
      <c r="K1481" s="23">
        <f t="shared" ref="K1481:K1482" si="555">AVERAGE(J1480:J1481)</f>
        <v>694057434094</v>
      </c>
      <c r="L1481" s="23">
        <v>181152136138</v>
      </c>
      <c r="M1481" s="23">
        <f t="shared" si="551"/>
        <v>950593005862</v>
      </c>
      <c r="N1481" s="23">
        <v>253331676043</v>
      </c>
      <c r="O1481" s="25">
        <f t="shared" si="464"/>
        <v>332121335104</v>
      </c>
      <c r="P1481" s="23">
        <v>-19358084835</v>
      </c>
      <c r="Q1481" s="23">
        <v>22800116849</v>
      </c>
      <c r="R1481" s="25">
        <f t="shared" si="465"/>
        <v>230531559194</v>
      </c>
      <c r="S1481" s="26">
        <f t="shared" si="466"/>
        <v>0.40890448514276911</v>
      </c>
      <c r="T1481" s="27">
        <f t="shared" si="467"/>
        <v>2.8333834874074744</v>
      </c>
      <c r="U1481" s="26">
        <f t="shared" si="468"/>
        <v>28.106129502466406</v>
      </c>
      <c r="V1481" s="26">
        <f t="shared" si="469"/>
        <v>0.36500102671429624</v>
      </c>
      <c r="W1481" s="143"/>
      <c r="X1481" s="143"/>
      <c r="Y1481" s="143"/>
      <c r="Z1481" s="30">
        <f t="shared" si="547"/>
        <v>0</v>
      </c>
      <c r="AA1481" s="31">
        <f t="shared" si="548"/>
        <v>9</v>
      </c>
      <c r="AB1481" s="32">
        <v>3.15E-2</v>
      </c>
      <c r="AC1481" s="32">
        <v>8.0199999999999994E-2</v>
      </c>
      <c r="AD1481" s="33">
        <f t="shared" si="499"/>
        <v>0.20651891015161689</v>
      </c>
      <c r="AE1481" s="34">
        <f t="shared" si="500"/>
        <v>-1.203719893964317E-2</v>
      </c>
      <c r="AF1481" s="33">
        <f t="shared" si="501"/>
        <v>0.14334859380650622</v>
      </c>
      <c r="AG1481" s="33">
        <f t="shared" si="502"/>
        <v>0</v>
      </c>
      <c r="AH1481" s="35">
        <f t="shared" si="503"/>
        <v>0.38523937679599235</v>
      </c>
      <c r="AI1481" s="36">
        <f t="shared" si="476"/>
        <v>1.0892603500239026</v>
      </c>
      <c r="AJ1481" s="23"/>
      <c r="AK1481" s="173">
        <v>658</v>
      </c>
      <c r="AL1481" s="44"/>
      <c r="AM1481" s="44"/>
      <c r="AN1481" s="44"/>
      <c r="AO1481" s="44"/>
      <c r="AP1481" s="44"/>
      <c r="AQ1481" s="44"/>
      <c r="AR1481" s="44"/>
    </row>
    <row r="1482" spans="1:44" ht="16.8">
      <c r="A1482" s="78" t="s">
        <v>2984</v>
      </c>
      <c r="B1482" s="79"/>
      <c r="C1482" s="79" t="s">
        <v>2981</v>
      </c>
      <c r="D1482" s="19" t="s">
        <v>2982</v>
      </c>
      <c r="E1482" s="20" t="s">
        <v>414</v>
      </c>
      <c r="F1482" s="21">
        <v>2013</v>
      </c>
      <c r="G1482" s="40">
        <v>2023</v>
      </c>
      <c r="H1482" s="23">
        <v>571671342217</v>
      </c>
      <c r="I1482" s="23">
        <v>1645534560608</v>
      </c>
      <c r="J1482" s="23">
        <v>715524134300</v>
      </c>
      <c r="K1482" s="23">
        <f t="shared" si="555"/>
        <v>686559811230.5</v>
      </c>
      <c r="L1482" s="23">
        <v>195036640435</v>
      </c>
      <c r="M1482" s="23">
        <f t="shared" si="551"/>
        <v>930010426308</v>
      </c>
      <c r="N1482" s="23">
        <v>315276011612</v>
      </c>
      <c r="O1482" s="25">
        <f t="shared" si="464"/>
        <v>376634701782</v>
      </c>
      <c r="P1482" s="23">
        <v>-12530608555</v>
      </c>
      <c r="Q1482" s="23">
        <v>30912777213</v>
      </c>
      <c r="R1482" s="25">
        <f t="shared" si="465"/>
        <v>284363234399</v>
      </c>
      <c r="S1482" s="26">
        <f t="shared" si="466"/>
        <v>0.43482777659536043</v>
      </c>
      <c r="T1482" s="27">
        <f t="shared" si="467"/>
        <v>2.9310971566264303</v>
      </c>
      <c r="U1482" s="26">
        <f t="shared" si="468"/>
        <v>28.129086408213468</v>
      </c>
      <c r="V1482" s="26">
        <f t="shared" si="469"/>
        <v>0.45921128276783418</v>
      </c>
      <c r="W1482" s="143"/>
      <c r="X1482" s="143"/>
      <c r="Y1482" s="143"/>
      <c r="Z1482" s="30">
        <f t="shared" si="547"/>
        <v>0</v>
      </c>
      <c r="AA1482" s="31">
        <f t="shared" si="548"/>
        <v>10</v>
      </c>
      <c r="AB1482" s="32">
        <v>3.2500000000000001E-2</v>
      </c>
      <c r="AC1482" s="32">
        <v>5.0500000000000003E-2</v>
      </c>
      <c r="AD1482" s="33">
        <f t="shared" si="499"/>
        <v>0.22888288754192995</v>
      </c>
      <c r="AE1482" s="34">
        <f t="shared" si="500"/>
        <v>-7.6149166690064113E-3</v>
      </c>
      <c r="AF1482" s="33">
        <f t="shared" si="501"/>
        <v>0.17280903191357591</v>
      </c>
      <c r="AG1482" s="33">
        <f t="shared" si="502"/>
        <v>0</v>
      </c>
      <c r="AH1482" s="35">
        <f t="shared" si="503"/>
        <v>0.44062247029645718</v>
      </c>
      <c r="AI1482" s="36">
        <f t="shared" si="476"/>
        <v>1.2748908573249644</v>
      </c>
      <c r="AJ1482" s="23"/>
      <c r="AK1482" s="173">
        <v>659</v>
      </c>
      <c r="AL1482" s="44"/>
      <c r="AM1482" s="44"/>
      <c r="AN1482" s="44"/>
      <c r="AO1482" s="44"/>
      <c r="AP1482" s="44"/>
      <c r="AQ1482" s="44"/>
      <c r="AR1482" s="44"/>
    </row>
    <row r="1483" spans="1:44" ht="16.8">
      <c r="A1483" s="174" t="s">
        <v>2985</v>
      </c>
      <c r="B1483" s="145">
        <v>571</v>
      </c>
      <c r="C1483" s="145" t="s">
        <v>2986</v>
      </c>
      <c r="D1483" s="146" t="s">
        <v>2987</v>
      </c>
      <c r="E1483" s="147" t="s">
        <v>178</v>
      </c>
      <c r="F1483" s="148">
        <v>2007</v>
      </c>
      <c r="G1483" s="148">
        <v>2021</v>
      </c>
      <c r="H1483" s="149">
        <v>1440209784145</v>
      </c>
      <c r="I1483" s="149">
        <v>1961059471100</v>
      </c>
      <c r="J1483" s="149">
        <v>1097658553820</v>
      </c>
      <c r="K1483" s="149">
        <f>(J1483+1236490012958)/2</f>
        <v>1167074283389</v>
      </c>
      <c r="L1483" s="149">
        <v>984267514371</v>
      </c>
      <c r="M1483" s="149">
        <f t="shared" si="551"/>
        <v>863400917280</v>
      </c>
      <c r="N1483" s="149">
        <v>2544788139612</v>
      </c>
      <c r="O1483" s="149">
        <f t="shared" si="464"/>
        <v>455942269774</v>
      </c>
      <c r="P1483" s="149">
        <v>2476617995</v>
      </c>
      <c r="Q1483" s="149">
        <f>30669303625+37203039541</f>
        <v>67872343166</v>
      </c>
      <c r="R1483" s="149">
        <f t="shared" si="465"/>
        <v>2476915796446</v>
      </c>
      <c r="S1483" s="150">
        <f t="shared" si="466"/>
        <v>0.55972731576788948</v>
      </c>
      <c r="T1483" s="151">
        <f t="shared" si="467"/>
        <v>1.4632300295569256</v>
      </c>
      <c r="U1483" s="150">
        <f t="shared" si="468"/>
        <v>28.304505989607943</v>
      </c>
      <c r="V1483" s="150">
        <f t="shared" si="469"/>
        <v>2.1804851463458998</v>
      </c>
      <c r="W1483" s="152"/>
      <c r="X1483" s="152"/>
      <c r="Y1483" s="152"/>
      <c r="Z1483" s="153">
        <f>W1483*Y1483</f>
        <v>0</v>
      </c>
      <c r="AA1483" s="148">
        <f t="shared" si="548"/>
        <v>14</v>
      </c>
      <c r="AB1483" s="149"/>
      <c r="AC1483" s="149"/>
      <c r="AD1483" s="150">
        <f t="shared" si="499"/>
        <v>0.23249793108938827</v>
      </c>
      <c r="AE1483" s="154">
        <f t="shared" si="500"/>
        <v>1.2628979546504076E-3</v>
      </c>
      <c r="AF1483" s="150">
        <f t="shared" si="501"/>
        <v>1.2630498120776752</v>
      </c>
      <c r="AG1483" s="150">
        <f t="shared" si="502"/>
        <v>0</v>
      </c>
      <c r="AH1483" s="155">
        <f t="shared" si="503"/>
        <v>2.3183786349186581</v>
      </c>
      <c r="AI1483" s="156">
        <f t="shared" si="476"/>
        <v>6.7672085892187628</v>
      </c>
      <c r="AJ1483" s="149"/>
      <c r="AK1483" s="149"/>
      <c r="AL1483" s="157"/>
      <c r="AM1483" s="157"/>
      <c r="AN1483" s="157"/>
      <c r="AO1483" s="157"/>
      <c r="AP1483" s="157"/>
      <c r="AQ1483" s="157"/>
      <c r="AR1483" s="157"/>
    </row>
    <row r="1484" spans="1:44" ht="16.8">
      <c r="A1484" s="174" t="s">
        <v>2988</v>
      </c>
      <c r="B1484" s="145"/>
      <c r="C1484" s="145" t="s">
        <v>2986</v>
      </c>
      <c r="D1484" s="146" t="s">
        <v>2987</v>
      </c>
      <c r="E1484" s="147" t="s">
        <v>178</v>
      </c>
      <c r="F1484" s="148">
        <v>2007</v>
      </c>
      <c r="G1484" s="148">
        <v>2022</v>
      </c>
      <c r="H1484" s="149">
        <v>1676197734696</v>
      </c>
      <c r="I1484" s="149">
        <v>2303561474934</v>
      </c>
      <c r="J1484" s="149">
        <v>1426892739561</v>
      </c>
      <c r="K1484" s="149">
        <f t="shared" ref="K1484:K1485" si="556">AVERAGE(J1483:J1484)</f>
        <v>1262275646690.5</v>
      </c>
      <c r="L1484" s="149">
        <v>1426343280040</v>
      </c>
      <c r="M1484" s="149">
        <f t="shared" si="551"/>
        <v>876668735373</v>
      </c>
      <c r="N1484" s="149">
        <v>3872249537818</v>
      </c>
      <c r="O1484" s="149">
        <f t="shared" si="464"/>
        <v>249854454656</v>
      </c>
      <c r="P1484" s="149">
        <v>13369872707</v>
      </c>
      <c r="Q1484" s="149">
        <f>42009503075+51519559928</f>
        <v>93529063003</v>
      </c>
      <c r="R1484" s="149">
        <f t="shared" si="465"/>
        <v>3778720474815</v>
      </c>
      <c r="S1484" s="150">
        <f t="shared" si="466"/>
        <v>0.61942898207302344</v>
      </c>
      <c r="T1484" s="151">
        <f t="shared" si="467"/>
        <v>1.1751713336841276</v>
      </c>
      <c r="U1484" s="150">
        <f t="shared" si="468"/>
        <v>28.465477508586851</v>
      </c>
      <c r="V1484" s="150">
        <f t="shared" si="469"/>
        <v>3.0676734895190805</v>
      </c>
      <c r="W1484" s="152"/>
      <c r="X1484" s="152"/>
      <c r="Y1484" s="152"/>
      <c r="Z1484" s="153"/>
      <c r="AA1484" s="148">
        <f t="shared" si="548"/>
        <v>15</v>
      </c>
      <c r="AB1484" s="149"/>
      <c r="AC1484" s="149"/>
      <c r="AD1484" s="150">
        <f t="shared" si="499"/>
        <v>0.10846441797832145</v>
      </c>
      <c r="AE1484" s="154">
        <f t="shared" si="500"/>
        <v>5.8040008276241308E-3</v>
      </c>
      <c r="AF1484" s="150">
        <f t="shared" si="501"/>
        <v>1.6403818677872555</v>
      </c>
      <c r="AG1484" s="150">
        <f t="shared" si="502"/>
        <v>0</v>
      </c>
      <c r="AH1484" s="155">
        <f t="shared" si="503"/>
        <v>2.7137635720322906</v>
      </c>
      <c r="AI1484" s="156">
        <f t="shared" si="476"/>
        <v>8.2653066384628922</v>
      </c>
      <c r="AJ1484" s="149"/>
      <c r="AK1484" s="149"/>
      <c r="AL1484" s="157"/>
      <c r="AM1484" s="157"/>
      <c r="AN1484" s="157"/>
      <c r="AO1484" s="157"/>
      <c r="AP1484" s="157"/>
      <c r="AQ1484" s="157"/>
      <c r="AR1484" s="157"/>
    </row>
    <row r="1485" spans="1:44" ht="16.8">
      <c r="A1485" s="174" t="s">
        <v>2989</v>
      </c>
      <c r="B1485" s="145"/>
      <c r="C1485" s="145" t="s">
        <v>2986</v>
      </c>
      <c r="D1485" s="146" t="s">
        <v>2987</v>
      </c>
      <c r="E1485" s="147" t="s">
        <v>178</v>
      </c>
      <c r="F1485" s="148">
        <v>2007</v>
      </c>
      <c r="G1485" s="148">
        <v>2023</v>
      </c>
      <c r="H1485" s="149">
        <v>1365333524004</v>
      </c>
      <c r="I1485" s="149">
        <v>2096646000000</v>
      </c>
      <c r="J1485" s="149">
        <v>1046769948801</v>
      </c>
      <c r="K1485" s="149">
        <f t="shared" si="556"/>
        <v>1236831344181</v>
      </c>
      <c r="L1485" s="149">
        <v>987397609314</v>
      </c>
      <c r="M1485" s="149">
        <f t="shared" si="551"/>
        <v>1049876051199</v>
      </c>
      <c r="N1485" s="149">
        <v>3254380448659</v>
      </c>
      <c r="O1485" s="149">
        <f t="shared" si="464"/>
        <v>377935914690</v>
      </c>
      <c r="P1485" s="149">
        <v>44296599073</v>
      </c>
      <c r="Q1485" s="149">
        <f>35737063939+40422804</f>
        <v>35777486743</v>
      </c>
      <c r="R1485" s="149">
        <f t="shared" si="465"/>
        <v>3218602961916</v>
      </c>
      <c r="S1485" s="150">
        <f t="shared" si="466"/>
        <v>0.49925926875638521</v>
      </c>
      <c r="T1485" s="151">
        <f t="shared" si="467"/>
        <v>1.3827596007170537</v>
      </c>
      <c r="U1485" s="150">
        <f t="shared" si="468"/>
        <v>28.371360041008469</v>
      </c>
      <c r="V1485" s="150">
        <f t="shared" si="469"/>
        <v>2.6312241066416155</v>
      </c>
      <c r="W1485" s="152"/>
      <c r="X1485" s="152"/>
      <c r="Y1485" s="152"/>
      <c r="Z1485" s="153"/>
      <c r="AA1485" s="148">
        <f t="shared" si="548"/>
        <v>16</v>
      </c>
      <c r="AB1485" s="149"/>
      <c r="AC1485" s="149"/>
      <c r="AD1485" s="150">
        <f t="shared" si="499"/>
        <v>0.18025737997258479</v>
      </c>
      <c r="AE1485" s="154">
        <f t="shared" si="500"/>
        <v>2.1127362021533438E-2</v>
      </c>
      <c r="AF1485" s="150">
        <f t="shared" si="501"/>
        <v>1.5351198828586228</v>
      </c>
      <c r="AG1485" s="150">
        <f t="shared" si="502"/>
        <v>0</v>
      </c>
      <c r="AH1485" s="155">
        <f t="shared" si="503"/>
        <v>3.1089738985979296</v>
      </c>
      <c r="AI1485" s="156">
        <f t="shared" si="476"/>
        <v>8.4207566748286329</v>
      </c>
      <c r="AJ1485" s="149"/>
      <c r="AK1485" s="149"/>
      <c r="AL1485" s="157"/>
      <c r="AM1485" s="157"/>
      <c r="AN1485" s="157"/>
      <c r="AO1485" s="157"/>
      <c r="AP1485" s="157"/>
      <c r="AQ1485" s="157"/>
      <c r="AR1485" s="157"/>
    </row>
    <row r="1486" spans="1:44" ht="16.8">
      <c r="A1486" s="78" t="s">
        <v>2990</v>
      </c>
      <c r="B1486" s="79">
        <v>572</v>
      </c>
      <c r="C1486" s="79" t="s">
        <v>2991</v>
      </c>
      <c r="D1486" s="19" t="s">
        <v>2992</v>
      </c>
      <c r="E1486" s="20" t="s">
        <v>414</v>
      </c>
      <c r="F1486" s="21">
        <v>2005</v>
      </c>
      <c r="G1486" s="40">
        <v>2021</v>
      </c>
      <c r="H1486" s="23">
        <v>1136216140388</v>
      </c>
      <c r="I1486" s="23">
        <v>1261596127816</v>
      </c>
      <c r="J1486" s="23">
        <v>777389125567</v>
      </c>
      <c r="K1486" s="23">
        <f>(J1486+513268476037)/2</f>
        <v>645328800802</v>
      </c>
      <c r="L1486" s="23">
        <v>754467943589</v>
      </c>
      <c r="M1486" s="23">
        <f t="shared" si="551"/>
        <v>484207002249</v>
      </c>
      <c r="N1486" s="23">
        <v>3830564756476</v>
      </c>
      <c r="O1486" s="25">
        <f t="shared" si="464"/>
        <v>381748196799</v>
      </c>
      <c r="P1486" s="23">
        <v>142094420399</v>
      </c>
      <c r="Q1486" s="23">
        <f>56298819361+32540305495</f>
        <v>88839124856</v>
      </c>
      <c r="R1486" s="25">
        <f t="shared" si="465"/>
        <v>3741725631620</v>
      </c>
      <c r="S1486" s="26">
        <f t="shared" si="466"/>
        <v>0.61619492040830037</v>
      </c>
      <c r="T1486" s="27">
        <f t="shared" si="467"/>
        <v>1.5059833224762684</v>
      </c>
      <c r="U1486" s="26">
        <f t="shared" si="468"/>
        <v>27.863398803326103</v>
      </c>
      <c r="V1486" s="26">
        <f t="shared" si="469"/>
        <v>5.9358341851711263</v>
      </c>
      <c r="W1486" s="143"/>
      <c r="X1486" s="143"/>
      <c r="Y1486" s="143"/>
      <c r="Z1486" s="30">
        <f t="shared" ref="Z1486:Z1491" si="557">X1486*Y1486</f>
        <v>0</v>
      </c>
      <c r="AA1486" s="31">
        <f t="shared" si="548"/>
        <v>16</v>
      </c>
      <c r="AB1486" s="32">
        <v>1.84E-2</v>
      </c>
      <c r="AC1486" s="32">
        <v>2.58E-2</v>
      </c>
      <c r="AD1486" s="33">
        <f t="shared" si="499"/>
        <v>0.30259144617054251</v>
      </c>
      <c r="AE1486" s="34">
        <f t="shared" si="500"/>
        <v>0.11263067257901734</v>
      </c>
      <c r="AF1486" s="33">
        <f t="shared" si="501"/>
        <v>2.9658664521247795</v>
      </c>
      <c r="AG1486" s="33">
        <f t="shared" si="502"/>
        <v>0</v>
      </c>
      <c r="AH1486" s="35">
        <f t="shared" si="503"/>
        <v>4.9274740673560649</v>
      </c>
      <c r="AI1486" s="36">
        <f t="shared" si="476"/>
        <v>15.235626036383113</v>
      </c>
      <c r="AJ1486" s="23"/>
      <c r="AK1486" s="173">
        <v>660</v>
      </c>
      <c r="AL1486" s="44"/>
      <c r="AM1486" s="44"/>
      <c r="AN1486" s="44"/>
      <c r="AO1486" s="44"/>
      <c r="AP1486" s="44"/>
      <c r="AQ1486" s="44"/>
      <c r="AR1486" s="44"/>
    </row>
    <row r="1487" spans="1:44" ht="16.8">
      <c r="A1487" s="78" t="s">
        <v>2993</v>
      </c>
      <c r="B1487" s="79"/>
      <c r="C1487" s="79" t="s">
        <v>2991</v>
      </c>
      <c r="D1487" s="19" t="s">
        <v>2992</v>
      </c>
      <c r="E1487" s="20" t="s">
        <v>414</v>
      </c>
      <c r="F1487" s="21">
        <v>2005</v>
      </c>
      <c r="G1487" s="40">
        <v>2022</v>
      </c>
      <c r="H1487" s="23">
        <v>1023592378455</v>
      </c>
      <c r="I1487" s="23">
        <v>1144866544899</v>
      </c>
      <c r="J1487" s="23">
        <v>762326984599</v>
      </c>
      <c r="K1487" s="23">
        <f t="shared" ref="K1487:K1488" si="558">AVERAGE(J1486:J1487)</f>
        <v>769858055083</v>
      </c>
      <c r="L1487" s="23">
        <v>739044096013</v>
      </c>
      <c r="M1487" s="23">
        <f t="shared" si="551"/>
        <v>382539560300</v>
      </c>
      <c r="N1487" s="23">
        <v>3414324323557</v>
      </c>
      <c r="O1487" s="25">
        <f t="shared" si="464"/>
        <v>284548282442</v>
      </c>
      <c r="P1487" s="23">
        <v>3127252687</v>
      </c>
      <c r="Q1487" s="23">
        <f>44436125285+15053478833</f>
        <v>59489604118</v>
      </c>
      <c r="R1487" s="25">
        <f t="shared" si="465"/>
        <v>3354834719439</v>
      </c>
      <c r="S1487" s="26">
        <f t="shared" si="466"/>
        <v>0.66586536919571915</v>
      </c>
      <c r="T1487" s="27">
        <f t="shared" si="467"/>
        <v>1.3850220629284273</v>
      </c>
      <c r="U1487" s="26">
        <f t="shared" si="468"/>
        <v>27.766309191468366</v>
      </c>
      <c r="V1487" s="26">
        <f t="shared" si="469"/>
        <v>4.4350049999657335</v>
      </c>
      <c r="W1487" s="143"/>
      <c r="X1487" s="143"/>
      <c r="Y1487" s="143"/>
      <c r="Z1487" s="30">
        <f t="shared" si="557"/>
        <v>0</v>
      </c>
      <c r="AA1487" s="31">
        <f t="shared" si="548"/>
        <v>17</v>
      </c>
      <c r="AB1487" s="32">
        <v>3.15E-2</v>
      </c>
      <c r="AC1487" s="32">
        <v>8.0199999999999994E-2</v>
      </c>
      <c r="AD1487" s="33">
        <f t="shared" si="499"/>
        <v>0.24854275261148698</v>
      </c>
      <c r="AE1487" s="34">
        <f t="shared" si="500"/>
        <v>2.7315434283005325E-3</v>
      </c>
      <c r="AF1487" s="33">
        <f t="shared" si="501"/>
        <v>2.9303281979778379</v>
      </c>
      <c r="AG1487" s="33">
        <f t="shared" si="502"/>
        <v>0</v>
      </c>
      <c r="AH1487" s="35">
        <f t="shared" si="503"/>
        <v>4.4788186598864872</v>
      </c>
      <c r="AI1487" s="36">
        <f t="shared" si="476"/>
        <v>14.450977177146758</v>
      </c>
      <c r="AJ1487" s="23"/>
      <c r="AK1487" s="173">
        <v>661</v>
      </c>
      <c r="AL1487" s="44"/>
      <c r="AM1487" s="44"/>
      <c r="AN1487" s="44"/>
      <c r="AO1487" s="44"/>
      <c r="AP1487" s="44"/>
      <c r="AQ1487" s="44"/>
      <c r="AR1487" s="44"/>
    </row>
    <row r="1488" spans="1:44" ht="16.8">
      <c r="A1488" s="78" t="s">
        <v>2994</v>
      </c>
      <c r="B1488" s="79"/>
      <c r="C1488" s="79" t="s">
        <v>2991</v>
      </c>
      <c r="D1488" s="19" t="s">
        <v>2992</v>
      </c>
      <c r="E1488" s="20" t="s">
        <v>414</v>
      </c>
      <c r="F1488" s="21">
        <v>2005</v>
      </c>
      <c r="G1488" s="40">
        <v>2023</v>
      </c>
      <c r="H1488" s="23">
        <v>1166968741476</v>
      </c>
      <c r="I1488" s="23">
        <v>1279883909836</v>
      </c>
      <c r="J1488" s="23">
        <v>876194953509</v>
      </c>
      <c r="K1488" s="23">
        <f t="shared" si="558"/>
        <v>819260969054</v>
      </c>
      <c r="L1488" s="23">
        <v>850728465319</v>
      </c>
      <c r="M1488" s="23">
        <f t="shared" si="551"/>
        <v>403688956327</v>
      </c>
      <c r="N1488" s="23">
        <v>3120669290401</v>
      </c>
      <c r="O1488" s="25">
        <f t="shared" si="464"/>
        <v>316240276157</v>
      </c>
      <c r="P1488" s="23">
        <v>21149396027</v>
      </c>
      <c r="Q1488" s="23">
        <f>45884684870+15726325123</f>
        <v>61611009993</v>
      </c>
      <c r="R1488" s="25">
        <f t="shared" si="465"/>
        <v>3059058280408</v>
      </c>
      <c r="S1488" s="26">
        <f t="shared" si="466"/>
        <v>0.68458939656587503</v>
      </c>
      <c r="T1488" s="27">
        <f t="shared" si="467"/>
        <v>1.3717288054284378</v>
      </c>
      <c r="U1488" s="26">
        <f t="shared" si="468"/>
        <v>27.877790494306367</v>
      </c>
      <c r="V1488" s="26">
        <f t="shared" si="469"/>
        <v>3.8091272601506141</v>
      </c>
      <c r="W1488" s="143"/>
      <c r="X1488" s="143"/>
      <c r="Y1488" s="143"/>
      <c r="Z1488" s="30">
        <f t="shared" si="557"/>
        <v>0</v>
      </c>
      <c r="AA1488" s="31">
        <f t="shared" si="548"/>
        <v>18</v>
      </c>
      <c r="AB1488" s="32">
        <v>3.2500000000000001E-2</v>
      </c>
      <c r="AC1488" s="32">
        <v>5.0500000000000003E-2</v>
      </c>
      <c r="AD1488" s="33">
        <f t="shared" si="499"/>
        <v>0.24708512524196194</v>
      </c>
      <c r="AE1488" s="34">
        <f t="shared" si="500"/>
        <v>1.652446433966813E-2</v>
      </c>
      <c r="AF1488" s="33">
        <f t="shared" si="501"/>
        <v>2.3901060532903937</v>
      </c>
      <c r="AG1488" s="33">
        <f t="shared" si="502"/>
        <v>0</v>
      </c>
      <c r="AH1488" s="35">
        <f t="shared" si="503"/>
        <v>3.5616152294683872</v>
      </c>
      <c r="AI1488" s="36">
        <f t="shared" si="476"/>
        <v>11.768601605692576</v>
      </c>
      <c r="AJ1488" s="23"/>
      <c r="AK1488" s="173">
        <v>662</v>
      </c>
      <c r="AL1488" s="44"/>
      <c r="AM1488" s="44"/>
      <c r="AN1488" s="44"/>
      <c r="AO1488" s="44"/>
      <c r="AP1488" s="44"/>
      <c r="AQ1488" s="44"/>
      <c r="AR1488" s="44"/>
    </row>
    <row r="1489" spans="1:44" ht="16.8">
      <c r="A1489" s="78" t="s">
        <v>2995</v>
      </c>
      <c r="B1489" s="79">
        <v>573</v>
      </c>
      <c r="C1489" s="79" t="s">
        <v>2996</v>
      </c>
      <c r="D1489" s="19" t="s">
        <v>2997</v>
      </c>
      <c r="E1489" s="20" t="s">
        <v>414</v>
      </c>
      <c r="F1489" s="21">
        <v>2010</v>
      </c>
      <c r="G1489" s="40">
        <v>2021</v>
      </c>
      <c r="H1489" s="23">
        <v>2848620947</v>
      </c>
      <c r="I1489" s="23">
        <v>14017046409</v>
      </c>
      <c r="J1489" s="23">
        <v>8020022982</v>
      </c>
      <c r="K1489" s="23">
        <f>(J1489+15989847212)/2</f>
        <v>12004935097</v>
      </c>
      <c r="L1489" s="23">
        <v>4828423097</v>
      </c>
      <c r="M1489" s="23">
        <f t="shared" si="551"/>
        <v>5997023427</v>
      </c>
      <c r="N1489" s="23">
        <v>1198934872</v>
      </c>
      <c r="O1489" s="25">
        <f t="shared" si="464"/>
        <v>-1979802150</v>
      </c>
      <c r="P1489" s="23">
        <v>-1119430311</v>
      </c>
      <c r="Q1489" s="23">
        <f>175496699+134707366</f>
        <v>310204065</v>
      </c>
      <c r="R1489" s="25">
        <f t="shared" si="465"/>
        <v>888730807</v>
      </c>
      <c r="S1489" s="26">
        <f t="shared" si="466"/>
        <v>0.57216211946409345</v>
      </c>
      <c r="T1489" s="27">
        <f t="shared" si="467"/>
        <v>0.58996920729045221</v>
      </c>
      <c r="U1489" s="26">
        <f t="shared" si="468"/>
        <v>23.363540026530032</v>
      </c>
      <c r="V1489" s="26">
        <f t="shared" si="469"/>
        <v>9.9870166919903677E-2</v>
      </c>
      <c r="W1489" s="143"/>
      <c r="X1489" s="143"/>
      <c r="Y1489" s="143"/>
      <c r="Z1489" s="30">
        <f t="shared" si="557"/>
        <v>0</v>
      </c>
      <c r="AA1489" s="31">
        <f t="shared" si="548"/>
        <v>11</v>
      </c>
      <c r="AB1489" s="32">
        <v>1.84E-2</v>
      </c>
      <c r="AC1489" s="32">
        <v>2.58E-2</v>
      </c>
      <c r="AD1489" s="33">
        <f t="shared" si="499"/>
        <v>-0.14124246237273053</v>
      </c>
      <c r="AE1489" s="34">
        <f t="shared" si="500"/>
        <v>-7.9862067823449692E-2</v>
      </c>
      <c r="AF1489" s="33">
        <f t="shared" si="501"/>
        <v>6.3403571698911393E-2</v>
      </c>
      <c r="AG1489" s="33">
        <f t="shared" si="502"/>
        <v>0</v>
      </c>
      <c r="AH1489" s="35">
        <f t="shared" si="503"/>
        <v>0.14949269780035152</v>
      </c>
      <c r="AI1489" s="36">
        <f t="shared" si="476"/>
        <v>7.7426634606652917E-2</v>
      </c>
      <c r="AJ1489" s="23"/>
      <c r="AK1489" s="173">
        <v>663</v>
      </c>
      <c r="AL1489" s="44"/>
      <c r="AM1489" s="44"/>
      <c r="AN1489" s="44"/>
      <c r="AO1489" s="44"/>
      <c r="AP1489" s="44"/>
      <c r="AQ1489" s="44"/>
      <c r="AR1489" s="44"/>
    </row>
    <row r="1490" spans="1:44" ht="16.8">
      <c r="A1490" s="78" t="s">
        <v>2998</v>
      </c>
      <c r="B1490" s="79"/>
      <c r="C1490" s="79" t="s">
        <v>2996</v>
      </c>
      <c r="D1490" s="19" t="s">
        <v>2997</v>
      </c>
      <c r="E1490" s="20" t="s">
        <v>414</v>
      </c>
      <c r="F1490" s="21">
        <v>2010</v>
      </c>
      <c r="G1490" s="40">
        <v>2022</v>
      </c>
      <c r="H1490" s="23">
        <v>3039104581</v>
      </c>
      <c r="I1490" s="23">
        <v>12669846322</v>
      </c>
      <c r="J1490" s="23">
        <v>9635373327</v>
      </c>
      <c r="K1490" s="23">
        <f>AVERAGE(J1489:J1490)</f>
        <v>8827698154.5</v>
      </c>
      <c r="L1490" s="23">
        <v>7327694807</v>
      </c>
      <c r="M1490" s="23">
        <f t="shared" si="551"/>
        <v>3034472995</v>
      </c>
      <c r="N1490" s="23">
        <v>741796172</v>
      </c>
      <c r="O1490" s="25">
        <f t="shared" si="464"/>
        <v>-4288590226</v>
      </c>
      <c r="P1490" s="23">
        <v>-3576449702</v>
      </c>
      <c r="Q1490" s="23">
        <f>21369122+95266780</f>
        <v>116635902</v>
      </c>
      <c r="R1490" s="25">
        <f t="shared" si="465"/>
        <v>625160270</v>
      </c>
      <c r="S1490" s="26">
        <f t="shared" si="466"/>
        <v>0.76049646397597404</v>
      </c>
      <c r="T1490" s="27">
        <f t="shared" si="467"/>
        <v>0.41474224309898994</v>
      </c>
      <c r="U1490" s="26">
        <f t="shared" si="468"/>
        <v>23.262490701924129</v>
      </c>
      <c r="V1490" s="26">
        <f t="shared" si="469"/>
        <v>8.4030531970767777E-2</v>
      </c>
      <c r="W1490" s="143"/>
      <c r="X1490" s="143"/>
      <c r="Y1490" s="143"/>
      <c r="Z1490" s="30">
        <f t="shared" si="557"/>
        <v>0</v>
      </c>
      <c r="AA1490" s="31">
        <f t="shared" si="548"/>
        <v>12</v>
      </c>
      <c r="AB1490" s="32">
        <v>3.15E-2</v>
      </c>
      <c r="AC1490" s="32">
        <v>8.0199999999999994E-2</v>
      </c>
      <c r="AD1490" s="33">
        <f t="shared" si="499"/>
        <v>-0.33848794350040895</v>
      </c>
      <c r="AE1490" s="34">
        <f t="shared" si="500"/>
        <v>-0.2822804326986848</v>
      </c>
      <c r="AF1490" s="33">
        <f t="shared" si="501"/>
        <v>4.9342371968195686E-2</v>
      </c>
      <c r="AG1490" s="33">
        <f t="shared" si="502"/>
        <v>0</v>
      </c>
      <c r="AH1490" s="35">
        <f t="shared" si="503"/>
        <v>7.6986759809436492E-2</v>
      </c>
      <c r="AI1490" s="36">
        <f t="shared" si="476"/>
        <v>-0.56156155067416713</v>
      </c>
      <c r="AJ1490" s="23"/>
      <c r="AK1490" s="173">
        <v>664</v>
      </c>
      <c r="AL1490" s="44"/>
      <c r="AM1490" s="44"/>
      <c r="AN1490" s="44"/>
      <c r="AO1490" s="44"/>
      <c r="AP1490" s="44"/>
      <c r="AQ1490" s="44"/>
      <c r="AR1490" s="44"/>
    </row>
    <row r="1491" spans="1:44" ht="16.8">
      <c r="A1491" s="78" t="s">
        <v>2999</v>
      </c>
      <c r="B1491" s="79"/>
      <c r="C1491" s="79" t="s">
        <v>2996</v>
      </c>
      <c r="D1491" s="19" t="s">
        <v>2997</v>
      </c>
      <c r="E1491" s="20" t="s">
        <v>414</v>
      </c>
      <c r="F1491" s="21">
        <v>2010</v>
      </c>
      <c r="G1491" s="40">
        <v>2023</v>
      </c>
      <c r="H1491" s="23">
        <v>2658783434</v>
      </c>
      <c r="I1491" s="23">
        <v>14095779338</v>
      </c>
      <c r="J1491" s="23">
        <v>11840072367</v>
      </c>
      <c r="K1491" s="23">
        <f>AVERAGE(J1490:J12583)</f>
        <v>49896339564546.648</v>
      </c>
      <c r="L1491" s="23">
        <v>9609413390</v>
      </c>
      <c r="M1491" s="23">
        <f t="shared" si="551"/>
        <v>2255706971</v>
      </c>
      <c r="N1491" s="23">
        <v>605571129</v>
      </c>
      <c r="O1491" s="25">
        <f t="shared" si="464"/>
        <v>-6950629956</v>
      </c>
      <c r="P1491" s="23">
        <v>-1098460718</v>
      </c>
      <c r="Q1491" s="23">
        <f>26783949+96747957</f>
        <v>123531906</v>
      </c>
      <c r="R1491" s="25">
        <f t="shared" si="465"/>
        <v>482039223</v>
      </c>
      <c r="S1491" s="26">
        <f t="shared" si="466"/>
        <v>0.83997288004367598</v>
      </c>
      <c r="T1491" s="27">
        <f t="shared" si="467"/>
        <v>0.27668530076631453</v>
      </c>
      <c r="U1491" s="26">
        <f t="shared" si="468"/>
        <v>23.369141251789557</v>
      </c>
      <c r="V1491" s="26">
        <f t="shared" si="469"/>
        <v>1.2136584252169924E-5</v>
      </c>
      <c r="W1491" s="143"/>
      <c r="X1491" s="143"/>
      <c r="Y1491" s="143"/>
      <c r="Z1491" s="30">
        <f t="shared" si="557"/>
        <v>0</v>
      </c>
      <c r="AA1491" s="31">
        <f t="shared" si="548"/>
        <v>13</v>
      </c>
      <c r="AB1491" s="32">
        <v>3.2500000000000001E-2</v>
      </c>
      <c r="AC1491" s="32">
        <v>5.0500000000000003E-2</v>
      </c>
      <c r="AD1491" s="33">
        <f t="shared" si="499"/>
        <v>-0.49310008260857185</v>
      </c>
      <c r="AE1491" s="34">
        <f t="shared" si="500"/>
        <v>-7.7928342354134539E-2</v>
      </c>
      <c r="AF1491" s="33">
        <f t="shared" si="501"/>
        <v>3.4197415512918695E-2</v>
      </c>
      <c r="AG1491" s="33">
        <f t="shared" si="502"/>
        <v>0</v>
      </c>
      <c r="AH1491" s="35">
        <f t="shared" si="503"/>
        <v>5.1145897611894219E-2</v>
      </c>
      <c r="AI1491" s="36">
        <f t="shared" si="476"/>
        <v>-0.53682240962154859</v>
      </c>
      <c r="AJ1491" s="23"/>
      <c r="AK1491" s="173">
        <v>665</v>
      </c>
      <c r="AL1491" s="44"/>
      <c r="AM1491" s="44"/>
      <c r="AN1491" s="44"/>
      <c r="AO1491" s="44"/>
      <c r="AP1491" s="44"/>
      <c r="AQ1491" s="44"/>
      <c r="AR1491" s="44"/>
    </row>
    <row r="1492" spans="1:44" ht="16.8">
      <c r="A1492" s="174" t="s">
        <v>3000</v>
      </c>
      <c r="B1492" s="145">
        <v>574</v>
      </c>
      <c r="C1492" s="145" t="s">
        <v>3001</v>
      </c>
      <c r="D1492" s="146" t="s">
        <v>3002</v>
      </c>
      <c r="E1492" s="147" t="s">
        <v>178</v>
      </c>
      <c r="F1492" s="148">
        <v>2018</v>
      </c>
      <c r="G1492" s="148">
        <v>2021</v>
      </c>
      <c r="H1492" s="149">
        <v>14805501042</v>
      </c>
      <c r="I1492" s="149">
        <v>75990007233</v>
      </c>
      <c r="J1492" s="149">
        <v>19028836206</v>
      </c>
      <c r="K1492" s="149">
        <f>(J1492+11096324691)/2</f>
        <v>15062580448.5</v>
      </c>
      <c r="L1492" s="149">
        <v>18280307913</v>
      </c>
      <c r="M1492" s="149">
        <f t="shared" si="551"/>
        <v>56961171027</v>
      </c>
      <c r="N1492" s="149">
        <v>26463143440</v>
      </c>
      <c r="O1492" s="149">
        <f t="shared" si="464"/>
        <v>-3474806871</v>
      </c>
      <c r="P1492" s="149">
        <v>-21097884167</v>
      </c>
      <c r="Q1492" s="149">
        <f>640823152+9217885569</f>
        <v>9858708721</v>
      </c>
      <c r="R1492" s="149">
        <f t="shared" si="465"/>
        <v>16604434719</v>
      </c>
      <c r="S1492" s="150">
        <f t="shared" si="466"/>
        <v>0.25041234892443059</v>
      </c>
      <c r="T1492" s="151">
        <f t="shared" si="467"/>
        <v>0.80991529860780409</v>
      </c>
      <c r="U1492" s="150">
        <f t="shared" si="468"/>
        <v>25.053867684811678</v>
      </c>
      <c r="V1492" s="150">
        <f t="shared" si="469"/>
        <v>1.756879807578742</v>
      </c>
      <c r="W1492" s="152"/>
      <c r="X1492" s="152"/>
      <c r="Y1492" s="152"/>
      <c r="Z1492" s="153">
        <f>W1492*Y1492</f>
        <v>0</v>
      </c>
      <c r="AA1492" s="148">
        <f t="shared" si="548"/>
        <v>3</v>
      </c>
      <c r="AB1492" s="149"/>
      <c r="AC1492" s="149"/>
      <c r="AD1492" s="150">
        <f t="shared" si="499"/>
        <v>-4.5727155418548292E-2</v>
      </c>
      <c r="AE1492" s="154">
        <f t="shared" si="500"/>
        <v>-0.27764024422724193</v>
      </c>
      <c r="AF1492" s="150">
        <f t="shared" si="501"/>
        <v>0.21850813447204454</v>
      </c>
      <c r="AG1492" s="150">
        <f t="shared" si="502"/>
        <v>0</v>
      </c>
      <c r="AH1492" s="155">
        <f t="shared" si="503"/>
        <v>1.390686385311146</v>
      </c>
      <c r="AI1492" s="156">
        <f t="shared" si="476"/>
        <v>1.6681943006484963</v>
      </c>
      <c r="AJ1492" s="149"/>
      <c r="AK1492" s="149"/>
      <c r="AL1492" s="157"/>
      <c r="AM1492" s="157"/>
      <c r="AN1492" s="157"/>
      <c r="AO1492" s="157"/>
      <c r="AP1492" s="157"/>
      <c r="AQ1492" s="157"/>
      <c r="AR1492" s="157"/>
    </row>
    <row r="1493" spans="1:44" ht="16.8">
      <c r="A1493" s="174" t="s">
        <v>3003</v>
      </c>
      <c r="B1493" s="145"/>
      <c r="C1493" s="145"/>
      <c r="D1493" s="146"/>
      <c r="E1493" s="147" t="s">
        <v>178</v>
      </c>
      <c r="F1493" s="148">
        <v>2018</v>
      </c>
      <c r="G1493" s="148">
        <v>2022</v>
      </c>
      <c r="H1493" s="149">
        <v>6789578727</v>
      </c>
      <c r="I1493" s="149">
        <v>65646711655</v>
      </c>
      <c r="J1493" s="149">
        <v>25412598729</v>
      </c>
      <c r="K1493" s="149">
        <f t="shared" ref="K1493:K1494" si="559">AVERAGE(J1492:J1493)</f>
        <v>22220717467.5</v>
      </c>
      <c r="L1493" s="149">
        <v>24660076250</v>
      </c>
      <c r="M1493" s="149">
        <f t="shared" si="551"/>
        <v>40234112926</v>
      </c>
      <c r="N1493" s="149">
        <v>40730282217</v>
      </c>
      <c r="O1493" s="149">
        <f t="shared" si="464"/>
        <v>-17870497523</v>
      </c>
      <c r="P1493" s="149">
        <v>-16727058101</v>
      </c>
      <c r="Q1493" s="149">
        <f>2342098999+9512199311</f>
        <v>11854298310</v>
      </c>
      <c r="R1493" s="149">
        <f t="shared" si="465"/>
        <v>28875983907</v>
      </c>
      <c r="S1493" s="150">
        <f t="shared" si="466"/>
        <v>0.38711152605104543</v>
      </c>
      <c r="T1493" s="151">
        <f t="shared" si="467"/>
        <v>0.27532675317660465</v>
      </c>
      <c r="U1493" s="150">
        <f t="shared" si="468"/>
        <v>24.907553347407969</v>
      </c>
      <c r="V1493" s="150">
        <f t="shared" si="469"/>
        <v>1.8329868185656955</v>
      </c>
      <c r="W1493" s="152"/>
      <c r="X1493" s="152"/>
      <c r="Y1493" s="152"/>
      <c r="Z1493" s="153"/>
      <c r="AA1493" s="148">
        <f t="shared" si="548"/>
        <v>4</v>
      </c>
      <c r="AB1493" s="149"/>
      <c r="AC1493" s="149"/>
      <c r="AD1493" s="150">
        <f t="shared" si="499"/>
        <v>-0.27222228002701321</v>
      </c>
      <c r="AE1493" s="154">
        <f t="shared" si="500"/>
        <v>-0.25480420388621217</v>
      </c>
      <c r="AF1493" s="150">
        <f t="shared" si="501"/>
        <v>0.43986946457813403</v>
      </c>
      <c r="AG1493" s="150">
        <f t="shared" si="502"/>
        <v>0</v>
      </c>
      <c r="AH1493" s="155">
        <f t="shared" si="503"/>
        <v>1.6027594285554108</v>
      </c>
      <c r="AI1493" s="156">
        <f t="shared" si="476"/>
        <v>2.37093604019014</v>
      </c>
      <c r="AJ1493" s="149"/>
      <c r="AK1493" s="149"/>
      <c r="AL1493" s="157"/>
      <c r="AM1493" s="157"/>
      <c r="AN1493" s="157"/>
      <c r="AO1493" s="157"/>
      <c r="AP1493" s="157"/>
      <c r="AQ1493" s="157"/>
      <c r="AR1493" s="157"/>
    </row>
    <row r="1494" spans="1:44" ht="16.8">
      <c r="A1494" s="174" t="s">
        <v>3004</v>
      </c>
      <c r="B1494" s="145"/>
      <c r="C1494" s="145"/>
      <c r="D1494" s="146"/>
      <c r="E1494" s="147" t="s">
        <v>178</v>
      </c>
      <c r="F1494" s="148">
        <v>2018</v>
      </c>
      <c r="G1494" s="148">
        <v>2023</v>
      </c>
      <c r="H1494" s="149">
        <v>9972518797</v>
      </c>
      <c r="I1494" s="149">
        <v>66720665896</v>
      </c>
      <c r="J1494" s="149">
        <v>21654902945</v>
      </c>
      <c r="K1494" s="149">
        <f t="shared" si="559"/>
        <v>23533750837</v>
      </c>
      <c r="L1494" s="149">
        <v>21130179514</v>
      </c>
      <c r="M1494" s="149">
        <f t="shared" si="551"/>
        <v>45065762951</v>
      </c>
      <c r="N1494" s="149">
        <v>100285149124</v>
      </c>
      <c r="O1494" s="149">
        <f t="shared" si="464"/>
        <v>-11157660717</v>
      </c>
      <c r="P1494" s="149">
        <v>4831650025</v>
      </c>
      <c r="Q1494" s="149">
        <f>8850817387+13517945633</f>
        <v>22368763020</v>
      </c>
      <c r="R1494" s="149">
        <f t="shared" si="465"/>
        <v>77916386104</v>
      </c>
      <c r="S1494" s="150">
        <f t="shared" si="466"/>
        <v>0.32456065379734533</v>
      </c>
      <c r="T1494" s="151">
        <f t="shared" si="467"/>
        <v>0.47195617956736302</v>
      </c>
      <c r="U1494" s="150">
        <f t="shared" si="468"/>
        <v>24.923780575402734</v>
      </c>
      <c r="V1494" s="150">
        <f t="shared" si="469"/>
        <v>4.2613330029113197</v>
      </c>
      <c r="W1494" s="152"/>
      <c r="X1494" s="152"/>
      <c r="Y1494" s="152"/>
      <c r="Z1494" s="153"/>
      <c r="AA1494" s="148">
        <f t="shared" si="548"/>
        <v>5</v>
      </c>
      <c r="AB1494" s="149"/>
      <c r="AC1494" s="149"/>
      <c r="AD1494" s="150">
        <f t="shared" si="499"/>
        <v>-0.16722945682814172</v>
      </c>
      <c r="AE1494" s="154">
        <f t="shared" si="500"/>
        <v>7.2416094175847615E-2</v>
      </c>
      <c r="AF1494" s="150">
        <f t="shared" si="501"/>
        <v>1.1677998871511743</v>
      </c>
      <c r="AG1494" s="150">
        <f t="shared" si="502"/>
        <v>0</v>
      </c>
      <c r="AH1494" s="155">
        <f t="shared" si="503"/>
        <v>4.6310597363889503</v>
      </c>
      <c r="AI1494" s="156">
        <f t="shared" si="476"/>
        <v>8.3855065476402419</v>
      </c>
      <c r="AJ1494" s="149"/>
      <c r="AK1494" s="149"/>
      <c r="AL1494" s="157"/>
      <c r="AM1494" s="157"/>
      <c r="AN1494" s="157"/>
      <c r="AO1494" s="157"/>
      <c r="AP1494" s="157"/>
      <c r="AQ1494" s="157"/>
      <c r="AR1494" s="157"/>
    </row>
    <row r="1495" spans="1:44" ht="16.8">
      <c r="A1495" s="78" t="s">
        <v>3005</v>
      </c>
      <c r="B1495" s="79">
        <v>575</v>
      </c>
      <c r="C1495" s="79" t="s">
        <v>3006</v>
      </c>
      <c r="D1495" s="19" t="s">
        <v>3007</v>
      </c>
      <c r="E1495" s="20" t="s">
        <v>414</v>
      </c>
      <c r="F1495" s="21">
        <v>1992</v>
      </c>
      <c r="G1495" s="40">
        <v>2021</v>
      </c>
      <c r="H1495" s="23">
        <v>94154859648304</v>
      </c>
      <c r="I1495" s="23">
        <v>178236422358249</v>
      </c>
      <c r="J1495" s="23">
        <v>87455796846810</v>
      </c>
      <c r="K1495" s="23">
        <f>(J1495+72291648082726)/2</f>
        <v>79873722464768</v>
      </c>
      <c r="L1495" s="23">
        <v>73459315876441</v>
      </c>
      <c r="M1495" s="23">
        <f t="shared" si="551"/>
        <v>90780625511439</v>
      </c>
      <c r="N1495" s="23">
        <v>150865359967200</v>
      </c>
      <c r="O1495" s="25">
        <f t="shared" si="464"/>
        <v>20695543771863</v>
      </c>
      <c r="P1495" s="23">
        <v>34520954931298</v>
      </c>
      <c r="Q1495" s="23">
        <f>2120068223228+1324261548679</f>
        <v>3444329771907</v>
      </c>
      <c r="R1495" s="25">
        <f t="shared" si="465"/>
        <v>147421030195293</v>
      </c>
      <c r="S1495" s="26">
        <f t="shared" si="466"/>
        <v>0.49067298192861442</v>
      </c>
      <c r="T1495" s="27">
        <f t="shared" si="467"/>
        <v>1.2817279677185263</v>
      </c>
      <c r="U1495" s="26">
        <f t="shared" si="468"/>
        <v>32.814132000418496</v>
      </c>
      <c r="V1495" s="26">
        <f t="shared" si="469"/>
        <v>1.8887984096865669</v>
      </c>
      <c r="W1495" s="143"/>
      <c r="X1495" s="143"/>
      <c r="Y1495" s="143"/>
      <c r="Z1495" s="30">
        <f t="shared" ref="Z1495:Z1529" si="560">X1495*Y1495</f>
        <v>0</v>
      </c>
      <c r="AA1495" s="31">
        <f t="shared" si="548"/>
        <v>29</v>
      </c>
      <c r="AB1495" s="32">
        <v>1.84E-2</v>
      </c>
      <c r="AC1495" s="32">
        <v>2.58E-2</v>
      </c>
      <c r="AD1495" s="33">
        <f t="shared" si="499"/>
        <v>0.11611287691954272</v>
      </c>
      <c r="AE1495" s="34">
        <f t="shared" si="500"/>
        <v>0.19368069934613075</v>
      </c>
      <c r="AF1495" s="33">
        <f t="shared" si="501"/>
        <v>0.8271094552099002</v>
      </c>
      <c r="AG1495" s="33">
        <f t="shared" si="502"/>
        <v>0</v>
      </c>
      <c r="AH1495" s="35">
        <f t="shared" si="503"/>
        <v>1.7250469998170612</v>
      </c>
      <c r="AI1495" s="36">
        <f t="shared" si="476"/>
        <v>4.8649966333977659</v>
      </c>
      <c r="AJ1495" s="23"/>
      <c r="AK1495" s="173">
        <v>666</v>
      </c>
      <c r="AL1495" s="44"/>
      <c r="AM1495" s="44"/>
      <c r="AN1495" s="44"/>
      <c r="AO1495" s="44"/>
      <c r="AP1495" s="44"/>
      <c r="AQ1495" s="44"/>
      <c r="AR1495" s="44"/>
    </row>
    <row r="1496" spans="1:44" ht="16.8">
      <c r="A1496" s="78" t="s">
        <v>3008</v>
      </c>
      <c r="B1496" s="79"/>
      <c r="C1496" s="79" t="s">
        <v>3006</v>
      </c>
      <c r="D1496" s="19" t="s">
        <v>3007</v>
      </c>
      <c r="E1496" s="20" t="s">
        <v>414</v>
      </c>
      <c r="F1496" s="21">
        <v>1992</v>
      </c>
      <c r="G1496" s="40">
        <v>2022</v>
      </c>
      <c r="H1496" s="23">
        <v>80514710854456</v>
      </c>
      <c r="I1496" s="23">
        <v>170335521637132</v>
      </c>
      <c r="J1496" s="23">
        <v>74222582021349</v>
      </c>
      <c r="K1496" s="23">
        <f t="shared" ref="K1496:K1497" si="561">AVERAGE(J1495:J1496)</f>
        <v>80839189434079.5</v>
      </c>
      <c r="L1496" s="23">
        <v>62385392809685</v>
      </c>
      <c r="M1496" s="23">
        <f t="shared" si="551"/>
        <v>96112939615783</v>
      </c>
      <c r="N1496" s="23">
        <v>142770810676858</v>
      </c>
      <c r="O1496" s="25">
        <f t="shared" si="464"/>
        <v>18129318044771</v>
      </c>
      <c r="P1496" s="23">
        <v>8444429054516</v>
      </c>
      <c r="Q1496" s="23">
        <f>2665806087302+1019444279447</f>
        <v>3685250366749</v>
      </c>
      <c r="R1496" s="25">
        <f t="shared" si="465"/>
        <v>139085560310109</v>
      </c>
      <c r="S1496" s="26">
        <f t="shared" si="466"/>
        <v>0.43574341574781061</v>
      </c>
      <c r="T1496" s="27">
        <f t="shared" si="467"/>
        <v>1.2906019699206979</v>
      </c>
      <c r="U1496" s="26">
        <f t="shared" si="468"/>
        <v>32.768791264566346</v>
      </c>
      <c r="V1496" s="26">
        <f t="shared" si="469"/>
        <v>1.7661088845191946</v>
      </c>
      <c r="W1496" s="143"/>
      <c r="X1496" s="143"/>
      <c r="Y1496" s="143"/>
      <c r="Z1496" s="30">
        <f t="shared" si="560"/>
        <v>0</v>
      </c>
      <c r="AA1496" s="31">
        <f t="shared" si="548"/>
        <v>30</v>
      </c>
      <c r="AB1496" s="32">
        <v>3.15E-2</v>
      </c>
      <c r="AC1496" s="32">
        <v>8.0199999999999994E-2</v>
      </c>
      <c r="AD1496" s="33">
        <f t="shared" si="499"/>
        <v>0.10643298514911131</v>
      </c>
      <c r="AE1496" s="34">
        <f t="shared" si="500"/>
        <v>4.9575267527023979E-2</v>
      </c>
      <c r="AF1496" s="33">
        <f t="shared" si="501"/>
        <v>0.81653878752550979</v>
      </c>
      <c r="AG1496" s="33">
        <f t="shared" si="502"/>
        <v>0</v>
      </c>
      <c r="AH1496" s="35">
        <f t="shared" si="503"/>
        <v>1.9235495018994642</v>
      </c>
      <c r="AI1496" s="36">
        <f t="shared" si="476"/>
        <v>4.8152524574504136</v>
      </c>
      <c r="AJ1496" s="23"/>
      <c r="AK1496" s="173">
        <v>667</v>
      </c>
      <c r="AL1496" s="44"/>
      <c r="AM1496" s="44"/>
      <c r="AN1496" s="44"/>
      <c r="AO1496" s="44"/>
      <c r="AP1496" s="44"/>
      <c r="AQ1496" s="44"/>
      <c r="AR1496" s="44"/>
    </row>
    <row r="1497" spans="1:44" ht="16.8">
      <c r="A1497" s="78" t="s">
        <v>3009</v>
      </c>
      <c r="B1497" s="79"/>
      <c r="C1497" s="79" t="s">
        <v>3006</v>
      </c>
      <c r="D1497" s="19" t="s">
        <v>3007</v>
      </c>
      <c r="E1497" s="20" t="s">
        <v>414</v>
      </c>
      <c r="F1497" s="21">
        <v>1992</v>
      </c>
      <c r="G1497" s="40">
        <v>2023</v>
      </c>
      <c r="H1497" s="23">
        <v>82514710854456</v>
      </c>
      <c r="I1497" s="23">
        <v>187782586563801</v>
      </c>
      <c r="J1497" s="23">
        <v>84946167324422</v>
      </c>
      <c r="K1497" s="23">
        <f t="shared" si="561"/>
        <v>79584374672885.5</v>
      </c>
      <c r="L1497" s="23">
        <v>71513492904733</v>
      </c>
      <c r="M1497" s="23">
        <f t="shared" si="551"/>
        <v>102836419239379</v>
      </c>
      <c r="N1497" s="23">
        <v>120355231616139</v>
      </c>
      <c r="O1497" s="25">
        <f t="shared" si="464"/>
        <v>11001217949723</v>
      </c>
      <c r="P1497" s="23">
        <v>6800388315081</v>
      </c>
      <c r="Q1497" s="23">
        <f>1961362129952+1307290336873</f>
        <v>3268652466825</v>
      </c>
      <c r="R1497" s="25">
        <f t="shared" si="465"/>
        <v>117086579149314</v>
      </c>
      <c r="S1497" s="26">
        <f t="shared" si="466"/>
        <v>0.45236445444083123</v>
      </c>
      <c r="T1497" s="27">
        <f t="shared" si="467"/>
        <v>1.1538341577634632</v>
      </c>
      <c r="U1497" s="26">
        <f t="shared" si="468"/>
        <v>32.866305955101197</v>
      </c>
      <c r="V1497" s="26">
        <f t="shared" si="469"/>
        <v>1.5122972582348402</v>
      </c>
      <c r="W1497" s="143"/>
      <c r="X1497" s="143"/>
      <c r="Y1497" s="143"/>
      <c r="Z1497" s="30">
        <f t="shared" si="560"/>
        <v>0</v>
      </c>
      <c r="AA1497" s="31">
        <f t="shared" si="548"/>
        <v>31</v>
      </c>
      <c r="AB1497" s="32">
        <v>3.2500000000000001E-2</v>
      </c>
      <c r="AC1497" s="32">
        <v>5.0500000000000003E-2</v>
      </c>
      <c r="AD1497" s="33">
        <f t="shared" si="499"/>
        <v>5.8584867484425811E-2</v>
      </c>
      <c r="AE1497" s="34">
        <f t="shared" si="500"/>
        <v>3.6214158296144786E-2</v>
      </c>
      <c r="AF1497" s="33">
        <f t="shared" si="501"/>
        <v>0.62352202774421084</v>
      </c>
      <c r="AG1497" s="33">
        <f t="shared" si="502"/>
        <v>0</v>
      </c>
      <c r="AH1497" s="35">
        <f t="shared" si="503"/>
        <v>1.4168412231770804</v>
      </c>
      <c r="AI1497" s="36">
        <f t="shared" si="476"/>
        <v>3.5954655773288895</v>
      </c>
      <c r="AJ1497" s="23"/>
      <c r="AK1497" s="173">
        <v>668</v>
      </c>
      <c r="AL1497" s="44"/>
      <c r="AM1497" s="44"/>
      <c r="AN1497" s="44"/>
      <c r="AO1497" s="44"/>
      <c r="AP1497" s="44"/>
      <c r="AQ1497" s="44"/>
      <c r="AR1497" s="44"/>
    </row>
    <row r="1498" spans="1:44" ht="16.8">
      <c r="A1498" s="78" t="s">
        <v>3010</v>
      </c>
      <c r="B1498" s="79">
        <v>576</v>
      </c>
      <c r="C1498" s="79" t="s">
        <v>3011</v>
      </c>
      <c r="D1498" s="19" t="s">
        <v>3012</v>
      </c>
      <c r="E1498" s="20" t="s">
        <v>414</v>
      </c>
      <c r="F1498" s="21">
        <v>2000</v>
      </c>
      <c r="G1498" s="40">
        <v>2021</v>
      </c>
      <c r="H1498" s="23">
        <v>3503901025397</v>
      </c>
      <c r="I1498" s="23">
        <v>9326768797727</v>
      </c>
      <c r="J1498" s="23">
        <v>4986177049523</v>
      </c>
      <c r="K1498" s="23">
        <f>(J1498+2633716187163)/2</f>
        <v>3809946618343</v>
      </c>
      <c r="L1498" s="23">
        <v>3785016008702</v>
      </c>
      <c r="M1498" s="23">
        <f t="shared" si="551"/>
        <v>4340591748204</v>
      </c>
      <c r="N1498" s="23">
        <v>346763113889</v>
      </c>
      <c r="O1498" s="25">
        <f t="shared" si="464"/>
        <v>-281114983305</v>
      </c>
      <c r="P1498" s="23">
        <v>4155204566</v>
      </c>
      <c r="Q1498" s="23">
        <f>15688140755+31300198487</f>
        <v>46988339242</v>
      </c>
      <c r="R1498" s="25">
        <f t="shared" si="465"/>
        <v>299774774647</v>
      </c>
      <c r="S1498" s="26">
        <f t="shared" si="466"/>
        <v>0.5346092690469787</v>
      </c>
      <c r="T1498" s="27">
        <f t="shared" si="467"/>
        <v>0.92572951272631387</v>
      </c>
      <c r="U1498" s="26">
        <f t="shared" si="468"/>
        <v>29.863909746873166</v>
      </c>
      <c r="V1498" s="26">
        <f t="shared" si="469"/>
        <v>9.1015215861426482E-2</v>
      </c>
      <c r="W1498" s="143"/>
      <c r="X1498" s="143"/>
      <c r="Y1498" s="143"/>
      <c r="Z1498" s="30">
        <f t="shared" si="560"/>
        <v>0</v>
      </c>
      <c r="AA1498" s="31">
        <f t="shared" si="548"/>
        <v>21</v>
      </c>
      <c r="AB1498" s="32">
        <v>1.84E-2</v>
      </c>
      <c r="AC1498" s="32">
        <v>2.58E-2</v>
      </c>
      <c r="AD1498" s="33">
        <f t="shared" si="499"/>
        <v>-3.0140661723437351E-2</v>
      </c>
      <c r="AE1498" s="34">
        <f t="shared" si="500"/>
        <v>4.4551383829870994E-4</v>
      </c>
      <c r="AF1498" s="33">
        <f t="shared" si="501"/>
        <v>3.2141332239312856E-2</v>
      </c>
      <c r="AG1498" s="33">
        <f t="shared" si="502"/>
        <v>0</v>
      </c>
      <c r="AH1498" s="35">
        <f t="shared" si="503"/>
        <v>6.9544885880490931E-2</v>
      </c>
      <c r="AI1498" s="36">
        <f t="shared" si="476"/>
        <v>0.14006620757571672</v>
      </c>
      <c r="AJ1498" s="23"/>
      <c r="AK1498" s="173">
        <v>669</v>
      </c>
      <c r="AL1498" s="44"/>
      <c r="AM1498" s="44"/>
      <c r="AN1498" s="44"/>
      <c r="AO1498" s="44"/>
      <c r="AP1498" s="44"/>
      <c r="AQ1498" s="44"/>
      <c r="AR1498" s="44"/>
    </row>
    <row r="1499" spans="1:44" ht="16.8">
      <c r="A1499" s="78" t="s">
        <v>3013</v>
      </c>
      <c r="B1499" s="79"/>
      <c r="C1499" s="79" t="s">
        <v>3011</v>
      </c>
      <c r="D1499" s="19" t="s">
        <v>3012</v>
      </c>
      <c r="E1499" s="20" t="s">
        <v>414</v>
      </c>
      <c r="F1499" s="21">
        <v>2000</v>
      </c>
      <c r="G1499" s="40">
        <v>2022</v>
      </c>
      <c r="H1499" s="23">
        <v>3523512375551</v>
      </c>
      <c r="I1499" s="23">
        <v>7236859769013</v>
      </c>
      <c r="J1499" s="23">
        <v>2877472259889</v>
      </c>
      <c r="K1499" s="23">
        <f t="shared" ref="K1499:K1500" si="562">AVERAGE(J1498:J1499)</f>
        <v>3931824654706</v>
      </c>
      <c r="L1499" s="23">
        <v>2670346048745</v>
      </c>
      <c r="M1499" s="23">
        <f t="shared" si="551"/>
        <v>4359387509124</v>
      </c>
      <c r="N1499" s="23">
        <v>333181449798</v>
      </c>
      <c r="O1499" s="25">
        <f t="shared" si="464"/>
        <v>853166326806</v>
      </c>
      <c r="P1499" s="23">
        <v>18808226534</v>
      </c>
      <c r="Q1499" s="23">
        <f>21134057188+35288754898</f>
        <v>56422812086</v>
      </c>
      <c r="R1499" s="25">
        <f t="shared" si="465"/>
        <v>276758637712</v>
      </c>
      <c r="S1499" s="26">
        <f t="shared" si="466"/>
        <v>0.39761337814086789</v>
      </c>
      <c r="T1499" s="27">
        <f t="shared" si="467"/>
        <v>1.3194965413591127</v>
      </c>
      <c r="U1499" s="26">
        <f t="shared" si="468"/>
        <v>29.610208494674826</v>
      </c>
      <c r="V1499" s="26">
        <f t="shared" si="469"/>
        <v>8.4739651194570748E-2</v>
      </c>
      <c r="W1499" s="143"/>
      <c r="X1499" s="143"/>
      <c r="Y1499" s="143"/>
      <c r="Z1499" s="30">
        <f t="shared" si="560"/>
        <v>0</v>
      </c>
      <c r="AA1499" s="31">
        <f t="shared" si="548"/>
        <v>22</v>
      </c>
      <c r="AB1499" s="32">
        <v>3.15E-2</v>
      </c>
      <c r="AC1499" s="32">
        <v>8.0199999999999994E-2</v>
      </c>
      <c r="AD1499" s="33">
        <f t="shared" si="499"/>
        <v>0.1178917864982147</v>
      </c>
      <c r="AE1499" s="34">
        <f t="shared" si="500"/>
        <v>2.5989485957063339E-3</v>
      </c>
      <c r="AF1499" s="33">
        <f t="shared" si="501"/>
        <v>3.8242918412905183E-2</v>
      </c>
      <c r="AG1499" s="33">
        <f t="shared" si="502"/>
        <v>0</v>
      </c>
      <c r="AH1499" s="35">
        <f t="shared" si="503"/>
        <v>0.11578963051788121</v>
      </c>
      <c r="AI1499" s="36">
        <f t="shared" si="476"/>
        <v>0.38709993311231478</v>
      </c>
      <c r="AJ1499" s="23"/>
      <c r="AK1499" s="173">
        <v>670</v>
      </c>
      <c r="AL1499" s="44"/>
      <c r="AM1499" s="44"/>
      <c r="AN1499" s="44"/>
      <c r="AO1499" s="44"/>
      <c r="AP1499" s="44"/>
      <c r="AQ1499" s="44"/>
      <c r="AR1499" s="44"/>
    </row>
    <row r="1500" spans="1:44" ht="16.8">
      <c r="A1500" s="78" t="s">
        <v>3014</v>
      </c>
      <c r="B1500" s="79"/>
      <c r="C1500" s="79" t="s">
        <v>3011</v>
      </c>
      <c r="D1500" s="19" t="s">
        <v>3012</v>
      </c>
      <c r="E1500" s="20" t="s">
        <v>414</v>
      </c>
      <c r="F1500" s="21">
        <v>2000</v>
      </c>
      <c r="G1500" s="40">
        <v>2023</v>
      </c>
      <c r="H1500" s="23">
        <v>3584596693355</v>
      </c>
      <c r="I1500" s="23">
        <v>7299435440051</v>
      </c>
      <c r="J1500" s="23">
        <v>2934946303698</v>
      </c>
      <c r="K1500" s="23">
        <f t="shared" si="562"/>
        <v>2906209281793.5</v>
      </c>
      <c r="L1500" s="23">
        <v>2618605907947</v>
      </c>
      <c r="M1500" s="23">
        <f t="shared" si="551"/>
        <v>4364489136353</v>
      </c>
      <c r="N1500" s="23">
        <v>322609440195</v>
      </c>
      <c r="O1500" s="25">
        <f t="shared" si="464"/>
        <v>965990785408</v>
      </c>
      <c r="P1500" s="23">
        <v>5158051909</v>
      </c>
      <c r="Q1500" s="23">
        <f>5748867605+29695981956</f>
        <v>35444849561</v>
      </c>
      <c r="R1500" s="25">
        <f t="shared" si="465"/>
        <v>287164590634</v>
      </c>
      <c r="S1500" s="26">
        <f t="shared" si="466"/>
        <v>0.40207853440203783</v>
      </c>
      <c r="T1500" s="27">
        <f t="shared" si="467"/>
        <v>1.3688950607177623</v>
      </c>
      <c r="U1500" s="26">
        <f t="shared" si="468"/>
        <v>29.61881812411292</v>
      </c>
      <c r="V1500" s="26">
        <f t="shared" si="469"/>
        <v>0.11100695404699452</v>
      </c>
      <c r="W1500" s="143"/>
      <c r="X1500" s="143"/>
      <c r="Y1500" s="143"/>
      <c r="Z1500" s="30">
        <f t="shared" si="560"/>
        <v>0</v>
      </c>
      <c r="AA1500" s="31">
        <f t="shared" si="548"/>
        <v>23</v>
      </c>
      <c r="AB1500" s="32">
        <v>3.2500000000000001E-2</v>
      </c>
      <c r="AC1500" s="32">
        <v>5.0500000000000003E-2</v>
      </c>
      <c r="AD1500" s="33">
        <f t="shared" si="499"/>
        <v>0.13233773945142951</v>
      </c>
      <c r="AE1500" s="34">
        <f t="shared" si="500"/>
        <v>7.0663710246664799E-4</v>
      </c>
      <c r="AF1500" s="33">
        <f t="shared" si="501"/>
        <v>3.9340657642968839E-2</v>
      </c>
      <c r="AG1500" s="33">
        <f t="shared" si="502"/>
        <v>0</v>
      </c>
      <c r="AH1500" s="35">
        <f t="shared" si="503"/>
        <v>0.10992004855029738</v>
      </c>
      <c r="AI1500" s="36">
        <f t="shared" si="476"/>
        <v>0.39953879805726322</v>
      </c>
      <c r="AJ1500" s="23"/>
      <c r="AK1500" s="173">
        <v>671</v>
      </c>
      <c r="AL1500" s="44"/>
      <c r="AM1500" s="44"/>
      <c r="AN1500" s="44"/>
      <c r="AO1500" s="44"/>
      <c r="AP1500" s="44"/>
      <c r="AQ1500" s="44"/>
      <c r="AR1500" s="44"/>
    </row>
    <row r="1501" spans="1:44" ht="16.8">
      <c r="A1501" s="78" t="s">
        <v>3015</v>
      </c>
      <c r="B1501" s="79">
        <v>577</v>
      </c>
      <c r="C1501" s="79" t="s">
        <v>3016</v>
      </c>
      <c r="D1501" s="19" t="s">
        <v>3017</v>
      </c>
      <c r="E1501" s="20" t="s">
        <v>414</v>
      </c>
      <c r="F1501" s="21">
        <v>2003</v>
      </c>
      <c r="G1501" s="40">
        <v>2021</v>
      </c>
      <c r="H1501" s="23">
        <v>82669669348</v>
      </c>
      <c r="I1501" s="23">
        <v>847791272055</v>
      </c>
      <c r="J1501" s="23">
        <v>296750374250</v>
      </c>
      <c r="K1501" s="23">
        <f>(J1501+526099919068)/2</f>
        <v>411425146659</v>
      </c>
      <c r="L1501" s="23">
        <v>154218473911</v>
      </c>
      <c r="M1501" s="23">
        <f t="shared" si="551"/>
        <v>551040897805</v>
      </c>
      <c r="N1501" s="23">
        <v>184909291311</v>
      </c>
      <c r="O1501" s="25">
        <f t="shared" si="464"/>
        <v>-71548804563</v>
      </c>
      <c r="P1501" s="23">
        <v>22071619351</v>
      </c>
      <c r="Q1501" s="23">
        <f>3198873416+16749928678</f>
        <v>19948802094</v>
      </c>
      <c r="R1501" s="25">
        <f t="shared" si="465"/>
        <v>164960489217</v>
      </c>
      <c r="S1501" s="26">
        <f t="shared" si="466"/>
        <v>0.35002763537620907</v>
      </c>
      <c r="T1501" s="27">
        <f t="shared" si="467"/>
        <v>0.53605555321283327</v>
      </c>
      <c r="U1501" s="26">
        <f t="shared" si="468"/>
        <v>27.465900300995962</v>
      </c>
      <c r="V1501" s="26">
        <f t="shared" si="469"/>
        <v>0.44943604641710849</v>
      </c>
      <c r="W1501" s="143"/>
      <c r="X1501" s="143"/>
      <c r="Y1501" s="143"/>
      <c r="Z1501" s="30">
        <f t="shared" si="560"/>
        <v>0</v>
      </c>
      <c r="AA1501" s="31">
        <f t="shared" si="548"/>
        <v>18</v>
      </c>
      <c r="AB1501" s="32">
        <v>1.84E-2</v>
      </c>
      <c r="AC1501" s="32">
        <v>2.58E-2</v>
      </c>
      <c r="AD1501" s="33">
        <f t="shared" si="499"/>
        <v>-8.4394363237037792E-2</v>
      </c>
      <c r="AE1501" s="34">
        <f t="shared" si="500"/>
        <v>2.6034261118894977E-2</v>
      </c>
      <c r="AF1501" s="33">
        <f t="shared" si="501"/>
        <v>0.19457677220142255</v>
      </c>
      <c r="AG1501" s="33">
        <f t="shared" si="502"/>
        <v>0</v>
      </c>
      <c r="AH1501" s="35">
        <f t="shared" si="503"/>
        <v>0.6231139279211878</v>
      </c>
      <c r="AI1501" s="36">
        <f t="shared" si="476"/>
        <v>1.2003920058678899</v>
      </c>
      <c r="AJ1501" s="23"/>
      <c r="AK1501" s="173">
        <v>672</v>
      </c>
      <c r="AL1501" s="44"/>
      <c r="AM1501" s="44"/>
      <c r="AN1501" s="44"/>
      <c r="AO1501" s="44"/>
      <c r="AP1501" s="44"/>
      <c r="AQ1501" s="44"/>
      <c r="AR1501" s="44"/>
    </row>
    <row r="1502" spans="1:44" ht="16.8">
      <c r="A1502" s="78" t="s">
        <v>3018</v>
      </c>
      <c r="B1502" s="79"/>
      <c r="C1502" s="79" t="s">
        <v>3016</v>
      </c>
      <c r="D1502" s="19" t="s">
        <v>3017</v>
      </c>
      <c r="E1502" s="20" t="s">
        <v>414</v>
      </c>
      <c r="F1502" s="21">
        <v>2003</v>
      </c>
      <c r="G1502" s="40">
        <v>2022</v>
      </c>
      <c r="H1502" s="23">
        <v>51743229666</v>
      </c>
      <c r="I1502" s="23">
        <v>810637689631</v>
      </c>
      <c r="J1502" s="23">
        <v>262474943043</v>
      </c>
      <c r="K1502" s="23">
        <f t="shared" ref="K1502:K1503" si="563">AVERAGE(J1501:J1502)</f>
        <v>279612658646.5</v>
      </c>
      <c r="L1502" s="23">
        <v>145012246395</v>
      </c>
      <c r="M1502" s="23">
        <f t="shared" si="551"/>
        <v>548162746588</v>
      </c>
      <c r="N1502" s="23">
        <v>179203199069</v>
      </c>
      <c r="O1502" s="25">
        <f t="shared" si="464"/>
        <v>-93269016729</v>
      </c>
      <c r="P1502" s="23">
        <v>10158848783</v>
      </c>
      <c r="Q1502" s="23">
        <f>3345364811+14335444936</f>
        <v>17680809747</v>
      </c>
      <c r="R1502" s="25">
        <f t="shared" si="465"/>
        <v>161522389322</v>
      </c>
      <c r="S1502" s="26">
        <f t="shared" si="466"/>
        <v>0.32378823042693444</v>
      </c>
      <c r="T1502" s="27">
        <f t="shared" si="467"/>
        <v>0.35681972352222041</v>
      </c>
      <c r="U1502" s="26">
        <f t="shared" si="468"/>
        <v>27.421087046026901</v>
      </c>
      <c r="V1502" s="26">
        <f t="shared" si="469"/>
        <v>0.64089801919718326</v>
      </c>
      <c r="W1502" s="143"/>
      <c r="X1502" s="143"/>
      <c r="Y1502" s="143"/>
      <c r="Z1502" s="30">
        <f t="shared" si="560"/>
        <v>0</v>
      </c>
      <c r="AA1502" s="31">
        <f t="shared" si="548"/>
        <v>19</v>
      </c>
      <c r="AB1502" s="32">
        <v>3.15E-2</v>
      </c>
      <c r="AC1502" s="32">
        <v>8.0199999999999994E-2</v>
      </c>
      <c r="AD1502" s="33">
        <f t="shared" si="499"/>
        <v>-0.11505635368552354</v>
      </c>
      <c r="AE1502" s="34">
        <f t="shared" si="500"/>
        <v>1.2531922599878472E-2</v>
      </c>
      <c r="AF1502" s="33">
        <f t="shared" si="501"/>
        <v>0.19925349066304152</v>
      </c>
      <c r="AG1502" s="33">
        <f t="shared" si="502"/>
        <v>0</v>
      </c>
      <c r="AH1502" s="35">
        <f t="shared" si="503"/>
        <v>0.68274402497781284</v>
      </c>
      <c r="AI1502" s="36">
        <f t="shared" si="476"/>
        <v>1.2197576113830515</v>
      </c>
      <c r="AJ1502" s="23"/>
      <c r="AK1502" s="173">
        <v>673</v>
      </c>
      <c r="AL1502" s="44"/>
      <c r="AM1502" s="44"/>
      <c r="AN1502" s="44"/>
      <c r="AO1502" s="44"/>
      <c r="AP1502" s="44"/>
      <c r="AQ1502" s="44"/>
      <c r="AR1502" s="44"/>
    </row>
    <row r="1503" spans="1:44" ht="16.8">
      <c r="A1503" s="78" t="s">
        <v>3019</v>
      </c>
      <c r="B1503" s="79"/>
      <c r="C1503" s="79" t="s">
        <v>3016</v>
      </c>
      <c r="D1503" s="19" t="s">
        <v>3017</v>
      </c>
      <c r="E1503" s="20" t="s">
        <v>414</v>
      </c>
      <c r="F1503" s="21">
        <v>2003</v>
      </c>
      <c r="G1503" s="40">
        <v>2023</v>
      </c>
      <c r="H1503" s="23">
        <v>66483579902</v>
      </c>
      <c r="I1503" s="23">
        <v>818930190207</v>
      </c>
      <c r="J1503" s="23">
        <v>266785569518</v>
      </c>
      <c r="K1503" s="23">
        <f t="shared" si="563"/>
        <v>264630256280.5</v>
      </c>
      <c r="L1503" s="23">
        <v>176453244936</v>
      </c>
      <c r="M1503" s="23">
        <f t="shared" si="551"/>
        <v>552144620689</v>
      </c>
      <c r="N1503" s="23">
        <v>183174143323</v>
      </c>
      <c r="O1503" s="25">
        <f t="shared" si="464"/>
        <v>-109969665034</v>
      </c>
      <c r="P1503" s="23">
        <v>16977860701</v>
      </c>
      <c r="Q1503" s="23">
        <f>4132283840+16419374049</f>
        <v>20551657889</v>
      </c>
      <c r="R1503" s="25">
        <f t="shared" si="465"/>
        <v>162622485434</v>
      </c>
      <c r="S1503" s="26">
        <f t="shared" si="466"/>
        <v>0.32577327433802988</v>
      </c>
      <c r="T1503" s="27">
        <f t="shared" si="467"/>
        <v>0.37677731529456288</v>
      </c>
      <c r="U1503" s="26">
        <f t="shared" si="468"/>
        <v>27.431264679324038</v>
      </c>
      <c r="V1503" s="26">
        <f t="shared" si="469"/>
        <v>0.69218896545541264</v>
      </c>
      <c r="W1503" s="143"/>
      <c r="X1503" s="143"/>
      <c r="Y1503" s="143"/>
      <c r="Z1503" s="30">
        <f t="shared" si="560"/>
        <v>0</v>
      </c>
      <c r="AA1503" s="31">
        <f t="shared" si="548"/>
        <v>20</v>
      </c>
      <c r="AB1503" s="32">
        <v>3.2500000000000001E-2</v>
      </c>
      <c r="AC1503" s="32">
        <v>5.0500000000000003E-2</v>
      </c>
      <c r="AD1503" s="33">
        <f t="shared" si="499"/>
        <v>-0.13428454140419843</v>
      </c>
      <c r="AE1503" s="34">
        <f t="shared" si="500"/>
        <v>2.0731755776043043E-2</v>
      </c>
      <c r="AF1503" s="33">
        <f t="shared" si="501"/>
        <v>0.19857917973801176</v>
      </c>
      <c r="AG1503" s="33">
        <f t="shared" si="502"/>
        <v>0</v>
      </c>
      <c r="AH1503" s="35">
        <f t="shared" si="503"/>
        <v>0.68659689372982091</v>
      </c>
      <c r="AI1503" s="36">
        <f t="shared" si="476"/>
        <v>1.209791195266682</v>
      </c>
      <c r="AJ1503" s="23"/>
      <c r="AK1503" s="173">
        <v>674</v>
      </c>
      <c r="AL1503" s="44"/>
      <c r="AM1503" s="44"/>
      <c r="AN1503" s="44"/>
      <c r="AO1503" s="44"/>
      <c r="AP1503" s="44"/>
      <c r="AQ1503" s="44"/>
      <c r="AR1503" s="44"/>
    </row>
    <row r="1504" spans="1:44" ht="16.8">
      <c r="A1504" s="78" t="s">
        <v>3020</v>
      </c>
      <c r="B1504" s="79">
        <v>578</v>
      </c>
      <c r="C1504" s="79" t="s">
        <v>3021</v>
      </c>
      <c r="D1504" s="19" t="s">
        <v>3022</v>
      </c>
      <c r="E1504" s="20" t="s">
        <v>414</v>
      </c>
      <c r="F1504" s="21">
        <v>2001</v>
      </c>
      <c r="G1504" s="40">
        <v>2021</v>
      </c>
      <c r="H1504" s="23">
        <v>18655160349585</v>
      </c>
      <c r="I1504" s="23">
        <v>26618030002939</v>
      </c>
      <c r="J1504" s="23">
        <v>15786236174085</v>
      </c>
      <c r="K1504" s="23">
        <f>(J1504+11165669153608)/2</f>
        <v>13475952663846.5</v>
      </c>
      <c r="L1504" s="23">
        <v>14372246601418</v>
      </c>
      <c r="M1504" s="23">
        <f t="shared" si="551"/>
        <v>10831793828854</v>
      </c>
      <c r="N1504" s="23">
        <v>48987333712285</v>
      </c>
      <c r="O1504" s="25">
        <f t="shared" si="464"/>
        <v>4282913748167</v>
      </c>
      <c r="P1504" s="23">
        <v>4313494062259</v>
      </c>
      <c r="Q1504" s="23">
        <f>3344487236554+425816363938</f>
        <v>3770303600492</v>
      </c>
      <c r="R1504" s="25">
        <f t="shared" si="465"/>
        <v>45217030111793</v>
      </c>
      <c r="S1504" s="26">
        <f t="shared" si="466"/>
        <v>0.59306553386339933</v>
      </c>
      <c r="T1504" s="27">
        <f t="shared" si="467"/>
        <v>1.2979989048994218</v>
      </c>
      <c r="U1504" s="26">
        <f t="shared" si="468"/>
        <v>30.912609921759572</v>
      </c>
      <c r="V1504" s="26">
        <f t="shared" si="469"/>
        <v>3.6351666508675855</v>
      </c>
      <c r="W1504" s="143"/>
      <c r="X1504" s="143"/>
      <c r="Y1504" s="143"/>
      <c r="Z1504" s="30">
        <f t="shared" si="560"/>
        <v>0</v>
      </c>
      <c r="AA1504" s="31">
        <f t="shared" si="548"/>
        <v>20</v>
      </c>
      <c r="AB1504" s="32">
        <v>1.84E-2</v>
      </c>
      <c r="AC1504" s="32">
        <v>2.58E-2</v>
      </c>
      <c r="AD1504" s="33">
        <f t="shared" si="499"/>
        <v>0.1609027320088717</v>
      </c>
      <c r="AE1504" s="34">
        <f t="shared" si="500"/>
        <v>0.16205158915902981</v>
      </c>
      <c r="AF1504" s="33">
        <f t="shared" si="501"/>
        <v>1.6987369127918337</v>
      </c>
      <c r="AG1504" s="33">
        <f t="shared" si="502"/>
        <v>0</v>
      </c>
      <c r="AH1504" s="35">
        <f t="shared" si="503"/>
        <v>3.1031674157202578</v>
      </c>
      <c r="AI1504" s="36">
        <f t="shared" si="476"/>
        <v>9.1289547311665959</v>
      </c>
      <c r="AJ1504" s="23"/>
      <c r="AK1504" s="173">
        <v>675</v>
      </c>
      <c r="AL1504" s="44"/>
      <c r="AM1504" s="44"/>
      <c r="AN1504" s="44"/>
      <c r="AO1504" s="44"/>
      <c r="AP1504" s="44"/>
      <c r="AQ1504" s="44"/>
      <c r="AR1504" s="44"/>
    </row>
    <row r="1505" spans="1:44" ht="16.8">
      <c r="A1505" s="78" t="s">
        <v>3023</v>
      </c>
      <c r="B1505" s="79"/>
      <c r="C1505" s="79" t="s">
        <v>3021</v>
      </c>
      <c r="D1505" s="19" t="s">
        <v>3022</v>
      </c>
      <c r="E1505" s="20" t="s">
        <v>414</v>
      </c>
      <c r="F1505" s="21">
        <v>2001</v>
      </c>
      <c r="G1505" s="40">
        <v>2022</v>
      </c>
      <c r="H1505" s="23">
        <v>9834993231398</v>
      </c>
      <c r="I1505" s="23">
        <v>17025411187931</v>
      </c>
      <c r="J1505" s="23">
        <v>6141841220117</v>
      </c>
      <c r="K1505" s="23">
        <f t="shared" ref="K1505:K1506" si="564">AVERAGE(J1504:J1505)</f>
        <v>10964038697101</v>
      </c>
      <c r="L1505" s="23">
        <v>6009187395647</v>
      </c>
      <c r="M1505" s="23">
        <f t="shared" si="551"/>
        <v>10883569967814</v>
      </c>
      <c r="N1505" s="23">
        <v>50090135318501</v>
      </c>
      <c r="O1505" s="25">
        <f t="shared" si="464"/>
        <v>3825805835751</v>
      </c>
      <c r="P1505" s="23">
        <v>251320306484</v>
      </c>
      <c r="Q1505" s="23">
        <f>3832642500065+522227362422</f>
        <v>4354869862487</v>
      </c>
      <c r="R1505" s="25">
        <f t="shared" si="465"/>
        <v>45735265456014</v>
      </c>
      <c r="S1505" s="26">
        <f t="shared" si="466"/>
        <v>0.36074554395906971</v>
      </c>
      <c r="T1505" s="27">
        <f t="shared" si="467"/>
        <v>1.6366594322757149</v>
      </c>
      <c r="U1505" s="26">
        <f t="shared" si="468"/>
        <v>30.465728119680165</v>
      </c>
      <c r="V1505" s="26">
        <f t="shared" si="469"/>
        <v>4.5685843239266681</v>
      </c>
      <c r="W1505" s="143"/>
      <c r="X1505" s="143"/>
      <c r="Y1505" s="143"/>
      <c r="Z1505" s="30">
        <f t="shared" si="560"/>
        <v>0</v>
      </c>
      <c r="AA1505" s="31">
        <f t="shared" si="548"/>
        <v>21</v>
      </c>
      <c r="AB1505" s="32">
        <v>3.15E-2</v>
      </c>
      <c r="AC1505" s="32">
        <v>8.0199999999999994E-2</v>
      </c>
      <c r="AD1505" s="33">
        <f t="shared" si="499"/>
        <v>0.22471150878652746</v>
      </c>
      <c r="AE1505" s="34">
        <f t="shared" si="500"/>
        <v>1.4761482334250836E-2</v>
      </c>
      <c r="AF1505" s="33">
        <f t="shared" si="501"/>
        <v>2.6862943250636371</v>
      </c>
      <c r="AG1505" s="33">
        <f t="shared" si="502"/>
        <v>0</v>
      </c>
      <c r="AH1505" s="35">
        <f t="shared" si="503"/>
        <v>8.1555568637032927</v>
      </c>
      <c r="AI1505" s="36">
        <f t="shared" si="476"/>
        <v>17.310648022225077</v>
      </c>
      <c r="AJ1505" s="23"/>
      <c r="AK1505" s="173">
        <v>676</v>
      </c>
      <c r="AL1505" s="44"/>
      <c r="AM1505" s="44"/>
      <c r="AN1505" s="44"/>
      <c r="AO1505" s="44"/>
      <c r="AP1505" s="44"/>
      <c r="AQ1505" s="44"/>
      <c r="AR1505" s="44"/>
    </row>
    <row r="1506" spans="1:44" ht="16.8">
      <c r="A1506" s="78" t="s">
        <v>3024</v>
      </c>
      <c r="B1506" s="79"/>
      <c r="C1506" s="79" t="s">
        <v>3021</v>
      </c>
      <c r="D1506" s="19" t="s">
        <v>3022</v>
      </c>
      <c r="E1506" s="20" t="s">
        <v>414</v>
      </c>
      <c r="F1506" s="21">
        <v>2001</v>
      </c>
      <c r="G1506" s="40">
        <v>2023</v>
      </c>
      <c r="H1506" s="23">
        <v>11274239904924</v>
      </c>
      <c r="I1506" s="23">
        <v>17365305645644</v>
      </c>
      <c r="J1506" s="23">
        <v>6585139273223</v>
      </c>
      <c r="K1506" s="23">
        <f t="shared" si="564"/>
        <v>6363490246670</v>
      </c>
      <c r="L1506" s="23">
        <v>6568894350227</v>
      </c>
      <c r="M1506" s="23">
        <f t="shared" si="551"/>
        <v>10780166372421</v>
      </c>
      <c r="N1506" s="23">
        <v>32084297693056</v>
      </c>
      <c r="O1506" s="25">
        <f t="shared" si="464"/>
        <v>4705345554697</v>
      </c>
      <c r="P1506" s="23">
        <v>30062343902</v>
      </c>
      <c r="Q1506" s="23">
        <f>2476864155543+406967911274</f>
        <v>2883832066817</v>
      </c>
      <c r="R1506" s="25">
        <f t="shared" si="465"/>
        <v>29200465626239</v>
      </c>
      <c r="S1506" s="26">
        <f t="shared" si="466"/>
        <v>0.37921240245344312</v>
      </c>
      <c r="T1506" s="27">
        <f t="shared" si="467"/>
        <v>1.7163070836318746</v>
      </c>
      <c r="U1506" s="26">
        <f t="shared" si="468"/>
        <v>30.485495403216099</v>
      </c>
      <c r="V1506" s="26">
        <f t="shared" si="469"/>
        <v>5.0419339779526871</v>
      </c>
      <c r="W1506" s="143"/>
      <c r="X1506" s="143"/>
      <c r="Y1506" s="143"/>
      <c r="Z1506" s="30">
        <f t="shared" si="560"/>
        <v>0</v>
      </c>
      <c r="AA1506" s="31">
        <f t="shared" si="548"/>
        <v>22</v>
      </c>
      <c r="AB1506" s="32">
        <v>3.2500000000000001E-2</v>
      </c>
      <c r="AC1506" s="32">
        <v>5.0500000000000003E-2</v>
      </c>
      <c r="AD1506" s="33">
        <f t="shared" si="499"/>
        <v>0.27096243801947201</v>
      </c>
      <c r="AE1506" s="34">
        <f t="shared" si="500"/>
        <v>1.731172748435959E-3</v>
      </c>
      <c r="AF1506" s="33">
        <f t="shared" si="501"/>
        <v>1.6815405511485362</v>
      </c>
      <c r="AG1506" s="33">
        <f t="shared" si="502"/>
        <v>0</v>
      </c>
      <c r="AH1506" s="35">
        <f t="shared" si="503"/>
        <v>4.872227657130904</v>
      </c>
      <c r="AI1506" s="36">
        <f t="shared" si="476"/>
        <v>10.748890043392251</v>
      </c>
      <c r="AJ1506" s="23"/>
      <c r="AK1506" s="173">
        <v>677</v>
      </c>
      <c r="AL1506" s="44"/>
      <c r="AM1506" s="44"/>
      <c r="AN1506" s="44"/>
      <c r="AO1506" s="44"/>
      <c r="AP1506" s="44"/>
      <c r="AQ1506" s="44"/>
      <c r="AR1506" s="44"/>
    </row>
    <row r="1507" spans="1:44" ht="16.8">
      <c r="A1507" s="78" t="s">
        <v>3025</v>
      </c>
      <c r="B1507" s="79">
        <v>579</v>
      </c>
      <c r="C1507" s="79" t="s">
        <v>3026</v>
      </c>
      <c r="D1507" s="19" t="s">
        <v>3027</v>
      </c>
      <c r="E1507" s="20" t="s">
        <v>414</v>
      </c>
      <c r="F1507" s="21">
        <v>1993</v>
      </c>
      <c r="G1507" s="40">
        <v>2021</v>
      </c>
      <c r="H1507" s="23">
        <v>1527866106711</v>
      </c>
      <c r="I1507" s="23">
        <v>8882950627392</v>
      </c>
      <c r="J1507" s="23">
        <v>3664422869462</v>
      </c>
      <c r="K1507" s="23">
        <f>(J1507+4648064809831)/2</f>
        <v>4156243839646.5</v>
      </c>
      <c r="L1507" s="23">
        <v>3648366996936</v>
      </c>
      <c r="M1507" s="23">
        <f t="shared" si="551"/>
        <v>5218527757930</v>
      </c>
      <c r="N1507" s="23">
        <v>7470381177162</v>
      </c>
      <c r="O1507" s="25">
        <f t="shared" si="464"/>
        <v>-2120500890225</v>
      </c>
      <c r="P1507" s="23">
        <v>371530614685</v>
      </c>
      <c r="Q1507" s="23">
        <f>134357250884+168202065301</f>
        <v>302559316185</v>
      </c>
      <c r="R1507" s="25">
        <f t="shared" si="465"/>
        <v>7167821860977</v>
      </c>
      <c r="S1507" s="26">
        <f t="shared" si="466"/>
        <v>0.41252316073469614</v>
      </c>
      <c r="T1507" s="27">
        <f t="shared" si="467"/>
        <v>0.41878081563454128</v>
      </c>
      <c r="U1507" s="26">
        <f t="shared" si="468"/>
        <v>29.815154895600024</v>
      </c>
      <c r="V1507" s="26">
        <f t="shared" si="469"/>
        <v>1.7973876089515903</v>
      </c>
      <c r="W1507" s="143"/>
      <c r="X1507" s="143"/>
      <c r="Y1507" s="143"/>
      <c r="Z1507" s="30">
        <f t="shared" si="560"/>
        <v>0</v>
      </c>
      <c r="AA1507" s="31">
        <f t="shared" si="548"/>
        <v>28</v>
      </c>
      <c r="AB1507" s="32">
        <v>1.84E-2</v>
      </c>
      <c r="AC1507" s="32">
        <v>2.58E-2</v>
      </c>
      <c r="AD1507" s="33">
        <f t="shared" si="499"/>
        <v>-0.2387158253121543</v>
      </c>
      <c r="AE1507" s="34">
        <f t="shared" si="500"/>
        <v>4.1825135618712761E-2</v>
      </c>
      <c r="AF1507" s="33">
        <f t="shared" si="501"/>
        <v>0.80691902517997505</v>
      </c>
      <c r="AG1507" s="33">
        <f t="shared" si="502"/>
        <v>0</v>
      </c>
      <c r="AH1507" s="35">
        <f t="shared" si="503"/>
        <v>2.0386242099451746</v>
      </c>
      <c r="AI1507" s="36">
        <f t="shared" si="476"/>
        <v>4.473553192530705</v>
      </c>
      <c r="AJ1507" s="23"/>
      <c r="AK1507" s="173">
        <v>678</v>
      </c>
      <c r="AL1507" s="44"/>
      <c r="AM1507" s="44"/>
      <c r="AN1507" s="44"/>
      <c r="AO1507" s="44"/>
      <c r="AP1507" s="44"/>
      <c r="AQ1507" s="44"/>
      <c r="AR1507" s="44"/>
    </row>
    <row r="1508" spans="1:44" ht="16.8">
      <c r="A1508" s="78" t="s">
        <v>3028</v>
      </c>
      <c r="B1508" s="79"/>
      <c r="C1508" s="79" t="s">
        <v>3029</v>
      </c>
      <c r="D1508" s="19" t="s">
        <v>3030</v>
      </c>
      <c r="E1508" s="20" t="s">
        <v>414</v>
      </c>
      <c r="F1508" s="21">
        <v>1993</v>
      </c>
      <c r="G1508" s="40">
        <v>2022</v>
      </c>
      <c r="H1508" s="23">
        <v>2372965174466</v>
      </c>
      <c r="I1508" s="23">
        <v>9385057537636</v>
      </c>
      <c r="J1508" s="23">
        <v>4272435357109</v>
      </c>
      <c r="K1508" s="23">
        <f t="shared" ref="K1508:K1509" si="565">AVERAGE(J1507:J1508)</f>
        <v>3968429113285.5</v>
      </c>
      <c r="L1508" s="23">
        <v>4255382913679</v>
      </c>
      <c r="M1508" s="23">
        <f t="shared" si="551"/>
        <v>5112622180527</v>
      </c>
      <c r="N1508" s="23">
        <v>9473516917030</v>
      </c>
      <c r="O1508" s="25">
        <f t="shared" si="464"/>
        <v>-1882417739213</v>
      </c>
      <c r="P1508" s="23">
        <v>257965895636</v>
      </c>
      <c r="Q1508" s="23">
        <f>179031550328+241863816808</f>
        <v>420895367136</v>
      </c>
      <c r="R1508" s="25">
        <f t="shared" si="465"/>
        <v>9052621549894</v>
      </c>
      <c r="S1508" s="26">
        <f t="shared" si="466"/>
        <v>0.4552380568766532</v>
      </c>
      <c r="T1508" s="27">
        <f t="shared" si="467"/>
        <v>0.55763845994635719</v>
      </c>
      <c r="U1508" s="26">
        <f t="shared" si="468"/>
        <v>29.870139916756539</v>
      </c>
      <c r="V1508" s="26">
        <f t="shared" si="469"/>
        <v>2.3872208994018758</v>
      </c>
      <c r="W1508" s="143"/>
      <c r="X1508" s="143"/>
      <c r="Y1508" s="143"/>
      <c r="Z1508" s="30">
        <f t="shared" si="560"/>
        <v>0</v>
      </c>
      <c r="AA1508" s="31">
        <f t="shared" si="548"/>
        <v>29</v>
      </c>
      <c r="AB1508" s="32">
        <v>3.15E-2</v>
      </c>
      <c r="AC1508" s="32">
        <v>8.0199999999999994E-2</v>
      </c>
      <c r="AD1508" s="33">
        <f t="shared" si="499"/>
        <v>-0.20057604672790977</v>
      </c>
      <c r="AE1508" s="34">
        <f t="shared" si="500"/>
        <v>2.7486874172215143E-2</v>
      </c>
      <c r="AF1508" s="33">
        <f t="shared" si="501"/>
        <v>0.96457816199753021</v>
      </c>
      <c r="AG1508" s="33">
        <f t="shared" si="502"/>
        <v>0</v>
      </c>
      <c r="AH1508" s="35">
        <f t="shared" si="503"/>
        <v>2.2173575783345219</v>
      </c>
      <c r="AI1508" s="36">
        <f t="shared" si="476"/>
        <v>5.1982558806939814</v>
      </c>
      <c r="AJ1508" s="23"/>
      <c r="AK1508" s="173">
        <v>679</v>
      </c>
      <c r="AL1508" s="44"/>
      <c r="AM1508" s="44"/>
      <c r="AN1508" s="44"/>
      <c r="AO1508" s="44"/>
      <c r="AP1508" s="44"/>
      <c r="AQ1508" s="44"/>
      <c r="AR1508" s="44"/>
    </row>
    <row r="1509" spans="1:44" ht="16.8">
      <c r="A1509" s="78" t="s">
        <v>3031</v>
      </c>
      <c r="B1509" s="79"/>
      <c r="C1509" s="79" t="s">
        <v>3032</v>
      </c>
      <c r="D1509" s="19" t="s">
        <v>3033</v>
      </c>
      <c r="E1509" s="20" t="s">
        <v>414</v>
      </c>
      <c r="F1509" s="21">
        <v>1993</v>
      </c>
      <c r="G1509" s="40">
        <v>2023</v>
      </c>
      <c r="H1509" s="23">
        <v>1968851936864</v>
      </c>
      <c r="I1509" s="23">
        <v>8623749977278</v>
      </c>
      <c r="J1509" s="23">
        <v>3790838619074</v>
      </c>
      <c r="K1509" s="23">
        <f t="shared" si="565"/>
        <v>4031636988091.5</v>
      </c>
      <c r="L1509" s="23">
        <v>3771124636797</v>
      </c>
      <c r="M1509" s="23">
        <f t="shared" si="551"/>
        <v>4832911358204</v>
      </c>
      <c r="N1509" s="23">
        <v>7541572367977</v>
      </c>
      <c r="O1509" s="25">
        <f t="shared" si="464"/>
        <v>-1802272699933</v>
      </c>
      <c r="P1509" s="23">
        <v>17964892077</v>
      </c>
      <c r="Q1509" s="23">
        <f>174002877569+242378339254</f>
        <v>416381216823</v>
      </c>
      <c r="R1509" s="25">
        <f t="shared" si="465"/>
        <v>7125191151154</v>
      </c>
      <c r="S1509" s="26">
        <f t="shared" si="466"/>
        <v>0.43958122963469082</v>
      </c>
      <c r="T1509" s="27">
        <f t="shared" si="467"/>
        <v>0.52208614842712864</v>
      </c>
      <c r="U1509" s="26">
        <f t="shared" si="468"/>
        <v>29.785541138171912</v>
      </c>
      <c r="V1509" s="26">
        <f t="shared" si="469"/>
        <v>1.8705980697798481</v>
      </c>
      <c r="W1509" s="143"/>
      <c r="X1509" s="143"/>
      <c r="Y1509" s="143"/>
      <c r="Z1509" s="30">
        <f t="shared" si="560"/>
        <v>0</v>
      </c>
      <c r="AA1509" s="31">
        <f t="shared" si="548"/>
        <v>30</v>
      </c>
      <c r="AB1509" s="32">
        <v>3.2500000000000001E-2</v>
      </c>
      <c r="AC1509" s="32">
        <v>5.0500000000000003E-2</v>
      </c>
      <c r="AD1509" s="33">
        <f t="shared" si="499"/>
        <v>-0.20898944249098805</v>
      </c>
      <c r="AE1509" s="34">
        <f t="shared" si="500"/>
        <v>2.0831879546988489E-3</v>
      </c>
      <c r="AF1509" s="33">
        <f t="shared" si="501"/>
        <v>0.82622886446471344</v>
      </c>
      <c r="AG1509" s="33">
        <f t="shared" si="502"/>
        <v>0</v>
      </c>
      <c r="AH1509" s="35">
        <f t="shared" si="503"/>
        <v>1.9894205809845853</v>
      </c>
      <c r="AI1509" s="36">
        <f t="shared" si="476"/>
        <v>4.4681049658655319</v>
      </c>
      <c r="AJ1509" s="23"/>
      <c r="AK1509" s="173">
        <v>680</v>
      </c>
      <c r="AL1509" s="44"/>
      <c r="AM1509" s="44"/>
      <c r="AN1509" s="44"/>
      <c r="AO1509" s="44"/>
      <c r="AP1509" s="44"/>
      <c r="AQ1509" s="44"/>
      <c r="AR1509" s="44"/>
    </row>
    <row r="1510" spans="1:44" ht="16.8">
      <c r="A1510" s="45"/>
      <c r="B1510" s="45">
        <v>580</v>
      </c>
      <c r="C1510" s="45" t="s">
        <v>3029</v>
      </c>
      <c r="D1510" s="46" t="s">
        <v>3034</v>
      </c>
      <c r="E1510" s="47"/>
      <c r="F1510" s="48"/>
      <c r="G1510" s="48">
        <v>2021</v>
      </c>
      <c r="H1510" s="49"/>
      <c r="I1510" s="49"/>
      <c r="J1510" s="49"/>
      <c r="K1510" s="49"/>
      <c r="L1510" s="49"/>
      <c r="M1510" s="49">
        <f t="shared" si="551"/>
        <v>0</v>
      </c>
      <c r="N1510" s="49"/>
      <c r="O1510" s="49">
        <f t="shared" si="464"/>
        <v>0</v>
      </c>
      <c r="P1510" s="49"/>
      <c r="Q1510" s="49"/>
      <c r="R1510" s="49">
        <f t="shared" si="465"/>
        <v>0</v>
      </c>
      <c r="S1510" s="50" t="e">
        <f t="shared" si="466"/>
        <v>#DIV/0!</v>
      </c>
      <c r="T1510" s="51" t="e">
        <f t="shared" si="467"/>
        <v>#DIV/0!</v>
      </c>
      <c r="U1510" s="50" t="e">
        <f t="shared" si="468"/>
        <v>#NUM!</v>
      </c>
      <c r="V1510" s="50" t="e">
        <f t="shared" si="469"/>
        <v>#DIV/0!</v>
      </c>
      <c r="W1510" s="52"/>
      <c r="X1510" s="52"/>
      <c r="Y1510" s="52"/>
      <c r="Z1510" s="55">
        <f t="shared" si="560"/>
        <v>0</v>
      </c>
      <c r="AA1510" s="48">
        <f t="shared" si="548"/>
        <v>2021</v>
      </c>
      <c r="AB1510" s="49"/>
      <c r="AC1510" s="49"/>
      <c r="AD1510" s="50" t="e">
        <f t="shared" si="499"/>
        <v>#DIV/0!</v>
      </c>
      <c r="AE1510" s="56" t="e">
        <f t="shared" si="500"/>
        <v>#DIV/0!</v>
      </c>
      <c r="AF1510" s="50" t="e">
        <f t="shared" si="501"/>
        <v>#DIV/0!</v>
      </c>
      <c r="AG1510" s="50" t="e">
        <f t="shared" si="502"/>
        <v>#DIV/0!</v>
      </c>
      <c r="AH1510" s="57" t="e">
        <f t="shared" si="503"/>
        <v>#DIV/0!</v>
      </c>
      <c r="AI1510" s="58" t="e">
        <f t="shared" si="476"/>
        <v>#DIV/0!</v>
      </c>
      <c r="AJ1510" s="49"/>
      <c r="AK1510" s="49">
        <v>681</v>
      </c>
      <c r="AL1510" s="59"/>
      <c r="AM1510" s="59"/>
      <c r="AN1510" s="59"/>
      <c r="AO1510" s="59"/>
      <c r="AP1510" s="59"/>
      <c r="AQ1510" s="59"/>
      <c r="AR1510" s="59"/>
    </row>
    <row r="1511" spans="1:44" ht="16.8">
      <c r="A1511" s="78" t="s">
        <v>3035</v>
      </c>
      <c r="B1511" s="79">
        <v>581</v>
      </c>
      <c r="C1511" s="79" t="s">
        <v>3036</v>
      </c>
      <c r="D1511" s="19" t="s">
        <v>3037</v>
      </c>
      <c r="E1511" s="20" t="s">
        <v>414</v>
      </c>
      <c r="F1511" s="21">
        <v>2000</v>
      </c>
      <c r="G1511" s="40">
        <v>2021</v>
      </c>
      <c r="H1511" s="23">
        <v>31726120049</v>
      </c>
      <c r="I1511" s="23">
        <v>1556037696501</v>
      </c>
      <c r="J1511" s="23">
        <v>1093664784575</v>
      </c>
      <c r="K1511" s="23">
        <f>(J1511+1204827633865)/2</f>
        <v>1149246209220</v>
      </c>
      <c r="L1511" s="23">
        <v>137544064822</v>
      </c>
      <c r="M1511" s="23">
        <f t="shared" si="551"/>
        <v>462372911926</v>
      </c>
      <c r="N1511" s="23">
        <v>333910799993</v>
      </c>
      <c r="O1511" s="25">
        <f t="shared" si="464"/>
        <v>-105817944773</v>
      </c>
      <c r="P1511" s="23">
        <v>36185815800</v>
      </c>
      <c r="Q1511" s="23">
        <f>31359314655+7300944661</f>
        <v>38660259316</v>
      </c>
      <c r="R1511" s="25">
        <f t="shared" si="465"/>
        <v>295250540677</v>
      </c>
      <c r="S1511" s="26">
        <f t="shared" si="466"/>
        <v>0.7028523711438871</v>
      </c>
      <c r="T1511" s="27">
        <f t="shared" si="467"/>
        <v>0.23066149811740511</v>
      </c>
      <c r="U1511" s="26">
        <f t="shared" si="468"/>
        <v>28.07316376793435</v>
      </c>
      <c r="V1511" s="26">
        <f t="shared" si="469"/>
        <v>0.2905476627324507</v>
      </c>
      <c r="W1511" s="143"/>
      <c r="X1511" s="143"/>
      <c r="Y1511" s="143"/>
      <c r="Z1511" s="30">
        <f t="shared" si="560"/>
        <v>0</v>
      </c>
      <c r="AA1511" s="31">
        <f t="shared" si="548"/>
        <v>21</v>
      </c>
      <c r="AB1511" s="32">
        <v>1.84E-2</v>
      </c>
      <c r="AC1511" s="32">
        <v>2.58E-2</v>
      </c>
      <c r="AD1511" s="33">
        <f t="shared" si="499"/>
        <v>-6.8004743722435895E-2</v>
      </c>
      <c r="AE1511" s="34">
        <f t="shared" si="500"/>
        <v>2.3255102290496949E-2</v>
      </c>
      <c r="AF1511" s="33">
        <f t="shared" si="501"/>
        <v>0.18974510793724222</v>
      </c>
      <c r="AG1511" s="33">
        <f t="shared" si="502"/>
        <v>0</v>
      </c>
      <c r="AH1511" s="35">
        <f t="shared" si="503"/>
        <v>0.30531366164702678</v>
      </c>
      <c r="AI1511" s="36">
        <f t="shared" si="476"/>
        <v>0.88242396857969874</v>
      </c>
      <c r="AJ1511" s="23"/>
      <c r="AK1511" s="173">
        <v>682</v>
      </c>
      <c r="AL1511" s="44"/>
      <c r="AM1511" s="44"/>
      <c r="AN1511" s="44"/>
      <c r="AO1511" s="44"/>
      <c r="AP1511" s="44"/>
      <c r="AQ1511" s="44"/>
      <c r="AR1511" s="44"/>
    </row>
    <row r="1512" spans="1:44" ht="16.8">
      <c r="A1512" s="78" t="s">
        <v>3038</v>
      </c>
      <c r="B1512" s="79"/>
      <c r="C1512" s="79" t="s">
        <v>3036</v>
      </c>
      <c r="D1512" s="19" t="s">
        <v>3037</v>
      </c>
      <c r="E1512" s="20" t="s">
        <v>414</v>
      </c>
      <c r="F1512" s="21">
        <v>2000</v>
      </c>
      <c r="G1512" s="40">
        <v>2022</v>
      </c>
      <c r="H1512" s="23">
        <v>48654098492</v>
      </c>
      <c r="I1512" s="23">
        <v>1509886776158</v>
      </c>
      <c r="J1512" s="23">
        <v>1063175016609</v>
      </c>
      <c r="K1512" s="23">
        <f>AVERAGE(J1511:J1512)</f>
        <v>1078419900592</v>
      </c>
      <c r="L1512" s="23">
        <v>189087617625</v>
      </c>
      <c r="M1512" s="23">
        <f t="shared" si="551"/>
        <v>446711759549</v>
      </c>
      <c r="N1512" s="23">
        <v>423245486933</v>
      </c>
      <c r="O1512" s="25">
        <f t="shared" si="464"/>
        <v>-140433519133</v>
      </c>
      <c r="P1512" s="23">
        <v>55282182097</v>
      </c>
      <c r="Q1512" s="23">
        <f>36933009670+6406990401</f>
        <v>43340000071</v>
      </c>
      <c r="R1512" s="25">
        <f t="shared" si="465"/>
        <v>379905486862</v>
      </c>
      <c r="S1512" s="26">
        <f t="shared" si="466"/>
        <v>0.70414221344087424</v>
      </c>
      <c r="T1512" s="27">
        <f t="shared" si="467"/>
        <v>0.25730980750146831</v>
      </c>
      <c r="U1512" s="26">
        <f t="shared" si="468"/>
        <v>28.043055781267217</v>
      </c>
      <c r="V1512" s="26">
        <f t="shared" si="469"/>
        <v>0.39246817190656336</v>
      </c>
      <c r="W1512" s="143"/>
      <c r="X1512" s="143"/>
      <c r="Y1512" s="143"/>
      <c r="Z1512" s="30">
        <f t="shared" si="560"/>
        <v>0</v>
      </c>
      <c r="AA1512" s="31">
        <f t="shared" si="548"/>
        <v>22</v>
      </c>
      <c r="AB1512" s="32">
        <v>3.15E-2</v>
      </c>
      <c r="AC1512" s="32">
        <v>8.0199999999999994E-2</v>
      </c>
      <c r="AD1512" s="33">
        <f t="shared" si="499"/>
        <v>-9.3009304638286688E-2</v>
      </c>
      <c r="AE1512" s="34">
        <f t="shared" si="500"/>
        <v>3.6613461995917945E-2</v>
      </c>
      <c r="AF1512" s="33">
        <f t="shared" si="501"/>
        <v>0.25161190419104995</v>
      </c>
      <c r="AG1512" s="33">
        <f t="shared" si="502"/>
        <v>0</v>
      </c>
      <c r="AH1512" s="35">
        <f t="shared" si="503"/>
        <v>0.39809577945401953</v>
      </c>
      <c r="AI1512" s="36">
        <f t="shared" si="476"/>
        <v>1.1680627445128255</v>
      </c>
      <c r="AJ1512" s="23"/>
      <c r="AK1512" s="173">
        <v>683</v>
      </c>
      <c r="AL1512" s="44"/>
      <c r="AM1512" s="44"/>
      <c r="AN1512" s="44"/>
      <c r="AO1512" s="44"/>
      <c r="AP1512" s="44"/>
      <c r="AQ1512" s="44"/>
      <c r="AR1512" s="44"/>
    </row>
    <row r="1513" spans="1:44" ht="16.8">
      <c r="A1513" s="78" t="s">
        <v>3039</v>
      </c>
      <c r="B1513" s="79"/>
      <c r="C1513" s="79" t="s">
        <v>3036</v>
      </c>
      <c r="D1513" s="19" t="s">
        <v>3037</v>
      </c>
      <c r="E1513" s="20" t="s">
        <v>414</v>
      </c>
      <c r="F1513" s="21">
        <v>2000</v>
      </c>
      <c r="G1513" s="40">
        <v>2023</v>
      </c>
      <c r="H1513" s="23">
        <v>140319183484</v>
      </c>
      <c r="I1513" s="23">
        <v>1392636271355</v>
      </c>
      <c r="J1513" s="23">
        <v>910221541568</v>
      </c>
      <c r="K1513" s="23">
        <f>AVERAGE((J1512:J1513))</f>
        <v>986698279088.5</v>
      </c>
      <c r="L1513" s="23">
        <v>67534800214</v>
      </c>
      <c r="M1513" s="23">
        <f t="shared" si="551"/>
        <v>482414729787</v>
      </c>
      <c r="N1513" s="23">
        <v>440346839733</v>
      </c>
      <c r="O1513" s="25">
        <f t="shared" si="464"/>
        <v>72784383270</v>
      </c>
      <c r="P1513" s="23">
        <v>57320795701</v>
      </c>
      <c r="Q1513" s="23">
        <f>36840042146+6633884122</f>
        <v>43473926268</v>
      </c>
      <c r="R1513" s="25">
        <f t="shared" si="465"/>
        <v>396872913465</v>
      </c>
      <c r="S1513" s="26">
        <f t="shared" si="466"/>
        <v>0.65359603242444442</v>
      </c>
      <c r="T1513" s="27">
        <f t="shared" si="467"/>
        <v>2.0777315256632942</v>
      </c>
      <c r="U1513" s="26">
        <f t="shared" si="468"/>
        <v>27.962219664896946</v>
      </c>
      <c r="V1513" s="26">
        <f t="shared" si="469"/>
        <v>0.44628317396052125</v>
      </c>
      <c r="W1513" s="143"/>
      <c r="X1513" s="143"/>
      <c r="Y1513" s="143"/>
      <c r="Z1513" s="30">
        <f t="shared" si="560"/>
        <v>0</v>
      </c>
      <c r="AA1513" s="31">
        <f t="shared" si="548"/>
        <v>23</v>
      </c>
      <c r="AB1513" s="32">
        <v>3.2500000000000001E-2</v>
      </c>
      <c r="AC1513" s="32">
        <v>5.0500000000000003E-2</v>
      </c>
      <c r="AD1513" s="33">
        <f t="shared" si="499"/>
        <v>5.226374234758558E-2</v>
      </c>
      <c r="AE1513" s="34">
        <f t="shared" si="500"/>
        <v>4.1159918695229954E-2</v>
      </c>
      <c r="AF1513" s="33">
        <f t="shared" si="501"/>
        <v>0.28497958988160826</v>
      </c>
      <c r="AG1513" s="33">
        <f t="shared" si="502"/>
        <v>0</v>
      </c>
      <c r="AH1513" s="35">
        <f t="shared" si="503"/>
        <v>0.4837798487766321</v>
      </c>
      <c r="AI1513" s="36">
        <f t="shared" si="476"/>
        <v>1.544552872376364</v>
      </c>
      <c r="AJ1513" s="23"/>
      <c r="AK1513" s="173">
        <v>684</v>
      </c>
      <c r="AL1513" s="44"/>
      <c r="AM1513" s="44"/>
      <c r="AN1513" s="44"/>
      <c r="AO1513" s="44"/>
      <c r="AP1513" s="44"/>
      <c r="AQ1513" s="44"/>
      <c r="AR1513" s="44"/>
    </row>
    <row r="1514" spans="1:44" ht="16.8">
      <c r="A1514" s="78" t="s">
        <v>3040</v>
      </c>
      <c r="B1514" s="79">
        <v>582</v>
      </c>
      <c r="C1514" s="79" t="s">
        <v>3041</v>
      </c>
      <c r="D1514" s="19" t="s">
        <v>3042</v>
      </c>
      <c r="E1514" s="20" t="s">
        <v>414</v>
      </c>
      <c r="F1514" s="21">
        <v>2007</v>
      </c>
      <c r="G1514" s="40">
        <v>2021</v>
      </c>
      <c r="H1514" s="23">
        <v>268206846699</v>
      </c>
      <c r="I1514" s="23">
        <v>337758459999</v>
      </c>
      <c r="J1514" s="23">
        <v>136408208614</v>
      </c>
      <c r="K1514" s="23">
        <f>(J1514+283396127746)/2</f>
        <v>209902168180</v>
      </c>
      <c r="L1514" s="23">
        <v>135492675495</v>
      </c>
      <c r="M1514" s="23">
        <f t="shared" si="551"/>
        <v>201350251385</v>
      </c>
      <c r="N1514" s="23">
        <v>905793963757</v>
      </c>
      <c r="O1514" s="25">
        <f t="shared" si="464"/>
        <v>132714171204</v>
      </c>
      <c r="P1514" s="23">
        <v>27021582568</v>
      </c>
      <c r="Q1514" s="23">
        <f>32218081425+18842365259</f>
        <v>51060446684</v>
      </c>
      <c r="R1514" s="25">
        <f t="shared" si="465"/>
        <v>854733517073</v>
      </c>
      <c r="S1514" s="26">
        <f t="shared" si="466"/>
        <v>0.40386318854723541</v>
      </c>
      <c r="T1514" s="27">
        <f t="shared" si="467"/>
        <v>1.9794933247804785</v>
      </c>
      <c r="U1514" s="26">
        <f t="shared" si="468"/>
        <v>26.54559686158257</v>
      </c>
      <c r="V1514" s="26">
        <f t="shared" si="469"/>
        <v>4.3153149470101866</v>
      </c>
      <c r="W1514" s="143"/>
      <c r="X1514" s="143"/>
      <c r="Y1514" s="143"/>
      <c r="Z1514" s="30">
        <f t="shared" si="560"/>
        <v>0</v>
      </c>
      <c r="AA1514" s="31">
        <f t="shared" si="548"/>
        <v>14</v>
      </c>
      <c r="AB1514" s="32">
        <v>1.84E-2</v>
      </c>
      <c r="AC1514" s="32">
        <v>2.58E-2</v>
      </c>
      <c r="AD1514" s="33">
        <f t="shared" si="499"/>
        <v>0.39292626809227199</v>
      </c>
      <c r="AE1514" s="34">
        <f t="shared" si="500"/>
        <v>8.0002681703605596E-2</v>
      </c>
      <c r="AF1514" s="33">
        <f t="shared" si="501"/>
        <v>2.5306057976328131</v>
      </c>
      <c r="AG1514" s="33">
        <f t="shared" si="502"/>
        <v>0</v>
      </c>
      <c r="AH1514" s="35">
        <f t="shared" si="503"/>
        <v>6.6403185919709786</v>
      </c>
      <c r="AI1514" s="36">
        <f t="shared" si="476"/>
        <v>15.574833000255037</v>
      </c>
      <c r="AJ1514" s="23"/>
      <c r="AK1514" s="173">
        <v>685</v>
      </c>
      <c r="AL1514" s="44"/>
      <c r="AM1514" s="44"/>
      <c r="AN1514" s="44"/>
      <c r="AO1514" s="44"/>
      <c r="AP1514" s="44"/>
      <c r="AQ1514" s="44"/>
      <c r="AR1514" s="44"/>
    </row>
    <row r="1515" spans="1:44" ht="16.8">
      <c r="A1515" s="78" t="s">
        <v>3043</v>
      </c>
      <c r="B1515" s="79"/>
      <c r="C1515" s="79" t="s">
        <v>3041</v>
      </c>
      <c r="D1515" s="19" t="s">
        <v>3042</v>
      </c>
      <c r="E1515" s="20" t="s">
        <v>414</v>
      </c>
      <c r="F1515" s="21">
        <v>2007</v>
      </c>
      <c r="G1515" s="40">
        <v>2022</v>
      </c>
      <c r="H1515" s="23">
        <v>292655359878</v>
      </c>
      <c r="I1515" s="23">
        <v>357491702499</v>
      </c>
      <c r="J1515" s="23">
        <v>125139651534</v>
      </c>
      <c r="K1515" s="23">
        <f t="shared" ref="K1515:K1516" si="566">AVERAGE(J1514:J1515)</f>
        <v>130773930074</v>
      </c>
      <c r="L1515" s="23">
        <v>124299182915</v>
      </c>
      <c r="M1515" s="23">
        <f t="shared" si="551"/>
        <v>232352050965</v>
      </c>
      <c r="N1515" s="23">
        <v>1047200783353</v>
      </c>
      <c r="O1515" s="25">
        <f t="shared" si="464"/>
        <v>168356176963</v>
      </c>
      <c r="P1515" s="23">
        <v>37001799580</v>
      </c>
      <c r="Q1515" s="23">
        <f>34420380324+24522009196</f>
        <v>58942389520</v>
      </c>
      <c r="R1515" s="25">
        <f t="shared" si="465"/>
        <v>988258393833</v>
      </c>
      <c r="S1515" s="26">
        <f t="shared" si="466"/>
        <v>0.35004910787922427</v>
      </c>
      <c r="T1515" s="27">
        <f t="shared" si="467"/>
        <v>2.354443150910555</v>
      </c>
      <c r="U1515" s="26">
        <f t="shared" si="468"/>
        <v>26.602377989018116</v>
      </c>
      <c r="V1515" s="26">
        <f t="shared" si="469"/>
        <v>8.0077182261053785</v>
      </c>
      <c r="W1515" s="143"/>
      <c r="X1515" s="143"/>
      <c r="Y1515" s="143"/>
      <c r="Z1515" s="30">
        <f t="shared" si="560"/>
        <v>0</v>
      </c>
      <c r="AA1515" s="31">
        <f t="shared" si="548"/>
        <v>15</v>
      </c>
      <c r="AB1515" s="32">
        <v>3.15E-2</v>
      </c>
      <c r="AC1515" s="32">
        <v>8.0199999999999994E-2</v>
      </c>
      <c r="AD1515" s="33">
        <f t="shared" si="499"/>
        <v>0.47093729948451302</v>
      </c>
      <c r="AE1515" s="34">
        <f t="shared" si="500"/>
        <v>0.10350393959172662</v>
      </c>
      <c r="AF1515" s="33">
        <f t="shared" si="501"/>
        <v>2.7644233052815106</v>
      </c>
      <c r="AG1515" s="33">
        <f t="shared" si="502"/>
        <v>0</v>
      </c>
      <c r="AH1515" s="35">
        <f t="shared" si="503"/>
        <v>8.3682571472438472</v>
      </c>
      <c r="AI1515" s="36">
        <f t="shared" si="476"/>
        <v>18.200884329482665</v>
      </c>
      <c r="AJ1515" s="23"/>
      <c r="AK1515" s="173">
        <v>686</v>
      </c>
      <c r="AL1515" s="44"/>
      <c r="AM1515" s="44"/>
      <c r="AN1515" s="44"/>
      <c r="AO1515" s="44"/>
      <c r="AP1515" s="44"/>
      <c r="AQ1515" s="44"/>
      <c r="AR1515" s="44"/>
    </row>
    <row r="1516" spans="1:44" ht="16.8">
      <c r="A1516" s="78" t="s">
        <v>3044</v>
      </c>
      <c r="B1516" s="79"/>
      <c r="C1516" s="79" t="s">
        <v>3041</v>
      </c>
      <c r="D1516" s="19" t="s">
        <v>3042</v>
      </c>
      <c r="E1516" s="20" t="s">
        <v>414</v>
      </c>
      <c r="F1516" s="21">
        <v>2007</v>
      </c>
      <c r="G1516" s="40">
        <v>2023</v>
      </c>
      <c r="H1516" s="23">
        <v>387891351485</v>
      </c>
      <c r="I1516" s="23">
        <v>448195135823</v>
      </c>
      <c r="J1516" s="23">
        <v>189443852444</v>
      </c>
      <c r="K1516" s="23">
        <f t="shared" si="566"/>
        <v>157291751989</v>
      </c>
      <c r="L1516" s="23">
        <v>187995742673</v>
      </c>
      <c r="M1516" s="23">
        <f t="shared" si="551"/>
        <v>258751283379</v>
      </c>
      <c r="N1516" s="23">
        <v>657525094892</v>
      </c>
      <c r="O1516" s="25">
        <f t="shared" si="464"/>
        <v>199895608812</v>
      </c>
      <c r="P1516" s="23">
        <v>38322582659</v>
      </c>
      <c r="Q1516" s="23">
        <f>29819859912+25855749987</f>
        <v>55675609899</v>
      </c>
      <c r="R1516" s="25">
        <f t="shared" si="465"/>
        <v>601849484993</v>
      </c>
      <c r="S1516" s="26">
        <f t="shared" si="466"/>
        <v>0.42268163418626359</v>
      </c>
      <c r="T1516" s="27">
        <f t="shared" si="467"/>
        <v>2.0632985937330433</v>
      </c>
      <c r="U1516" s="26">
        <f t="shared" si="468"/>
        <v>26.828494545561352</v>
      </c>
      <c r="V1516" s="26">
        <f t="shared" si="469"/>
        <v>4.1802897264313206</v>
      </c>
      <c r="W1516" s="143"/>
      <c r="X1516" s="143"/>
      <c r="Y1516" s="143"/>
      <c r="Z1516" s="30">
        <f t="shared" si="560"/>
        <v>0</v>
      </c>
      <c r="AA1516" s="31">
        <f t="shared" si="548"/>
        <v>16</v>
      </c>
      <c r="AB1516" s="32">
        <v>3.2500000000000001E-2</v>
      </c>
      <c r="AC1516" s="32">
        <v>5.0500000000000003E-2</v>
      </c>
      <c r="AD1516" s="33">
        <f t="shared" si="499"/>
        <v>0.44600129014104745</v>
      </c>
      <c r="AE1516" s="34">
        <f t="shared" si="500"/>
        <v>8.5504235981120169E-2</v>
      </c>
      <c r="AF1516" s="33">
        <f t="shared" si="501"/>
        <v>1.3428291315296219</v>
      </c>
      <c r="AG1516" s="33">
        <f t="shared" si="502"/>
        <v>0</v>
      </c>
      <c r="AH1516" s="35">
        <f t="shared" si="503"/>
        <v>3.4708177985683952</v>
      </c>
      <c r="AI1516" s="36">
        <f t="shared" si="476"/>
        <v>8.5570614111589727</v>
      </c>
      <c r="AJ1516" s="23"/>
      <c r="AK1516" s="173">
        <v>687</v>
      </c>
      <c r="AL1516" s="44"/>
      <c r="AM1516" s="44"/>
      <c r="AN1516" s="44"/>
      <c r="AO1516" s="44"/>
      <c r="AP1516" s="44"/>
      <c r="AQ1516" s="44"/>
      <c r="AR1516" s="44"/>
    </row>
    <row r="1517" spans="1:44" ht="16.8">
      <c r="A1517" s="78" t="s">
        <v>3045</v>
      </c>
      <c r="B1517" s="79">
        <v>583</v>
      </c>
      <c r="C1517" s="79" t="s">
        <v>3046</v>
      </c>
      <c r="D1517" s="19" t="s">
        <v>3047</v>
      </c>
      <c r="E1517" s="20" t="s">
        <v>414</v>
      </c>
      <c r="F1517" s="21">
        <v>2000</v>
      </c>
      <c r="G1517" s="40">
        <v>2021</v>
      </c>
      <c r="H1517" s="23">
        <v>350948115802</v>
      </c>
      <c r="I1517" s="23">
        <v>422674784549</v>
      </c>
      <c r="J1517" s="23">
        <v>89301131037</v>
      </c>
      <c r="K1517" s="23">
        <f>(J1517+80235425246)/2</f>
        <v>84768278141.5</v>
      </c>
      <c r="L1517" s="23">
        <v>89301131037</v>
      </c>
      <c r="M1517" s="23">
        <f t="shared" si="551"/>
        <v>333373653512</v>
      </c>
      <c r="N1517" s="23">
        <v>297847175380</v>
      </c>
      <c r="O1517" s="25">
        <f t="shared" si="464"/>
        <v>261646984765</v>
      </c>
      <c r="P1517" s="23">
        <v>17551028990</v>
      </c>
      <c r="Q1517" s="23">
        <v>21798023647</v>
      </c>
      <c r="R1517" s="25">
        <f t="shared" si="465"/>
        <v>276049151733</v>
      </c>
      <c r="S1517" s="26">
        <f t="shared" si="466"/>
        <v>0.21127622063446622</v>
      </c>
      <c r="T1517" s="27">
        <f t="shared" si="467"/>
        <v>3.9299403235619961</v>
      </c>
      <c r="U1517" s="26">
        <f t="shared" si="468"/>
        <v>26.769868889437248</v>
      </c>
      <c r="V1517" s="26">
        <f t="shared" si="469"/>
        <v>3.5136631521854986</v>
      </c>
      <c r="W1517" s="143"/>
      <c r="X1517" s="143"/>
      <c r="Y1517" s="143"/>
      <c r="Z1517" s="30">
        <f t="shared" si="560"/>
        <v>0</v>
      </c>
      <c r="AA1517" s="31">
        <f t="shared" si="548"/>
        <v>21</v>
      </c>
      <c r="AB1517" s="32">
        <v>1.84E-2</v>
      </c>
      <c r="AC1517" s="32">
        <v>2.58E-2</v>
      </c>
      <c r="AD1517" s="33">
        <f t="shared" si="499"/>
        <v>0.61902671824670363</v>
      </c>
      <c r="AE1517" s="34">
        <f t="shared" si="500"/>
        <v>4.1523719018931295E-2</v>
      </c>
      <c r="AF1517" s="33">
        <f t="shared" si="501"/>
        <v>0.65310059133891407</v>
      </c>
      <c r="AG1517" s="33">
        <f t="shared" si="502"/>
        <v>0</v>
      </c>
      <c r="AH1517" s="35">
        <f t="shared" si="503"/>
        <v>3.3353124638095952</v>
      </c>
      <c r="AI1517" s="36">
        <f t="shared" si="476"/>
        <v>6.2915096837505597</v>
      </c>
      <c r="AJ1517" s="23"/>
      <c r="AK1517" s="173">
        <v>688</v>
      </c>
      <c r="AL1517" s="44"/>
      <c r="AM1517" s="44"/>
      <c r="AN1517" s="44"/>
      <c r="AO1517" s="44"/>
      <c r="AP1517" s="44"/>
      <c r="AQ1517" s="44"/>
      <c r="AR1517" s="44"/>
    </row>
    <row r="1518" spans="1:44" ht="16.8">
      <c r="A1518" s="78" t="s">
        <v>3048</v>
      </c>
      <c r="B1518" s="79"/>
      <c r="C1518" s="79" t="s">
        <v>3046</v>
      </c>
      <c r="D1518" s="19" t="s">
        <v>3047</v>
      </c>
      <c r="E1518" s="20" t="s">
        <v>414</v>
      </c>
      <c r="F1518" s="21">
        <v>2000</v>
      </c>
      <c r="G1518" s="40">
        <v>2022</v>
      </c>
      <c r="H1518" s="23">
        <v>378149141612</v>
      </c>
      <c r="I1518" s="23">
        <v>433678044576</v>
      </c>
      <c r="J1518" s="23">
        <v>99544878481</v>
      </c>
      <c r="K1518" s="23">
        <f t="shared" ref="K1518:K1519" si="567">AVERAGE(J1517:J1518)</f>
        <v>94423004759</v>
      </c>
      <c r="L1518" s="23">
        <v>99544878481</v>
      </c>
      <c r="M1518" s="23">
        <f t="shared" si="551"/>
        <v>334133166095</v>
      </c>
      <c r="N1518" s="23">
        <v>351319434784</v>
      </c>
      <c r="O1518" s="25">
        <f t="shared" si="464"/>
        <v>278604263131</v>
      </c>
      <c r="P1518" s="23">
        <v>17541918448</v>
      </c>
      <c r="Q1518" s="23">
        <v>26263195130</v>
      </c>
      <c r="R1518" s="25">
        <f t="shared" si="465"/>
        <v>325056239654</v>
      </c>
      <c r="S1518" s="26">
        <f t="shared" si="466"/>
        <v>0.22953635704183137</v>
      </c>
      <c r="T1518" s="27">
        <f t="shared" si="467"/>
        <v>3.7987804835602548</v>
      </c>
      <c r="U1518" s="26">
        <f t="shared" si="468"/>
        <v>26.795568262978534</v>
      </c>
      <c r="V1518" s="26">
        <f t="shared" si="469"/>
        <v>3.7206974685955831</v>
      </c>
      <c r="W1518" s="143"/>
      <c r="X1518" s="143"/>
      <c r="Y1518" s="143"/>
      <c r="Z1518" s="30">
        <f t="shared" si="560"/>
        <v>0</v>
      </c>
      <c r="AA1518" s="31">
        <f t="shared" si="548"/>
        <v>22</v>
      </c>
      <c r="AB1518" s="32">
        <v>3.15E-2</v>
      </c>
      <c r="AC1518" s="32">
        <v>8.0199999999999994E-2</v>
      </c>
      <c r="AD1518" s="33">
        <f t="shared" si="499"/>
        <v>0.64242187635619619</v>
      </c>
      <c r="AE1518" s="34">
        <f t="shared" si="500"/>
        <v>4.0449173453432373E-2</v>
      </c>
      <c r="AF1518" s="33">
        <f t="shared" si="501"/>
        <v>0.74953353926828881</v>
      </c>
      <c r="AG1518" s="33">
        <f t="shared" si="502"/>
        <v>0</v>
      </c>
      <c r="AH1518" s="35">
        <f t="shared" si="503"/>
        <v>3.5292567547918186</v>
      </c>
      <c r="AI1518" s="36">
        <f t="shared" si="476"/>
        <v>6.8302525288394129</v>
      </c>
      <c r="AJ1518" s="23"/>
      <c r="AK1518" s="173">
        <v>689</v>
      </c>
      <c r="AL1518" s="44"/>
      <c r="AM1518" s="44"/>
      <c r="AN1518" s="44"/>
      <c r="AO1518" s="44"/>
      <c r="AP1518" s="44"/>
      <c r="AQ1518" s="44"/>
      <c r="AR1518" s="44"/>
    </row>
    <row r="1519" spans="1:44" ht="16.8">
      <c r="A1519" s="78" t="s">
        <v>3049</v>
      </c>
      <c r="B1519" s="79"/>
      <c r="C1519" s="79" t="s">
        <v>3046</v>
      </c>
      <c r="D1519" s="19" t="s">
        <v>3047</v>
      </c>
      <c r="E1519" s="20" t="s">
        <v>414</v>
      </c>
      <c r="F1519" s="21">
        <v>2000</v>
      </c>
      <c r="G1519" s="40">
        <v>2023</v>
      </c>
      <c r="H1519" s="23">
        <v>365451508786</v>
      </c>
      <c r="I1519" s="23">
        <v>407507617551</v>
      </c>
      <c r="J1519" s="23">
        <v>82322473466</v>
      </c>
      <c r="K1519" s="23">
        <f t="shared" si="567"/>
        <v>90933675973.5</v>
      </c>
      <c r="L1519" s="23">
        <v>82322473466</v>
      </c>
      <c r="M1519" s="23">
        <f t="shared" si="551"/>
        <v>325185144085</v>
      </c>
      <c r="N1519" s="23">
        <v>299744800357</v>
      </c>
      <c r="O1519" s="25">
        <f t="shared" si="464"/>
        <v>283129035320</v>
      </c>
      <c r="P1519" s="23">
        <v>8236450284</v>
      </c>
      <c r="Q1519" s="23">
        <v>30913185442</v>
      </c>
      <c r="R1519" s="25">
        <f t="shared" si="465"/>
        <v>268831614915</v>
      </c>
      <c r="S1519" s="26">
        <f t="shared" si="466"/>
        <v>0.202014563459534</v>
      </c>
      <c r="T1519" s="27">
        <f t="shared" si="467"/>
        <v>4.4392678378029435</v>
      </c>
      <c r="U1519" s="26">
        <f t="shared" si="468"/>
        <v>26.733325462829296</v>
      </c>
      <c r="V1519" s="26">
        <f t="shared" si="469"/>
        <v>3.2963013663315666</v>
      </c>
      <c r="W1519" s="143"/>
      <c r="X1519" s="143"/>
      <c r="Y1519" s="143"/>
      <c r="Z1519" s="30">
        <f t="shared" si="560"/>
        <v>0</v>
      </c>
      <c r="AA1519" s="31">
        <f t="shared" si="548"/>
        <v>23</v>
      </c>
      <c r="AB1519" s="32">
        <v>3.2500000000000001E-2</v>
      </c>
      <c r="AC1519" s="32">
        <v>5.0500000000000003E-2</v>
      </c>
      <c r="AD1519" s="33">
        <f t="shared" si="499"/>
        <v>0.69478219087417703</v>
      </c>
      <c r="AE1519" s="34">
        <f t="shared" si="500"/>
        <v>2.0211770109964139E-2</v>
      </c>
      <c r="AF1519" s="33">
        <f t="shared" si="501"/>
        <v>0.65969715248661687</v>
      </c>
      <c r="AG1519" s="33">
        <f t="shared" si="502"/>
        <v>0</v>
      </c>
      <c r="AH1519" s="35">
        <f t="shared" si="503"/>
        <v>3.6411053718010256</v>
      </c>
      <c r="AI1519" s="36">
        <f t="shared" si="476"/>
        <v>6.6801410822098237</v>
      </c>
      <c r="AJ1519" s="23"/>
      <c r="AK1519" s="173">
        <v>690</v>
      </c>
      <c r="AL1519" s="44"/>
      <c r="AM1519" s="44"/>
      <c r="AN1519" s="44"/>
      <c r="AO1519" s="44"/>
      <c r="AP1519" s="44"/>
      <c r="AQ1519" s="44"/>
      <c r="AR1519" s="44"/>
    </row>
    <row r="1520" spans="1:44" ht="16.8">
      <c r="A1520" s="78" t="s">
        <v>3050</v>
      </c>
      <c r="B1520" s="79">
        <v>584</v>
      </c>
      <c r="C1520" s="79" t="s">
        <v>3051</v>
      </c>
      <c r="D1520" s="19" t="s">
        <v>3052</v>
      </c>
      <c r="E1520" s="20" t="s">
        <v>414</v>
      </c>
      <c r="F1520" s="21">
        <v>1990</v>
      </c>
      <c r="G1520" s="40">
        <v>2021</v>
      </c>
      <c r="H1520" s="23">
        <v>643507064745</v>
      </c>
      <c r="I1520" s="23">
        <v>662917113541</v>
      </c>
      <c r="J1520" s="23">
        <v>514170935375</v>
      </c>
      <c r="K1520" s="23">
        <f>(J1520+780259410942)/2</f>
        <v>647215173158.5</v>
      </c>
      <c r="L1520" s="23">
        <v>514170935375</v>
      </c>
      <c r="M1520" s="23">
        <f t="shared" si="551"/>
        <v>148746178166</v>
      </c>
      <c r="N1520" s="23">
        <v>795594371484</v>
      </c>
      <c r="O1520" s="25">
        <f t="shared" si="464"/>
        <v>129336129370</v>
      </c>
      <c r="P1520" s="23">
        <v>-3789527708</v>
      </c>
      <c r="Q1520" s="23">
        <f>2793106023+18571563766</f>
        <v>21364669789</v>
      </c>
      <c r="R1520" s="25">
        <f t="shared" si="465"/>
        <v>774229701695</v>
      </c>
      <c r="S1520" s="26">
        <f t="shared" si="466"/>
        <v>0.77561873856074415</v>
      </c>
      <c r="T1520" s="27">
        <f t="shared" si="467"/>
        <v>1.2515430579048024</v>
      </c>
      <c r="U1520" s="26">
        <f t="shared" si="468"/>
        <v>27.219915802033402</v>
      </c>
      <c r="V1520" s="26">
        <f t="shared" si="469"/>
        <v>1.2292579106286845</v>
      </c>
      <c r="W1520" s="143"/>
      <c r="X1520" s="143"/>
      <c r="Y1520" s="143"/>
      <c r="Z1520" s="30">
        <f t="shared" si="560"/>
        <v>0</v>
      </c>
      <c r="AA1520" s="31">
        <f t="shared" si="548"/>
        <v>31</v>
      </c>
      <c r="AB1520" s="32">
        <v>1.84E-2</v>
      </c>
      <c r="AC1520" s="32">
        <v>2.58E-2</v>
      </c>
      <c r="AD1520" s="33">
        <f t="shared" si="499"/>
        <v>0.195101509265835</v>
      </c>
      <c r="AE1520" s="34">
        <f t="shared" si="500"/>
        <v>-5.7164427205055489E-3</v>
      </c>
      <c r="AF1520" s="33">
        <f t="shared" si="501"/>
        <v>1.1679132818874129</v>
      </c>
      <c r="AG1520" s="33">
        <f t="shared" si="502"/>
        <v>0</v>
      </c>
      <c r="AH1520" s="35">
        <f t="shared" si="503"/>
        <v>1.5473343916332991</v>
      </c>
      <c r="AI1520" s="36">
        <f t="shared" si="476"/>
        <v>5.6275670131720563</v>
      </c>
      <c r="AJ1520" s="23"/>
      <c r="AK1520" s="173">
        <v>691</v>
      </c>
      <c r="AL1520" s="44"/>
      <c r="AM1520" s="44"/>
      <c r="AN1520" s="44"/>
      <c r="AO1520" s="44"/>
      <c r="AP1520" s="44"/>
      <c r="AQ1520" s="44"/>
      <c r="AR1520" s="44"/>
    </row>
    <row r="1521" spans="1:44" ht="16.8">
      <c r="A1521" s="78" t="s">
        <v>3053</v>
      </c>
      <c r="B1521" s="79"/>
      <c r="C1521" s="79" t="s">
        <v>3051</v>
      </c>
      <c r="D1521" s="19" t="s">
        <v>3054</v>
      </c>
      <c r="E1521" s="20" t="s">
        <v>414</v>
      </c>
      <c r="F1521" s="21">
        <v>1990</v>
      </c>
      <c r="G1521" s="40">
        <v>2022</v>
      </c>
      <c r="H1521" s="23">
        <v>613620536498</v>
      </c>
      <c r="I1521" s="23">
        <v>702408962546</v>
      </c>
      <c r="J1521" s="23">
        <v>549723852847</v>
      </c>
      <c r="K1521" s="23">
        <f t="shared" ref="K1521:K1522" si="568">AVERAGE(J1520:J1521)</f>
        <v>531947394111</v>
      </c>
      <c r="L1521" s="23">
        <v>549723852847</v>
      </c>
      <c r="M1521" s="23">
        <f t="shared" si="551"/>
        <v>152685109699</v>
      </c>
      <c r="N1521" s="23">
        <v>481098393898</v>
      </c>
      <c r="O1521" s="25">
        <f t="shared" si="464"/>
        <v>63896683651</v>
      </c>
      <c r="P1521" s="23">
        <v>3938981537</v>
      </c>
      <c r="Q1521" s="23">
        <v>14172977836</v>
      </c>
      <c r="R1521" s="25">
        <f t="shared" si="465"/>
        <v>466925416062</v>
      </c>
      <c r="S1521" s="26">
        <f t="shared" si="466"/>
        <v>0.78262647853243927</v>
      </c>
      <c r="T1521" s="27">
        <f t="shared" si="467"/>
        <v>1.1162341479637119</v>
      </c>
      <c r="U1521" s="26">
        <f t="shared" si="468"/>
        <v>27.277781639074863</v>
      </c>
      <c r="V1521" s="26">
        <f t="shared" si="469"/>
        <v>0.90440972025442523</v>
      </c>
      <c r="W1521" s="143"/>
      <c r="X1521" s="143"/>
      <c r="Y1521" s="143"/>
      <c r="Z1521" s="30">
        <f t="shared" si="560"/>
        <v>0</v>
      </c>
      <c r="AA1521" s="31">
        <f t="shared" si="548"/>
        <v>32</v>
      </c>
      <c r="AB1521" s="32">
        <v>3.15E-2</v>
      </c>
      <c r="AC1521" s="32">
        <v>8.0199999999999994E-2</v>
      </c>
      <c r="AD1521" s="33">
        <f t="shared" si="499"/>
        <v>9.096792190605836E-2</v>
      </c>
      <c r="AE1521" s="34">
        <f t="shared" si="500"/>
        <v>5.607817876814236E-3</v>
      </c>
      <c r="AF1521" s="33">
        <f t="shared" si="501"/>
        <v>0.66474865919926462</v>
      </c>
      <c r="AG1521" s="33">
        <f t="shared" si="502"/>
        <v>0</v>
      </c>
      <c r="AH1521" s="35">
        <f t="shared" si="503"/>
        <v>0.87516375977940342</v>
      </c>
      <c r="AI1521" s="36">
        <f t="shared" si="476"/>
        <v>3.1858467864517865</v>
      </c>
      <c r="AJ1521" s="23"/>
      <c r="AK1521" s="173">
        <v>692</v>
      </c>
      <c r="AL1521" s="44"/>
      <c r="AM1521" s="44"/>
      <c r="AN1521" s="44"/>
      <c r="AO1521" s="44"/>
      <c r="AP1521" s="44"/>
      <c r="AQ1521" s="44"/>
      <c r="AR1521" s="44"/>
    </row>
    <row r="1522" spans="1:44" ht="16.8">
      <c r="A1522" s="78" t="s">
        <v>3055</v>
      </c>
      <c r="B1522" s="79"/>
      <c r="C1522" s="79" t="s">
        <v>3051</v>
      </c>
      <c r="D1522" s="19" t="s">
        <v>3056</v>
      </c>
      <c r="E1522" s="20" t="s">
        <v>414</v>
      </c>
      <c r="F1522" s="21">
        <v>1990</v>
      </c>
      <c r="G1522" s="40">
        <v>2023</v>
      </c>
      <c r="H1522" s="23">
        <v>521059978726</v>
      </c>
      <c r="I1522" s="23">
        <v>630619815704</v>
      </c>
      <c r="J1522" s="23">
        <v>481316187224</v>
      </c>
      <c r="K1522" s="23">
        <f t="shared" si="568"/>
        <v>515520020035.5</v>
      </c>
      <c r="L1522" s="23">
        <v>481316187224</v>
      </c>
      <c r="M1522" s="23">
        <f t="shared" si="551"/>
        <v>149303628480</v>
      </c>
      <c r="N1522" s="23">
        <v>183849160657</v>
      </c>
      <c r="O1522" s="25">
        <f t="shared" si="464"/>
        <v>39743791502</v>
      </c>
      <c r="P1522" s="23">
        <v>6831</v>
      </c>
      <c r="Q1522" s="23">
        <v>8139004376</v>
      </c>
      <c r="R1522" s="25">
        <f t="shared" si="465"/>
        <v>175710156281</v>
      </c>
      <c r="S1522" s="26">
        <f t="shared" si="466"/>
        <v>0.76324304317439962</v>
      </c>
      <c r="T1522" s="27">
        <f t="shared" si="467"/>
        <v>1.0825731453812577</v>
      </c>
      <c r="U1522" s="26">
        <f t="shared" si="468"/>
        <v>27.169969007134863</v>
      </c>
      <c r="V1522" s="26">
        <f t="shared" si="469"/>
        <v>0.35662855662587012</v>
      </c>
      <c r="W1522" s="143"/>
      <c r="X1522" s="143"/>
      <c r="Y1522" s="143"/>
      <c r="Z1522" s="30">
        <f t="shared" si="560"/>
        <v>0</v>
      </c>
      <c r="AA1522" s="31">
        <f t="shared" si="548"/>
        <v>33</v>
      </c>
      <c r="AB1522" s="32">
        <v>3.2500000000000001E-2</v>
      </c>
      <c r="AC1522" s="32">
        <v>5.0500000000000003E-2</v>
      </c>
      <c r="AD1522" s="33">
        <f t="shared" si="499"/>
        <v>6.3023378765273239E-2</v>
      </c>
      <c r="AE1522" s="34">
        <f t="shared" si="500"/>
        <v>1.0832200051268816E-8</v>
      </c>
      <c r="AF1522" s="33">
        <f t="shared" si="501"/>
        <v>0.27863088330778801</v>
      </c>
      <c r="AG1522" s="33">
        <f t="shared" si="502"/>
        <v>0</v>
      </c>
      <c r="AH1522" s="35">
        <f t="shared" si="503"/>
        <v>0.38197169664571939</v>
      </c>
      <c r="AI1522" s="36">
        <f t="shared" si="476"/>
        <v>1.3770816812448277</v>
      </c>
      <c r="AJ1522" s="23"/>
      <c r="AK1522" s="173">
        <v>693</v>
      </c>
      <c r="AL1522" s="44"/>
      <c r="AM1522" s="44"/>
      <c r="AN1522" s="44"/>
      <c r="AO1522" s="44"/>
      <c r="AP1522" s="44"/>
      <c r="AQ1522" s="44"/>
      <c r="AR1522" s="44"/>
    </row>
    <row r="1523" spans="1:44" ht="16.8">
      <c r="A1523" s="78" t="s">
        <v>3057</v>
      </c>
      <c r="B1523" s="79">
        <v>585</v>
      </c>
      <c r="C1523" s="79" t="s">
        <v>3058</v>
      </c>
      <c r="D1523" s="19" t="s">
        <v>3059</v>
      </c>
      <c r="E1523" s="20" t="s">
        <v>414</v>
      </c>
      <c r="F1523" s="21">
        <v>1978</v>
      </c>
      <c r="G1523" s="40">
        <v>2021</v>
      </c>
      <c r="H1523" s="23">
        <v>310649378502</v>
      </c>
      <c r="I1523" s="23">
        <v>346706892668</v>
      </c>
      <c r="J1523" s="23">
        <v>198210717441</v>
      </c>
      <c r="K1523" s="23">
        <f>(J1523+111662583759)/2</f>
        <v>154936650600</v>
      </c>
      <c r="L1523" s="23">
        <v>198210717441</v>
      </c>
      <c r="M1523" s="23">
        <f t="shared" si="551"/>
        <v>148496175227</v>
      </c>
      <c r="N1523" s="23">
        <v>155322862795</v>
      </c>
      <c r="O1523" s="25">
        <f t="shared" si="464"/>
        <v>112438661061</v>
      </c>
      <c r="P1523" s="23">
        <v>660923114</v>
      </c>
      <c r="Q1523" s="23">
        <f>1174617962+12733037130</f>
        <v>13907655092</v>
      </c>
      <c r="R1523" s="25">
        <f t="shared" si="465"/>
        <v>141415207703</v>
      </c>
      <c r="S1523" s="26">
        <f t="shared" si="466"/>
        <v>0.57169534737459882</v>
      </c>
      <c r="T1523" s="27">
        <f t="shared" si="467"/>
        <v>1.5672683218780479</v>
      </c>
      <c r="U1523" s="26">
        <f t="shared" si="468"/>
        <v>26.571745570224309</v>
      </c>
      <c r="V1523" s="26">
        <f t="shared" si="469"/>
        <v>1.0024927103658454</v>
      </c>
      <c r="W1523" s="143"/>
      <c r="X1523" s="143"/>
      <c r="Y1523" s="143"/>
      <c r="Z1523" s="30">
        <f t="shared" si="560"/>
        <v>0</v>
      </c>
      <c r="AA1523" s="31">
        <f t="shared" si="548"/>
        <v>43</v>
      </c>
      <c r="AB1523" s="32">
        <v>1.84E-2</v>
      </c>
      <c r="AC1523" s="32">
        <v>2.58E-2</v>
      </c>
      <c r="AD1523" s="33">
        <f t="shared" si="499"/>
        <v>0.32430466033067634</v>
      </c>
      <c r="AE1523" s="34">
        <f t="shared" si="500"/>
        <v>1.9062877836492497E-3</v>
      </c>
      <c r="AF1523" s="33">
        <f t="shared" si="501"/>
        <v>0.40788115463979696</v>
      </c>
      <c r="AG1523" s="33">
        <f t="shared" si="502"/>
        <v>0</v>
      </c>
      <c r="AH1523" s="35">
        <f t="shared" si="503"/>
        <v>0.78362494622034695</v>
      </c>
      <c r="AI1523" s="36">
        <f t="shared" si="476"/>
        <v>2.5214671518255973</v>
      </c>
      <c r="AJ1523" s="23"/>
      <c r="AK1523" s="173">
        <v>694</v>
      </c>
      <c r="AL1523" s="44"/>
      <c r="AM1523" s="44"/>
      <c r="AN1523" s="44"/>
      <c r="AO1523" s="44"/>
      <c r="AP1523" s="44"/>
      <c r="AQ1523" s="44"/>
      <c r="AR1523" s="44"/>
    </row>
    <row r="1524" spans="1:44" ht="16.8">
      <c r="A1524" s="78" t="s">
        <v>3060</v>
      </c>
      <c r="B1524" s="79"/>
      <c r="C1524" s="79" t="s">
        <v>3058</v>
      </c>
      <c r="D1524" s="19" t="s">
        <v>3061</v>
      </c>
      <c r="E1524" s="20" t="s">
        <v>414</v>
      </c>
      <c r="F1524" s="21">
        <v>1978</v>
      </c>
      <c r="G1524" s="40">
        <v>2022</v>
      </c>
      <c r="H1524" s="23">
        <v>242904181363</v>
      </c>
      <c r="I1524" s="23">
        <v>279741493682</v>
      </c>
      <c r="J1524" s="23">
        <v>134065585559</v>
      </c>
      <c r="K1524" s="23">
        <f t="shared" ref="K1524:K1525" si="569">AVERAGE(J1523:J1524)</f>
        <v>166138151500</v>
      </c>
      <c r="L1524" s="23">
        <v>134065585559</v>
      </c>
      <c r="M1524" s="23">
        <f t="shared" si="551"/>
        <v>145675908123</v>
      </c>
      <c r="N1524" s="23">
        <v>199335631747</v>
      </c>
      <c r="O1524" s="25">
        <f t="shared" si="464"/>
        <v>108838595804</v>
      </c>
      <c r="P1524" s="23">
        <v>479716096</v>
      </c>
      <c r="Q1524" s="23">
        <f>486367923+11369349049</f>
        <v>11855716972</v>
      </c>
      <c r="R1524" s="25">
        <f t="shared" si="465"/>
        <v>187479914775</v>
      </c>
      <c r="S1524" s="26">
        <f t="shared" si="466"/>
        <v>0.47924812223745722</v>
      </c>
      <c r="T1524" s="27">
        <f t="shared" si="467"/>
        <v>1.8118309807113173</v>
      </c>
      <c r="U1524" s="26">
        <f t="shared" si="468"/>
        <v>26.357131776820026</v>
      </c>
      <c r="V1524" s="26">
        <f t="shared" si="469"/>
        <v>1.1998185242057422</v>
      </c>
      <c r="W1524" s="143"/>
      <c r="X1524" s="143"/>
      <c r="Y1524" s="143"/>
      <c r="Z1524" s="30">
        <f t="shared" si="560"/>
        <v>0</v>
      </c>
      <c r="AA1524" s="31">
        <f t="shared" si="548"/>
        <v>44</v>
      </c>
      <c r="AB1524" s="32">
        <v>3.15E-2</v>
      </c>
      <c r="AC1524" s="32">
        <v>8.0199999999999994E-2</v>
      </c>
      <c r="AD1524" s="33">
        <f t="shared" si="499"/>
        <v>0.38906847308009218</v>
      </c>
      <c r="AE1524" s="34">
        <f t="shared" si="500"/>
        <v>1.7148549887465885E-3</v>
      </c>
      <c r="AF1524" s="33">
        <f t="shared" si="501"/>
        <v>0.67018986817922832</v>
      </c>
      <c r="AG1524" s="33">
        <f t="shared" si="502"/>
        <v>0</v>
      </c>
      <c r="AH1524" s="35">
        <f t="shared" si="503"/>
        <v>1.4868516100970279</v>
      </c>
      <c r="AI1524" s="36">
        <f t="shared" si="476"/>
        <v>4.167761139768837</v>
      </c>
      <c r="AJ1524" s="23"/>
      <c r="AK1524" s="173">
        <v>695</v>
      </c>
      <c r="AL1524" s="44"/>
      <c r="AM1524" s="44"/>
      <c r="AN1524" s="44"/>
      <c r="AO1524" s="44"/>
      <c r="AP1524" s="44"/>
      <c r="AQ1524" s="44"/>
      <c r="AR1524" s="44"/>
    </row>
    <row r="1525" spans="1:44" ht="16.8">
      <c r="A1525" s="78" t="s">
        <v>3062</v>
      </c>
      <c r="B1525" s="79"/>
      <c r="C1525" s="79" t="s">
        <v>3058</v>
      </c>
      <c r="D1525" s="19" t="s">
        <v>3063</v>
      </c>
      <c r="E1525" s="20" t="s">
        <v>414</v>
      </c>
      <c r="F1525" s="21">
        <v>1978</v>
      </c>
      <c r="G1525" s="40">
        <v>2023</v>
      </c>
      <c r="H1525" s="23">
        <v>239786772425</v>
      </c>
      <c r="I1525" s="23">
        <v>273349977981</v>
      </c>
      <c r="J1525" s="23">
        <v>127354998825</v>
      </c>
      <c r="K1525" s="23">
        <f t="shared" si="569"/>
        <v>130710292192</v>
      </c>
      <c r="L1525" s="23">
        <v>127354998825</v>
      </c>
      <c r="M1525" s="23">
        <f t="shared" si="551"/>
        <v>145994979156</v>
      </c>
      <c r="N1525" s="23">
        <v>109064148447</v>
      </c>
      <c r="O1525" s="25">
        <f t="shared" si="464"/>
        <v>112431773600</v>
      </c>
      <c r="P1525" s="23">
        <v>319071033</v>
      </c>
      <c r="Q1525" s="23">
        <v>9023330899</v>
      </c>
      <c r="R1525" s="25">
        <f t="shared" si="465"/>
        <v>100040817548</v>
      </c>
      <c r="S1525" s="26">
        <f t="shared" si="466"/>
        <v>0.46590455124840796</v>
      </c>
      <c r="T1525" s="27">
        <f t="shared" si="467"/>
        <v>1.8828218337506628</v>
      </c>
      <c r="U1525" s="26">
        <f t="shared" si="468"/>
        <v>26.334018781735011</v>
      </c>
      <c r="V1525" s="26">
        <f t="shared" si="469"/>
        <v>0.83439602664797019</v>
      </c>
      <c r="W1525" s="143"/>
      <c r="X1525" s="143"/>
      <c r="Y1525" s="143"/>
      <c r="Z1525" s="30">
        <f t="shared" si="560"/>
        <v>0</v>
      </c>
      <c r="AA1525" s="31">
        <f t="shared" si="548"/>
        <v>45</v>
      </c>
      <c r="AB1525" s="32">
        <v>3.2500000000000001E-2</v>
      </c>
      <c r="AC1525" s="32">
        <v>5.0500000000000003E-2</v>
      </c>
      <c r="AD1525" s="33">
        <f t="shared" si="499"/>
        <v>0.41131071028589916</v>
      </c>
      <c r="AE1525" s="34">
        <f t="shared" si="500"/>
        <v>1.1672619670822801E-3</v>
      </c>
      <c r="AF1525" s="33">
        <f t="shared" si="501"/>
        <v>0.3659807046150691</v>
      </c>
      <c r="AG1525" s="33">
        <f t="shared" si="502"/>
        <v>0</v>
      </c>
      <c r="AH1525" s="35">
        <f t="shared" si="503"/>
        <v>0.85637901498367042</v>
      </c>
      <c r="AI1525" s="36">
        <f t="shared" si="476"/>
        <v>2.5593223593103924</v>
      </c>
      <c r="AJ1525" s="23"/>
      <c r="AK1525" s="173">
        <v>696</v>
      </c>
      <c r="AL1525" s="44"/>
      <c r="AM1525" s="44"/>
      <c r="AN1525" s="44"/>
      <c r="AO1525" s="44"/>
      <c r="AP1525" s="44"/>
      <c r="AQ1525" s="44"/>
      <c r="AR1525" s="44"/>
    </row>
    <row r="1526" spans="1:44" ht="16.8">
      <c r="A1526" s="45"/>
      <c r="B1526" s="45">
        <v>586</v>
      </c>
      <c r="C1526" s="45" t="s">
        <v>3064</v>
      </c>
      <c r="D1526" s="46" t="s">
        <v>3065</v>
      </c>
      <c r="E1526" s="47"/>
      <c r="F1526" s="48"/>
      <c r="G1526" s="48">
        <v>2021</v>
      </c>
      <c r="H1526" s="49"/>
      <c r="I1526" s="49"/>
      <c r="J1526" s="49"/>
      <c r="K1526" s="49"/>
      <c r="L1526" s="49"/>
      <c r="M1526" s="49">
        <f t="shared" si="551"/>
        <v>0</v>
      </c>
      <c r="N1526" s="49"/>
      <c r="O1526" s="49">
        <f t="shared" si="464"/>
        <v>0</v>
      </c>
      <c r="P1526" s="49"/>
      <c r="Q1526" s="49"/>
      <c r="R1526" s="49">
        <f t="shared" si="465"/>
        <v>0</v>
      </c>
      <c r="S1526" s="50" t="e">
        <f t="shared" si="466"/>
        <v>#DIV/0!</v>
      </c>
      <c r="T1526" s="51" t="e">
        <f t="shared" si="467"/>
        <v>#DIV/0!</v>
      </c>
      <c r="U1526" s="50" t="e">
        <f t="shared" si="468"/>
        <v>#NUM!</v>
      </c>
      <c r="V1526" s="50" t="e">
        <f t="shared" si="469"/>
        <v>#DIV/0!</v>
      </c>
      <c r="W1526" s="52"/>
      <c r="X1526" s="52"/>
      <c r="Y1526" s="52"/>
      <c r="Z1526" s="55">
        <f t="shared" si="560"/>
        <v>0</v>
      </c>
      <c r="AA1526" s="48">
        <f t="shared" si="548"/>
        <v>2021</v>
      </c>
      <c r="AB1526" s="49"/>
      <c r="AC1526" s="49"/>
      <c r="AD1526" s="50" t="e">
        <f t="shared" si="499"/>
        <v>#DIV/0!</v>
      </c>
      <c r="AE1526" s="56" t="e">
        <f t="shared" si="500"/>
        <v>#DIV/0!</v>
      </c>
      <c r="AF1526" s="50" t="e">
        <f t="shared" si="501"/>
        <v>#DIV/0!</v>
      </c>
      <c r="AG1526" s="50" t="e">
        <f t="shared" si="502"/>
        <v>#DIV/0!</v>
      </c>
      <c r="AH1526" s="57" t="e">
        <f t="shared" si="503"/>
        <v>#DIV/0!</v>
      </c>
      <c r="AI1526" s="58" t="e">
        <f t="shared" si="476"/>
        <v>#DIV/0!</v>
      </c>
      <c r="AJ1526" s="49"/>
      <c r="AK1526" s="49">
        <v>697</v>
      </c>
      <c r="AL1526" s="59"/>
      <c r="AM1526" s="59"/>
      <c r="AN1526" s="59"/>
      <c r="AO1526" s="59"/>
      <c r="AP1526" s="59"/>
      <c r="AQ1526" s="59"/>
      <c r="AR1526" s="59"/>
    </row>
    <row r="1527" spans="1:44" ht="16.8">
      <c r="A1527" s="78" t="s">
        <v>3066</v>
      </c>
      <c r="B1527" s="79">
        <v>587</v>
      </c>
      <c r="C1527" s="79" t="s">
        <v>3067</v>
      </c>
      <c r="D1527" s="19" t="s">
        <v>3068</v>
      </c>
      <c r="E1527" s="20" t="s">
        <v>414</v>
      </c>
      <c r="F1527" s="21">
        <v>1994</v>
      </c>
      <c r="G1527" s="40">
        <v>2021</v>
      </c>
      <c r="H1527" s="23">
        <v>154180015788</v>
      </c>
      <c r="I1527" s="23">
        <v>778503360674</v>
      </c>
      <c r="J1527" s="23">
        <v>336853579684</v>
      </c>
      <c r="K1527" s="23">
        <f>(J1527+2848548418)/2</f>
        <v>169851064051</v>
      </c>
      <c r="L1527" s="23">
        <v>308093966749</v>
      </c>
      <c r="M1527" s="23">
        <f t="shared" si="551"/>
        <v>441649780990</v>
      </c>
      <c r="N1527" s="23">
        <v>677770037855</v>
      </c>
      <c r="O1527" s="25">
        <f t="shared" si="464"/>
        <v>-153913950961</v>
      </c>
      <c r="P1527" s="23">
        <v>10784452945</v>
      </c>
      <c r="Q1527" s="23">
        <f>1008547109+22331993974</f>
        <v>23340541083</v>
      </c>
      <c r="R1527" s="25">
        <f t="shared" si="465"/>
        <v>654429496772</v>
      </c>
      <c r="S1527" s="26">
        <f t="shared" si="466"/>
        <v>0.43269380287885256</v>
      </c>
      <c r="T1527" s="27">
        <f t="shared" si="467"/>
        <v>0.50043179168649021</v>
      </c>
      <c r="U1527" s="26">
        <f t="shared" si="468"/>
        <v>27.380639145069207</v>
      </c>
      <c r="V1527" s="26">
        <f t="shared" si="469"/>
        <v>3.9903785215704666</v>
      </c>
      <c r="W1527" s="143"/>
      <c r="X1527" s="143"/>
      <c r="Y1527" s="143"/>
      <c r="Z1527" s="30">
        <f t="shared" si="560"/>
        <v>0</v>
      </c>
      <c r="AA1527" s="31">
        <f t="shared" si="548"/>
        <v>27</v>
      </c>
      <c r="AB1527" s="32">
        <v>1.84E-2</v>
      </c>
      <c r="AC1527" s="32">
        <v>2.58E-2</v>
      </c>
      <c r="AD1527" s="33">
        <f t="shared" si="499"/>
        <v>-0.19770492811713347</v>
      </c>
      <c r="AE1527" s="34">
        <f t="shared" si="500"/>
        <v>1.3852802042708218E-2</v>
      </c>
      <c r="AF1527" s="33">
        <f t="shared" si="501"/>
        <v>0.84062514027610447</v>
      </c>
      <c r="AG1527" s="33">
        <f t="shared" si="502"/>
        <v>0</v>
      </c>
      <c r="AH1527" s="35">
        <f t="shared" si="503"/>
        <v>2.0120612596452481</v>
      </c>
      <c r="AI1527" s="36">
        <f t="shared" si="476"/>
        <v>4.5682722316756239</v>
      </c>
      <c r="AJ1527" s="23"/>
      <c r="AK1527" s="173">
        <v>698</v>
      </c>
      <c r="AL1527" s="44"/>
      <c r="AM1527" s="44"/>
      <c r="AN1527" s="44"/>
      <c r="AO1527" s="44"/>
      <c r="AP1527" s="44"/>
      <c r="AQ1527" s="44"/>
      <c r="AR1527" s="44"/>
    </row>
    <row r="1528" spans="1:44" ht="16.8">
      <c r="A1528" s="78" t="s">
        <v>3069</v>
      </c>
      <c r="B1528" s="79"/>
      <c r="C1528" s="79" t="s">
        <v>3067</v>
      </c>
      <c r="D1528" s="19" t="s">
        <v>3068</v>
      </c>
      <c r="E1528" s="20" t="s">
        <v>414</v>
      </c>
      <c r="F1528" s="21">
        <v>1994</v>
      </c>
      <c r="G1528" s="40">
        <v>2022</v>
      </c>
      <c r="H1528" s="23">
        <v>194110650856</v>
      </c>
      <c r="I1528" s="23">
        <v>771668344469</v>
      </c>
      <c r="J1528" s="23">
        <v>328166147831</v>
      </c>
      <c r="K1528" s="23">
        <f t="shared" ref="K1528:K1529" si="570">AVERAGE(J1527:J1528)</f>
        <v>332509863757.5</v>
      </c>
      <c r="L1528" s="23">
        <v>327653679852</v>
      </c>
      <c r="M1528" s="23">
        <f t="shared" si="551"/>
        <v>443502196638</v>
      </c>
      <c r="N1528" s="23">
        <v>756312648451</v>
      </c>
      <c r="O1528" s="25">
        <f t="shared" si="464"/>
        <v>-133543028996</v>
      </c>
      <c r="P1528" s="23">
        <v>1852415648</v>
      </c>
      <c r="Q1528" s="23">
        <f>1155533839+27437486733</f>
        <v>28593020572</v>
      </c>
      <c r="R1528" s="25">
        <f t="shared" si="465"/>
        <v>727719627879</v>
      </c>
      <c r="S1528" s="26">
        <f t="shared" si="466"/>
        <v>0.42526838140136164</v>
      </c>
      <c r="T1528" s="27">
        <f t="shared" si="467"/>
        <v>0.59242628052790092</v>
      </c>
      <c r="U1528" s="26">
        <f t="shared" si="468"/>
        <v>27.371820689054157</v>
      </c>
      <c r="V1528" s="26">
        <f t="shared" si="469"/>
        <v>2.2745570308933152</v>
      </c>
      <c r="W1528" s="143"/>
      <c r="X1528" s="143"/>
      <c r="Y1528" s="143"/>
      <c r="Z1528" s="30">
        <f t="shared" si="560"/>
        <v>0</v>
      </c>
      <c r="AA1528" s="31">
        <f t="shared" si="548"/>
        <v>28</v>
      </c>
      <c r="AB1528" s="32">
        <v>3.15E-2</v>
      </c>
      <c r="AC1528" s="32">
        <v>8.0199999999999994E-2</v>
      </c>
      <c r="AD1528" s="33">
        <f t="shared" si="499"/>
        <v>-0.17305754467340961</v>
      </c>
      <c r="AE1528" s="34">
        <f t="shared" si="500"/>
        <v>2.4005334173383555E-3</v>
      </c>
      <c r="AF1528" s="33">
        <f t="shared" si="501"/>
        <v>0.94304714336799444</v>
      </c>
      <c r="AG1528" s="33">
        <f t="shared" si="502"/>
        <v>0</v>
      </c>
      <c r="AH1528" s="35">
        <f t="shared" si="503"/>
        <v>2.3046638218165274</v>
      </c>
      <c r="AI1528" s="36">
        <f t="shared" si="476"/>
        <v>5.2124110881070909</v>
      </c>
      <c r="AJ1528" s="23"/>
      <c r="AK1528" s="173">
        <v>699</v>
      </c>
      <c r="AL1528" s="44"/>
      <c r="AM1528" s="44"/>
      <c r="AN1528" s="44"/>
      <c r="AO1528" s="44"/>
      <c r="AP1528" s="44"/>
      <c r="AQ1528" s="44"/>
      <c r="AR1528" s="44"/>
    </row>
    <row r="1529" spans="1:44" ht="16.5" customHeight="1">
      <c r="A1529" s="78" t="s">
        <v>3070</v>
      </c>
      <c r="B1529" s="79"/>
      <c r="C1529" s="79" t="s">
        <v>3067</v>
      </c>
      <c r="D1529" s="19" t="s">
        <v>3068</v>
      </c>
      <c r="E1529" s="20" t="s">
        <v>414</v>
      </c>
      <c r="F1529" s="21">
        <v>1994</v>
      </c>
      <c r="G1529" s="40">
        <v>2023</v>
      </c>
      <c r="H1529" s="23">
        <v>155040250741</v>
      </c>
      <c r="I1529" s="23">
        <v>686002310975</v>
      </c>
      <c r="J1529" s="23">
        <v>316426689122</v>
      </c>
      <c r="K1529" s="23">
        <f t="shared" si="570"/>
        <v>322296418476.5</v>
      </c>
      <c r="L1529" s="23">
        <v>315858806833</v>
      </c>
      <c r="M1529" s="23">
        <f t="shared" si="551"/>
        <v>369575621853</v>
      </c>
      <c r="N1529" s="23">
        <v>521853086288</v>
      </c>
      <c r="O1529" s="25">
        <f t="shared" si="464"/>
        <v>-160818556092</v>
      </c>
      <c r="P1529" s="23">
        <v>-64121424785</v>
      </c>
      <c r="Q1529" s="23">
        <f>1790590021+29241069711</f>
        <v>31031659732</v>
      </c>
      <c r="R1529" s="25">
        <f t="shared" si="465"/>
        <v>490821426556</v>
      </c>
      <c r="S1529" s="26">
        <f t="shared" si="466"/>
        <v>0.46126184133734144</v>
      </c>
      <c r="T1529" s="27">
        <f t="shared" si="467"/>
        <v>0.49085302479146148</v>
      </c>
      <c r="U1529" s="26">
        <f t="shared" si="468"/>
        <v>27.254146833434845</v>
      </c>
      <c r="V1529" s="26">
        <f t="shared" si="469"/>
        <v>1.6191712236667331</v>
      </c>
      <c r="W1529" s="143"/>
      <c r="X1529" s="143"/>
      <c r="Y1529" s="143"/>
      <c r="Z1529" s="30">
        <f t="shared" si="560"/>
        <v>0</v>
      </c>
      <c r="AA1529" s="31">
        <f t="shared" si="548"/>
        <v>29</v>
      </c>
      <c r="AB1529" s="32">
        <v>3.2500000000000001E-2</v>
      </c>
      <c r="AC1529" s="32">
        <v>5.0500000000000003E-2</v>
      </c>
      <c r="AD1529" s="33">
        <f t="shared" si="499"/>
        <v>-0.23442859232271698</v>
      </c>
      <c r="AE1529" s="34">
        <f t="shared" si="500"/>
        <v>-9.3471149818527041E-2</v>
      </c>
      <c r="AF1529" s="33">
        <f t="shared" si="501"/>
        <v>0.71548071880167041</v>
      </c>
      <c r="AG1529" s="33">
        <f t="shared" si="502"/>
        <v>0</v>
      </c>
      <c r="AH1529" s="35">
        <f t="shared" si="503"/>
        <v>1.6492069228926411</v>
      </c>
      <c r="AI1529" s="36">
        <f t="shared" si="476"/>
        <v>3.5981193744049556</v>
      </c>
      <c r="AJ1529" s="23"/>
      <c r="AK1529" s="173">
        <v>700</v>
      </c>
      <c r="AL1529" s="44"/>
      <c r="AM1529" s="44"/>
      <c r="AN1529" s="44"/>
      <c r="AO1529" s="44"/>
      <c r="AP1529" s="44"/>
      <c r="AQ1529" s="44"/>
      <c r="AR1529" s="44"/>
    </row>
    <row r="1530" spans="1:44" ht="16.8">
      <c r="A1530" s="174" t="s">
        <v>3071</v>
      </c>
      <c r="B1530" s="145">
        <v>588</v>
      </c>
      <c r="C1530" s="145" t="s">
        <v>3072</v>
      </c>
      <c r="D1530" s="146" t="s">
        <v>3073</v>
      </c>
      <c r="E1530" s="147" t="s">
        <v>178</v>
      </c>
      <c r="F1530" s="148">
        <v>1999</v>
      </c>
      <c r="G1530" s="148">
        <v>2021</v>
      </c>
      <c r="H1530" s="149">
        <v>164583866247</v>
      </c>
      <c r="I1530" s="149">
        <v>209504337728</v>
      </c>
      <c r="J1530" s="149">
        <v>123863715206</v>
      </c>
      <c r="K1530" s="149">
        <f>(J1530+161139357780)/2</f>
        <v>142501536493</v>
      </c>
      <c r="L1530" s="149">
        <v>65277457596</v>
      </c>
      <c r="M1530" s="149">
        <f t="shared" si="551"/>
        <v>85640622522</v>
      </c>
      <c r="N1530" s="149">
        <v>82386731245</v>
      </c>
      <c r="O1530" s="149">
        <f t="shared" si="464"/>
        <v>99306408651</v>
      </c>
      <c r="P1530" s="149">
        <v>-908304958</v>
      </c>
      <c r="Q1530" s="149">
        <f>4220768068+11034754177</f>
        <v>15255522245</v>
      </c>
      <c r="R1530" s="149">
        <f t="shared" si="465"/>
        <v>67131209000</v>
      </c>
      <c r="S1530" s="150">
        <f t="shared" si="466"/>
        <v>0.59122267609949231</v>
      </c>
      <c r="T1530" s="151">
        <f t="shared" si="467"/>
        <v>2.5212971262698991</v>
      </c>
      <c r="U1530" s="150">
        <f t="shared" si="468"/>
        <v>26.06801028123984</v>
      </c>
      <c r="V1530" s="150">
        <f t="shared" si="469"/>
        <v>0.57814626615655496</v>
      </c>
      <c r="W1530" s="152"/>
      <c r="X1530" s="152"/>
      <c r="Y1530" s="152"/>
      <c r="Z1530" s="153">
        <f>W1530*Y1530</f>
        <v>0</v>
      </c>
      <c r="AA1530" s="148">
        <f t="shared" si="548"/>
        <v>22</v>
      </c>
      <c r="AB1530" s="149"/>
      <c r="AC1530" s="149"/>
      <c r="AD1530" s="150">
        <f t="shared" si="499"/>
        <v>0.47400645603782082</v>
      </c>
      <c r="AE1530" s="154">
        <f t="shared" si="500"/>
        <v>-4.3354947580095194E-3</v>
      </c>
      <c r="AF1530" s="150">
        <f t="shared" si="501"/>
        <v>0.32042873063161403</v>
      </c>
      <c r="AG1530" s="150">
        <f t="shared" si="502"/>
        <v>0</v>
      </c>
      <c r="AH1530" s="155">
        <f t="shared" si="503"/>
        <v>0.66514015914976499</v>
      </c>
      <c r="AI1530" s="156">
        <f t="shared" si="476"/>
        <v>2.2852930248182628</v>
      </c>
      <c r="AJ1530" s="149"/>
      <c r="AK1530" s="149"/>
      <c r="AL1530" s="157"/>
      <c r="AM1530" s="157"/>
      <c r="AN1530" s="157"/>
      <c r="AO1530" s="157"/>
      <c r="AP1530" s="157"/>
      <c r="AQ1530" s="157"/>
      <c r="AR1530" s="157"/>
    </row>
    <row r="1531" spans="1:44" ht="16.8">
      <c r="A1531" s="174" t="s">
        <v>3074</v>
      </c>
      <c r="B1531" s="145"/>
      <c r="C1531" s="145"/>
      <c r="D1531" s="146"/>
      <c r="E1531" s="147" t="s">
        <v>178</v>
      </c>
      <c r="F1531" s="148">
        <v>1999</v>
      </c>
      <c r="G1531" s="148">
        <v>2022</v>
      </c>
      <c r="H1531" s="149">
        <v>155298645496</v>
      </c>
      <c r="I1531" s="149">
        <v>197490926789</v>
      </c>
      <c r="J1531" s="149">
        <v>112758836611</v>
      </c>
      <c r="K1531" s="149">
        <f t="shared" ref="K1531:K1532" si="571">AVERAGE(J1530:J1531)</f>
        <v>118311275908.5</v>
      </c>
      <c r="L1531" s="149">
        <v>54351817857</v>
      </c>
      <c r="M1531" s="149">
        <f t="shared" si="551"/>
        <v>84732090178</v>
      </c>
      <c r="N1531" s="149">
        <v>61209687949</v>
      </c>
      <c r="O1531" s="149">
        <f t="shared" si="464"/>
        <v>100946827639</v>
      </c>
      <c r="P1531" s="149">
        <v>-908532344</v>
      </c>
      <c r="Q1531" s="149">
        <f>3154938687+8452654831</f>
        <v>11607593518</v>
      </c>
      <c r="R1531" s="149">
        <f t="shared" si="465"/>
        <v>49602094431</v>
      </c>
      <c r="S1531" s="150">
        <f t="shared" si="466"/>
        <v>0.57095704822668603</v>
      </c>
      <c r="T1531" s="151">
        <f t="shared" si="467"/>
        <v>2.8572852136168065</v>
      </c>
      <c r="U1531" s="150">
        <f t="shared" si="468"/>
        <v>26.008958479923439</v>
      </c>
      <c r="V1531" s="150">
        <f t="shared" si="469"/>
        <v>0.51736140514906259</v>
      </c>
      <c r="W1531" s="152"/>
      <c r="X1531" s="152"/>
      <c r="Y1531" s="152"/>
      <c r="Z1531" s="153"/>
      <c r="AA1531" s="148">
        <f t="shared" si="548"/>
        <v>23</v>
      </c>
      <c r="AB1531" s="149"/>
      <c r="AC1531" s="149"/>
      <c r="AD1531" s="150">
        <f t="shared" si="499"/>
        <v>0.511146660154428</v>
      </c>
      <c r="AE1531" s="154">
        <f t="shared" si="500"/>
        <v>-4.6003751097420248E-3</v>
      </c>
      <c r="AF1531" s="150">
        <f t="shared" si="501"/>
        <v>0.25116138365179203</v>
      </c>
      <c r="AG1531" s="150">
        <f t="shared" si="502"/>
        <v>0</v>
      </c>
      <c r="AH1531" s="155">
        <f t="shared" si="503"/>
        <v>0.54283717169026546</v>
      </c>
      <c r="AI1531" s="156">
        <f t="shared" si="476"/>
        <v>1.9786052047728537</v>
      </c>
      <c r="AJ1531" s="149"/>
      <c r="AK1531" s="149"/>
      <c r="AL1531" s="157"/>
      <c r="AM1531" s="157"/>
      <c r="AN1531" s="157"/>
      <c r="AO1531" s="157"/>
      <c r="AP1531" s="157"/>
      <c r="AQ1531" s="157"/>
      <c r="AR1531" s="157"/>
    </row>
    <row r="1532" spans="1:44" ht="16.8">
      <c r="A1532" s="174" t="s">
        <v>3075</v>
      </c>
      <c r="B1532" s="145"/>
      <c r="C1532" s="145"/>
      <c r="D1532" s="146"/>
      <c r="E1532" s="147" t="s">
        <v>178</v>
      </c>
      <c r="F1532" s="148">
        <v>1999</v>
      </c>
      <c r="G1532" s="148">
        <v>2023</v>
      </c>
      <c r="H1532" s="149">
        <v>154833972622</v>
      </c>
      <c r="I1532" s="149">
        <v>194315419830</v>
      </c>
      <c r="J1532" s="149">
        <v>109308399100</v>
      </c>
      <c r="K1532" s="149">
        <f t="shared" si="571"/>
        <v>111033617855.5</v>
      </c>
      <c r="L1532" s="149">
        <v>51224964635</v>
      </c>
      <c r="M1532" s="149">
        <f t="shared" si="551"/>
        <v>85007020730</v>
      </c>
      <c r="N1532" s="149">
        <v>51021525123</v>
      </c>
      <c r="O1532" s="149">
        <f t="shared" ref="O1532:O1786" si="572">H1532-L1532</f>
        <v>103609007987</v>
      </c>
      <c r="P1532" s="149">
        <v>274930552</v>
      </c>
      <c r="Q1532" s="149">
        <f>2074350319+8056743475</f>
        <v>10131093794</v>
      </c>
      <c r="R1532" s="149">
        <f t="shared" ref="R1532:R1786" si="573">N1532-Q1532</f>
        <v>40890431329</v>
      </c>
      <c r="S1532" s="150">
        <f t="shared" ref="S1532:S1786" si="574">J1532/I1532</f>
        <v>0.56253075126837704</v>
      </c>
      <c r="T1532" s="151">
        <f t="shared" ref="T1532:T1786" si="575">H1532/L1532</f>
        <v>3.02262722337163</v>
      </c>
      <c r="U1532" s="150">
        <f t="shared" ref="U1532:U1786" si="576">LN(I1532)</f>
        <v>25.99274855111759</v>
      </c>
      <c r="V1532" s="150">
        <f t="shared" ref="V1532:V1786" si="577">N1532/K1532</f>
        <v>0.45951420937575682</v>
      </c>
      <c r="W1532" s="152"/>
      <c r="X1532" s="152"/>
      <c r="Y1532" s="152"/>
      <c r="Z1532" s="153"/>
      <c r="AA1532" s="148">
        <f t="shared" si="548"/>
        <v>24</v>
      </c>
      <c r="AB1532" s="149"/>
      <c r="AC1532" s="149"/>
      <c r="AD1532" s="150">
        <f t="shared" si="499"/>
        <v>0.53320013449083981</v>
      </c>
      <c r="AE1532" s="154">
        <f t="shared" si="500"/>
        <v>1.4148673957039924E-3</v>
      </c>
      <c r="AF1532" s="150">
        <f t="shared" si="501"/>
        <v>0.21043328092425015</v>
      </c>
      <c r="AG1532" s="150">
        <f t="shared" si="502"/>
        <v>0</v>
      </c>
      <c r="AH1532" s="155">
        <f t="shared" si="503"/>
        <v>0.46676674018730552</v>
      </c>
      <c r="AI1532" s="156">
        <f t="shared" si="476"/>
        <v>1.8030175429803244</v>
      </c>
      <c r="AJ1532" s="149"/>
      <c r="AK1532" s="149"/>
      <c r="AL1532" s="157"/>
      <c r="AM1532" s="157"/>
      <c r="AN1532" s="157"/>
      <c r="AO1532" s="157"/>
      <c r="AP1532" s="157"/>
      <c r="AQ1532" s="157"/>
      <c r="AR1532" s="157"/>
    </row>
    <row r="1533" spans="1:44" ht="16.8">
      <c r="A1533" s="78" t="s">
        <v>3076</v>
      </c>
      <c r="B1533" s="79">
        <v>589</v>
      </c>
      <c r="C1533" s="79" t="s">
        <v>3077</v>
      </c>
      <c r="D1533" s="19" t="s">
        <v>3078</v>
      </c>
      <c r="E1533" s="20" t="s">
        <v>414</v>
      </c>
      <c r="F1533" s="21">
        <v>2003</v>
      </c>
      <c r="G1533" s="40">
        <v>2021</v>
      </c>
      <c r="H1533" s="23">
        <v>5515277880604</v>
      </c>
      <c r="I1533" s="23">
        <v>7553858512578</v>
      </c>
      <c r="J1533" s="23">
        <v>4411250204274</v>
      </c>
      <c r="K1533" s="23">
        <f>(J1533+4714951818602)/2</f>
        <v>4563101011438</v>
      </c>
      <c r="L1533" s="23">
        <v>4115887461961</v>
      </c>
      <c r="M1533" s="23">
        <f t="shared" si="551"/>
        <v>3142608308304</v>
      </c>
      <c r="N1533" s="23">
        <v>5722220126875</v>
      </c>
      <c r="O1533" s="25">
        <f t="shared" si="572"/>
        <v>1399390418643</v>
      </c>
      <c r="P1533" s="23">
        <v>143297848497</v>
      </c>
      <c r="Q1533" s="23">
        <f>172120430245+37983524232</f>
        <v>210103954477</v>
      </c>
      <c r="R1533" s="25">
        <f t="shared" si="573"/>
        <v>5512116172398</v>
      </c>
      <c r="S1533" s="26">
        <f t="shared" si="574"/>
        <v>0.58397310419950099</v>
      </c>
      <c r="T1533" s="27">
        <f t="shared" si="575"/>
        <v>1.3399972500648172</v>
      </c>
      <c r="U1533" s="26">
        <f t="shared" si="576"/>
        <v>29.653079609910758</v>
      </c>
      <c r="V1533" s="26">
        <f t="shared" si="577"/>
        <v>1.254020043065345</v>
      </c>
      <c r="W1533" s="143"/>
      <c r="X1533" s="143"/>
      <c r="Y1533" s="143"/>
      <c r="Z1533" s="30">
        <f t="shared" ref="Z1533:Z1551" si="578">X1533*Y1533</f>
        <v>0</v>
      </c>
      <c r="AA1533" s="31">
        <f t="shared" si="548"/>
        <v>18</v>
      </c>
      <c r="AB1533" s="32">
        <v>1.84E-2</v>
      </c>
      <c r="AC1533" s="32">
        <v>2.58E-2</v>
      </c>
      <c r="AD1533" s="33">
        <f t="shared" si="499"/>
        <v>0.18525504764391099</v>
      </c>
      <c r="AE1533" s="34">
        <f t="shared" si="500"/>
        <v>1.8970152572806789E-2</v>
      </c>
      <c r="AF1533" s="33">
        <f t="shared" si="501"/>
        <v>0.72970868639116337</v>
      </c>
      <c r="AG1533" s="33">
        <f t="shared" si="502"/>
        <v>0</v>
      </c>
      <c r="AH1533" s="35">
        <f t="shared" si="503"/>
        <v>1.2971878406105415</v>
      </c>
      <c r="AI1533" s="36">
        <f t="shared" si="476"/>
        <v>3.9540907764760034</v>
      </c>
      <c r="AJ1533" s="23"/>
      <c r="AK1533" s="173">
        <v>701</v>
      </c>
      <c r="AL1533" s="44"/>
      <c r="AM1533" s="44"/>
      <c r="AN1533" s="44"/>
      <c r="AO1533" s="44"/>
      <c r="AP1533" s="44"/>
      <c r="AQ1533" s="44"/>
      <c r="AR1533" s="44"/>
    </row>
    <row r="1534" spans="1:44" ht="16.8">
      <c r="A1534" s="78" t="s">
        <v>3079</v>
      </c>
      <c r="B1534" s="79"/>
      <c r="C1534" s="79" t="s">
        <v>3077</v>
      </c>
      <c r="D1534" s="19" t="s">
        <v>3078</v>
      </c>
      <c r="E1534" s="20" t="s">
        <v>414</v>
      </c>
      <c r="F1534" s="21">
        <v>2003</v>
      </c>
      <c r="G1534" s="40">
        <v>2022</v>
      </c>
      <c r="H1534" s="23">
        <v>5449762497936</v>
      </c>
      <c r="I1534" s="23">
        <v>8084108337857</v>
      </c>
      <c r="J1534" s="23">
        <v>4717688380686</v>
      </c>
      <c r="K1534" s="23">
        <f t="shared" ref="K1534:K1535" si="579">AVERAGE(J1533:J1534)</f>
        <v>4564469292480</v>
      </c>
      <c r="L1534" s="23">
        <v>4524450645218</v>
      </c>
      <c r="M1534" s="23">
        <f t="shared" si="551"/>
        <v>3366419957171</v>
      </c>
      <c r="N1534" s="23">
        <v>7936928513112</v>
      </c>
      <c r="O1534" s="25">
        <f t="shared" si="572"/>
        <v>925311852718</v>
      </c>
      <c r="P1534" s="23">
        <v>563146438609</v>
      </c>
      <c r="Q1534" s="23">
        <f>307901991808+60985184872</f>
        <v>368887176680</v>
      </c>
      <c r="R1534" s="25">
        <f t="shared" si="573"/>
        <v>7568041336432</v>
      </c>
      <c r="S1534" s="26">
        <f t="shared" si="574"/>
        <v>0.58357560086046578</v>
      </c>
      <c r="T1534" s="27">
        <f t="shared" si="575"/>
        <v>1.2045136360799922</v>
      </c>
      <c r="U1534" s="26">
        <f t="shared" si="576"/>
        <v>29.720921316896327</v>
      </c>
      <c r="V1534" s="26">
        <f t="shared" si="577"/>
        <v>1.7388502374609363</v>
      </c>
      <c r="W1534" s="143"/>
      <c r="X1534" s="143"/>
      <c r="Y1534" s="143"/>
      <c r="Z1534" s="30">
        <f t="shared" si="578"/>
        <v>0</v>
      </c>
      <c r="AA1534" s="31">
        <f t="shared" si="548"/>
        <v>19</v>
      </c>
      <c r="AB1534" s="32">
        <v>3.15E-2</v>
      </c>
      <c r="AC1534" s="32">
        <v>8.0199999999999994E-2</v>
      </c>
      <c r="AD1534" s="33">
        <f t="shared" si="499"/>
        <v>0.11446059528728299</v>
      </c>
      <c r="AE1534" s="34">
        <f t="shared" si="500"/>
        <v>6.966092178303035E-2</v>
      </c>
      <c r="AF1534" s="33">
        <f t="shared" si="501"/>
        <v>0.93616278012897047</v>
      </c>
      <c r="AG1534" s="33">
        <f t="shared" si="502"/>
        <v>0</v>
      </c>
      <c r="AH1534" s="35">
        <f t="shared" si="503"/>
        <v>1.6823765947758273</v>
      </c>
      <c r="AI1534" s="36">
        <f t="shared" si="476"/>
        <v>5.0065917740424117</v>
      </c>
      <c r="AJ1534" s="23"/>
      <c r="AK1534" s="173">
        <v>702</v>
      </c>
      <c r="AL1534" s="44"/>
      <c r="AM1534" s="44"/>
      <c r="AN1534" s="44"/>
      <c r="AO1534" s="44"/>
      <c r="AP1534" s="44"/>
      <c r="AQ1534" s="44"/>
      <c r="AR1534" s="44"/>
    </row>
    <row r="1535" spans="1:44" ht="16.8">
      <c r="A1535" s="78" t="s">
        <v>3080</v>
      </c>
      <c r="B1535" s="79"/>
      <c r="C1535" s="79" t="s">
        <v>3077</v>
      </c>
      <c r="D1535" s="19" t="s">
        <v>3078</v>
      </c>
      <c r="E1535" s="20" t="s">
        <v>414</v>
      </c>
      <c r="F1535" s="21">
        <v>2003</v>
      </c>
      <c r="G1535" s="40">
        <v>2023</v>
      </c>
      <c r="H1535" s="23">
        <v>5537285855129</v>
      </c>
      <c r="I1535" s="23">
        <v>8277448262143</v>
      </c>
      <c r="J1535" s="23">
        <v>4855891649068</v>
      </c>
      <c r="K1535" s="23">
        <f t="shared" si="579"/>
        <v>4786790014877</v>
      </c>
      <c r="L1535" s="23">
        <v>4530157213272</v>
      </c>
      <c r="M1535" s="23">
        <f t="shared" si="551"/>
        <v>3421556613075</v>
      </c>
      <c r="N1535" s="23">
        <v>7224145254447</v>
      </c>
      <c r="O1535" s="25">
        <f t="shared" si="572"/>
        <v>1007128641857</v>
      </c>
      <c r="P1535" s="23">
        <v>73354175265</v>
      </c>
      <c r="Q1535" s="23">
        <f>131904565161+89803602061</f>
        <v>221708167222</v>
      </c>
      <c r="R1535" s="25">
        <f t="shared" si="573"/>
        <v>7002437087225</v>
      </c>
      <c r="S1535" s="26">
        <f t="shared" si="574"/>
        <v>0.58664113568386445</v>
      </c>
      <c r="T1535" s="27">
        <f t="shared" si="575"/>
        <v>1.2223164880252755</v>
      </c>
      <c r="U1535" s="26">
        <f t="shared" si="576"/>
        <v>29.744555855927619</v>
      </c>
      <c r="V1535" s="26">
        <f t="shared" si="577"/>
        <v>1.5091836558518077</v>
      </c>
      <c r="W1535" s="143"/>
      <c r="X1535" s="143"/>
      <c r="Y1535" s="143"/>
      <c r="Z1535" s="30">
        <f t="shared" si="578"/>
        <v>0</v>
      </c>
      <c r="AA1535" s="31">
        <f t="shared" si="548"/>
        <v>20</v>
      </c>
      <c r="AB1535" s="32">
        <v>3.2500000000000001E-2</v>
      </c>
      <c r="AC1535" s="32">
        <v>5.0500000000000003E-2</v>
      </c>
      <c r="AD1535" s="33">
        <f t="shared" si="499"/>
        <v>0.12167139074285899</v>
      </c>
      <c r="AE1535" s="34">
        <f t="shared" si="500"/>
        <v>8.8619309891051958E-3</v>
      </c>
      <c r="AF1535" s="33">
        <f t="shared" si="501"/>
        <v>0.8459656726881305</v>
      </c>
      <c r="AG1535" s="33">
        <f t="shared" si="502"/>
        <v>0</v>
      </c>
      <c r="AH1535" s="35">
        <f t="shared" si="503"/>
        <v>1.4877072588375284</v>
      </c>
      <c r="AI1535" s="36">
        <f t="shared" si="476"/>
        <v>4.4378063509845367</v>
      </c>
      <c r="AJ1535" s="23"/>
      <c r="AK1535" s="173">
        <v>703</v>
      </c>
      <c r="AL1535" s="44"/>
      <c r="AM1535" s="44"/>
      <c r="AN1535" s="44"/>
      <c r="AO1535" s="44"/>
      <c r="AP1535" s="44"/>
      <c r="AQ1535" s="44"/>
      <c r="AR1535" s="44"/>
    </row>
    <row r="1536" spans="1:44" ht="16.8">
      <c r="A1536" s="78" t="s">
        <v>3081</v>
      </c>
      <c r="B1536" s="79">
        <v>590</v>
      </c>
      <c r="C1536" s="79" t="s">
        <v>3082</v>
      </c>
      <c r="D1536" s="19" t="s">
        <v>3083</v>
      </c>
      <c r="E1536" s="20" t="s">
        <v>414</v>
      </c>
      <c r="F1536" s="21">
        <v>2007</v>
      </c>
      <c r="G1536" s="40">
        <v>2021</v>
      </c>
      <c r="H1536" s="23">
        <v>4808121360239</v>
      </c>
      <c r="I1536" s="23">
        <v>6808654305266</v>
      </c>
      <c r="J1536" s="23">
        <v>3464857797559</v>
      </c>
      <c r="K1536" s="23">
        <f>(J1536+4571521960302)/2</f>
        <v>4018189878930.5</v>
      </c>
      <c r="L1536" s="23">
        <v>1939958357223</v>
      </c>
      <c r="M1536" s="23">
        <f t="shared" si="551"/>
        <v>3343796507707</v>
      </c>
      <c r="N1536" s="23">
        <v>2613093524163</v>
      </c>
      <c r="O1536" s="25">
        <f t="shared" si="572"/>
        <v>2868163003016</v>
      </c>
      <c r="P1536" s="23">
        <v>621100240974</v>
      </c>
      <c r="Q1536" s="23">
        <f>43961958211+68560849388</f>
        <v>112522807599</v>
      </c>
      <c r="R1536" s="25">
        <f t="shared" si="573"/>
        <v>2500570716564</v>
      </c>
      <c r="S1536" s="26">
        <f t="shared" si="574"/>
        <v>0.50889025087955841</v>
      </c>
      <c r="T1536" s="27">
        <f t="shared" si="575"/>
        <v>2.4784662734316116</v>
      </c>
      <c r="U1536" s="26">
        <f t="shared" si="576"/>
        <v>29.549215610875581</v>
      </c>
      <c r="V1536" s="26">
        <f t="shared" si="577"/>
        <v>0.65031608831250975</v>
      </c>
      <c r="W1536" s="143"/>
      <c r="X1536" s="143"/>
      <c r="Y1536" s="143"/>
      <c r="Z1536" s="30">
        <f t="shared" si="578"/>
        <v>0</v>
      </c>
      <c r="AA1536" s="31">
        <f t="shared" si="548"/>
        <v>14</v>
      </c>
      <c r="AB1536" s="32">
        <v>1.84E-2</v>
      </c>
      <c r="AC1536" s="32">
        <v>2.58E-2</v>
      </c>
      <c r="AD1536" s="33">
        <f t="shared" si="499"/>
        <v>0.42125255218166741</v>
      </c>
      <c r="AE1536" s="34">
        <f t="shared" si="500"/>
        <v>9.1222173006143673E-2</v>
      </c>
      <c r="AF1536" s="33">
        <f t="shared" si="501"/>
        <v>0.36726357433509144</v>
      </c>
      <c r="AG1536" s="33">
        <f t="shared" si="502"/>
        <v>0</v>
      </c>
      <c r="AH1536" s="35">
        <f t="shared" si="503"/>
        <v>0.75417049611788689</v>
      </c>
      <c r="AI1536" s="36">
        <f t="shared" si="476"/>
        <v>2.5993543962502907</v>
      </c>
      <c r="AJ1536" s="23"/>
      <c r="AK1536" s="173">
        <v>704</v>
      </c>
      <c r="AL1536" s="44"/>
      <c r="AM1536" s="44"/>
      <c r="AN1536" s="44"/>
      <c r="AO1536" s="44"/>
      <c r="AP1536" s="44"/>
      <c r="AQ1536" s="44"/>
      <c r="AR1536" s="44"/>
    </row>
    <row r="1537" spans="1:44" ht="16.8">
      <c r="A1537" s="78" t="s">
        <v>3084</v>
      </c>
      <c r="B1537" s="79"/>
      <c r="C1537" s="79" t="s">
        <v>3082</v>
      </c>
      <c r="D1537" s="19" t="s">
        <v>3083</v>
      </c>
      <c r="E1537" s="20" t="s">
        <v>414</v>
      </c>
      <c r="F1537" s="21">
        <v>2007</v>
      </c>
      <c r="G1537" s="40">
        <v>2022</v>
      </c>
      <c r="H1537" s="23">
        <v>4408199227685</v>
      </c>
      <c r="I1537" s="23">
        <v>6523412492143</v>
      </c>
      <c r="J1537" s="23">
        <v>2707173135253</v>
      </c>
      <c r="K1537" s="23">
        <f t="shared" ref="K1537:K1538" si="580">AVERAGE(J1536:J1537)</f>
        <v>3086015466406</v>
      </c>
      <c r="L1537" s="23">
        <v>2011065784286</v>
      </c>
      <c r="M1537" s="23">
        <f t="shared" si="551"/>
        <v>3816239356890</v>
      </c>
      <c r="N1537" s="23">
        <v>1978362545932</v>
      </c>
      <c r="O1537" s="25">
        <f t="shared" si="572"/>
        <v>2397133443399</v>
      </c>
      <c r="P1537" s="23">
        <v>511049064027</v>
      </c>
      <c r="Q1537" s="23">
        <f>63511703060+63511703060</f>
        <v>127023406120</v>
      </c>
      <c r="R1537" s="25">
        <f t="shared" si="573"/>
        <v>1851339139812</v>
      </c>
      <c r="S1537" s="26">
        <f t="shared" si="574"/>
        <v>0.41499340084865138</v>
      </c>
      <c r="T1537" s="27">
        <f t="shared" si="575"/>
        <v>2.1919716710063106</v>
      </c>
      <c r="U1537" s="26">
        <f t="shared" si="576"/>
        <v>29.506418743312683</v>
      </c>
      <c r="V1537" s="26">
        <f t="shared" si="577"/>
        <v>0.64107343837651531</v>
      </c>
      <c r="W1537" s="143"/>
      <c r="X1537" s="143"/>
      <c r="Y1537" s="143"/>
      <c r="Z1537" s="30">
        <f t="shared" si="578"/>
        <v>0</v>
      </c>
      <c r="AA1537" s="31">
        <f t="shared" si="548"/>
        <v>15</v>
      </c>
      <c r="AB1537" s="32">
        <v>3.15E-2</v>
      </c>
      <c r="AC1537" s="32">
        <v>8.0199999999999994E-2</v>
      </c>
      <c r="AD1537" s="33">
        <f t="shared" si="499"/>
        <v>0.36746617606753856</v>
      </c>
      <c r="AE1537" s="34">
        <f t="shared" si="500"/>
        <v>7.8340755646300664E-2</v>
      </c>
      <c r="AF1537" s="33">
        <f t="shared" si="501"/>
        <v>0.28379918363920881</v>
      </c>
      <c r="AG1537" s="33">
        <f t="shared" si="502"/>
        <v>0</v>
      </c>
      <c r="AH1537" s="35">
        <f t="shared" si="503"/>
        <v>0.73078537909881824</v>
      </c>
      <c r="AI1537" s="36">
        <f t="shared" si="476"/>
        <v>2.2179591542940744</v>
      </c>
      <c r="AJ1537" s="23"/>
      <c r="AK1537" s="173">
        <v>705</v>
      </c>
      <c r="AL1537" s="44"/>
      <c r="AM1537" s="44"/>
      <c r="AN1537" s="44"/>
      <c r="AO1537" s="44"/>
      <c r="AP1537" s="44"/>
      <c r="AQ1537" s="44"/>
      <c r="AR1537" s="44"/>
    </row>
    <row r="1538" spans="1:44" ht="16.8">
      <c r="A1538" s="78" t="s">
        <v>3085</v>
      </c>
      <c r="B1538" s="79"/>
      <c r="C1538" s="79" t="s">
        <v>3082</v>
      </c>
      <c r="D1538" s="19" t="s">
        <v>3083</v>
      </c>
      <c r="E1538" s="20" t="s">
        <v>414</v>
      </c>
      <c r="F1538" s="21">
        <v>2007</v>
      </c>
      <c r="G1538" s="40">
        <v>2023</v>
      </c>
      <c r="H1538" s="23">
        <v>3742769257029</v>
      </c>
      <c r="I1538" s="23">
        <v>6403754434823</v>
      </c>
      <c r="J1538" s="23">
        <v>2580167597651</v>
      </c>
      <c r="K1538" s="23">
        <f t="shared" si="580"/>
        <v>2643670366452</v>
      </c>
      <c r="L1538" s="23">
        <v>2317793109768</v>
      </c>
      <c r="M1538" s="23">
        <f t="shared" si="551"/>
        <v>3823586837172</v>
      </c>
      <c r="N1538" s="23">
        <v>1515697523598</v>
      </c>
      <c r="O1538" s="25">
        <f t="shared" si="572"/>
        <v>1424976147261</v>
      </c>
      <c r="P1538" s="23">
        <v>394852892967</v>
      </c>
      <c r="Q1538" s="23">
        <f>37268971708+63545736704</f>
        <v>100814708412</v>
      </c>
      <c r="R1538" s="25">
        <f t="shared" si="573"/>
        <v>1414882815186</v>
      </c>
      <c r="S1538" s="26">
        <f t="shared" si="574"/>
        <v>0.40291482503143733</v>
      </c>
      <c r="T1538" s="27">
        <f t="shared" si="575"/>
        <v>1.6147986812350277</v>
      </c>
      <c r="U1538" s="26">
        <f t="shared" si="576"/>
        <v>29.487905564734895</v>
      </c>
      <c r="V1538" s="26">
        <f t="shared" si="577"/>
        <v>0.57333075364920683</v>
      </c>
      <c r="W1538" s="143"/>
      <c r="X1538" s="143"/>
      <c r="Y1538" s="143"/>
      <c r="Z1538" s="30">
        <f t="shared" si="578"/>
        <v>0</v>
      </c>
      <c r="AA1538" s="31">
        <f t="shared" si="548"/>
        <v>16</v>
      </c>
      <c r="AB1538" s="32">
        <v>3.2500000000000001E-2</v>
      </c>
      <c r="AC1538" s="32">
        <v>5.0500000000000003E-2</v>
      </c>
      <c r="AD1538" s="33">
        <f t="shared" si="499"/>
        <v>0.22252198483941185</v>
      </c>
      <c r="AE1538" s="34">
        <f t="shared" si="500"/>
        <v>6.1659593131777192E-2</v>
      </c>
      <c r="AF1538" s="33">
        <f t="shared" si="501"/>
        <v>0.2209458263252575</v>
      </c>
      <c r="AG1538" s="33">
        <f t="shared" si="502"/>
        <v>0</v>
      </c>
      <c r="AH1538" s="35">
        <f t="shared" si="503"/>
        <v>0.58744149991570316</v>
      </c>
      <c r="AI1538" s="36">
        <f t="shared" si="476"/>
        <v>1.6699125389808351</v>
      </c>
      <c r="AJ1538" s="23"/>
      <c r="AK1538" s="173">
        <v>706</v>
      </c>
      <c r="AL1538" s="44"/>
      <c r="AM1538" s="44"/>
      <c r="AN1538" s="44"/>
      <c r="AO1538" s="44"/>
      <c r="AP1538" s="44"/>
      <c r="AQ1538" s="44"/>
      <c r="AR1538" s="44"/>
    </row>
    <row r="1539" spans="1:44" ht="16.8">
      <c r="A1539" s="78" t="s">
        <v>3086</v>
      </c>
      <c r="B1539" s="79">
        <v>591</v>
      </c>
      <c r="C1539" s="79" t="s">
        <v>3087</v>
      </c>
      <c r="D1539" s="19" t="s">
        <v>3088</v>
      </c>
      <c r="E1539" s="20" t="s">
        <v>414</v>
      </c>
      <c r="F1539" s="21">
        <v>1983</v>
      </c>
      <c r="G1539" s="40">
        <v>2021</v>
      </c>
      <c r="H1539" s="23">
        <v>1176339787490</v>
      </c>
      <c r="I1539" s="23">
        <v>2294700255306</v>
      </c>
      <c r="J1539" s="23">
        <v>500290192302</v>
      </c>
      <c r="K1539" s="23">
        <f>(J1539+365969098434)/2</f>
        <v>433129645368</v>
      </c>
      <c r="L1539" s="23">
        <v>500290192302</v>
      </c>
      <c r="M1539" s="23">
        <f t="shared" si="551"/>
        <v>1794410063004</v>
      </c>
      <c r="N1539" s="23">
        <v>1301313458150</v>
      </c>
      <c r="O1539" s="25">
        <f t="shared" si="572"/>
        <v>676049595188</v>
      </c>
      <c r="P1539" s="23">
        <v>189094874863</v>
      </c>
      <c r="Q1539" s="23">
        <f>181292527233+72636907782</f>
        <v>253929435015</v>
      </c>
      <c r="R1539" s="25">
        <f t="shared" si="573"/>
        <v>1047384023135</v>
      </c>
      <c r="S1539" s="26">
        <f t="shared" si="574"/>
        <v>0.21801984426732279</v>
      </c>
      <c r="T1539" s="27">
        <f t="shared" si="575"/>
        <v>2.3513149080082365</v>
      </c>
      <c r="U1539" s="26">
        <f t="shared" si="576"/>
        <v>28.461623343201325</v>
      </c>
      <c r="V1539" s="26">
        <f t="shared" si="577"/>
        <v>3.0044432932877752</v>
      </c>
      <c r="W1539" s="143"/>
      <c r="X1539" s="143"/>
      <c r="Y1539" s="143"/>
      <c r="Z1539" s="30">
        <f t="shared" si="578"/>
        <v>0</v>
      </c>
      <c r="AA1539" s="31">
        <f t="shared" si="548"/>
        <v>38</v>
      </c>
      <c r="AB1539" s="32">
        <v>1.84E-2</v>
      </c>
      <c r="AC1539" s="32">
        <v>2.58E-2</v>
      </c>
      <c r="AD1539" s="33">
        <f t="shared" si="499"/>
        <v>0.29461346580006731</v>
      </c>
      <c r="AE1539" s="34">
        <f t="shared" si="500"/>
        <v>8.2405043720093218E-2</v>
      </c>
      <c r="AF1539" s="33">
        <f t="shared" si="501"/>
        <v>0.45643609474185137</v>
      </c>
      <c r="AG1539" s="33">
        <f t="shared" si="502"/>
        <v>0</v>
      </c>
      <c r="AH1539" s="35">
        <f t="shared" si="503"/>
        <v>2.6011172678845211</v>
      </c>
      <c r="AI1539" s="36">
        <f t="shared" si="476"/>
        <v>4.5762596007008423</v>
      </c>
      <c r="AJ1539" s="23"/>
      <c r="AK1539" s="173">
        <v>707</v>
      </c>
      <c r="AL1539" s="44"/>
      <c r="AM1539" s="44"/>
      <c r="AN1539" s="44"/>
      <c r="AO1539" s="44"/>
      <c r="AP1539" s="44"/>
      <c r="AQ1539" s="44"/>
      <c r="AR1539" s="44"/>
    </row>
    <row r="1540" spans="1:44" ht="16.8">
      <c r="A1540" s="78" t="s">
        <v>3089</v>
      </c>
      <c r="B1540" s="79"/>
      <c r="C1540" s="79" t="s">
        <v>3087</v>
      </c>
      <c r="D1540" s="19" t="s">
        <v>3088</v>
      </c>
      <c r="E1540" s="20" t="s">
        <v>414</v>
      </c>
      <c r="F1540" s="21">
        <v>1983</v>
      </c>
      <c r="G1540" s="40">
        <v>2022</v>
      </c>
      <c r="H1540" s="23">
        <v>1103552901572</v>
      </c>
      <c r="I1540" s="23">
        <v>2276943567575</v>
      </c>
      <c r="J1540" s="23">
        <v>382496674756</v>
      </c>
      <c r="K1540" s="23">
        <f t="shared" ref="K1540:K1541" si="581">AVERAGE(J1539:J1540)</f>
        <v>441393433529</v>
      </c>
      <c r="L1540" s="23">
        <v>382496674756</v>
      </c>
      <c r="M1540" s="23">
        <f t="shared" si="551"/>
        <v>1894446892819</v>
      </c>
      <c r="N1540" s="23">
        <v>1676311518466</v>
      </c>
      <c r="O1540" s="25">
        <f t="shared" si="572"/>
        <v>721056226816</v>
      </c>
      <c r="P1540" s="23">
        <v>223540317602</v>
      </c>
      <c r="Q1540" s="23">
        <f>269015147943+131840010666</f>
        <v>400855158609</v>
      </c>
      <c r="R1540" s="25">
        <f t="shared" si="573"/>
        <v>1275456359857</v>
      </c>
      <c r="S1540" s="26">
        <f t="shared" si="574"/>
        <v>0.16798689269377379</v>
      </c>
      <c r="T1540" s="27">
        <f t="shared" si="575"/>
        <v>2.8851307067596652</v>
      </c>
      <c r="U1540" s="26">
        <f t="shared" si="576"/>
        <v>28.453855119029338</v>
      </c>
      <c r="V1540" s="26">
        <f t="shared" si="577"/>
        <v>3.7977717635345489</v>
      </c>
      <c r="W1540" s="143"/>
      <c r="X1540" s="143"/>
      <c r="Y1540" s="143"/>
      <c r="Z1540" s="30">
        <f t="shared" si="578"/>
        <v>0</v>
      </c>
      <c r="AA1540" s="31">
        <f t="shared" si="548"/>
        <v>39</v>
      </c>
      <c r="AB1540" s="32">
        <v>3.15E-2</v>
      </c>
      <c r="AC1540" s="32">
        <v>8.0199999999999994E-2</v>
      </c>
      <c r="AD1540" s="33">
        <f t="shared" si="499"/>
        <v>0.31667724975017381</v>
      </c>
      <c r="AE1540" s="34">
        <f t="shared" si="500"/>
        <v>9.8175607329643158E-2</v>
      </c>
      <c r="AF1540" s="33">
        <f t="shared" si="501"/>
        <v>0.56016160348470645</v>
      </c>
      <c r="AG1540" s="33">
        <f t="shared" si="502"/>
        <v>0</v>
      </c>
      <c r="AH1540" s="35">
        <f t="shared" si="503"/>
        <v>4.3825518732557418</v>
      </c>
      <c r="AI1540" s="36">
        <f t="shared" si="476"/>
        <v>6.7485437147169822</v>
      </c>
      <c r="AJ1540" s="23"/>
      <c r="AK1540" s="173">
        <v>708</v>
      </c>
      <c r="AL1540" s="44"/>
      <c r="AM1540" s="44"/>
      <c r="AN1540" s="44"/>
      <c r="AO1540" s="44"/>
      <c r="AP1540" s="44"/>
      <c r="AQ1540" s="44"/>
      <c r="AR1540" s="44"/>
    </row>
    <row r="1541" spans="1:44" ht="16.8">
      <c r="A1541" s="78" t="s">
        <v>3090</v>
      </c>
      <c r="B1541" s="79"/>
      <c r="C1541" s="79" t="s">
        <v>3087</v>
      </c>
      <c r="D1541" s="19" t="s">
        <v>3088</v>
      </c>
      <c r="E1541" s="20" t="s">
        <v>414</v>
      </c>
      <c r="F1541" s="21">
        <v>1983</v>
      </c>
      <c r="G1541" s="40">
        <v>2023</v>
      </c>
      <c r="H1541" s="23">
        <v>1207134868323</v>
      </c>
      <c r="I1541" s="23">
        <v>2392615157119</v>
      </c>
      <c r="J1541" s="23">
        <v>308036213534</v>
      </c>
      <c r="K1541" s="23">
        <f t="shared" si="581"/>
        <v>345266444145</v>
      </c>
      <c r="L1541" s="23">
        <v>308036213534</v>
      </c>
      <c r="M1541" s="23">
        <f t="shared" si="551"/>
        <v>2084578943585</v>
      </c>
      <c r="N1541" s="23">
        <v>2113869795523</v>
      </c>
      <c r="O1541" s="25">
        <f t="shared" si="572"/>
        <v>899098654789</v>
      </c>
      <c r="P1541" s="23">
        <v>299556005542</v>
      </c>
      <c r="Q1541" s="23">
        <f>309885867749+119602910146</f>
        <v>429488777895</v>
      </c>
      <c r="R1541" s="25">
        <f t="shared" si="573"/>
        <v>1684381017628</v>
      </c>
      <c r="S1541" s="26">
        <f t="shared" si="574"/>
        <v>0.12874457165309991</v>
      </c>
      <c r="T1541" s="27">
        <f t="shared" si="575"/>
        <v>3.9188082935896773</v>
      </c>
      <c r="U1541" s="26">
        <f t="shared" si="576"/>
        <v>28.503408091662312</v>
      </c>
      <c r="V1541" s="26">
        <f t="shared" si="577"/>
        <v>6.1224304631099553</v>
      </c>
      <c r="W1541" s="143"/>
      <c r="X1541" s="143"/>
      <c r="Y1541" s="143"/>
      <c r="Z1541" s="30">
        <f t="shared" si="578"/>
        <v>0</v>
      </c>
      <c r="AA1541" s="31">
        <f t="shared" si="548"/>
        <v>40</v>
      </c>
      <c r="AB1541" s="32">
        <v>3.2500000000000001E-2</v>
      </c>
      <c r="AC1541" s="32">
        <v>5.0500000000000003E-2</v>
      </c>
      <c r="AD1541" s="33">
        <f t="shared" si="499"/>
        <v>0.3757807234957185</v>
      </c>
      <c r="AE1541" s="34">
        <f t="shared" si="500"/>
        <v>0.12520024570215543</v>
      </c>
      <c r="AF1541" s="33">
        <f t="shared" si="501"/>
        <v>0.70399161880099426</v>
      </c>
      <c r="AG1541" s="33">
        <f t="shared" si="502"/>
        <v>0</v>
      </c>
      <c r="AH1541" s="35">
        <f t="shared" si="503"/>
        <v>6.8624067646828095</v>
      </c>
      <c r="AI1541" s="36">
        <f t="shared" si="476"/>
        <v>9.8117963189039692</v>
      </c>
      <c r="AJ1541" s="23"/>
      <c r="AK1541" s="173">
        <v>709</v>
      </c>
      <c r="AL1541" s="44"/>
      <c r="AM1541" s="44"/>
      <c r="AN1541" s="44"/>
      <c r="AO1541" s="44"/>
      <c r="AP1541" s="44"/>
      <c r="AQ1541" s="44"/>
      <c r="AR1541" s="44"/>
    </row>
    <row r="1542" spans="1:44" ht="16.8">
      <c r="A1542" s="45"/>
      <c r="B1542" s="45">
        <v>592</v>
      </c>
      <c r="C1542" s="45" t="s">
        <v>3091</v>
      </c>
      <c r="D1542" s="46" t="s">
        <v>3092</v>
      </c>
      <c r="E1542" s="47"/>
      <c r="F1542" s="48"/>
      <c r="G1542" s="48">
        <v>2021</v>
      </c>
      <c r="H1542" s="49"/>
      <c r="I1542" s="49"/>
      <c r="J1542" s="49"/>
      <c r="K1542" s="49"/>
      <c r="L1542" s="49"/>
      <c r="M1542" s="49">
        <f t="shared" si="551"/>
        <v>0</v>
      </c>
      <c r="N1542" s="49"/>
      <c r="O1542" s="49">
        <f t="shared" si="572"/>
        <v>0</v>
      </c>
      <c r="P1542" s="49"/>
      <c r="Q1542" s="49"/>
      <c r="R1542" s="49">
        <f t="shared" si="573"/>
        <v>0</v>
      </c>
      <c r="S1542" s="50" t="e">
        <f t="shared" si="574"/>
        <v>#DIV/0!</v>
      </c>
      <c r="T1542" s="51" t="e">
        <f t="shared" si="575"/>
        <v>#DIV/0!</v>
      </c>
      <c r="U1542" s="50" t="e">
        <f t="shared" si="576"/>
        <v>#NUM!</v>
      </c>
      <c r="V1542" s="50" t="e">
        <f t="shared" si="577"/>
        <v>#DIV/0!</v>
      </c>
      <c r="W1542" s="52"/>
      <c r="X1542" s="52"/>
      <c r="Y1542" s="52"/>
      <c r="Z1542" s="55">
        <f t="shared" si="578"/>
        <v>0</v>
      </c>
      <c r="AA1542" s="48">
        <f t="shared" si="548"/>
        <v>2021</v>
      </c>
      <c r="AB1542" s="49"/>
      <c r="AC1542" s="49"/>
      <c r="AD1542" s="50" t="e">
        <f t="shared" si="499"/>
        <v>#DIV/0!</v>
      </c>
      <c r="AE1542" s="56" t="e">
        <f t="shared" si="500"/>
        <v>#DIV/0!</v>
      </c>
      <c r="AF1542" s="50" t="e">
        <f t="shared" si="501"/>
        <v>#DIV/0!</v>
      </c>
      <c r="AG1542" s="50" t="e">
        <f t="shared" si="502"/>
        <v>#DIV/0!</v>
      </c>
      <c r="AH1542" s="57" t="e">
        <f t="shared" si="503"/>
        <v>#DIV/0!</v>
      </c>
      <c r="AI1542" s="58" t="e">
        <f t="shared" si="476"/>
        <v>#DIV/0!</v>
      </c>
      <c r="AJ1542" s="49"/>
      <c r="AK1542" s="49">
        <v>710</v>
      </c>
      <c r="AL1542" s="59"/>
      <c r="AM1542" s="59"/>
      <c r="AN1542" s="59"/>
      <c r="AO1542" s="59"/>
      <c r="AP1542" s="59"/>
      <c r="AQ1542" s="59"/>
      <c r="AR1542" s="59"/>
    </row>
    <row r="1543" spans="1:44" ht="16.8">
      <c r="A1543" s="78" t="s">
        <v>3093</v>
      </c>
      <c r="B1543" s="79">
        <v>593</v>
      </c>
      <c r="C1543" s="79" t="s">
        <v>3094</v>
      </c>
      <c r="D1543" s="19" t="s">
        <v>3095</v>
      </c>
      <c r="E1543" s="20" t="s">
        <v>414</v>
      </c>
      <c r="F1543" s="21">
        <v>2000</v>
      </c>
      <c r="G1543" s="40">
        <v>2021</v>
      </c>
      <c r="H1543" s="23">
        <v>2266842737280</v>
      </c>
      <c r="I1543" s="23">
        <v>4259773511265</v>
      </c>
      <c r="J1543" s="23">
        <v>2133572028243</v>
      </c>
      <c r="K1543" s="23">
        <f>(J1543+2438812767449)/2</f>
        <v>2286192397846</v>
      </c>
      <c r="L1543" s="23">
        <v>1783263780732</v>
      </c>
      <c r="M1543" s="23">
        <f t="shared" si="551"/>
        <v>2126201483022</v>
      </c>
      <c r="N1543" s="23">
        <v>723956465138</v>
      </c>
      <c r="O1543" s="25">
        <f t="shared" si="572"/>
        <v>483578956548</v>
      </c>
      <c r="P1543" s="23">
        <v>138525800548</v>
      </c>
      <c r="Q1543" s="23">
        <f>9386899219+68858090408</f>
        <v>78244989627</v>
      </c>
      <c r="R1543" s="25">
        <f t="shared" si="573"/>
        <v>645711475511</v>
      </c>
      <c r="S1543" s="26">
        <f t="shared" si="574"/>
        <v>0.50086513346325912</v>
      </c>
      <c r="T1543" s="27">
        <f t="shared" si="575"/>
        <v>1.2711763462999843</v>
      </c>
      <c r="U1543" s="26">
        <f t="shared" si="576"/>
        <v>29.080237108426726</v>
      </c>
      <c r="V1543" s="26">
        <f t="shared" si="577"/>
        <v>0.31666471545443675</v>
      </c>
      <c r="W1543" s="143"/>
      <c r="X1543" s="143"/>
      <c r="Y1543" s="143"/>
      <c r="Z1543" s="30">
        <f t="shared" si="578"/>
        <v>0</v>
      </c>
      <c r="AA1543" s="31">
        <f t="shared" si="548"/>
        <v>21</v>
      </c>
      <c r="AB1543" s="32">
        <v>1.84E-2</v>
      </c>
      <c r="AC1543" s="32">
        <v>2.58E-2</v>
      </c>
      <c r="AD1543" s="33">
        <f t="shared" si="499"/>
        <v>0.1135222225475538</v>
      </c>
      <c r="AE1543" s="34">
        <f t="shared" si="500"/>
        <v>3.2519522500824884E-2</v>
      </c>
      <c r="AF1543" s="33">
        <f t="shared" si="501"/>
        <v>0.1515835228805972</v>
      </c>
      <c r="AG1543" s="33">
        <f t="shared" si="502"/>
        <v>0</v>
      </c>
      <c r="AH1543" s="35">
        <f t="shared" si="503"/>
        <v>0.33931662749355562</v>
      </c>
      <c r="AI1543" s="36">
        <f t="shared" ref="AI1543:AI1797" si="582">1.2*AD1543+1.4*AE1543+3.3*AF1543+0.6*AG1543+1*AH1543</f>
        <v>1.0212962515577457</v>
      </c>
      <c r="AJ1543" s="23"/>
      <c r="AK1543" s="173">
        <v>711</v>
      </c>
      <c r="AL1543" s="44"/>
      <c r="AM1543" s="44"/>
      <c r="AN1543" s="44"/>
      <c r="AO1543" s="44"/>
      <c r="AP1543" s="44"/>
      <c r="AQ1543" s="44"/>
      <c r="AR1543" s="44"/>
    </row>
    <row r="1544" spans="1:44" ht="16.8">
      <c r="A1544" s="78" t="s">
        <v>3096</v>
      </c>
      <c r="B1544" s="79"/>
      <c r="C1544" s="79" t="s">
        <v>3094</v>
      </c>
      <c r="D1544" s="19" t="s">
        <v>3095</v>
      </c>
      <c r="E1544" s="20" t="s">
        <v>414</v>
      </c>
      <c r="F1544" s="21">
        <v>2000</v>
      </c>
      <c r="G1544" s="40">
        <v>2022</v>
      </c>
      <c r="H1544" s="23">
        <v>2175505419566</v>
      </c>
      <c r="I1544" s="23">
        <v>4175177090597</v>
      </c>
      <c r="J1544" s="23">
        <v>1952859191703</v>
      </c>
      <c r="K1544" s="23">
        <f t="shared" ref="K1544:K1545" si="583">AVERAGE(J1543:J1544)</f>
        <v>2043215609973</v>
      </c>
      <c r="L1544" s="23">
        <v>1589024786484</v>
      </c>
      <c r="M1544" s="23">
        <f t="shared" si="551"/>
        <v>2222317898894</v>
      </c>
      <c r="N1544" s="23">
        <v>816645123099</v>
      </c>
      <c r="O1544" s="25">
        <f t="shared" si="572"/>
        <v>586480633082</v>
      </c>
      <c r="P1544" s="23">
        <v>151585021259</v>
      </c>
      <c r="Q1544" s="23">
        <f>9011243983+75158405474</f>
        <v>84169649457</v>
      </c>
      <c r="R1544" s="25">
        <f t="shared" si="573"/>
        <v>732475473642</v>
      </c>
      <c r="S1544" s="26">
        <f t="shared" si="574"/>
        <v>0.46773086490177229</v>
      </c>
      <c r="T1544" s="27">
        <f t="shared" si="575"/>
        <v>1.3690821175796084</v>
      </c>
      <c r="U1544" s="26">
        <f t="shared" si="576"/>
        <v>29.060177890241256</v>
      </c>
      <c r="V1544" s="26">
        <f t="shared" si="577"/>
        <v>0.39968621965931023</v>
      </c>
      <c r="W1544" s="143"/>
      <c r="X1544" s="143"/>
      <c r="Y1544" s="143"/>
      <c r="Z1544" s="30">
        <f t="shared" si="578"/>
        <v>0</v>
      </c>
      <c r="AA1544" s="31">
        <f t="shared" si="548"/>
        <v>22</v>
      </c>
      <c r="AB1544" s="32">
        <v>3.15E-2</v>
      </c>
      <c r="AC1544" s="32">
        <v>8.0199999999999994E-2</v>
      </c>
      <c r="AD1544" s="33">
        <f t="shared" si="499"/>
        <v>0.14046844489610388</v>
      </c>
      <c r="AE1544" s="34">
        <f t="shared" si="500"/>
        <v>3.630624952421483E-2</v>
      </c>
      <c r="AF1544" s="33">
        <f t="shared" si="501"/>
        <v>0.17543578577579924</v>
      </c>
      <c r="AG1544" s="33">
        <f t="shared" si="502"/>
        <v>0</v>
      </c>
      <c r="AH1544" s="35">
        <f t="shared" si="503"/>
        <v>0.41817921464518942</v>
      </c>
      <c r="AI1544" s="36">
        <f t="shared" si="582"/>
        <v>1.2165081909145523</v>
      </c>
      <c r="AJ1544" s="23"/>
      <c r="AK1544" s="173">
        <v>712</v>
      </c>
      <c r="AL1544" s="44"/>
      <c r="AM1544" s="44"/>
      <c r="AN1544" s="44"/>
      <c r="AO1544" s="44"/>
      <c r="AP1544" s="44"/>
      <c r="AQ1544" s="44"/>
      <c r="AR1544" s="44"/>
    </row>
    <row r="1545" spans="1:44" ht="16.8">
      <c r="A1545" s="78" t="s">
        <v>3097</v>
      </c>
      <c r="B1545" s="79"/>
      <c r="C1545" s="79" t="s">
        <v>3094</v>
      </c>
      <c r="D1545" s="19" t="s">
        <v>3095</v>
      </c>
      <c r="E1545" s="20" t="s">
        <v>414</v>
      </c>
      <c r="F1545" s="21">
        <v>2000</v>
      </c>
      <c r="G1545" s="40">
        <v>2023</v>
      </c>
      <c r="H1545" s="23">
        <v>2175505419566</v>
      </c>
      <c r="I1545" s="23">
        <v>4150184034762</v>
      </c>
      <c r="J1545" s="23">
        <v>1845209869715</v>
      </c>
      <c r="K1545" s="23">
        <f t="shared" si="583"/>
        <v>1899034530709</v>
      </c>
      <c r="L1545" s="23">
        <v>1467363651783</v>
      </c>
      <c r="M1545" s="23">
        <f t="shared" si="551"/>
        <v>2304974165047</v>
      </c>
      <c r="N1545" s="23">
        <v>531504743092</v>
      </c>
      <c r="O1545" s="25">
        <f t="shared" si="572"/>
        <v>708141767783</v>
      </c>
      <c r="P1545" s="23">
        <v>78013444745</v>
      </c>
      <c r="Q1545" s="23">
        <f>6681066118+57988863111</f>
        <v>64669929229</v>
      </c>
      <c r="R1545" s="25">
        <f t="shared" si="573"/>
        <v>466834813863</v>
      </c>
      <c r="S1545" s="26">
        <f t="shared" si="574"/>
        <v>0.44460916775244086</v>
      </c>
      <c r="T1545" s="27">
        <f t="shared" si="575"/>
        <v>1.4825945953632789</v>
      </c>
      <c r="U1545" s="26">
        <f t="shared" si="576"/>
        <v>29.054173794913694</v>
      </c>
      <c r="V1545" s="26">
        <f t="shared" si="577"/>
        <v>0.27988155796912445</v>
      </c>
      <c r="W1545" s="143"/>
      <c r="X1545" s="143"/>
      <c r="Y1545" s="143"/>
      <c r="Z1545" s="30">
        <f t="shared" si="578"/>
        <v>0</v>
      </c>
      <c r="AA1545" s="31">
        <f t="shared" si="548"/>
        <v>23</v>
      </c>
      <c r="AB1545" s="32">
        <v>3.2500000000000001E-2</v>
      </c>
      <c r="AC1545" s="32">
        <v>5.0500000000000003E-2</v>
      </c>
      <c r="AD1545" s="33">
        <f t="shared" si="499"/>
        <v>0.17062900388310362</v>
      </c>
      <c r="AE1545" s="34">
        <f t="shared" si="500"/>
        <v>1.8797586827851074E-2</v>
      </c>
      <c r="AF1545" s="33">
        <f t="shared" si="501"/>
        <v>0.11248532834996834</v>
      </c>
      <c r="AG1545" s="33">
        <f t="shared" si="502"/>
        <v>0</v>
      </c>
      <c r="AH1545" s="35">
        <f t="shared" si="503"/>
        <v>0.28804568619291693</v>
      </c>
      <c r="AI1545" s="36">
        <f t="shared" si="582"/>
        <v>0.89031869596652824</v>
      </c>
      <c r="AJ1545" s="23"/>
      <c r="AK1545" s="173">
        <v>713</v>
      </c>
      <c r="AL1545" s="44"/>
      <c r="AM1545" s="44"/>
      <c r="AN1545" s="44"/>
      <c r="AO1545" s="44"/>
      <c r="AP1545" s="44"/>
      <c r="AQ1545" s="44"/>
      <c r="AR1545" s="44"/>
    </row>
    <row r="1546" spans="1:44" ht="16.8">
      <c r="A1546" s="78" t="s">
        <v>3098</v>
      </c>
      <c r="B1546" s="79">
        <v>594</v>
      </c>
      <c r="C1546" s="79" t="s">
        <v>3099</v>
      </c>
      <c r="D1546" s="19" t="s">
        <v>3100</v>
      </c>
      <c r="E1546" s="20" t="s">
        <v>414</v>
      </c>
      <c r="F1546" s="21">
        <v>1999</v>
      </c>
      <c r="G1546" s="40">
        <v>2021</v>
      </c>
      <c r="H1546" s="23">
        <v>556982708978</v>
      </c>
      <c r="I1546" s="23">
        <v>627258211128</v>
      </c>
      <c r="J1546" s="23">
        <v>236650949533</v>
      </c>
      <c r="K1546" s="23">
        <f>(J1546+254518162149)/2</f>
        <v>245584555841</v>
      </c>
      <c r="L1546" s="23">
        <v>227942213368</v>
      </c>
      <c r="M1546" s="23">
        <f t="shared" si="551"/>
        <v>390607261595</v>
      </c>
      <c r="N1546" s="23">
        <v>363194253088</v>
      </c>
      <c r="O1546" s="25">
        <f t="shared" si="572"/>
        <v>329040495610</v>
      </c>
      <c r="P1546" s="23">
        <v>57791678972</v>
      </c>
      <c r="Q1546" s="23">
        <f>44921550253+32620925934</f>
        <v>77542476187</v>
      </c>
      <c r="R1546" s="25">
        <f t="shared" si="573"/>
        <v>285651776901</v>
      </c>
      <c r="S1546" s="26">
        <f t="shared" si="574"/>
        <v>0.3772783605453805</v>
      </c>
      <c r="T1546" s="27">
        <f t="shared" si="575"/>
        <v>2.4435259303145505</v>
      </c>
      <c r="U1546" s="26">
        <f t="shared" si="576"/>
        <v>27.164624112785617</v>
      </c>
      <c r="V1546" s="26">
        <f t="shared" si="577"/>
        <v>1.4788969601294659</v>
      </c>
      <c r="W1546" s="143"/>
      <c r="X1546" s="143"/>
      <c r="Y1546" s="143"/>
      <c r="Z1546" s="30">
        <f t="shared" si="578"/>
        <v>0</v>
      </c>
      <c r="AA1546" s="31">
        <f t="shared" si="548"/>
        <v>22</v>
      </c>
      <c r="AB1546" s="32">
        <v>1.84E-2</v>
      </c>
      <c r="AC1546" s="32">
        <v>2.58E-2</v>
      </c>
      <c r="AD1546" s="33">
        <f t="shared" si="499"/>
        <v>0.52456945126040788</v>
      </c>
      <c r="AE1546" s="34">
        <f t="shared" si="500"/>
        <v>9.2133794260059312E-2</v>
      </c>
      <c r="AF1546" s="33">
        <f t="shared" si="501"/>
        <v>0.4553974293733225</v>
      </c>
      <c r="AG1546" s="33">
        <f t="shared" si="502"/>
        <v>0</v>
      </c>
      <c r="AH1546" s="35">
        <f t="shared" si="503"/>
        <v>1.5347255263700266</v>
      </c>
      <c r="AI1546" s="36">
        <f t="shared" si="582"/>
        <v>3.7960076967785632</v>
      </c>
      <c r="AJ1546" s="23"/>
      <c r="AK1546" s="173">
        <v>714</v>
      </c>
      <c r="AL1546" s="44"/>
      <c r="AM1546" s="44"/>
      <c r="AN1546" s="44"/>
      <c r="AO1546" s="44"/>
      <c r="AP1546" s="44"/>
      <c r="AQ1546" s="44"/>
      <c r="AR1546" s="44"/>
    </row>
    <row r="1547" spans="1:44" ht="16.8">
      <c r="A1547" s="78" t="s">
        <v>3101</v>
      </c>
      <c r="B1547" s="79"/>
      <c r="C1547" s="79" t="s">
        <v>3099</v>
      </c>
      <c r="D1547" s="19" t="s">
        <v>3100</v>
      </c>
      <c r="E1547" s="20" t="s">
        <v>414</v>
      </c>
      <c r="F1547" s="21">
        <v>1999</v>
      </c>
      <c r="G1547" s="40">
        <v>2022</v>
      </c>
      <c r="H1547" s="23">
        <v>488642833269</v>
      </c>
      <c r="I1547" s="23">
        <v>654571151318</v>
      </c>
      <c r="J1547" s="23">
        <v>240684362783</v>
      </c>
      <c r="K1547" s="23">
        <f t="shared" ref="K1547:K1548" si="584">AVERAGE(J1546:J1547)</f>
        <v>238667656158</v>
      </c>
      <c r="L1547" s="23">
        <v>240684362783</v>
      </c>
      <c r="M1547" s="23">
        <f t="shared" si="551"/>
        <v>413886788535</v>
      </c>
      <c r="N1547" s="23">
        <v>878304815827</v>
      </c>
      <c r="O1547" s="25">
        <f t="shared" si="572"/>
        <v>247958470486</v>
      </c>
      <c r="P1547" s="23">
        <v>23695217599</v>
      </c>
      <c r="Q1547" s="23">
        <f>42608700035+63717475431</f>
        <v>106326175466</v>
      </c>
      <c r="R1547" s="25">
        <f t="shared" si="573"/>
        <v>771978640361</v>
      </c>
      <c r="S1547" s="26">
        <f t="shared" si="574"/>
        <v>0.3676977854865347</v>
      </c>
      <c r="T1547" s="27">
        <f t="shared" si="575"/>
        <v>2.0302226019957863</v>
      </c>
      <c r="U1547" s="26">
        <f t="shared" si="576"/>
        <v>27.20724612733963</v>
      </c>
      <c r="V1547" s="26">
        <f t="shared" si="577"/>
        <v>3.6800328539094331</v>
      </c>
      <c r="W1547" s="143"/>
      <c r="X1547" s="143"/>
      <c r="Y1547" s="143"/>
      <c r="Z1547" s="30">
        <f t="shared" si="578"/>
        <v>0</v>
      </c>
      <c r="AA1547" s="31">
        <f t="shared" si="548"/>
        <v>23</v>
      </c>
      <c r="AB1547" s="32">
        <v>3.15E-2</v>
      </c>
      <c r="AC1547" s="32">
        <v>8.0199999999999994E-2</v>
      </c>
      <c r="AD1547" s="33">
        <f t="shared" si="499"/>
        <v>0.37881056931202617</v>
      </c>
      <c r="AE1547" s="34">
        <f t="shared" si="500"/>
        <v>3.6199605728558189E-2</v>
      </c>
      <c r="AF1547" s="33">
        <f t="shared" si="501"/>
        <v>1.1793655110015102</v>
      </c>
      <c r="AG1547" s="33">
        <f t="shared" si="502"/>
        <v>0</v>
      </c>
      <c r="AH1547" s="35">
        <f t="shared" si="503"/>
        <v>3.6491976698082205</v>
      </c>
      <c r="AI1547" s="36">
        <f t="shared" si="582"/>
        <v>8.0463559873076171</v>
      </c>
      <c r="AJ1547" s="23"/>
      <c r="AK1547" s="173">
        <v>715</v>
      </c>
      <c r="AL1547" s="44"/>
      <c r="AM1547" s="44"/>
      <c r="AN1547" s="44"/>
      <c r="AO1547" s="44"/>
      <c r="AP1547" s="44"/>
      <c r="AQ1547" s="44"/>
      <c r="AR1547" s="44"/>
    </row>
    <row r="1548" spans="1:44" ht="16.8">
      <c r="A1548" s="78" t="s">
        <v>3102</v>
      </c>
      <c r="B1548" s="79"/>
      <c r="C1548" s="79" t="s">
        <v>3099</v>
      </c>
      <c r="D1548" s="19" t="s">
        <v>3100</v>
      </c>
      <c r="E1548" s="20" t="s">
        <v>414</v>
      </c>
      <c r="F1548" s="21">
        <v>1999</v>
      </c>
      <c r="G1548" s="40">
        <v>2023</v>
      </c>
      <c r="H1548" s="23">
        <v>417969278685</v>
      </c>
      <c r="I1548" s="23">
        <v>569525318944</v>
      </c>
      <c r="J1548" s="23">
        <v>209300194471</v>
      </c>
      <c r="K1548" s="23">
        <f t="shared" si="584"/>
        <v>224992278627</v>
      </c>
      <c r="L1548" s="23">
        <v>200403213083</v>
      </c>
      <c r="M1548" s="23">
        <f t="shared" si="551"/>
        <v>360225124473</v>
      </c>
      <c r="N1548" s="23">
        <v>591078687409</v>
      </c>
      <c r="O1548" s="25">
        <f t="shared" si="572"/>
        <v>217566065602</v>
      </c>
      <c r="P1548" s="23">
        <v>-39904064120</v>
      </c>
      <c r="Q1548" s="23">
        <f>50218473173+129966207289</f>
        <v>180184680462</v>
      </c>
      <c r="R1548" s="25">
        <f t="shared" si="573"/>
        <v>410894006947</v>
      </c>
      <c r="S1548" s="26">
        <f t="shared" si="574"/>
        <v>0.36749936747163292</v>
      </c>
      <c r="T1548" s="27">
        <f t="shared" si="575"/>
        <v>2.0856416035200582</v>
      </c>
      <c r="U1548" s="26">
        <f t="shared" si="576"/>
        <v>27.06806907704383</v>
      </c>
      <c r="V1548" s="26">
        <f t="shared" si="577"/>
        <v>2.6271065434601457</v>
      </c>
      <c r="W1548" s="143"/>
      <c r="X1548" s="143"/>
      <c r="Y1548" s="143"/>
      <c r="Z1548" s="30">
        <f t="shared" si="578"/>
        <v>0</v>
      </c>
      <c r="AA1548" s="31">
        <f t="shared" si="548"/>
        <v>24</v>
      </c>
      <c r="AB1548" s="32">
        <v>3.2500000000000001E-2</v>
      </c>
      <c r="AC1548" s="32">
        <v>5.0500000000000003E-2</v>
      </c>
      <c r="AD1548" s="33">
        <f t="shared" si="499"/>
        <v>0.38201298232957526</v>
      </c>
      <c r="AE1548" s="34">
        <f t="shared" si="500"/>
        <v>-7.0065478728828332E-2</v>
      </c>
      <c r="AF1548" s="33">
        <f t="shared" si="501"/>
        <v>0.72146749807167432</v>
      </c>
      <c r="AG1548" s="33">
        <f t="shared" si="502"/>
        <v>0</v>
      </c>
      <c r="AH1548" s="35">
        <f t="shared" si="503"/>
        <v>2.8240713722361019</v>
      </c>
      <c r="AI1548" s="36">
        <f t="shared" si="582"/>
        <v>5.5652380244477584</v>
      </c>
      <c r="AJ1548" s="23"/>
      <c r="AK1548" s="173">
        <v>716</v>
      </c>
      <c r="AL1548" s="44"/>
      <c r="AM1548" s="44"/>
      <c r="AN1548" s="44"/>
      <c r="AO1548" s="44"/>
      <c r="AP1548" s="44"/>
      <c r="AQ1548" s="44"/>
      <c r="AR1548" s="44"/>
    </row>
    <row r="1549" spans="1:44" ht="16.8">
      <c r="A1549" s="78" t="s">
        <v>3103</v>
      </c>
      <c r="B1549" s="79">
        <v>595</v>
      </c>
      <c r="C1549" s="79" t="s">
        <v>3104</v>
      </c>
      <c r="D1549" s="19" t="s">
        <v>3105</v>
      </c>
      <c r="E1549" s="20" t="s">
        <v>414</v>
      </c>
      <c r="F1549" s="21">
        <v>2001</v>
      </c>
      <c r="G1549" s="40">
        <v>2021</v>
      </c>
      <c r="H1549" s="23">
        <v>321081150374</v>
      </c>
      <c r="I1549" s="23">
        <v>600528631821</v>
      </c>
      <c r="J1549" s="23">
        <v>175552309812</v>
      </c>
      <c r="K1549" s="23">
        <f>(J1549+173033977255)/2</f>
        <v>174293143533.5</v>
      </c>
      <c r="L1549" s="23">
        <v>164591359528</v>
      </c>
      <c r="M1549" s="23">
        <f t="shared" si="551"/>
        <v>424976322009</v>
      </c>
      <c r="N1549" s="23">
        <v>391488367426</v>
      </c>
      <c r="O1549" s="25">
        <f t="shared" si="572"/>
        <v>156489790846</v>
      </c>
      <c r="P1549" s="23">
        <v>-29966031564</v>
      </c>
      <c r="Q1549" s="23">
        <f>48263059372+28900937787</f>
        <v>77163997159</v>
      </c>
      <c r="R1549" s="25">
        <f t="shared" si="573"/>
        <v>314324370267</v>
      </c>
      <c r="S1549" s="26">
        <f t="shared" si="574"/>
        <v>0.29232962511657062</v>
      </c>
      <c r="T1549" s="27">
        <f t="shared" si="575"/>
        <v>1.9507776793069032</v>
      </c>
      <c r="U1549" s="26">
        <f t="shared" si="576"/>
        <v>27.121076157298155</v>
      </c>
      <c r="V1549" s="26">
        <f t="shared" si="577"/>
        <v>2.2461489849183538</v>
      </c>
      <c r="W1549" s="143"/>
      <c r="X1549" s="143"/>
      <c r="Y1549" s="143"/>
      <c r="Z1549" s="30">
        <f t="shared" si="578"/>
        <v>0</v>
      </c>
      <c r="AA1549" s="31">
        <f t="shared" si="548"/>
        <v>20</v>
      </c>
      <c r="AB1549" s="32">
        <v>1.84E-2</v>
      </c>
      <c r="AC1549" s="32">
        <v>2.58E-2</v>
      </c>
      <c r="AD1549" s="33">
        <f t="shared" si="499"/>
        <v>0.26058672734965455</v>
      </c>
      <c r="AE1549" s="34">
        <f t="shared" si="500"/>
        <v>-4.9899421902887715E-2</v>
      </c>
      <c r="AF1549" s="33">
        <f t="shared" si="501"/>
        <v>0.52341279601251534</v>
      </c>
      <c r="AG1549" s="33">
        <f t="shared" si="502"/>
        <v>0</v>
      </c>
      <c r="AH1549" s="35">
        <f t="shared" si="503"/>
        <v>2.2300382595093575</v>
      </c>
      <c r="AI1549" s="36">
        <f t="shared" si="582"/>
        <v>4.2001453685062007</v>
      </c>
      <c r="AJ1549" s="23"/>
      <c r="AK1549" s="173">
        <v>717</v>
      </c>
      <c r="AL1549" s="44"/>
      <c r="AM1549" s="44"/>
      <c r="AN1549" s="44"/>
      <c r="AO1549" s="44"/>
      <c r="AP1549" s="44"/>
      <c r="AQ1549" s="44"/>
      <c r="AR1549" s="44"/>
    </row>
    <row r="1550" spans="1:44" ht="16.8">
      <c r="A1550" s="78" t="s">
        <v>3106</v>
      </c>
      <c r="B1550" s="79"/>
      <c r="C1550" s="79" t="s">
        <v>3104</v>
      </c>
      <c r="D1550" s="19" t="s">
        <v>3105</v>
      </c>
      <c r="E1550" s="20" t="s">
        <v>414</v>
      </c>
      <c r="F1550" s="21">
        <v>2001</v>
      </c>
      <c r="G1550" s="40">
        <v>2022</v>
      </c>
      <c r="H1550" s="23">
        <v>386365319676</v>
      </c>
      <c r="I1550" s="23">
        <v>591198359102</v>
      </c>
      <c r="J1550" s="23">
        <v>144492669360</v>
      </c>
      <c r="K1550" s="23">
        <f t="shared" ref="K1550:K1551" si="585">AVERAGE(J1549:J1550)</f>
        <v>160022489586</v>
      </c>
      <c r="L1550" s="23">
        <v>139267498112</v>
      </c>
      <c r="M1550" s="23">
        <f t="shared" si="551"/>
        <v>446705689742</v>
      </c>
      <c r="N1550" s="23">
        <v>396524083494</v>
      </c>
      <c r="O1550" s="25">
        <f t="shared" si="572"/>
        <v>247097821564</v>
      </c>
      <c r="P1550" s="23">
        <v>21729367733</v>
      </c>
      <c r="Q1550" s="23">
        <f>48414483397+36536292121</f>
        <v>84950775518</v>
      </c>
      <c r="R1550" s="25">
        <f t="shared" si="573"/>
        <v>311573307976</v>
      </c>
      <c r="S1550" s="26">
        <f t="shared" si="574"/>
        <v>0.24440641137684643</v>
      </c>
      <c r="T1550" s="27">
        <f t="shared" si="575"/>
        <v>2.7742676856683532</v>
      </c>
      <c r="U1550" s="26">
        <f t="shared" si="576"/>
        <v>27.105417431038664</v>
      </c>
      <c r="V1550" s="26">
        <f t="shared" si="577"/>
        <v>2.4779272246036284</v>
      </c>
      <c r="W1550" s="143"/>
      <c r="X1550" s="143"/>
      <c r="Y1550" s="143"/>
      <c r="Z1550" s="30">
        <f t="shared" si="578"/>
        <v>0</v>
      </c>
      <c r="AA1550" s="31">
        <f t="shared" si="548"/>
        <v>21</v>
      </c>
      <c r="AB1550" s="32">
        <v>3.15E-2</v>
      </c>
      <c r="AC1550" s="32">
        <v>8.0199999999999994E-2</v>
      </c>
      <c r="AD1550" s="33">
        <f t="shared" si="499"/>
        <v>0.41796093943719487</v>
      </c>
      <c r="AE1550" s="34">
        <f t="shared" si="500"/>
        <v>3.6754783565376932E-2</v>
      </c>
      <c r="AF1550" s="33">
        <f t="shared" si="501"/>
        <v>0.52701991333207332</v>
      </c>
      <c r="AG1550" s="33">
        <f t="shared" si="502"/>
        <v>0</v>
      </c>
      <c r="AH1550" s="35">
        <f t="shared" si="503"/>
        <v>2.7442505232294505</v>
      </c>
      <c r="AI1550" s="36">
        <f t="shared" si="582"/>
        <v>5.0364260615414533</v>
      </c>
      <c r="AJ1550" s="23"/>
      <c r="AK1550" s="173">
        <v>718</v>
      </c>
      <c r="AL1550" s="44"/>
      <c r="AM1550" s="44"/>
      <c r="AN1550" s="44"/>
      <c r="AO1550" s="44"/>
      <c r="AP1550" s="44"/>
      <c r="AQ1550" s="44"/>
      <c r="AR1550" s="44"/>
    </row>
    <row r="1551" spans="1:44" ht="16.8">
      <c r="A1551" s="78" t="s">
        <v>3107</v>
      </c>
      <c r="B1551" s="79"/>
      <c r="C1551" s="79" t="s">
        <v>3104</v>
      </c>
      <c r="D1551" s="19" t="s">
        <v>3105</v>
      </c>
      <c r="E1551" s="20" t="s">
        <v>414</v>
      </c>
      <c r="F1551" s="21">
        <v>2001</v>
      </c>
      <c r="G1551" s="40">
        <v>2023</v>
      </c>
      <c r="H1551" s="23">
        <v>528425374100</v>
      </c>
      <c r="I1551" s="23">
        <v>686676856095</v>
      </c>
      <c r="J1551" s="23">
        <v>187331323956</v>
      </c>
      <c r="K1551" s="23">
        <f t="shared" si="585"/>
        <v>165911996658</v>
      </c>
      <c r="L1551" s="23">
        <v>185095814436</v>
      </c>
      <c r="M1551" s="23">
        <f t="shared" si="551"/>
        <v>499345532139</v>
      </c>
      <c r="N1551" s="23">
        <v>576765288859</v>
      </c>
      <c r="O1551" s="25">
        <f t="shared" si="572"/>
        <v>343329559664</v>
      </c>
      <c r="P1551" s="23">
        <v>52924271928</v>
      </c>
      <c r="Q1551" s="23">
        <f>69946367925+41609396833</f>
        <v>111555764758</v>
      </c>
      <c r="R1551" s="25">
        <f t="shared" si="573"/>
        <v>465209524101</v>
      </c>
      <c r="S1551" s="26">
        <f t="shared" si="574"/>
        <v>0.27280855950398186</v>
      </c>
      <c r="T1551" s="27">
        <f t="shared" si="575"/>
        <v>2.8548747885528876</v>
      </c>
      <c r="U1551" s="26">
        <f t="shared" si="576"/>
        <v>27.255129648925134</v>
      </c>
      <c r="V1551" s="26">
        <f t="shared" si="577"/>
        <v>3.4763326370419478</v>
      </c>
      <c r="W1551" s="143"/>
      <c r="X1551" s="143"/>
      <c r="Y1551" s="143"/>
      <c r="Z1551" s="30">
        <f t="shared" si="578"/>
        <v>0</v>
      </c>
      <c r="AA1551" s="31">
        <f t="shared" si="548"/>
        <v>22</v>
      </c>
      <c r="AB1551" s="32">
        <v>3.2500000000000001E-2</v>
      </c>
      <c r="AC1551" s="32">
        <v>5.0500000000000003E-2</v>
      </c>
      <c r="AD1551" s="33">
        <f t="shared" si="499"/>
        <v>0.49998708507004236</v>
      </c>
      <c r="AE1551" s="34">
        <f t="shared" si="500"/>
        <v>7.7073038734653473E-2</v>
      </c>
      <c r="AF1551" s="33">
        <f t="shared" si="501"/>
        <v>0.67747954510445807</v>
      </c>
      <c r="AG1551" s="33">
        <f t="shared" si="502"/>
        <v>0</v>
      </c>
      <c r="AH1551" s="35">
        <f t="shared" si="503"/>
        <v>3.0788512923469726</v>
      </c>
      <c r="AI1551" s="36">
        <f t="shared" si="582"/>
        <v>6.0224205475042503</v>
      </c>
      <c r="AJ1551" s="23"/>
      <c r="AK1551" s="173">
        <v>719</v>
      </c>
      <c r="AL1551" s="44"/>
      <c r="AM1551" s="44"/>
      <c r="AN1551" s="44"/>
      <c r="AO1551" s="44"/>
      <c r="AP1551" s="44"/>
      <c r="AQ1551" s="44"/>
      <c r="AR1551" s="44"/>
    </row>
    <row r="1552" spans="1:44" ht="16.8">
      <c r="A1552" s="45"/>
      <c r="B1552" s="45">
        <v>596</v>
      </c>
      <c r="C1552" s="45" t="s">
        <v>3108</v>
      </c>
      <c r="D1552" s="46" t="s">
        <v>3109</v>
      </c>
      <c r="E1552" s="47" t="s">
        <v>178</v>
      </c>
      <c r="F1552" s="48">
        <v>2002</v>
      </c>
      <c r="G1552" s="48">
        <v>2021</v>
      </c>
      <c r="H1552" s="49"/>
      <c r="I1552" s="49"/>
      <c r="J1552" s="49"/>
      <c r="K1552" s="49"/>
      <c r="L1552" s="49"/>
      <c r="M1552" s="49">
        <f t="shared" si="551"/>
        <v>0</v>
      </c>
      <c r="N1552" s="49"/>
      <c r="O1552" s="49">
        <f t="shared" si="572"/>
        <v>0</v>
      </c>
      <c r="P1552" s="49"/>
      <c r="Q1552" s="49"/>
      <c r="R1552" s="49">
        <f t="shared" si="573"/>
        <v>0</v>
      </c>
      <c r="S1552" s="50" t="e">
        <f t="shared" si="574"/>
        <v>#DIV/0!</v>
      </c>
      <c r="T1552" s="51" t="e">
        <f t="shared" si="575"/>
        <v>#DIV/0!</v>
      </c>
      <c r="U1552" s="50" t="e">
        <f t="shared" si="576"/>
        <v>#NUM!</v>
      </c>
      <c r="V1552" s="50" t="e">
        <f t="shared" si="577"/>
        <v>#DIV/0!</v>
      </c>
      <c r="W1552" s="52"/>
      <c r="X1552" s="52"/>
      <c r="Y1552" s="52"/>
      <c r="Z1552" s="55">
        <f>W1552*Y1552</f>
        <v>0</v>
      </c>
      <c r="AA1552" s="48">
        <f t="shared" si="548"/>
        <v>19</v>
      </c>
      <c r="AB1552" s="49"/>
      <c r="AC1552" s="49"/>
      <c r="AD1552" s="50" t="e">
        <f t="shared" si="499"/>
        <v>#DIV/0!</v>
      </c>
      <c r="AE1552" s="56" t="e">
        <f t="shared" si="500"/>
        <v>#DIV/0!</v>
      </c>
      <c r="AF1552" s="50" t="e">
        <f t="shared" si="501"/>
        <v>#DIV/0!</v>
      </c>
      <c r="AG1552" s="50" t="e">
        <f t="shared" si="502"/>
        <v>#DIV/0!</v>
      </c>
      <c r="AH1552" s="57" t="e">
        <f t="shared" si="503"/>
        <v>#DIV/0!</v>
      </c>
      <c r="AI1552" s="58" t="e">
        <f t="shared" si="582"/>
        <v>#DIV/0!</v>
      </c>
      <c r="AJ1552" s="49" t="s">
        <v>3110</v>
      </c>
      <c r="AK1552" s="49"/>
      <c r="AL1552" s="59"/>
      <c r="AM1552" s="59"/>
      <c r="AN1552" s="59"/>
      <c r="AO1552" s="59"/>
      <c r="AP1552" s="59"/>
      <c r="AQ1552" s="59"/>
      <c r="AR1552" s="59"/>
    </row>
    <row r="1553" spans="1:44" ht="16.8">
      <c r="A1553" s="78" t="s">
        <v>3111</v>
      </c>
      <c r="B1553" s="79">
        <v>597</v>
      </c>
      <c r="C1553" s="79" t="s">
        <v>3112</v>
      </c>
      <c r="D1553" s="19" t="s">
        <v>3113</v>
      </c>
      <c r="E1553" s="20" t="s">
        <v>414</v>
      </c>
      <c r="F1553" s="21">
        <v>2002</v>
      </c>
      <c r="G1553" s="40">
        <v>2021</v>
      </c>
      <c r="H1553" s="23">
        <v>25684222720417</v>
      </c>
      <c r="I1553" s="23">
        <v>31001842592503</v>
      </c>
      <c r="J1553" s="23">
        <v>14432620910944</v>
      </c>
      <c r="K1553" s="23">
        <f>(J1553+13132883122220)/2</f>
        <v>13782752016582</v>
      </c>
      <c r="L1553" s="23">
        <v>6511120826191</v>
      </c>
      <c r="M1553" s="23">
        <f t="shared" si="551"/>
        <v>16569221681559</v>
      </c>
      <c r="N1553" s="23">
        <v>4245981967388</v>
      </c>
      <c r="O1553" s="25">
        <f t="shared" si="572"/>
        <v>19173101894226</v>
      </c>
      <c r="P1553" s="23">
        <v>1351696553830</v>
      </c>
      <c r="Q1553" s="23">
        <f>189915851874+428557565443</f>
        <v>618473417317</v>
      </c>
      <c r="R1553" s="25">
        <f t="shared" si="573"/>
        <v>3627508550071</v>
      </c>
      <c r="S1553" s="26">
        <f t="shared" si="574"/>
        <v>0.46554074545343826</v>
      </c>
      <c r="T1553" s="27">
        <f t="shared" si="575"/>
        <v>3.9446699586808696</v>
      </c>
      <c r="U1553" s="26">
        <f t="shared" si="576"/>
        <v>31.065067757115138</v>
      </c>
      <c r="V1553" s="26">
        <f t="shared" si="577"/>
        <v>0.30806488880302485</v>
      </c>
      <c r="W1553" s="143"/>
      <c r="X1553" s="143"/>
      <c r="Y1553" s="143"/>
      <c r="Z1553" s="30">
        <f t="shared" ref="Z1553:Z1626" si="586">X1553*Y1553</f>
        <v>0</v>
      </c>
      <c r="AA1553" s="31">
        <f t="shared" si="548"/>
        <v>19</v>
      </c>
      <c r="AB1553" s="32">
        <v>1.84E-2</v>
      </c>
      <c r="AC1553" s="32">
        <v>2.58E-2</v>
      </c>
      <c r="AD1553" s="33">
        <f t="shared" si="499"/>
        <v>0.6184503981341587</v>
      </c>
      <c r="AE1553" s="34">
        <f t="shared" si="500"/>
        <v>4.3600523091387899E-2</v>
      </c>
      <c r="AF1553" s="33">
        <f t="shared" si="501"/>
        <v>0.11700944997857063</v>
      </c>
      <c r="AG1553" s="33">
        <f t="shared" si="502"/>
        <v>0</v>
      </c>
      <c r="AH1553" s="35">
        <f t="shared" si="503"/>
        <v>0.29419341044067382</v>
      </c>
      <c r="AI1553" s="36">
        <f t="shared" si="582"/>
        <v>1.4835058054588903</v>
      </c>
      <c r="AJ1553" s="23"/>
      <c r="AK1553" s="173">
        <v>720</v>
      </c>
      <c r="AL1553" s="44"/>
      <c r="AM1553" s="44"/>
      <c r="AN1553" s="44"/>
      <c r="AO1553" s="44"/>
      <c r="AP1553" s="44"/>
      <c r="AQ1553" s="44"/>
      <c r="AR1553" s="44"/>
    </row>
    <row r="1554" spans="1:44" ht="16.8">
      <c r="A1554" s="78" t="s">
        <v>3114</v>
      </c>
      <c r="B1554" s="79"/>
      <c r="C1554" s="79" t="s">
        <v>3112</v>
      </c>
      <c r="D1554" s="19" t="s">
        <v>3113</v>
      </c>
      <c r="E1554" s="20" t="s">
        <v>414</v>
      </c>
      <c r="F1554" s="21">
        <v>2002</v>
      </c>
      <c r="G1554" s="40">
        <v>2022</v>
      </c>
      <c r="H1554" s="23">
        <v>27674080297628</v>
      </c>
      <c r="I1554" s="23">
        <v>34906513197012</v>
      </c>
      <c r="J1554" s="23">
        <v>17060993904926</v>
      </c>
      <c r="K1554" s="23">
        <f t="shared" ref="K1554:K1555" si="587">AVERAGE(J1553:J1554)</f>
        <v>15746807407935</v>
      </c>
      <c r="L1554" s="23">
        <v>10684165020680</v>
      </c>
      <c r="M1554" s="23">
        <f t="shared" si="551"/>
        <v>17845519292086</v>
      </c>
      <c r="N1554" s="23">
        <v>1397476163499</v>
      </c>
      <c r="O1554" s="25">
        <f t="shared" si="572"/>
        <v>16989915276948</v>
      </c>
      <c r="P1554" s="23">
        <v>1576529040527</v>
      </c>
      <c r="Q1554" s="23">
        <f>45914808918+464460343994</f>
        <v>510375152912</v>
      </c>
      <c r="R1554" s="25">
        <f t="shared" si="573"/>
        <v>887101010587</v>
      </c>
      <c r="S1554" s="26">
        <f t="shared" si="574"/>
        <v>0.48876247847024784</v>
      </c>
      <c r="T1554" s="27">
        <f t="shared" si="575"/>
        <v>2.5901958874711077</v>
      </c>
      <c r="U1554" s="26">
        <f t="shared" si="576"/>
        <v>31.183694552280951</v>
      </c>
      <c r="V1554" s="26">
        <f t="shared" si="577"/>
        <v>8.8746634622253365E-2</v>
      </c>
      <c r="W1554" s="143"/>
      <c r="X1554" s="143"/>
      <c r="Y1554" s="143"/>
      <c r="Z1554" s="30">
        <f t="shared" si="586"/>
        <v>0</v>
      </c>
      <c r="AA1554" s="31">
        <f t="shared" si="548"/>
        <v>20</v>
      </c>
      <c r="AB1554" s="32">
        <v>3.15E-2</v>
      </c>
      <c r="AC1554" s="32">
        <v>8.0199999999999994E-2</v>
      </c>
      <c r="AD1554" s="33">
        <f t="shared" si="499"/>
        <v>0.4867262215809724</v>
      </c>
      <c r="AE1554" s="34">
        <f t="shared" si="500"/>
        <v>4.5164323105807973E-2</v>
      </c>
      <c r="AF1554" s="33">
        <f t="shared" si="501"/>
        <v>2.5413624259180832E-2</v>
      </c>
      <c r="AG1554" s="33">
        <f t="shared" si="502"/>
        <v>0</v>
      </c>
      <c r="AH1554" s="35">
        <f t="shared" si="503"/>
        <v>8.1910595085290333E-2</v>
      </c>
      <c r="AI1554" s="36">
        <f t="shared" si="582"/>
        <v>0.81307707338588509</v>
      </c>
      <c r="AJ1554" s="23"/>
      <c r="AK1554" s="173">
        <v>721</v>
      </c>
      <c r="AL1554" s="44"/>
      <c r="AM1554" s="44"/>
      <c r="AN1554" s="44"/>
      <c r="AO1554" s="44"/>
      <c r="AP1554" s="44"/>
      <c r="AQ1554" s="44"/>
      <c r="AR1554" s="44"/>
    </row>
    <row r="1555" spans="1:44" ht="16.8">
      <c r="A1555" s="78" t="s">
        <v>3115</v>
      </c>
      <c r="B1555" s="79"/>
      <c r="C1555" s="79" t="s">
        <v>3112</v>
      </c>
      <c r="D1555" s="19" t="s">
        <v>3113</v>
      </c>
      <c r="E1555" s="20" t="s">
        <v>414</v>
      </c>
      <c r="F1555" s="21">
        <v>2002</v>
      </c>
      <c r="G1555" s="40">
        <v>2023</v>
      </c>
      <c r="H1555" s="23">
        <v>25029443704757</v>
      </c>
      <c r="I1555" s="23">
        <v>33434220275091</v>
      </c>
      <c r="J1555" s="23">
        <v>13213347571485</v>
      </c>
      <c r="K1555" s="23">
        <f t="shared" si="587"/>
        <v>15137170738205.5</v>
      </c>
      <c r="L1555" s="23">
        <v>6578776212862</v>
      </c>
      <c r="M1555" s="23">
        <f t="shared" si="551"/>
        <v>20220872703606</v>
      </c>
      <c r="N1555" s="23">
        <v>5858772665527</v>
      </c>
      <c r="O1555" s="25">
        <f t="shared" si="572"/>
        <v>18450667491895</v>
      </c>
      <c r="P1555" s="23">
        <v>2245003412330</v>
      </c>
      <c r="Q1555" s="23">
        <f>354412075024+458380732970</f>
        <v>812792807994</v>
      </c>
      <c r="R1555" s="25">
        <f t="shared" si="573"/>
        <v>5045979857533</v>
      </c>
      <c r="S1555" s="26">
        <f t="shared" si="574"/>
        <v>0.39520429855303502</v>
      </c>
      <c r="T1555" s="27">
        <f t="shared" si="575"/>
        <v>3.8045744215805004</v>
      </c>
      <c r="U1555" s="26">
        <f t="shared" si="576"/>
        <v>31.140601050543179</v>
      </c>
      <c r="V1555" s="26">
        <f t="shared" si="577"/>
        <v>0.38704542393379604</v>
      </c>
      <c r="W1555" s="143"/>
      <c r="X1555" s="143"/>
      <c r="Y1555" s="143"/>
      <c r="Z1555" s="30">
        <f t="shared" si="586"/>
        <v>0</v>
      </c>
      <c r="AA1555" s="31">
        <f t="shared" si="548"/>
        <v>21</v>
      </c>
      <c r="AB1555" s="32">
        <v>3.2500000000000001E-2</v>
      </c>
      <c r="AC1555" s="32">
        <v>5.0500000000000003E-2</v>
      </c>
      <c r="AD1555" s="33">
        <f t="shared" si="499"/>
        <v>0.55184979162325576</v>
      </c>
      <c r="AE1555" s="34">
        <f t="shared" si="500"/>
        <v>6.7146875083626864E-2</v>
      </c>
      <c r="AF1555" s="33">
        <f t="shared" si="501"/>
        <v>0.15092261210267646</v>
      </c>
      <c r="AG1555" s="33">
        <f t="shared" si="502"/>
        <v>0</v>
      </c>
      <c r="AH1555" s="35">
        <f t="shared" si="503"/>
        <v>0.44339805895748141</v>
      </c>
      <c r="AI1555" s="36">
        <f t="shared" si="582"/>
        <v>1.6976680539612983</v>
      </c>
      <c r="AJ1555" s="23"/>
      <c r="AK1555" s="173">
        <v>722</v>
      </c>
      <c r="AL1555" s="44"/>
      <c r="AM1555" s="44"/>
      <c r="AN1555" s="44"/>
      <c r="AO1555" s="44"/>
      <c r="AP1555" s="44"/>
      <c r="AQ1555" s="44"/>
      <c r="AR1555" s="44"/>
    </row>
    <row r="1556" spans="1:44" ht="16.8">
      <c r="A1556" s="78" t="s">
        <v>3116</v>
      </c>
      <c r="B1556" s="79">
        <v>598</v>
      </c>
      <c r="C1556" s="79" t="s">
        <v>3117</v>
      </c>
      <c r="D1556" s="19" t="s">
        <v>3118</v>
      </c>
      <c r="E1556" s="20" t="s">
        <v>414</v>
      </c>
      <c r="F1556" s="21">
        <v>2003</v>
      </c>
      <c r="G1556" s="40">
        <v>2021</v>
      </c>
      <c r="H1556" s="23">
        <v>7013592235348</v>
      </c>
      <c r="I1556" s="23">
        <v>14072705557933</v>
      </c>
      <c r="J1556" s="23">
        <v>7178062904992</v>
      </c>
      <c r="K1556" s="23">
        <f>(J1556+3776502113916)/2</f>
        <v>5477282509454</v>
      </c>
      <c r="L1556" s="23">
        <v>5397243052107</v>
      </c>
      <c r="M1556" s="23">
        <f t="shared" si="551"/>
        <v>6894642652941</v>
      </c>
      <c r="N1556" s="23">
        <v>10675274452835</v>
      </c>
      <c r="O1556" s="25">
        <f t="shared" si="572"/>
        <v>1616349183241</v>
      </c>
      <c r="P1556" s="23">
        <v>653209573518</v>
      </c>
      <c r="Q1556" s="23">
        <f>1196590673681+242722786530</f>
        <v>1439313460211</v>
      </c>
      <c r="R1556" s="25">
        <f t="shared" si="573"/>
        <v>9235960992624</v>
      </c>
      <c r="S1556" s="26">
        <f t="shared" si="574"/>
        <v>0.51006985653484493</v>
      </c>
      <c r="T1556" s="27">
        <f t="shared" si="575"/>
        <v>1.2994768194865713</v>
      </c>
      <c r="U1556" s="26">
        <f t="shared" si="576"/>
        <v>30.275258261243678</v>
      </c>
      <c r="V1556" s="26">
        <f t="shared" si="577"/>
        <v>1.9490092823236826</v>
      </c>
      <c r="W1556" s="143"/>
      <c r="X1556" s="143"/>
      <c r="Y1556" s="143"/>
      <c r="Z1556" s="30">
        <f t="shared" si="586"/>
        <v>0</v>
      </c>
      <c r="AA1556" s="31">
        <f t="shared" si="548"/>
        <v>18</v>
      </c>
      <c r="AB1556" s="32">
        <v>1.84E-2</v>
      </c>
      <c r="AC1556" s="32">
        <v>2.58E-2</v>
      </c>
      <c r="AD1556" s="33">
        <f t="shared" si="499"/>
        <v>0.11485703133537382</v>
      </c>
      <c r="AE1556" s="34">
        <f t="shared" si="500"/>
        <v>4.6416772583561638E-2</v>
      </c>
      <c r="AF1556" s="33">
        <f t="shared" si="501"/>
        <v>0.65630315042138765</v>
      </c>
      <c r="AG1556" s="33">
        <f t="shared" si="502"/>
        <v>0</v>
      </c>
      <c r="AH1556" s="35">
        <f t="shared" si="503"/>
        <v>1.4872082613557003</v>
      </c>
      <c r="AI1556" s="36">
        <f t="shared" si="582"/>
        <v>3.8558205769657139</v>
      </c>
      <c r="AJ1556" s="23"/>
      <c r="AK1556" s="173">
        <v>723</v>
      </c>
      <c r="AL1556" s="44"/>
      <c r="AM1556" s="44"/>
      <c r="AN1556" s="44"/>
      <c r="AO1556" s="44"/>
      <c r="AP1556" s="44"/>
      <c r="AQ1556" s="44"/>
      <c r="AR1556" s="44"/>
    </row>
    <row r="1557" spans="1:44" ht="16.8">
      <c r="A1557" s="78" t="s">
        <v>3119</v>
      </c>
      <c r="B1557" s="79"/>
      <c r="C1557" s="79" t="s">
        <v>3117</v>
      </c>
      <c r="D1557" s="19" t="s">
        <v>3118</v>
      </c>
      <c r="E1557" s="20" t="s">
        <v>414</v>
      </c>
      <c r="F1557" s="21">
        <v>2003</v>
      </c>
      <c r="G1557" s="40">
        <v>2022</v>
      </c>
      <c r="H1557" s="23">
        <v>6980387823046</v>
      </c>
      <c r="I1557" s="23">
        <v>14004792678863</v>
      </c>
      <c r="J1557" s="23">
        <v>6952065052069</v>
      </c>
      <c r="K1557" s="23">
        <f t="shared" ref="K1557:K1558" si="588">AVERAGE(J1556:J1557)</f>
        <v>7065063978530.5</v>
      </c>
      <c r="L1557" s="23">
        <v>5427179815958</v>
      </c>
      <c r="M1557" s="23">
        <f t="shared" si="551"/>
        <v>7052727626794</v>
      </c>
      <c r="N1557" s="23">
        <v>12787155345809</v>
      </c>
      <c r="O1557" s="25">
        <f t="shared" si="572"/>
        <v>1553208007088</v>
      </c>
      <c r="P1557" s="23">
        <v>374655514295</v>
      </c>
      <c r="Q1557" s="23">
        <f>1446024851216+409162881014</f>
        <v>1855187732230</v>
      </c>
      <c r="R1557" s="25">
        <f t="shared" si="573"/>
        <v>10931967613579</v>
      </c>
      <c r="S1557" s="26">
        <f t="shared" si="574"/>
        <v>0.49640613834730568</v>
      </c>
      <c r="T1557" s="27">
        <f t="shared" si="575"/>
        <v>1.2861906293432492</v>
      </c>
      <c r="U1557" s="26">
        <f t="shared" si="576"/>
        <v>30.270420721165323</v>
      </c>
      <c r="V1557" s="26">
        <f t="shared" si="577"/>
        <v>1.8099135952154064</v>
      </c>
      <c r="W1557" s="143"/>
      <c r="X1557" s="143"/>
      <c r="Y1557" s="143"/>
      <c r="Z1557" s="30">
        <f t="shared" si="586"/>
        <v>0</v>
      </c>
      <c r="AA1557" s="31">
        <f t="shared" si="548"/>
        <v>19</v>
      </c>
      <c r="AB1557" s="32">
        <v>3.15E-2</v>
      </c>
      <c r="AC1557" s="32">
        <v>8.0199999999999994E-2</v>
      </c>
      <c r="AD1557" s="33">
        <f t="shared" si="499"/>
        <v>0.11090546234448788</v>
      </c>
      <c r="AE1557" s="34">
        <f t="shared" si="500"/>
        <v>2.6751950056387194E-2</v>
      </c>
      <c r="AF1557" s="33">
        <f t="shared" si="501"/>
        <v>0.78058760770363134</v>
      </c>
      <c r="AG1557" s="33">
        <f t="shared" si="502"/>
        <v>0</v>
      </c>
      <c r="AH1557" s="35">
        <f t="shared" si="503"/>
        <v>1.8393319467002718</v>
      </c>
      <c r="AI1557" s="36">
        <f t="shared" si="582"/>
        <v>4.585810337014582</v>
      </c>
      <c r="AJ1557" s="23"/>
      <c r="AK1557" s="173">
        <v>724</v>
      </c>
      <c r="AL1557" s="44"/>
      <c r="AM1557" s="44"/>
      <c r="AN1557" s="44"/>
      <c r="AO1557" s="44"/>
      <c r="AP1557" s="44"/>
      <c r="AQ1557" s="44"/>
      <c r="AR1557" s="44"/>
    </row>
    <row r="1558" spans="1:44" ht="16.8">
      <c r="A1558" s="78" t="s">
        <v>3120</v>
      </c>
      <c r="B1558" s="79"/>
      <c r="C1558" s="79" t="s">
        <v>3117</v>
      </c>
      <c r="D1558" s="19" t="s">
        <v>3118</v>
      </c>
      <c r="E1558" s="20" t="s">
        <v>414</v>
      </c>
      <c r="F1558" s="21">
        <v>2003</v>
      </c>
      <c r="G1558" s="40">
        <v>2023</v>
      </c>
      <c r="H1558" s="23">
        <v>6964136145544</v>
      </c>
      <c r="I1558" s="23">
        <v>12391014153489</v>
      </c>
      <c r="J1558" s="23">
        <v>5277094578456</v>
      </c>
      <c r="K1558" s="23">
        <f t="shared" si="588"/>
        <v>6114579815262.5</v>
      </c>
      <c r="L1558" s="23">
        <v>4214062392084</v>
      </c>
      <c r="M1558" s="23">
        <f t="shared" si="551"/>
        <v>7113919575033</v>
      </c>
      <c r="N1558" s="23">
        <v>8905535115422</v>
      </c>
      <c r="O1558" s="25">
        <f t="shared" si="572"/>
        <v>2750073753460</v>
      </c>
      <c r="P1558" s="23">
        <v>135183911458</v>
      </c>
      <c r="Q1558" s="23">
        <f>1181128387116+422014760777</f>
        <v>1603143147893</v>
      </c>
      <c r="R1558" s="25">
        <f t="shared" si="573"/>
        <v>7302391967529</v>
      </c>
      <c r="S1558" s="26">
        <f t="shared" si="574"/>
        <v>0.42588076432550132</v>
      </c>
      <c r="T1558" s="27">
        <f t="shared" si="575"/>
        <v>1.6525944557977921</v>
      </c>
      <c r="U1558" s="26">
        <f t="shared" si="576"/>
        <v>30.147992660801698</v>
      </c>
      <c r="V1558" s="26">
        <f t="shared" si="577"/>
        <v>1.4564426967153234</v>
      </c>
      <c r="W1558" s="143"/>
      <c r="X1558" s="143"/>
      <c r="Y1558" s="143"/>
      <c r="Z1558" s="30">
        <f t="shared" si="586"/>
        <v>0</v>
      </c>
      <c r="AA1558" s="31">
        <f t="shared" si="548"/>
        <v>20</v>
      </c>
      <c r="AB1558" s="32">
        <v>3.2500000000000001E-2</v>
      </c>
      <c r="AC1558" s="32">
        <v>5.0500000000000003E-2</v>
      </c>
      <c r="AD1558" s="33">
        <f t="shared" si="499"/>
        <v>0.22194097427333243</v>
      </c>
      <c r="AE1558" s="34">
        <f t="shared" si="500"/>
        <v>1.090983431892341E-2</v>
      </c>
      <c r="AF1558" s="33">
        <f t="shared" si="501"/>
        <v>0.58932964461773529</v>
      </c>
      <c r="AG1558" s="33">
        <f t="shared" si="502"/>
        <v>0</v>
      </c>
      <c r="AH1558" s="35">
        <f t="shared" si="503"/>
        <v>1.6875830029234815</v>
      </c>
      <c r="AI1558" s="36">
        <f t="shared" si="582"/>
        <v>3.9139737673364996</v>
      </c>
      <c r="AJ1558" s="23"/>
      <c r="AK1558" s="173">
        <v>725</v>
      </c>
      <c r="AL1558" s="44"/>
      <c r="AM1558" s="44"/>
      <c r="AN1558" s="44"/>
      <c r="AO1558" s="44"/>
      <c r="AP1558" s="44"/>
      <c r="AQ1558" s="44"/>
      <c r="AR1558" s="44"/>
    </row>
    <row r="1559" spans="1:44" ht="16.8">
      <c r="A1559" s="78" t="s">
        <v>3121</v>
      </c>
      <c r="B1559" s="79">
        <v>599</v>
      </c>
      <c r="C1559" s="79" t="s">
        <v>3122</v>
      </c>
      <c r="D1559" s="19" t="s">
        <v>3123</v>
      </c>
      <c r="E1559" s="20" t="s">
        <v>414</v>
      </c>
      <c r="F1559" s="21">
        <v>2001</v>
      </c>
      <c r="G1559" s="40">
        <v>2021</v>
      </c>
      <c r="H1559" s="23">
        <v>13420987203</v>
      </c>
      <c r="I1559" s="23">
        <v>14372699213</v>
      </c>
      <c r="J1559" s="23">
        <v>4151494323</v>
      </c>
      <c r="K1559" s="23">
        <f>(J1559+5870070445)/2</f>
        <v>5010782384</v>
      </c>
      <c r="L1559" s="23">
        <v>2253779902</v>
      </c>
      <c r="M1559" s="23">
        <f t="shared" si="551"/>
        <v>10221204890</v>
      </c>
      <c r="N1559" s="23">
        <v>3746129199</v>
      </c>
      <c r="O1559" s="25">
        <f t="shared" si="572"/>
        <v>11167207301</v>
      </c>
      <c r="P1559" s="23">
        <v>1204548860</v>
      </c>
      <c r="Q1559" s="23">
        <f>204822813+181777919</f>
        <v>386600732</v>
      </c>
      <c r="R1559" s="25">
        <f t="shared" si="573"/>
        <v>3359528467</v>
      </c>
      <c r="S1559" s="26">
        <f t="shared" si="574"/>
        <v>0.28884583622573862</v>
      </c>
      <c r="T1559" s="27">
        <f t="shared" si="575"/>
        <v>5.9548792635386629</v>
      </c>
      <c r="U1559" s="26">
        <f t="shared" si="576"/>
        <v>23.388596356071872</v>
      </c>
      <c r="V1559" s="26">
        <f t="shared" si="577"/>
        <v>0.74761362835508838</v>
      </c>
      <c r="W1559" s="143"/>
      <c r="X1559" s="143"/>
      <c r="Y1559" s="143"/>
      <c r="Z1559" s="30">
        <f t="shared" si="586"/>
        <v>0</v>
      </c>
      <c r="AA1559" s="31">
        <f t="shared" si="548"/>
        <v>20</v>
      </c>
      <c r="AB1559" s="32">
        <v>1.84E-2</v>
      </c>
      <c r="AC1559" s="32">
        <v>2.58E-2</v>
      </c>
      <c r="AD1559" s="33">
        <f t="shared" si="499"/>
        <v>0.77697356185533639</v>
      </c>
      <c r="AE1559" s="34">
        <f t="shared" si="500"/>
        <v>8.380811719141068E-2</v>
      </c>
      <c r="AF1559" s="33">
        <f t="shared" si="501"/>
        <v>0.23374373993448158</v>
      </c>
      <c r="AG1559" s="33">
        <f t="shared" si="502"/>
        <v>0</v>
      </c>
      <c r="AH1559" s="35">
        <f t="shared" si="503"/>
        <v>0.90235681601340345</v>
      </c>
      <c r="AI1559" s="36">
        <f t="shared" si="582"/>
        <v>2.7234107960915712</v>
      </c>
      <c r="AJ1559" s="23"/>
      <c r="AK1559" s="173">
        <v>726</v>
      </c>
      <c r="AL1559" s="44"/>
      <c r="AM1559" s="44"/>
      <c r="AN1559" s="44"/>
      <c r="AO1559" s="44"/>
      <c r="AP1559" s="44"/>
      <c r="AQ1559" s="44"/>
      <c r="AR1559" s="44"/>
    </row>
    <row r="1560" spans="1:44" ht="16.8">
      <c r="A1560" s="78" t="s">
        <v>3124</v>
      </c>
      <c r="B1560" s="79"/>
      <c r="C1560" s="79" t="s">
        <v>3122</v>
      </c>
      <c r="D1560" s="19" t="s">
        <v>3123</v>
      </c>
      <c r="E1560" s="20" t="s">
        <v>414</v>
      </c>
      <c r="F1560" s="21">
        <v>2001</v>
      </c>
      <c r="G1560" s="40">
        <v>2022</v>
      </c>
      <c r="H1560" s="23">
        <v>20505858919</v>
      </c>
      <c r="I1560" s="23">
        <v>21539250652</v>
      </c>
      <c r="J1560" s="23">
        <v>9744717268</v>
      </c>
      <c r="K1560" s="23">
        <f t="shared" ref="K1560:K1561" si="589">AVERAGE(J1559:J1560)</f>
        <v>6948105795.5</v>
      </c>
      <c r="L1560" s="23">
        <v>3502562996</v>
      </c>
      <c r="M1560" s="23">
        <f t="shared" si="551"/>
        <v>11794533384</v>
      </c>
      <c r="N1560" s="23">
        <v>2973585022</v>
      </c>
      <c r="O1560" s="25">
        <f t="shared" si="572"/>
        <v>17003295923</v>
      </c>
      <c r="P1560" s="23">
        <v>1082246744</v>
      </c>
      <c r="Q1560" s="23">
        <f>175245966+219168679</f>
        <v>394414645</v>
      </c>
      <c r="R1560" s="25">
        <f t="shared" si="573"/>
        <v>2579170377</v>
      </c>
      <c r="S1560" s="26">
        <f t="shared" si="574"/>
        <v>0.45241672634953839</v>
      </c>
      <c r="T1560" s="27">
        <f t="shared" si="575"/>
        <v>5.8545296522626771</v>
      </c>
      <c r="U1560" s="26">
        <f t="shared" si="576"/>
        <v>23.793142719397277</v>
      </c>
      <c r="V1560" s="26">
        <f t="shared" si="577"/>
        <v>0.42797060227923811</v>
      </c>
      <c r="W1560" s="143"/>
      <c r="X1560" s="143"/>
      <c r="Y1560" s="143"/>
      <c r="Z1560" s="30">
        <f t="shared" si="586"/>
        <v>0</v>
      </c>
      <c r="AA1560" s="31">
        <f t="shared" si="548"/>
        <v>21</v>
      </c>
      <c r="AB1560" s="32">
        <v>3.15E-2</v>
      </c>
      <c r="AC1560" s="32">
        <v>8.0199999999999994E-2</v>
      </c>
      <c r="AD1560" s="33">
        <f t="shared" si="499"/>
        <v>0.7894098173476235</v>
      </c>
      <c r="AE1560" s="34">
        <f t="shared" si="500"/>
        <v>5.0245329398193775E-2</v>
      </c>
      <c r="AF1560" s="33">
        <f t="shared" si="501"/>
        <v>0.11974280900809864</v>
      </c>
      <c r="AG1560" s="33">
        <f t="shared" si="502"/>
        <v>0</v>
      </c>
      <c r="AH1560" s="35">
        <f t="shared" si="503"/>
        <v>0.30514841428645129</v>
      </c>
      <c r="AI1560" s="36">
        <f t="shared" si="582"/>
        <v>1.7179349259877963</v>
      </c>
      <c r="AJ1560" s="23"/>
      <c r="AK1560" s="173">
        <v>727</v>
      </c>
      <c r="AL1560" s="44"/>
      <c r="AM1560" s="44"/>
      <c r="AN1560" s="44"/>
      <c r="AO1560" s="44"/>
      <c r="AP1560" s="44"/>
      <c r="AQ1560" s="44"/>
      <c r="AR1560" s="44"/>
    </row>
    <row r="1561" spans="1:44" ht="16.8">
      <c r="A1561" s="78" t="s">
        <v>3125</v>
      </c>
      <c r="B1561" s="79"/>
      <c r="C1561" s="79" t="s">
        <v>3122</v>
      </c>
      <c r="D1561" s="19" t="s">
        <v>3123</v>
      </c>
      <c r="E1561" s="20" t="s">
        <v>414</v>
      </c>
      <c r="F1561" s="21">
        <v>2001</v>
      </c>
      <c r="G1561" s="40">
        <v>2023</v>
      </c>
      <c r="H1561" s="23">
        <v>24736915318</v>
      </c>
      <c r="I1561" s="23">
        <v>26480719916</v>
      </c>
      <c r="J1561" s="23">
        <v>10957815586</v>
      </c>
      <c r="K1561" s="23">
        <f t="shared" si="589"/>
        <v>10351266427</v>
      </c>
      <c r="L1561" s="23">
        <v>5345531698</v>
      </c>
      <c r="M1561" s="23">
        <f t="shared" si="551"/>
        <v>15522904330</v>
      </c>
      <c r="N1561" s="23">
        <v>2166305461</v>
      </c>
      <c r="O1561" s="25">
        <f t="shared" si="572"/>
        <v>19391383620</v>
      </c>
      <c r="P1561" s="23">
        <v>729500026</v>
      </c>
      <c r="Q1561" s="23">
        <f>162401036+204561098</f>
        <v>366962134</v>
      </c>
      <c r="R1561" s="25">
        <f t="shared" si="573"/>
        <v>1799343327</v>
      </c>
      <c r="S1561" s="26">
        <f t="shared" si="574"/>
        <v>0.41380353784789453</v>
      </c>
      <c r="T1561" s="27">
        <f t="shared" si="575"/>
        <v>4.6275874348018879</v>
      </c>
      <c r="U1561" s="26">
        <f t="shared" si="576"/>
        <v>23.999682754805775</v>
      </c>
      <c r="V1561" s="26">
        <f t="shared" si="577"/>
        <v>0.20927926802748115</v>
      </c>
      <c r="W1561" s="143"/>
      <c r="X1561" s="143"/>
      <c r="Y1561" s="143"/>
      <c r="Z1561" s="30">
        <f t="shared" si="586"/>
        <v>0</v>
      </c>
      <c r="AA1561" s="31">
        <f t="shared" si="548"/>
        <v>22</v>
      </c>
      <c r="AB1561" s="32">
        <v>3.2500000000000001E-2</v>
      </c>
      <c r="AC1561" s="32">
        <v>5.0500000000000003E-2</v>
      </c>
      <c r="AD1561" s="33">
        <f t="shared" si="499"/>
        <v>0.73228309809974124</v>
      </c>
      <c r="AE1561" s="34">
        <f t="shared" si="500"/>
        <v>2.7548345676177272E-2</v>
      </c>
      <c r="AF1561" s="33">
        <f t="shared" si="501"/>
        <v>6.7949184641041924E-2</v>
      </c>
      <c r="AG1561" s="33">
        <f t="shared" si="502"/>
        <v>0</v>
      </c>
      <c r="AH1561" s="35">
        <f t="shared" si="503"/>
        <v>0.19769500992220843</v>
      </c>
      <c r="AI1561" s="36">
        <f t="shared" si="582"/>
        <v>1.3392347209039843</v>
      </c>
      <c r="AJ1561" s="23"/>
      <c r="AK1561" s="173">
        <v>728</v>
      </c>
      <c r="AL1561" s="44"/>
      <c r="AM1561" s="44"/>
      <c r="AN1561" s="44"/>
      <c r="AO1561" s="44"/>
      <c r="AP1561" s="44"/>
      <c r="AQ1561" s="44"/>
      <c r="AR1561" s="44"/>
    </row>
    <row r="1562" spans="1:44" ht="16.8">
      <c r="A1562" s="45"/>
      <c r="B1562" s="45">
        <v>600</v>
      </c>
      <c r="C1562" s="45" t="s">
        <v>3126</v>
      </c>
      <c r="D1562" s="46" t="s">
        <v>3127</v>
      </c>
      <c r="E1562" s="47"/>
      <c r="F1562" s="48"/>
      <c r="G1562" s="48">
        <v>2021</v>
      </c>
      <c r="H1562" s="49"/>
      <c r="I1562" s="49"/>
      <c r="J1562" s="49"/>
      <c r="K1562" s="49"/>
      <c r="L1562" s="49"/>
      <c r="M1562" s="49">
        <f t="shared" si="551"/>
        <v>0</v>
      </c>
      <c r="N1562" s="49"/>
      <c r="O1562" s="49">
        <f t="shared" si="572"/>
        <v>0</v>
      </c>
      <c r="P1562" s="49"/>
      <c r="Q1562" s="49"/>
      <c r="R1562" s="49">
        <f t="shared" si="573"/>
        <v>0</v>
      </c>
      <c r="S1562" s="50" t="e">
        <f t="shared" si="574"/>
        <v>#DIV/0!</v>
      </c>
      <c r="T1562" s="51" t="e">
        <f t="shared" si="575"/>
        <v>#DIV/0!</v>
      </c>
      <c r="U1562" s="50" t="e">
        <f t="shared" si="576"/>
        <v>#NUM!</v>
      </c>
      <c r="V1562" s="50" t="e">
        <f t="shared" si="577"/>
        <v>#DIV/0!</v>
      </c>
      <c r="W1562" s="52"/>
      <c r="X1562" s="52"/>
      <c r="Y1562" s="52"/>
      <c r="Z1562" s="55">
        <f t="shared" si="586"/>
        <v>0</v>
      </c>
      <c r="AA1562" s="48">
        <f t="shared" si="548"/>
        <v>2021</v>
      </c>
      <c r="AB1562" s="49"/>
      <c r="AC1562" s="49"/>
      <c r="AD1562" s="50" t="e">
        <f t="shared" si="499"/>
        <v>#DIV/0!</v>
      </c>
      <c r="AE1562" s="56" t="e">
        <f t="shared" si="500"/>
        <v>#DIV/0!</v>
      </c>
      <c r="AF1562" s="50" t="e">
        <f t="shared" si="501"/>
        <v>#DIV/0!</v>
      </c>
      <c r="AG1562" s="50" t="e">
        <f t="shared" si="502"/>
        <v>#DIV/0!</v>
      </c>
      <c r="AH1562" s="57" t="e">
        <f t="shared" si="503"/>
        <v>#DIV/0!</v>
      </c>
      <c r="AI1562" s="58" t="e">
        <f t="shared" si="582"/>
        <v>#DIV/0!</v>
      </c>
      <c r="AJ1562" s="49"/>
      <c r="AK1562" s="49">
        <v>729</v>
      </c>
      <c r="AL1562" s="59"/>
      <c r="AM1562" s="59"/>
      <c r="AN1562" s="59"/>
      <c r="AO1562" s="59"/>
      <c r="AP1562" s="59"/>
      <c r="AQ1562" s="59"/>
      <c r="AR1562" s="59"/>
    </row>
    <row r="1563" spans="1:44" ht="16.8">
      <c r="A1563" s="78" t="s">
        <v>3128</v>
      </c>
      <c r="B1563" s="79">
        <v>601</v>
      </c>
      <c r="C1563" s="79" t="s">
        <v>3129</v>
      </c>
      <c r="D1563" s="19" t="s">
        <v>3130</v>
      </c>
      <c r="E1563" s="20" t="s">
        <v>414</v>
      </c>
      <c r="F1563" s="21">
        <v>2005</v>
      </c>
      <c r="G1563" s="40">
        <v>2021</v>
      </c>
      <c r="H1563" s="23">
        <v>786726817967</v>
      </c>
      <c r="I1563" s="23">
        <v>2145532682472</v>
      </c>
      <c r="J1563" s="23">
        <v>1464954869120</v>
      </c>
      <c r="K1563" s="23">
        <f>(J1563+1365871385452)/2</f>
        <v>1415413127286</v>
      </c>
      <c r="L1563" s="23">
        <v>647324780290</v>
      </c>
      <c r="M1563" s="23">
        <f t="shared" si="551"/>
        <v>680577813352</v>
      </c>
      <c r="N1563" s="23">
        <v>4361399276305</v>
      </c>
      <c r="O1563" s="25">
        <f t="shared" si="572"/>
        <v>139402037677</v>
      </c>
      <c r="P1563" s="23">
        <v>48033239959</v>
      </c>
      <c r="Q1563" s="23">
        <f>58228715538+69810764625</f>
        <v>128039480163</v>
      </c>
      <c r="R1563" s="25">
        <f t="shared" si="573"/>
        <v>4233359796142</v>
      </c>
      <c r="S1563" s="26">
        <f t="shared" si="574"/>
        <v>0.68279308028630703</v>
      </c>
      <c r="T1563" s="27">
        <f t="shared" si="575"/>
        <v>1.2153509983266022</v>
      </c>
      <c r="U1563" s="26">
        <f t="shared" si="576"/>
        <v>28.39440897429483</v>
      </c>
      <c r="V1563" s="26">
        <f t="shared" si="577"/>
        <v>3.0813613299375104</v>
      </c>
      <c r="W1563" s="143"/>
      <c r="X1563" s="143"/>
      <c r="Y1563" s="143"/>
      <c r="Z1563" s="30">
        <f t="shared" si="586"/>
        <v>0</v>
      </c>
      <c r="AA1563" s="31">
        <f t="shared" si="548"/>
        <v>16</v>
      </c>
      <c r="AB1563" s="32">
        <v>1.84E-2</v>
      </c>
      <c r="AC1563" s="32">
        <v>2.58E-2</v>
      </c>
      <c r="AD1563" s="33">
        <f t="shared" si="499"/>
        <v>6.4973159726649493E-2</v>
      </c>
      <c r="AE1563" s="34">
        <f t="shared" si="500"/>
        <v>2.2387559206815694E-2</v>
      </c>
      <c r="AF1563" s="33">
        <f t="shared" si="501"/>
        <v>1.9731043161106667</v>
      </c>
      <c r="AG1563" s="33">
        <f t="shared" si="502"/>
        <v>0</v>
      </c>
      <c r="AH1563" s="35">
        <f t="shared" si="503"/>
        <v>2.9771560668793144</v>
      </c>
      <c r="AI1563" s="36">
        <f t="shared" si="582"/>
        <v>9.5977106846060352</v>
      </c>
      <c r="AJ1563" s="23"/>
      <c r="AK1563" s="173">
        <v>730</v>
      </c>
      <c r="AL1563" s="44"/>
      <c r="AM1563" s="44"/>
      <c r="AN1563" s="44"/>
      <c r="AO1563" s="44"/>
      <c r="AP1563" s="44"/>
      <c r="AQ1563" s="44"/>
      <c r="AR1563" s="44"/>
    </row>
    <row r="1564" spans="1:44" ht="16.8">
      <c r="A1564" s="78" t="s">
        <v>3131</v>
      </c>
      <c r="B1564" s="79"/>
      <c r="C1564" s="79" t="s">
        <v>3129</v>
      </c>
      <c r="D1564" s="19" t="s">
        <v>3130</v>
      </c>
      <c r="E1564" s="20" t="s">
        <v>414</v>
      </c>
      <c r="F1564" s="21">
        <v>2005</v>
      </c>
      <c r="G1564" s="40">
        <v>2022</v>
      </c>
      <c r="H1564" s="23">
        <v>800341806754</v>
      </c>
      <c r="I1564" s="23">
        <v>2170738304023</v>
      </c>
      <c r="J1564" s="23">
        <v>1461759189596</v>
      </c>
      <c r="K1564" s="23">
        <f t="shared" ref="K1564:K1565" si="590">AVERAGE(J1563:J1564)</f>
        <v>1463357029358</v>
      </c>
      <c r="L1564" s="23">
        <v>577491594888</v>
      </c>
      <c r="M1564" s="23">
        <f t="shared" si="551"/>
        <v>708979114427</v>
      </c>
      <c r="N1564" s="23">
        <v>5163639671006</v>
      </c>
      <c r="O1564" s="25">
        <f t="shared" si="572"/>
        <v>222850211866</v>
      </c>
      <c r="P1564" s="23">
        <v>59013313030</v>
      </c>
      <c r="Q1564" s="23">
        <f>66112540513+71238957282</f>
        <v>137351497795</v>
      </c>
      <c r="R1564" s="25">
        <f t="shared" si="573"/>
        <v>5026288173211</v>
      </c>
      <c r="S1564" s="26">
        <f t="shared" si="574"/>
        <v>0.67339263645320191</v>
      </c>
      <c r="T1564" s="27">
        <f t="shared" si="575"/>
        <v>1.3858934291662204</v>
      </c>
      <c r="U1564" s="26">
        <f t="shared" si="576"/>
        <v>28.406088457883708</v>
      </c>
      <c r="V1564" s="26">
        <f t="shared" si="577"/>
        <v>3.5286260067861757</v>
      </c>
      <c r="W1564" s="143"/>
      <c r="X1564" s="143"/>
      <c r="Y1564" s="143"/>
      <c r="Z1564" s="30">
        <f t="shared" si="586"/>
        <v>0</v>
      </c>
      <c r="AA1564" s="31">
        <f t="shared" si="548"/>
        <v>17</v>
      </c>
      <c r="AB1564" s="32">
        <v>3.15E-2</v>
      </c>
      <c r="AC1564" s="32">
        <v>8.0199999999999994E-2</v>
      </c>
      <c r="AD1564" s="33">
        <f t="shared" si="499"/>
        <v>0.10266102157638934</v>
      </c>
      <c r="AE1564" s="34">
        <f t="shared" si="500"/>
        <v>2.7185825633901341E-2</v>
      </c>
      <c r="AF1564" s="33">
        <f t="shared" si="501"/>
        <v>2.3154740319898757</v>
      </c>
      <c r="AG1564" s="33">
        <f t="shared" si="502"/>
        <v>0</v>
      </c>
      <c r="AH1564" s="35">
        <f t="shared" si="503"/>
        <v>3.5324831256461082</v>
      </c>
      <c r="AI1564" s="36">
        <f t="shared" si="582"/>
        <v>11.334800812991826</v>
      </c>
      <c r="AJ1564" s="23"/>
      <c r="AK1564" s="173">
        <v>731</v>
      </c>
      <c r="AL1564" s="44"/>
      <c r="AM1564" s="44"/>
      <c r="AN1564" s="44"/>
      <c r="AO1564" s="44"/>
      <c r="AP1564" s="44"/>
      <c r="AQ1564" s="44"/>
      <c r="AR1564" s="44"/>
    </row>
    <row r="1565" spans="1:44" ht="16.8">
      <c r="A1565" s="78" t="s">
        <v>3131</v>
      </c>
      <c r="B1565" s="79"/>
      <c r="C1565" s="79" t="s">
        <v>3129</v>
      </c>
      <c r="D1565" s="19" t="s">
        <v>3130</v>
      </c>
      <c r="E1565" s="20" t="s">
        <v>414</v>
      </c>
      <c r="F1565" s="21">
        <v>2005</v>
      </c>
      <c r="G1565" s="40">
        <v>2023</v>
      </c>
      <c r="H1565" s="23">
        <v>958971243972</v>
      </c>
      <c r="I1565" s="23">
        <v>2299408502509</v>
      </c>
      <c r="J1565" s="23">
        <v>1599531283274</v>
      </c>
      <c r="K1565" s="23">
        <f t="shared" si="590"/>
        <v>1530645236435</v>
      </c>
      <c r="L1565" s="23">
        <v>764971229226</v>
      </c>
      <c r="M1565" s="23">
        <f t="shared" si="551"/>
        <v>699877219235</v>
      </c>
      <c r="N1565" s="23">
        <v>6205324513409</v>
      </c>
      <c r="O1565" s="25">
        <f t="shared" si="572"/>
        <v>194000014746</v>
      </c>
      <c r="P1565" s="23">
        <v>54816796367</v>
      </c>
      <c r="Q1565" s="23">
        <f>67094674481+94066871002</f>
        <v>161161545483</v>
      </c>
      <c r="R1565" s="25">
        <f t="shared" si="573"/>
        <v>6044162967926</v>
      </c>
      <c r="S1565" s="26">
        <f t="shared" si="574"/>
        <v>0.69562728046307176</v>
      </c>
      <c r="T1565" s="27">
        <f t="shared" si="575"/>
        <v>1.2536043282860321</v>
      </c>
      <c r="U1565" s="26">
        <f t="shared" si="576"/>
        <v>28.463673032966877</v>
      </c>
      <c r="V1565" s="26">
        <f t="shared" si="577"/>
        <v>4.0540579656862334</v>
      </c>
      <c r="W1565" s="143"/>
      <c r="X1565" s="143"/>
      <c r="Y1565" s="143"/>
      <c r="Z1565" s="30">
        <f t="shared" si="586"/>
        <v>0</v>
      </c>
      <c r="AA1565" s="31">
        <f t="shared" si="548"/>
        <v>18</v>
      </c>
      <c r="AB1565" s="32">
        <v>3.2500000000000001E-2</v>
      </c>
      <c r="AC1565" s="32">
        <v>5.0500000000000003E-2</v>
      </c>
      <c r="AD1565" s="33">
        <f t="shared" si="499"/>
        <v>8.43695300484089E-2</v>
      </c>
      <c r="AE1565" s="34">
        <f t="shared" si="500"/>
        <v>2.3839520601574987E-2</v>
      </c>
      <c r="AF1565" s="33">
        <f t="shared" si="501"/>
        <v>2.6285729400978166</v>
      </c>
      <c r="AG1565" s="33">
        <f t="shared" si="502"/>
        <v>0</v>
      </c>
      <c r="AH1565" s="35">
        <f t="shared" si="503"/>
        <v>3.879464302009545</v>
      </c>
      <c r="AI1565" s="36">
        <f t="shared" si="582"/>
        <v>12.688373769232635</v>
      </c>
      <c r="AJ1565" s="23"/>
      <c r="AK1565" s="173">
        <v>732</v>
      </c>
      <c r="AL1565" s="44"/>
      <c r="AM1565" s="44"/>
      <c r="AN1565" s="44"/>
      <c r="AO1565" s="44"/>
      <c r="AP1565" s="44"/>
      <c r="AQ1565" s="44"/>
      <c r="AR1565" s="44"/>
    </row>
    <row r="1566" spans="1:44" ht="16.8">
      <c r="A1566" s="78" t="s">
        <v>3132</v>
      </c>
      <c r="B1566" s="79">
        <v>602</v>
      </c>
      <c r="C1566" s="79" t="s">
        <v>3133</v>
      </c>
      <c r="D1566" s="19" t="s">
        <v>3134</v>
      </c>
      <c r="E1566" s="20" t="s">
        <v>414</v>
      </c>
      <c r="F1566" s="21">
        <v>2001</v>
      </c>
      <c r="G1566" s="40">
        <v>2021</v>
      </c>
      <c r="H1566" s="23">
        <v>788809707350</v>
      </c>
      <c r="I1566" s="23">
        <v>1074983254681</v>
      </c>
      <c r="J1566" s="23">
        <v>457038359501</v>
      </c>
      <c r="K1566" s="23">
        <f>(J1566+505365588824)/2</f>
        <v>481201974162.5</v>
      </c>
      <c r="L1566" s="23">
        <v>450149312216</v>
      </c>
      <c r="M1566" s="23">
        <f t="shared" si="551"/>
        <v>617944895180</v>
      </c>
      <c r="N1566" s="23">
        <v>494512891008</v>
      </c>
      <c r="O1566" s="25">
        <f t="shared" si="572"/>
        <v>338660395134</v>
      </c>
      <c r="P1566" s="23">
        <v>18072462878</v>
      </c>
      <c r="Q1566" s="23">
        <f>29117767675+20237345140</f>
        <v>49355112815</v>
      </c>
      <c r="R1566" s="25">
        <f t="shared" si="573"/>
        <v>445157778193</v>
      </c>
      <c r="S1566" s="26">
        <f t="shared" si="574"/>
        <v>0.42515858503919263</v>
      </c>
      <c r="T1566" s="27">
        <f t="shared" si="575"/>
        <v>1.7523290293765836</v>
      </c>
      <c r="U1566" s="26">
        <f t="shared" si="576"/>
        <v>27.70332620034592</v>
      </c>
      <c r="V1566" s="26">
        <f t="shared" si="577"/>
        <v>1.0276618084717271</v>
      </c>
      <c r="W1566" s="143"/>
      <c r="X1566" s="143"/>
      <c r="Y1566" s="143"/>
      <c r="Z1566" s="30">
        <f t="shared" si="586"/>
        <v>0</v>
      </c>
      <c r="AA1566" s="31">
        <f t="shared" si="548"/>
        <v>20</v>
      </c>
      <c r="AB1566" s="32">
        <v>1.84E-2</v>
      </c>
      <c r="AC1566" s="32">
        <v>2.58E-2</v>
      </c>
      <c r="AD1566" s="33">
        <f t="shared" si="499"/>
        <v>0.31503783306326671</v>
      </c>
      <c r="AE1566" s="34">
        <f t="shared" si="500"/>
        <v>1.6811855253841122E-2</v>
      </c>
      <c r="AF1566" s="33">
        <f t="shared" si="501"/>
        <v>0.41410670934134697</v>
      </c>
      <c r="AG1566" s="33">
        <f t="shared" si="502"/>
        <v>0</v>
      </c>
      <c r="AH1566" s="35">
        <f t="shared" si="503"/>
        <v>1.0819942806286875</v>
      </c>
      <c r="AI1566" s="36">
        <f t="shared" si="582"/>
        <v>2.8501284184864302</v>
      </c>
      <c r="AJ1566" s="23"/>
      <c r="AK1566" s="173">
        <v>733</v>
      </c>
      <c r="AL1566" s="44"/>
      <c r="AM1566" s="44"/>
      <c r="AN1566" s="44"/>
      <c r="AO1566" s="44"/>
      <c r="AP1566" s="44"/>
      <c r="AQ1566" s="44"/>
      <c r="AR1566" s="44"/>
    </row>
    <row r="1567" spans="1:44" ht="16.8">
      <c r="A1567" s="78" t="s">
        <v>3135</v>
      </c>
      <c r="B1567" s="79"/>
      <c r="C1567" s="79" t="s">
        <v>3133</v>
      </c>
      <c r="D1567" s="19" t="s">
        <v>3134</v>
      </c>
      <c r="E1567" s="20" t="s">
        <v>414</v>
      </c>
      <c r="F1567" s="21">
        <v>2001</v>
      </c>
      <c r="G1567" s="40">
        <v>2022</v>
      </c>
      <c r="H1567" s="23">
        <v>675732790882</v>
      </c>
      <c r="I1567" s="23">
        <v>926751669991</v>
      </c>
      <c r="J1567" s="23">
        <v>293803003931</v>
      </c>
      <c r="K1567" s="23">
        <f t="shared" ref="K1567:K1568" si="591">AVERAGE(J1566:J1567)</f>
        <v>375420681716</v>
      </c>
      <c r="L1567" s="23">
        <v>288807003931</v>
      </c>
      <c r="M1567" s="23">
        <f t="shared" si="551"/>
        <v>632948666060</v>
      </c>
      <c r="N1567" s="23">
        <v>598974736935</v>
      </c>
      <c r="O1567" s="25">
        <f t="shared" si="572"/>
        <v>386925786951</v>
      </c>
      <c r="P1567" s="23">
        <v>16847017168</v>
      </c>
      <c r="Q1567" s="23">
        <f>26797677496+23921075045</f>
        <v>50718752541</v>
      </c>
      <c r="R1567" s="25">
        <f t="shared" si="573"/>
        <v>548255984394</v>
      </c>
      <c r="S1567" s="26">
        <f t="shared" si="574"/>
        <v>0.31702452063976666</v>
      </c>
      <c r="T1567" s="27">
        <f t="shared" si="575"/>
        <v>2.3397382393241473</v>
      </c>
      <c r="U1567" s="26">
        <f t="shared" si="576"/>
        <v>27.554951480962142</v>
      </c>
      <c r="V1567" s="26">
        <f t="shared" si="577"/>
        <v>1.5954761314618122</v>
      </c>
      <c r="W1567" s="143"/>
      <c r="X1567" s="143"/>
      <c r="Y1567" s="143"/>
      <c r="Z1567" s="30">
        <f t="shared" si="586"/>
        <v>0</v>
      </c>
      <c r="AA1567" s="31">
        <f t="shared" si="548"/>
        <v>21</v>
      </c>
      <c r="AB1567" s="32">
        <v>3.15E-2</v>
      </c>
      <c r="AC1567" s="32">
        <v>8.0199999999999994E-2</v>
      </c>
      <c r="AD1567" s="33">
        <f t="shared" si="499"/>
        <v>0.41750751520605034</v>
      </c>
      <c r="AE1567" s="34">
        <f t="shared" si="500"/>
        <v>1.8178566830274617E-2</v>
      </c>
      <c r="AF1567" s="33">
        <f t="shared" si="501"/>
        <v>0.59158888205653226</v>
      </c>
      <c r="AG1567" s="33">
        <f t="shared" si="502"/>
        <v>0</v>
      </c>
      <c r="AH1567" s="35">
        <f t="shared" si="503"/>
        <v>2.038695074321534</v>
      </c>
      <c r="AI1567" s="36">
        <f t="shared" si="582"/>
        <v>4.517397396917735</v>
      </c>
      <c r="AJ1567" s="23"/>
      <c r="AK1567" s="173">
        <v>734</v>
      </c>
      <c r="AL1567" s="44"/>
      <c r="AM1567" s="44"/>
      <c r="AN1567" s="44"/>
      <c r="AO1567" s="44"/>
      <c r="AP1567" s="44"/>
      <c r="AQ1567" s="44"/>
      <c r="AR1567" s="44"/>
    </row>
    <row r="1568" spans="1:44" ht="16.8">
      <c r="A1568" s="78" t="s">
        <v>3136</v>
      </c>
      <c r="B1568" s="79"/>
      <c r="C1568" s="79" t="s">
        <v>3133</v>
      </c>
      <c r="D1568" s="19" t="s">
        <v>3134</v>
      </c>
      <c r="E1568" s="20" t="s">
        <v>414</v>
      </c>
      <c r="F1568" s="21">
        <v>2001</v>
      </c>
      <c r="G1568" s="40">
        <v>2023</v>
      </c>
      <c r="H1568" s="23">
        <v>663046581128</v>
      </c>
      <c r="I1568" s="23">
        <v>879404481518</v>
      </c>
      <c r="J1568" s="23">
        <v>238361615011</v>
      </c>
      <c r="K1568" s="23">
        <f t="shared" si="591"/>
        <v>266082309471</v>
      </c>
      <c r="L1568" s="23">
        <v>234276115011</v>
      </c>
      <c r="M1568" s="23">
        <f t="shared" si="551"/>
        <v>641042866507</v>
      </c>
      <c r="N1568" s="23">
        <v>493678640808</v>
      </c>
      <c r="O1568" s="25">
        <f t="shared" si="572"/>
        <v>428770466117</v>
      </c>
      <c r="P1568" s="23">
        <v>9814902164</v>
      </c>
      <c r="Q1568" s="23">
        <f>19742883259+21182749301</f>
        <v>40925632560</v>
      </c>
      <c r="R1568" s="25">
        <f t="shared" si="573"/>
        <v>452753008248</v>
      </c>
      <c r="S1568" s="26">
        <f t="shared" si="574"/>
        <v>0.27104889731690673</v>
      </c>
      <c r="T1568" s="27">
        <f t="shared" si="575"/>
        <v>2.8301928307837438</v>
      </c>
      <c r="U1568" s="26">
        <f t="shared" si="576"/>
        <v>27.502510789788847</v>
      </c>
      <c r="V1568" s="26">
        <f t="shared" si="577"/>
        <v>1.855360628030799</v>
      </c>
      <c r="W1568" s="143"/>
      <c r="X1568" s="143"/>
      <c r="Y1568" s="143"/>
      <c r="Z1568" s="30">
        <f t="shared" si="586"/>
        <v>0</v>
      </c>
      <c r="AA1568" s="31">
        <f t="shared" si="548"/>
        <v>22</v>
      </c>
      <c r="AB1568" s="32">
        <v>3.2500000000000001E-2</v>
      </c>
      <c r="AC1568" s="32">
        <v>5.0500000000000003E-2</v>
      </c>
      <c r="AD1568" s="33">
        <f t="shared" si="499"/>
        <v>0.48756911651947699</v>
      </c>
      <c r="AE1568" s="34">
        <f t="shared" si="500"/>
        <v>1.1160850746470871E-2</v>
      </c>
      <c r="AF1568" s="33">
        <f t="shared" si="501"/>
        <v>0.51484046051991017</v>
      </c>
      <c r="AG1568" s="33">
        <f t="shared" si="502"/>
        <v>0</v>
      </c>
      <c r="AH1568" s="35">
        <f t="shared" si="503"/>
        <v>2.0711331427470716</v>
      </c>
      <c r="AI1568" s="36">
        <f t="shared" si="582"/>
        <v>4.3708147933312063</v>
      </c>
      <c r="AJ1568" s="23"/>
      <c r="AK1568" s="173">
        <v>735</v>
      </c>
      <c r="AL1568" s="44"/>
      <c r="AM1568" s="44"/>
      <c r="AN1568" s="44"/>
      <c r="AO1568" s="44"/>
      <c r="AP1568" s="44"/>
      <c r="AQ1568" s="44"/>
      <c r="AR1568" s="44"/>
    </row>
    <row r="1569" spans="1:44" ht="16.8">
      <c r="A1569" s="78" t="s">
        <v>3137</v>
      </c>
      <c r="B1569" s="79">
        <v>603</v>
      </c>
      <c r="C1569" s="79" t="s">
        <v>3138</v>
      </c>
      <c r="D1569" s="19" t="s">
        <v>3139</v>
      </c>
      <c r="E1569" s="20" t="s">
        <v>414</v>
      </c>
      <c r="F1569" s="21">
        <v>2009</v>
      </c>
      <c r="G1569" s="40">
        <v>2021</v>
      </c>
      <c r="H1569" s="23">
        <v>369255742271</v>
      </c>
      <c r="I1569" s="23">
        <v>729630748766</v>
      </c>
      <c r="J1569" s="23">
        <v>9509711829</v>
      </c>
      <c r="K1569" s="23">
        <f>(J1569+1069613982074)/2</f>
        <v>539561846951.5</v>
      </c>
      <c r="L1569" s="23">
        <v>9509711829</v>
      </c>
      <c r="M1569" s="23">
        <f t="shared" si="551"/>
        <v>720121036937</v>
      </c>
      <c r="N1569" s="23">
        <v>25000000000</v>
      </c>
      <c r="O1569" s="25">
        <f t="shared" si="572"/>
        <v>359746030442</v>
      </c>
      <c r="P1569" s="23">
        <v>68986544872</v>
      </c>
      <c r="Q1569" s="23">
        <v>5903490903</v>
      </c>
      <c r="R1569" s="25">
        <f t="shared" si="573"/>
        <v>19096509097</v>
      </c>
      <c r="S1569" s="26">
        <f t="shared" si="574"/>
        <v>1.3033595205634435E-2</v>
      </c>
      <c r="T1569" s="27">
        <f t="shared" si="575"/>
        <v>38.82933036361306</v>
      </c>
      <c r="U1569" s="26">
        <f t="shared" si="576"/>
        <v>27.315804419508712</v>
      </c>
      <c r="V1569" s="26">
        <f t="shared" si="577"/>
        <v>4.633389136249879E-2</v>
      </c>
      <c r="W1569" s="175"/>
      <c r="X1569" s="175"/>
      <c r="Y1569" s="175"/>
      <c r="Z1569" s="30">
        <f t="shared" si="586"/>
        <v>0</v>
      </c>
      <c r="AA1569" s="31">
        <f t="shared" si="548"/>
        <v>12</v>
      </c>
      <c r="AB1569" s="32">
        <v>1.84E-2</v>
      </c>
      <c r="AC1569" s="32">
        <v>2.58E-2</v>
      </c>
      <c r="AD1569" s="33">
        <f t="shared" si="499"/>
        <v>0.49305217885954833</v>
      </c>
      <c r="AE1569" s="34">
        <f t="shared" si="500"/>
        <v>9.4549941855760086E-2</v>
      </c>
      <c r="AF1569" s="33">
        <f t="shared" si="501"/>
        <v>2.6172840343279508E-2</v>
      </c>
      <c r="AG1569" s="33">
        <f t="shared" si="502"/>
        <v>0</v>
      </c>
      <c r="AH1569" s="35">
        <f t="shared" si="503"/>
        <v>2.6288914374631362</v>
      </c>
      <c r="AI1569" s="36">
        <f t="shared" si="582"/>
        <v>3.4392943438254808</v>
      </c>
      <c r="AJ1569" s="23"/>
      <c r="AK1569" s="173">
        <v>736</v>
      </c>
      <c r="AL1569" s="44"/>
      <c r="AM1569" s="44"/>
      <c r="AN1569" s="44"/>
      <c r="AO1569" s="44"/>
      <c r="AP1569" s="44"/>
      <c r="AQ1569" s="44"/>
      <c r="AR1569" s="44"/>
    </row>
    <row r="1570" spans="1:44" ht="16.8">
      <c r="A1570" s="78" t="s">
        <v>3140</v>
      </c>
      <c r="B1570" s="79"/>
      <c r="C1570" s="79" t="s">
        <v>3138</v>
      </c>
      <c r="D1570" s="19" t="s">
        <v>3139</v>
      </c>
      <c r="E1570" s="20" t="s">
        <v>414</v>
      </c>
      <c r="F1570" s="21">
        <v>2009</v>
      </c>
      <c r="G1570" s="40">
        <v>2022</v>
      </c>
      <c r="H1570" s="23">
        <v>515644140920</v>
      </c>
      <c r="I1570" s="23">
        <v>803860465699</v>
      </c>
      <c r="J1570" s="23">
        <v>12193228741</v>
      </c>
      <c r="K1570" s="23">
        <f t="shared" ref="K1570:K1571" si="592">AVERAGE(J1569:J1570)</f>
        <v>10851470285</v>
      </c>
      <c r="L1570" s="23">
        <v>12193228741</v>
      </c>
      <c r="M1570" s="23">
        <f t="shared" si="551"/>
        <v>791667236958</v>
      </c>
      <c r="N1570" s="23">
        <v>2000000000</v>
      </c>
      <c r="O1570" s="25">
        <f t="shared" si="572"/>
        <v>503450912179</v>
      </c>
      <c r="P1570" s="23">
        <v>71546200021</v>
      </c>
      <c r="Q1570" s="23">
        <v>5673774976</v>
      </c>
      <c r="R1570" s="25">
        <f t="shared" si="573"/>
        <v>-3673774976</v>
      </c>
      <c r="S1570" s="26">
        <f t="shared" si="574"/>
        <v>1.516833985659107E-2</v>
      </c>
      <c r="T1570" s="27">
        <f t="shared" si="575"/>
        <v>42.289384696453304</v>
      </c>
      <c r="U1570" s="26">
        <f t="shared" si="576"/>
        <v>27.412691540938191</v>
      </c>
      <c r="V1570" s="26">
        <f t="shared" si="577"/>
        <v>0.18430682179212179</v>
      </c>
      <c r="W1570" s="175"/>
      <c r="X1570" s="175"/>
      <c r="Y1570" s="175"/>
      <c r="Z1570" s="30">
        <f t="shared" si="586"/>
        <v>0</v>
      </c>
      <c r="AA1570" s="31">
        <f t="shared" si="548"/>
        <v>13</v>
      </c>
      <c r="AB1570" s="32">
        <v>3.15E-2</v>
      </c>
      <c r="AC1570" s="32">
        <v>8.0199999999999994E-2</v>
      </c>
      <c r="AD1570" s="33">
        <f t="shared" si="499"/>
        <v>0.62629141954533407</v>
      </c>
      <c r="AE1570" s="34">
        <f t="shared" si="500"/>
        <v>8.9003257497912561E-2</v>
      </c>
      <c r="AF1570" s="33">
        <f t="shared" si="501"/>
        <v>-4.5701650134087075E-3</v>
      </c>
      <c r="AG1570" s="33">
        <f t="shared" si="502"/>
        <v>0</v>
      </c>
      <c r="AH1570" s="35">
        <f t="shared" si="503"/>
        <v>0.16402546384412162</v>
      </c>
      <c r="AI1570" s="36">
        <f t="shared" si="582"/>
        <v>1.0250981832513513</v>
      </c>
      <c r="AJ1570" s="23"/>
      <c r="AK1570" s="173">
        <v>737</v>
      </c>
      <c r="AL1570" s="44"/>
      <c r="AM1570" s="44"/>
      <c r="AN1570" s="44"/>
      <c r="AO1570" s="44"/>
      <c r="AP1570" s="44"/>
      <c r="AQ1570" s="44"/>
      <c r="AR1570" s="44"/>
    </row>
    <row r="1571" spans="1:44" ht="16.8">
      <c r="A1571" s="78" t="s">
        <v>3141</v>
      </c>
      <c r="B1571" s="79"/>
      <c r="C1571" s="79" t="s">
        <v>3138</v>
      </c>
      <c r="D1571" s="19" t="s">
        <v>3139</v>
      </c>
      <c r="E1571" s="20" t="s">
        <v>414</v>
      </c>
      <c r="F1571" s="21">
        <v>2009</v>
      </c>
      <c r="G1571" s="40">
        <v>2023</v>
      </c>
      <c r="H1571" s="23">
        <v>322843656186</v>
      </c>
      <c r="I1571" s="23">
        <v>806320403751</v>
      </c>
      <c r="J1571" s="23">
        <v>13637687712</v>
      </c>
      <c r="K1571" s="23">
        <f t="shared" si="592"/>
        <v>12915458226.5</v>
      </c>
      <c r="L1571" s="23">
        <v>13637687712</v>
      </c>
      <c r="M1571" s="23">
        <f t="shared" si="551"/>
        <v>792682716039</v>
      </c>
      <c r="N1571" s="23">
        <v>1000000000</v>
      </c>
      <c r="O1571" s="25">
        <f t="shared" si="572"/>
        <v>309205968474</v>
      </c>
      <c r="P1571" s="23">
        <v>1015479081</v>
      </c>
      <c r="Q1571" s="23">
        <v>37237277270</v>
      </c>
      <c r="R1571" s="25">
        <f t="shared" si="573"/>
        <v>-36237277270</v>
      </c>
      <c r="S1571" s="26">
        <f t="shared" si="574"/>
        <v>1.6913484575805746E-2</v>
      </c>
      <c r="T1571" s="27">
        <f t="shared" si="575"/>
        <v>23.672902841287762</v>
      </c>
      <c r="U1571" s="26">
        <f t="shared" si="576"/>
        <v>27.415747023725867</v>
      </c>
      <c r="V1571" s="26">
        <f t="shared" si="577"/>
        <v>7.7426598612521172E-2</v>
      </c>
      <c r="W1571" s="175"/>
      <c r="X1571" s="175"/>
      <c r="Y1571" s="175"/>
      <c r="Z1571" s="30">
        <f t="shared" si="586"/>
        <v>0</v>
      </c>
      <c r="AA1571" s="31">
        <f t="shared" si="548"/>
        <v>14</v>
      </c>
      <c r="AB1571" s="32">
        <v>3.2500000000000001E-2</v>
      </c>
      <c r="AC1571" s="32">
        <v>5.0500000000000003E-2</v>
      </c>
      <c r="AD1571" s="33">
        <f t="shared" si="499"/>
        <v>0.38347779249486286</v>
      </c>
      <c r="AE1571" s="34">
        <f t="shared" si="500"/>
        <v>1.2593989638312443E-3</v>
      </c>
      <c r="AF1571" s="33">
        <f t="shared" si="501"/>
        <v>-4.4941535773402604E-2</v>
      </c>
      <c r="AG1571" s="33">
        <f t="shared" si="502"/>
        <v>0</v>
      </c>
      <c r="AH1571" s="35">
        <f t="shared" si="503"/>
        <v>7.3326213440133653E-2</v>
      </c>
      <c r="AI1571" s="36">
        <f t="shared" si="582"/>
        <v>0.38695565493110418</v>
      </c>
      <c r="AJ1571" s="23"/>
      <c r="AK1571" s="173">
        <v>738</v>
      </c>
      <c r="AL1571" s="44"/>
      <c r="AM1571" s="44"/>
      <c r="AN1571" s="44"/>
      <c r="AO1571" s="44"/>
      <c r="AP1571" s="44"/>
      <c r="AQ1571" s="44"/>
      <c r="AR1571" s="44"/>
    </row>
    <row r="1572" spans="1:44" ht="16.8">
      <c r="A1572" s="45"/>
      <c r="B1572" s="45">
        <v>604</v>
      </c>
      <c r="C1572" s="45" t="s">
        <v>3142</v>
      </c>
      <c r="D1572" s="46" t="s">
        <v>3143</v>
      </c>
      <c r="E1572" s="47"/>
      <c r="F1572" s="48"/>
      <c r="G1572" s="48">
        <v>2021</v>
      </c>
      <c r="H1572" s="49"/>
      <c r="I1572" s="49"/>
      <c r="J1572" s="49"/>
      <c r="K1572" s="49"/>
      <c r="L1572" s="49"/>
      <c r="M1572" s="49">
        <f t="shared" si="551"/>
        <v>0</v>
      </c>
      <c r="N1572" s="49"/>
      <c r="O1572" s="49">
        <f t="shared" si="572"/>
        <v>0</v>
      </c>
      <c r="P1572" s="49"/>
      <c r="Q1572" s="49"/>
      <c r="R1572" s="49">
        <f t="shared" si="573"/>
        <v>0</v>
      </c>
      <c r="S1572" s="50" t="e">
        <f t="shared" si="574"/>
        <v>#DIV/0!</v>
      </c>
      <c r="T1572" s="51" t="e">
        <f t="shared" si="575"/>
        <v>#DIV/0!</v>
      </c>
      <c r="U1572" s="50" t="e">
        <f t="shared" si="576"/>
        <v>#NUM!</v>
      </c>
      <c r="V1572" s="50" t="e">
        <f t="shared" si="577"/>
        <v>#DIV/0!</v>
      </c>
      <c r="W1572" s="52"/>
      <c r="X1572" s="52"/>
      <c r="Y1572" s="52"/>
      <c r="Z1572" s="55">
        <f t="shared" si="586"/>
        <v>0</v>
      </c>
      <c r="AA1572" s="48">
        <f t="shared" si="548"/>
        <v>2021</v>
      </c>
      <c r="AB1572" s="49"/>
      <c r="AC1572" s="49"/>
      <c r="AD1572" s="50" t="e">
        <f t="shared" si="499"/>
        <v>#DIV/0!</v>
      </c>
      <c r="AE1572" s="56" t="e">
        <f t="shared" si="500"/>
        <v>#DIV/0!</v>
      </c>
      <c r="AF1572" s="50" t="e">
        <f t="shared" si="501"/>
        <v>#DIV/0!</v>
      </c>
      <c r="AG1572" s="50" t="e">
        <f t="shared" si="502"/>
        <v>#DIV/0!</v>
      </c>
      <c r="AH1572" s="57" t="e">
        <f t="shared" si="503"/>
        <v>#DIV/0!</v>
      </c>
      <c r="AI1572" s="58" t="e">
        <f t="shared" si="582"/>
        <v>#DIV/0!</v>
      </c>
      <c r="AJ1572" s="49"/>
      <c r="AK1572" s="49">
        <v>739</v>
      </c>
      <c r="AL1572" s="59"/>
      <c r="AM1572" s="59"/>
      <c r="AN1572" s="59"/>
      <c r="AO1572" s="59"/>
      <c r="AP1572" s="59"/>
      <c r="AQ1572" s="59"/>
      <c r="AR1572" s="59"/>
    </row>
    <row r="1573" spans="1:44" ht="16.8">
      <c r="A1573" s="78" t="s">
        <v>3144</v>
      </c>
      <c r="B1573" s="79">
        <v>605</v>
      </c>
      <c r="C1573" s="79" t="s">
        <v>3145</v>
      </c>
      <c r="D1573" s="19" t="s">
        <v>3146</v>
      </c>
      <c r="E1573" s="20" t="s">
        <v>414</v>
      </c>
      <c r="F1573" s="21">
        <v>2006</v>
      </c>
      <c r="G1573" s="40">
        <v>2021</v>
      </c>
      <c r="H1573" s="23">
        <v>2100298589526</v>
      </c>
      <c r="I1573" s="23">
        <v>3984854642787</v>
      </c>
      <c r="J1573" s="23">
        <v>2196998229715</v>
      </c>
      <c r="K1573" s="23">
        <f>(J1573+2340883085436)/2</f>
        <v>2268940657575.5</v>
      </c>
      <c r="L1573" s="23">
        <v>1231211278709</v>
      </c>
      <c r="M1573" s="23">
        <f t="shared" si="551"/>
        <v>1787856413072</v>
      </c>
      <c r="N1573" s="23">
        <v>884273309528</v>
      </c>
      <c r="O1573" s="25">
        <f t="shared" si="572"/>
        <v>869087310817</v>
      </c>
      <c r="P1573" s="23">
        <v>252812782617</v>
      </c>
      <c r="Q1573" s="23">
        <f>65048941507+61720377587</f>
        <v>126769319094</v>
      </c>
      <c r="R1573" s="25">
        <f t="shared" si="573"/>
        <v>757503990434</v>
      </c>
      <c r="S1573" s="26">
        <f t="shared" si="574"/>
        <v>0.55133710678551218</v>
      </c>
      <c r="T1573" s="27">
        <f t="shared" si="575"/>
        <v>1.7058799134201328</v>
      </c>
      <c r="U1573" s="26">
        <f t="shared" si="576"/>
        <v>29.013521951416877</v>
      </c>
      <c r="V1573" s="26">
        <f t="shared" si="577"/>
        <v>0.38972958881740849</v>
      </c>
      <c r="W1573" s="143"/>
      <c r="X1573" s="143"/>
      <c r="Y1573" s="143"/>
      <c r="Z1573" s="30">
        <f t="shared" si="586"/>
        <v>0</v>
      </c>
      <c r="AA1573" s="31">
        <f t="shared" si="548"/>
        <v>15</v>
      </c>
      <c r="AB1573" s="32">
        <v>1.84E-2</v>
      </c>
      <c r="AC1573" s="32">
        <v>2.58E-2</v>
      </c>
      <c r="AD1573" s="33">
        <f t="shared" si="499"/>
        <v>0.21809761929212101</v>
      </c>
      <c r="AE1573" s="34">
        <f t="shared" si="500"/>
        <v>6.3443413946006125E-2</v>
      </c>
      <c r="AF1573" s="33">
        <f t="shared" si="501"/>
        <v>0.19009576467366526</v>
      </c>
      <c r="AG1573" s="33">
        <f t="shared" si="502"/>
        <v>0</v>
      </c>
      <c r="AH1573" s="35">
        <f t="shared" si="503"/>
        <v>0.40249158946418911</v>
      </c>
      <c r="AI1573" s="36">
        <f t="shared" si="582"/>
        <v>1.3803455355622383</v>
      </c>
      <c r="AJ1573" s="23"/>
      <c r="AK1573" s="173">
        <v>740</v>
      </c>
      <c r="AL1573" s="44"/>
      <c r="AM1573" s="44"/>
      <c r="AN1573" s="44"/>
      <c r="AO1573" s="44"/>
      <c r="AP1573" s="44"/>
      <c r="AQ1573" s="44"/>
      <c r="AR1573" s="44"/>
    </row>
    <row r="1574" spans="1:44" ht="16.8">
      <c r="A1574" s="78" t="s">
        <v>3147</v>
      </c>
      <c r="B1574" s="79"/>
      <c r="C1574" s="79" t="s">
        <v>3145</v>
      </c>
      <c r="D1574" s="19" t="s">
        <v>3146</v>
      </c>
      <c r="E1574" s="20" t="s">
        <v>414</v>
      </c>
      <c r="F1574" s="21">
        <v>2006</v>
      </c>
      <c r="G1574" s="40">
        <v>2022</v>
      </c>
      <c r="H1574" s="23">
        <v>2058952095071</v>
      </c>
      <c r="I1574" s="23">
        <v>4242772246428</v>
      </c>
      <c r="J1574" s="23">
        <v>2301911131618</v>
      </c>
      <c r="K1574" s="23">
        <f t="shared" ref="K1574:K1575" si="593">AVERAGE(J1573:J1574)</f>
        <v>2249454680666.5</v>
      </c>
      <c r="L1574" s="23">
        <v>1341966239032</v>
      </c>
      <c r="M1574" s="23">
        <f t="shared" si="551"/>
        <v>1940861114810</v>
      </c>
      <c r="N1574" s="23">
        <v>859149585991</v>
      </c>
      <c r="O1574" s="25">
        <f t="shared" si="572"/>
        <v>716985856039</v>
      </c>
      <c r="P1574" s="23">
        <v>152083434886</v>
      </c>
      <c r="Q1574" s="23">
        <f>40304753828+52948621642</f>
        <v>93253375470</v>
      </c>
      <c r="R1574" s="25">
        <f t="shared" si="573"/>
        <v>765896210521</v>
      </c>
      <c r="S1574" s="26">
        <f t="shared" si="574"/>
        <v>0.54254883314935998</v>
      </c>
      <c r="T1574" s="27">
        <f t="shared" si="575"/>
        <v>1.5342800997409467</v>
      </c>
      <c r="U1574" s="26">
        <f t="shared" si="576"/>
        <v>29.076238003222308</v>
      </c>
      <c r="V1574" s="26">
        <f t="shared" si="577"/>
        <v>0.38193682823449421</v>
      </c>
      <c r="W1574" s="143"/>
      <c r="X1574" s="143"/>
      <c r="Y1574" s="143"/>
      <c r="Z1574" s="30">
        <f t="shared" si="586"/>
        <v>0</v>
      </c>
      <c r="AA1574" s="31">
        <f t="shared" si="548"/>
        <v>16</v>
      </c>
      <c r="AB1574" s="32">
        <v>3.15E-2</v>
      </c>
      <c r="AC1574" s="32">
        <v>8.0199999999999994E-2</v>
      </c>
      <c r="AD1574" s="33">
        <f t="shared" si="499"/>
        <v>0.168989946760077</v>
      </c>
      <c r="AE1574" s="34">
        <f t="shared" si="500"/>
        <v>3.5845297850724704E-2</v>
      </c>
      <c r="AF1574" s="33">
        <f t="shared" si="501"/>
        <v>0.18051787040084696</v>
      </c>
      <c r="AG1574" s="33">
        <f t="shared" si="502"/>
        <v>0</v>
      </c>
      <c r="AH1574" s="35">
        <f t="shared" si="503"/>
        <v>0.37323316881790686</v>
      </c>
      <c r="AI1574" s="36">
        <f t="shared" si="582"/>
        <v>1.2219134942438088</v>
      </c>
      <c r="AJ1574" s="23"/>
      <c r="AK1574" s="173">
        <v>741</v>
      </c>
      <c r="AL1574" s="44"/>
      <c r="AM1574" s="44"/>
      <c r="AN1574" s="44"/>
      <c r="AO1574" s="44"/>
      <c r="AP1574" s="44"/>
      <c r="AQ1574" s="44"/>
      <c r="AR1574" s="44"/>
    </row>
    <row r="1575" spans="1:44" ht="16.8">
      <c r="A1575" s="78" t="s">
        <v>3148</v>
      </c>
      <c r="B1575" s="79"/>
      <c r="C1575" s="79" t="s">
        <v>3145</v>
      </c>
      <c r="D1575" s="19" t="s">
        <v>3146</v>
      </c>
      <c r="E1575" s="20" t="s">
        <v>414</v>
      </c>
      <c r="F1575" s="21">
        <v>2006</v>
      </c>
      <c r="G1575" s="40">
        <v>2023</v>
      </c>
      <c r="H1575" s="23">
        <v>1984914732339</v>
      </c>
      <c r="I1575" s="23">
        <v>4276640408536</v>
      </c>
      <c r="J1575" s="23">
        <v>2278903875484</v>
      </c>
      <c r="K1575" s="23">
        <f t="shared" si="593"/>
        <v>2290407503551</v>
      </c>
      <c r="L1575" s="23">
        <v>1267904533775</v>
      </c>
      <c r="M1575" s="23">
        <f t="shared" si="551"/>
        <v>1997736533052</v>
      </c>
      <c r="N1575" s="23">
        <v>528626774295</v>
      </c>
      <c r="O1575" s="25">
        <f t="shared" si="572"/>
        <v>717010198564</v>
      </c>
      <c r="P1575" s="23">
        <v>73765686756</v>
      </c>
      <c r="Q1575" s="23">
        <f>12979768779+50431304194</f>
        <v>63411072973</v>
      </c>
      <c r="R1575" s="25">
        <f t="shared" si="573"/>
        <v>465215701322</v>
      </c>
      <c r="S1575" s="26">
        <f t="shared" si="574"/>
        <v>0.53287245542912631</v>
      </c>
      <c r="T1575" s="27">
        <f t="shared" si="575"/>
        <v>1.5655080327137936</v>
      </c>
      <c r="U1575" s="26">
        <f t="shared" si="576"/>
        <v>29.084188866010056</v>
      </c>
      <c r="V1575" s="26">
        <f t="shared" si="577"/>
        <v>0.23080031543532234</v>
      </c>
      <c r="W1575" s="143"/>
      <c r="X1575" s="143"/>
      <c r="Y1575" s="143"/>
      <c r="Z1575" s="30">
        <f t="shared" si="586"/>
        <v>0</v>
      </c>
      <c r="AA1575" s="31">
        <f t="shared" si="548"/>
        <v>17</v>
      </c>
      <c r="AB1575" s="32">
        <v>3.2500000000000001E-2</v>
      </c>
      <c r="AC1575" s="32">
        <v>5.0500000000000003E-2</v>
      </c>
      <c r="AD1575" s="33">
        <f t="shared" si="499"/>
        <v>0.1676573501790978</v>
      </c>
      <c r="AE1575" s="34">
        <f t="shared" si="500"/>
        <v>1.724851278325077E-2</v>
      </c>
      <c r="AF1575" s="33">
        <f t="shared" si="501"/>
        <v>0.10878064482425233</v>
      </c>
      <c r="AG1575" s="33">
        <f t="shared" si="502"/>
        <v>0</v>
      </c>
      <c r="AH1575" s="35">
        <f t="shared" si="503"/>
        <v>0.2319653672021286</v>
      </c>
      <c r="AI1575" s="36">
        <f t="shared" si="582"/>
        <v>0.81627823323362969</v>
      </c>
      <c r="AJ1575" s="23"/>
      <c r="AK1575" s="173">
        <v>742</v>
      </c>
      <c r="AL1575" s="44"/>
      <c r="AM1575" s="44"/>
      <c r="AN1575" s="44"/>
      <c r="AO1575" s="44"/>
      <c r="AP1575" s="44"/>
      <c r="AQ1575" s="44"/>
      <c r="AR1575" s="44"/>
    </row>
    <row r="1576" spans="1:44" ht="16.8">
      <c r="A1576" s="78" t="s">
        <v>3149</v>
      </c>
      <c r="B1576" s="79">
        <v>606</v>
      </c>
      <c r="C1576" s="79" t="s">
        <v>3150</v>
      </c>
      <c r="D1576" s="19" t="s">
        <v>3151</v>
      </c>
      <c r="E1576" s="20" t="s">
        <v>414</v>
      </c>
      <c r="F1576" s="21">
        <v>2000</v>
      </c>
      <c r="G1576" s="40">
        <v>2021</v>
      </c>
      <c r="H1576" s="23">
        <v>526029000000</v>
      </c>
      <c r="I1576" s="23">
        <v>526030000000</v>
      </c>
      <c r="J1576" s="23">
        <v>16651332580</v>
      </c>
      <c r="K1576" s="23">
        <f>(J1576+16753093640)/2</f>
        <v>16702213110</v>
      </c>
      <c r="L1576" s="23">
        <v>16651332580</v>
      </c>
      <c r="M1576" s="23">
        <f t="shared" si="551"/>
        <v>509378667420</v>
      </c>
      <c r="N1576" s="23">
        <v>0</v>
      </c>
      <c r="O1576" s="25">
        <f t="shared" si="572"/>
        <v>509377667420</v>
      </c>
      <c r="P1576" s="23">
        <v>390586760</v>
      </c>
      <c r="Q1576" s="23">
        <v>118152858</v>
      </c>
      <c r="R1576" s="25">
        <f t="shared" si="573"/>
        <v>-118152858</v>
      </c>
      <c r="S1576" s="26">
        <f t="shared" si="574"/>
        <v>3.1654720415185446E-2</v>
      </c>
      <c r="T1576" s="27">
        <f t="shared" si="575"/>
        <v>31.590804968475382</v>
      </c>
      <c r="U1576" s="26">
        <f t="shared" si="576"/>
        <v>26.988624082278264</v>
      </c>
      <c r="V1576" s="26">
        <f t="shared" si="577"/>
        <v>0</v>
      </c>
      <c r="W1576" s="143"/>
      <c r="X1576" s="143"/>
      <c r="Y1576" s="143"/>
      <c r="Z1576" s="30">
        <f t="shared" si="586"/>
        <v>0</v>
      </c>
      <c r="AA1576" s="31">
        <f t="shared" si="548"/>
        <v>21</v>
      </c>
      <c r="AB1576" s="32">
        <v>1.84E-2</v>
      </c>
      <c r="AC1576" s="32">
        <v>2.58E-2</v>
      </c>
      <c r="AD1576" s="33">
        <f t="shared" si="499"/>
        <v>0.96834337855255403</v>
      </c>
      <c r="AE1576" s="34">
        <f t="shared" si="500"/>
        <v>7.4251803129099102E-4</v>
      </c>
      <c r="AF1576" s="33">
        <f t="shared" si="501"/>
        <v>-2.2461239473033857E-4</v>
      </c>
      <c r="AG1576" s="33">
        <f t="shared" si="502"/>
        <v>0</v>
      </c>
      <c r="AH1576" s="35">
        <f t="shared" si="503"/>
        <v>0</v>
      </c>
      <c r="AI1576" s="36">
        <f t="shared" si="582"/>
        <v>1.162310358604262</v>
      </c>
      <c r="AJ1576" s="23"/>
      <c r="AK1576" s="173">
        <v>743</v>
      </c>
      <c r="AL1576" s="44"/>
      <c r="AM1576" s="44"/>
      <c r="AN1576" s="44"/>
      <c r="AO1576" s="44"/>
      <c r="AP1576" s="44"/>
      <c r="AQ1576" s="44"/>
      <c r="AR1576" s="44"/>
    </row>
    <row r="1577" spans="1:44" ht="16.8">
      <c r="A1577" s="78" t="s">
        <v>3152</v>
      </c>
      <c r="B1577" s="79"/>
      <c r="C1577" s="79" t="s">
        <v>3150</v>
      </c>
      <c r="D1577" s="19" t="s">
        <v>3151</v>
      </c>
      <c r="E1577" s="20" t="s">
        <v>414</v>
      </c>
      <c r="F1577" s="21">
        <v>2000</v>
      </c>
      <c r="G1577" s="40">
        <v>2022</v>
      </c>
      <c r="H1577" s="23">
        <v>525861000000</v>
      </c>
      <c r="I1577" s="23">
        <v>525860812279</v>
      </c>
      <c r="J1577" s="23">
        <v>16654750550</v>
      </c>
      <c r="K1577" s="23">
        <f t="shared" ref="K1577:K1578" si="594">AVERAGE(J1576:J1577)</f>
        <v>16653041565</v>
      </c>
      <c r="L1577" s="23">
        <v>16654750550</v>
      </c>
      <c r="M1577" s="23">
        <f t="shared" si="551"/>
        <v>509206061729</v>
      </c>
      <c r="N1577" s="23">
        <v>0</v>
      </c>
      <c r="O1577" s="25">
        <f t="shared" si="572"/>
        <v>509206249450</v>
      </c>
      <c r="P1577" s="23">
        <v>-36153664</v>
      </c>
      <c r="Q1577" s="23">
        <v>36102402</v>
      </c>
      <c r="R1577" s="25">
        <f t="shared" si="573"/>
        <v>-36102402</v>
      </c>
      <c r="S1577" s="26">
        <f t="shared" si="574"/>
        <v>3.1671404601953258E-2</v>
      </c>
      <c r="T1577" s="27">
        <f t="shared" si="575"/>
        <v>31.574234535743315</v>
      </c>
      <c r="U1577" s="26">
        <f t="shared" si="576"/>
        <v>26.988302399228115</v>
      </c>
      <c r="V1577" s="26">
        <f t="shared" si="577"/>
        <v>0</v>
      </c>
      <c r="W1577" s="143"/>
      <c r="X1577" s="143"/>
      <c r="Y1577" s="143"/>
      <c r="Z1577" s="30">
        <f t="shared" si="586"/>
        <v>0</v>
      </c>
      <c r="AA1577" s="31">
        <f t="shared" si="548"/>
        <v>22</v>
      </c>
      <c r="AB1577" s="32">
        <v>3.15E-2</v>
      </c>
      <c r="AC1577" s="32">
        <v>8.0199999999999994E-2</v>
      </c>
      <c r="AD1577" s="33">
        <f t="shared" si="499"/>
        <v>0.96832895237653915</v>
      </c>
      <c r="AE1577" s="34">
        <f t="shared" si="500"/>
        <v>-6.8751394201282219E-5</v>
      </c>
      <c r="AF1577" s="33">
        <f t="shared" si="501"/>
        <v>-6.8653912132257455E-5</v>
      </c>
      <c r="AG1577" s="33">
        <f t="shared" si="502"/>
        <v>0</v>
      </c>
      <c r="AH1577" s="35">
        <f t="shared" si="503"/>
        <v>0</v>
      </c>
      <c r="AI1577" s="36">
        <f t="shared" si="582"/>
        <v>1.1616719329899285</v>
      </c>
      <c r="AJ1577" s="23"/>
      <c r="AK1577" s="173">
        <v>744</v>
      </c>
      <c r="AL1577" s="44"/>
      <c r="AM1577" s="44"/>
      <c r="AN1577" s="44"/>
      <c r="AO1577" s="44"/>
      <c r="AP1577" s="44"/>
      <c r="AQ1577" s="44"/>
      <c r="AR1577" s="44"/>
    </row>
    <row r="1578" spans="1:44" ht="16.8">
      <c r="A1578" s="78" t="s">
        <v>3153</v>
      </c>
      <c r="B1578" s="79"/>
      <c r="C1578" s="79" t="s">
        <v>3150</v>
      </c>
      <c r="D1578" s="19" t="s">
        <v>3151</v>
      </c>
      <c r="E1578" s="20" t="s">
        <v>414</v>
      </c>
      <c r="F1578" s="21">
        <v>2000</v>
      </c>
      <c r="G1578" s="40">
        <v>2023</v>
      </c>
      <c r="H1578" s="23">
        <v>525716000000</v>
      </c>
      <c r="I1578" s="23">
        <v>525715718654</v>
      </c>
      <c r="J1578" s="23">
        <v>16694707663</v>
      </c>
      <c r="K1578" s="23">
        <f t="shared" si="594"/>
        <v>16674729106.5</v>
      </c>
      <c r="L1578" s="23">
        <v>16694707663</v>
      </c>
      <c r="M1578" s="23">
        <f t="shared" si="551"/>
        <v>509021010991</v>
      </c>
      <c r="N1578" s="23">
        <v>0</v>
      </c>
      <c r="O1578" s="25">
        <f t="shared" si="572"/>
        <v>509021292337</v>
      </c>
      <c r="P1578" s="23">
        <v>-50059373</v>
      </c>
      <c r="Q1578" s="23">
        <v>50059441</v>
      </c>
      <c r="R1578" s="25">
        <f t="shared" si="573"/>
        <v>-50059441</v>
      </c>
      <c r="S1578" s="26">
        <f t="shared" si="574"/>
        <v>3.1756150844688039E-2</v>
      </c>
      <c r="T1578" s="27">
        <f t="shared" si="575"/>
        <v>31.489979376226469</v>
      </c>
      <c r="U1578" s="26">
        <f t="shared" si="576"/>
        <v>26.988026444750904</v>
      </c>
      <c r="V1578" s="26">
        <f t="shared" si="577"/>
        <v>0</v>
      </c>
      <c r="W1578" s="143"/>
      <c r="X1578" s="143"/>
      <c r="Y1578" s="143"/>
      <c r="Z1578" s="30">
        <f t="shared" si="586"/>
        <v>0</v>
      </c>
      <c r="AA1578" s="31">
        <f t="shared" si="548"/>
        <v>23</v>
      </c>
      <c r="AB1578" s="32">
        <v>3.2500000000000001E-2</v>
      </c>
      <c r="AC1578" s="32">
        <v>5.0500000000000003E-2</v>
      </c>
      <c r="AD1578" s="33">
        <f t="shared" si="499"/>
        <v>0.96824438432287496</v>
      </c>
      <c r="AE1578" s="34">
        <f t="shared" si="500"/>
        <v>-9.5221373878962514E-5</v>
      </c>
      <c r="AF1578" s="33">
        <f t="shared" si="501"/>
        <v>-9.5221503226436042E-5</v>
      </c>
      <c r="AG1578" s="33">
        <f t="shared" si="502"/>
        <v>0</v>
      </c>
      <c r="AH1578" s="35">
        <f t="shared" si="503"/>
        <v>0</v>
      </c>
      <c r="AI1578" s="36">
        <f t="shared" si="582"/>
        <v>1.1614457203033721</v>
      </c>
      <c r="AJ1578" s="23"/>
      <c r="AK1578" s="173">
        <v>745</v>
      </c>
      <c r="AL1578" s="44"/>
      <c r="AM1578" s="44"/>
      <c r="AN1578" s="44"/>
      <c r="AO1578" s="44"/>
      <c r="AP1578" s="44"/>
      <c r="AQ1578" s="44"/>
      <c r="AR1578" s="44"/>
    </row>
    <row r="1579" spans="1:44" ht="16.8">
      <c r="A1579" s="78" t="s">
        <v>3154</v>
      </c>
      <c r="B1579" s="79">
        <v>607</v>
      </c>
      <c r="C1579" s="79" t="s">
        <v>3155</v>
      </c>
      <c r="D1579" s="19" t="s">
        <v>3156</v>
      </c>
      <c r="E1579" s="20" t="s">
        <v>414</v>
      </c>
      <c r="F1579" s="21">
        <v>1983</v>
      </c>
      <c r="G1579" s="40">
        <v>2021</v>
      </c>
      <c r="H1579" s="23">
        <v>1075457448561</v>
      </c>
      <c r="I1579" s="23">
        <v>1262122407233</v>
      </c>
      <c r="J1579" s="23">
        <v>1011040177436</v>
      </c>
      <c r="K1579" s="23">
        <f>(J1579+792216834406)/2</f>
        <v>901628505921</v>
      </c>
      <c r="L1579" s="23">
        <v>751763750717</v>
      </c>
      <c r="M1579" s="23">
        <f t="shared" si="551"/>
        <v>251082229797</v>
      </c>
      <c r="N1579" s="23">
        <v>1071871565147</v>
      </c>
      <c r="O1579" s="25">
        <f t="shared" si="572"/>
        <v>323693697844</v>
      </c>
      <c r="P1579" s="23">
        <v>14656661817</v>
      </c>
      <c r="Q1579" s="23">
        <v>9276504178</v>
      </c>
      <c r="R1579" s="25">
        <f t="shared" si="573"/>
        <v>1062595060969</v>
      </c>
      <c r="S1579" s="26">
        <f t="shared" si="574"/>
        <v>0.80106348769493974</v>
      </c>
      <c r="T1579" s="27">
        <f t="shared" si="575"/>
        <v>1.4305790183887888</v>
      </c>
      <c r="U1579" s="26">
        <f t="shared" si="576"/>
        <v>27.863815869981771</v>
      </c>
      <c r="V1579" s="26">
        <f t="shared" si="577"/>
        <v>1.1888172990405836</v>
      </c>
      <c r="W1579" s="143"/>
      <c r="X1579" s="143"/>
      <c r="Y1579" s="143"/>
      <c r="Z1579" s="30">
        <f t="shared" si="586"/>
        <v>0</v>
      </c>
      <c r="AA1579" s="31">
        <f t="shared" si="548"/>
        <v>38</v>
      </c>
      <c r="AB1579" s="32">
        <v>1.84E-2</v>
      </c>
      <c r="AC1579" s="32">
        <v>2.58E-2</v>
      </c>
      <c r="AD1579" s="33">
        <f t="shared" si="499"/>
        <v>0.25646775303961705</v>
      </c>
      <c r="AE1579" s="34">
        <f t="shared" si="500"/>
        <v>1.1612710251402928E-2</v>
      </c>
      <c r="AF1579" s="33">
        <f t="shared" si="501"/>
        <v>0.84191125589677818</v>
      </c>
      <c r="AG1579" s="33">
        <f t="shared" si="502"/>
        <v>0</v>
      </c>
      <c r="AH1579" s="35">
        <f t="shared" si="503"/>
        <v>1.0601671318990196</v>
      </c>
      <c r="AI1579" s="36">
        <f t="shared" si="582"/>
        <v>4.1624933743578918</v>
      </c>
      <c r="AJ1579" s="23"/>
      <c r="AK1579" s="173">
        <v>746</v>
      </c>
      <c r="AL1579" s="44"/>
      <c r="AM1579" s="44"/>
      <c r="AN1579" s="44"/>
      <c r="AO1579" s="44"/>
      <c r="AP1579" s="44"/>
      <c r="AQ1579" s="44"/>
      <c r="AR1579" s="44"/>
    </row>
    <row r="1580" spans="1:44" ht="16.8">
      <c r="A1580" s="78" t="s">
        <v>3154</v>
      </c>
      <c r="B1580" s="79"/>
      <c r="C1580" s="79" t="s">
        <v>3155</v>
      </c>
      <c r="D1580" s="19" t="s">
        <v>3156</v>
      </c>
      <c r="E1580" s="20" t="s">
        <v>414</v>
      </c>
      <c r="F1580" s="21">
        <v>1983</v>
      </c>
      <c r="G1580" s="40">
        <v>2022</v>
      </c>
      <c r="H1580" s="23">
        <v>864401919698</v>
      </c>
      <c r="I1580" s="23">
        <v>1044503378345</v>
      </c>
      <c r="J1580" s="23">
        <v>789279835074</v>
      </c>
      <c r="K1580" s="23">
        <f t="shared" ref="K1580:K1581" si="595">AVERAGE(J1579:J1580)</f>
        <v>900160006255</v>
      </c>
      <c r="L1580" s="23">
        <v>555698780219</v>
      </c>
      <c r="M1580" s="23">
        <f t="shared" si="551"/>
        <v>255223543271</v>
      </c>
      <c r="N1580" s="23">
        <v>1035895432262</v>
      </c>
      <c r="O1580" s="25">
        <f t="shared" si="572"/>
        <v>308703139479</v>
      </c>
      <c r="P1580" s="23">
        <v>16844528324</v>
      </c>
      <c r="Q1580" s="23">
        <v>19532110157</v>
      </c>
      <c r="R1580" s="25">
        <f t="shared" si="573"/>
        <v>1016363322105</v>
      </c>
      <c r="S1580" s="26">
        <f t="shared" si="574"/>
        <v>0.75565082070352141</v>
      </c>
      <c r="T1580" s="27">
        <f t="shared" si="575"/>
        <v>1.5555224349373964</v>
      </c>
      <c r="U1580" s="26">
        <f t="shared" si="576"/>
        <v>27.674562652351398</v>
      </c>
      <c r="V1580" s="26">
        <f t="shared" si="577"/>
        <v>1.150790331789689</v>
      </c>
      <c r="W1580" s="143"/>
      <c r="X1580" s="143"/>
      <c r="Y1580" s="143"/>
      <c r="Z1580" s="30">
        <f t="shared" si="586"/>
        <v>0</v>
      </c>
      <c r="AA1580" s="31">
        <f t="shared" si="548"/>
        <v>39</v>
      </c>
      <c r="AB1580" s="32">
        <v>3.15E-2</v>
      </c>
      <c r="AC1580" s="32">
        <v>8.0199999999999994E-2</v>
      </c>
      <c r="AD1580" s="33">
        <f t="shared" si="499"/>
        <v>0.2955501589359486</v>
      </c>
      <c r="AE1580" s="34">
        <f t="shared" si="500"/>
        <v>1.6126829910966783E-2</v>
      </c>
      <c r="AF1580" s="33">
        <f t="shared" si="501"/>
        <v>0.97305891314148973</v>
      </c>
      <c r="AG1580" s="33">
        <f t="shared" si="502"/>
        <v>0</v>
      </c>
      <c r="AH1580" s="35">
        <f t="shared" si="503"/>
        <v>1.3124564777014456</v>
      </c>
      <c r="AI1580" s="36">
        <f t="shared" si="582"/>
        <v>4.9007886436668535</v>
      </c>
      <c r="AJ1580" s="23"/>
      <c r="AK1580" s="173">
        <v>747</v>
      </c>
      <c r="AL1580" s="44"/>
      <c r="AM1580" s="44"/>
      <c r="AN1580" s="44"/>
      <c r="AO1580" s="44"/>
      <c r="AP1580" s="44"/>
      <c r="AQ1580" s="44"/>
      <c r="AR1580" s="44"/>
    </row>
    <row r="1581" spans="1:44" ht="16.8">
      <c r="A1581" s="78" t="s">
        <v>3157</v>
      </c>
      <c r="B1581" s="79"/>
      <c r="C1581" s="79" t="s">
        <v>3155</v>
      </c>
      <c r="D1581" s="19" t="s">
        <v>3156</v>
      </c>
      <c r="E1581" s="20" t="s">
        <v>414</v>
      </c>
      <c r="F1581" s="21">
        <v>1983</v>
      </c>
      <c r="G1581" s="40">
        <v>2023</v>
      </c>
      <c r="H1581" s="23">
        <v>1080416816702</v>
      </c>
      <c r="I1581" s="23">
        <v>1267267647071</v>
      </c>
      <c r="J1581" s="23">
        <v>998725602938</v>
      </c>
      <c r="K1581" s="23">
        <f t="shared" si="595"/>
        <v>894002719006</v>
      </c>
      <c r="L1581" s="23">
        <v>581301486513</v>
      </c>
      <c r="M1581" s="23">
        <f t="shared" si="551"/>
        <v>268542044133</v>
      </c>
      <c r="N1581" s="23">
        <v>1048111999761</v>
      </c>
      <c r="O1581" s="25">
        <f t="shared" si="572"/>
        <v>499115330189</v>
      </c>
      <c r="P1581" s="23">
        <v>25908911978</v>
      </c>
      <c r="Q1581" s="23">
        <v>21645465839</v>
      </c>
      <c r="R1581" s="25">
        <f t="shared" si="573"/>
        <v>1026466533922</v>
      </c>
      <c r="S1581" s="26">
        <f t="shared" si="574"/>
        <v>0.78809366375471379</v>
      </c>
      <c r="T1581" s="27">
        <f t="shared" si="575"/>
        <v>1.8586169857968151</v>
      </c>
      <c r="U1581" s="26">
        <f t="shared" si="576"/>
        <v>27.867884239687015</v>
      </c>
      <c r="V1581" s="26">
        <f t="shared" si="577"/>
        <v>1.1723812215317946</v>
      </c>
      <c r="W1581" s="143"/>
      <c r="X1581" s="143"/>
      <c r="Y1581" s="143"/>
      <c r="Z1581" s="30">
        <f t="shared" si="586"/>
        <v>0</v>
      </c>
      <c r="AA1581" s="31">
        <f t="shared" si="548"/>
        <v>40</v>
      </c>
      <c r="AB1581" s="32">
        <v>3.2500000000000001E-2</v>
      </c>
      <c r="AC1581" s="32">
        <v>5.0500000000000003E-2</v>
      </c>
      <c r="AD1581" s="33">
        <f t="shared" si="499"/>
        <v>0.39385155246611969</v>
      </c>
      <c r="AE1581" s="34">
        <f t="shared" si="500"/>
        <v>2.0444704035396579E-2</v>
      </c>
      <c r="AF1581" s="33">
        <f t="shared" si="501"/>
        <v>0.80998401268622555</v>
      </c>
      <c r="AG1581" s="33">
        <f t="shared" si="502"/>
        <v>0</v>
      </c>
      <c r="AH1581" s="35">
        <f t="shared" si="503"/>
        <v>1.0494494150122091</v>
      </c>
      <c r="AI1581" s="36">
        <f t="shared" si="582"/>
        <v>4.223641105485652</v>
      </c>
      <c r="AJ1581" s="23"/>
      <c r="AK1581" s="173">
        <v>748</v>
      </c>
      <c r="AL1581" s="44"/>
      <c r="AM1581" s="44"/>
      <c r="AN1581" s="44"/>
      <c r="AO1581" s="44"/>
      <c r="AP1581" s="44"/>
      <c r="AQ1581" s="44"/>
      <c r="AR1581" s="44"/>
    </row>
    <row r="1582" spans="1:44" ht="16.8">
      <c r="A1582" s="78" t="s">
        <v>3158</v>
      </c>
      <c r="B1582" s="79">
        <v>608</v>
      </c>
      <c r="C1582" s="79" t="s">
        <v>3159</v>
      </c>
      <c r="D1582" s="19" t="s">
        <v>3160</v>
      </c>
      <c r="E1582" s="20" t="s">
        <v>414</v>
      </c>
      <c r="F1582" s="21">
        <v>1995</v>
      </c>
      <c r="G1582" s="40">
        <v>2021</v>
      </c>
      <c r="H1582" s="23">
        <v>189403009927</v>
      </c>
      <c r="I1582" s="23">
        <v>279751884085</v>
      </c>
      <c r="J1582" s="23">
        <v>83292387999</v>
      </c>
      <c r="K1582" s="23">
        <f>(J1582+48981862909)/2</f>
        <v>66137125454</v>
      </c>
      <c r="L1582" s="23">
        <v>80523766916</v>
      </c>
      <c r="M1582" s="23">
        <f t="shared" si="551"/>
        <v>196459496086</v>
      </c>
      <c r="N1582" s="23">
        <v>415382034789</v>
      </c>
      <c r="O1582" s="25">
        <f t="shared" si="572"/>
        <v>108879243011</v>
      </c>
      <c r="P1582" s="23">
        <v>39631137175</v>
      </c>
      <c r="Q1582" s="23">
        <f>15571180396+20464367090</f>
        <v>36035547486</v>
      </c>
      <c r="R1582" s="25">
        <f t="shared" si="573"/>
        <v>379346487303</v>
      </c>
      <c r="S1582" s="26">
        <f t="shared" si="574"/>
        <v>0.29773664714155201</v>
      </c>
      <c r="T1582" s="27">
        <f t="shared" si="575"/>
        <v>2.3521379734331056</v>
      </c>
      <c r="U1582" s="26">
        <f t="shared" si="576"/>
        <v>26.35716891900406</v>
      </c>
      <c r="V1582" s="26">
        <f t="shared" si="577"/>
        <v>6.2806182146199934</v>
      </c>
      <c r="W1582" s="143"/>
      <c r="X1582" s="143"/>
      <c r="Y1582" s="143"/>
      <c r="Z1582" s="30">
        <f t="shared" si="586"/>
        <v>0</v>
      </c>
      <c r="AA1582" s="31">
        <f t="shared" si="548"/>
        <v>26</v>
      </c>
      <c r="AB1582" s="32">
        <v>1.84E-2</v>
      </c>
      <c r="AC1582" s="32">
        <v>2.58E-2</v>
      </c>
      <c r="AD1582" s="33">
        <f t="shared" si="499"/>
        <v>0.38919931984414469</v>
      </c>
      <c r="AE1582" s="34">
        <f t="shared" si="500"/>
        <v>0.14166530926011012</v>
      </c>
      <c r="AF1582" s="33">
        <f t="shared" si="501"/>
        <v>1.3560104824450052</v>
      </c>
      <c r="AG1582" s="33">
        <f t="shared" si="502"/>
        <v>0</v>
      </c>
      <c r="AH1582" s="35">
        <f t="shared" si="503"/>
        <v>4.9870347671384696</v>
      </c>
      <c r="AI1582" s="36">
        <f t="shared" si="582"/>
        <v>10.127239975984114</v>
      </c>
      <c r="AJ1582" s="23"/>
      <c r="AK1582" s="173">
        <v>749</v>
      </c>
      <c r="AL1582" s="44"/>
      <c r="AM1582" s="44"/>
      <c r="AN1582" s="44"/>
      <c r="AO1582" s="44"/>
      <c r="AP1582" s="44"/>
      <c r="AQ1582" s="44"/>
      <c r="AR1582" s="44"/>
    </row>
    <row r="1583" spans="1:44" ht="16.8">
      <c r="A1583" s="78" t="s">
        <v>3161</v>
      </c>
      <c r="B1583" s="79"/>
      <c r="C1583" s="79" t="s">
        <v>3159</v>
      </c>
      <c r="D1583" s="19" t="s">
        <v>3160</v>
      </c>
      <c r="E1583" s="20" t="s">
        <v>414</v>
      </c>
      <c r="F1583" s="21">
        <v>1995</v>
      </c>
      <c r="G1583" s="40">
        <v>2022</v>
      </c>
      <c r="H1583" s="23">
        <v>305323649890</v>
      </c>
      <c r="I1583" s="23">
        <v>403645868599</v>
      </c>
      <c r="J1583" s="23">
        <v>216592148154</v>
      </c>
      <c r="K1583" s="23">
        <f t="shared" ref="K1583:K1584" si="596">AVERAGE(J1582:J1583)</f>
        <v>149942268076.5</v>
      </c>
      <c r="L1583" s="23">
        <v>213851497336</v>
      </c>
      <c r="M1583" s="23">
        <f t="shared" si="551"/>
        <v>187053720445</v>
      </c>
      <c r="N1583" s="23">
        <v>509848437014</v>
      </c>
      <c r="O1583" s="25">
        <f t="shared" si="572"/>
        <v>91472152554</v>
      </c>
      <c r="P1583" s="23">
        <v>25742262359</v>
      </c>
      <c r="Q1583" s="23">
        <f>13101683676+17070028188</f>
        <v>30171711864</v>
      </c>
      <c r="R1583" s="25">
        <f t="shared" si="573"/>
        <v>479676725150</v>
      </c>
      <c r="S1583" s="26">
        <f t="shared" si="574"/>
        <v>0.53658953306214163</v>
      </c>
      <c r="T1583" s="27">
        <f t="shared" si="575"/>
        <v>1.4277367878807996</v>
      </c>
      <c r="U1583" s="26">
        <f t="shared" si="576"/>
        <v>26.72380376762791</v>
      </c>
      <c r="V1583" s="26">
        <f t="shared" si="577"/>
        <v>3.4002982851631747</v>
      </c>
      <c r="W1583" s="143"/>
      <c r="X1583" s="143"/>
      <c r="Y1583" s="143"/>
      <c r="Z1583" s="30">
        <f t="shared" si="586"/>
        <v>0</v>
      </c>
      <c r="AA1583" s="31">
        <f t="shared" si="548"/>
        <v>27</v>
      </c>
      <c r="AB1583" s="32">
        <v>3.15E-2</v>
      </c>
      <c r="AC1583" s="32">
        <v>8.0199999999999994E-2</v>
      </c>
      <c r="AD1583" s="33">
        <f t="shared" si="499"/>
        <v>0.22661486136718659</v>
      </c>
      <c r="AE1583" s="34">
        <f t="shared" si="500"/>
        <v>6.3774373433692993E-2</v>
      </c>
      <c r="AF1583" s="33">
        <f t="shared" si="501"/>
        <v>1.1883602991277795</v>
      </c>
      <c r="AG1583" s="33">
        <f t="shared" si="502"/>
        <v>0</v>
      </c>
      <c r="AH1583" s="35">
        <f t="shared" si="503"/>
        <v>2.3539562322983691</v>
      </c>
      <c r="AI1583" s="36">
        <f t="shared" si="582"/>
        <v>6.6367671758678357</v>
      </c>
      <c r="AJ1583" s="23"/>
      <c r="AK1583" s="173">
        <v>750</v>
      </c>
      <c r="AL1583" s="44"/>
      <c r="AM1583" s="44"/>
      <c r="AN1583" s="44"/>
      <c r="AO1583" s="44"/>
      <c r="AP1583" s="44"/>
      <c r="AQ1583" s="44"/>
      <c r="AR1583" s="44"/>
    </row>
    <row r="1584" spans="1:44" ht="16.8">
      <c r="A1584" s="78" t="s">
        <v>3162</v>
      </c>
      <c r="B1584" s="79"/>
      <c r="C1584" s="79" t="s">
        <v>3159</v>
      </c>
      <c r="D1584" s="19" t="s">
        <v>3160</v>
      </c>
      <c r="E1584" s="20" t="s">
        <v>414</v>
      </c>
      <c r="F1584" s="21">
        <v>1995</v>
      </c>
      <c r="G1584" s="40">
        <v>2023</v>
      </c>
      <c r="H1584" s="23">
        <v>230003222138</v>
      </c>
      <c r="I1584" s="23">
        <v>332136167349</v>
      </c>
      <c r="J1584" s="23">
        <v>110387552056</v>
      </c>
      <c r="K1584" s="23">
        <f t="shared" si="596"/>
        <v>163489850105</v>
      </c>
      <c r="L1584" s="23">
        <v>107749130527</v>
      </c>
      <c r="M1584" s="23">
        <f t="shared" si="551"/>
        <v>221748615293</v>
      </c>
      <c r="N1584" s="23">
        <v>431520244465</v>
      </c>
      <c r="O1584" s="25">
        <f t="shared" si="572"/>
        <v>122254091611</v>
      </c>
      <c r="P1584" s="23">
        <v>28617885348</v>
      </c>
      <c r="Q1584" s="23">
        <f>14703401775+17273214322</f>
        <v>31976616097</v>
      </c>
      <c r="R1584" s="25">
        <f t="shared" si="573"/>
        <v>399543628368</v>
      </c>
      <c r="S1584" s="26">
        <f t="shared" si="574"/>
        <v>0.33235631318647585</v>
      </c>
      <c r="T1584" s="27">
        <f t="shared" si="575"/>
        <v>2.1346178944837546</v>
      </c>
      <c r="U1584" s="26">
        <f t="shared" si="576"/>
        <v>26.528810864394877</v>
      </c>
      <c r="V1584" s="26">
        <f t="shared" si="577"/>
        <v>2.639431403159644</v>
      </c>
      <c r="W1584" s="143"/>
      <c r="X1584" s="143"/>
      <c r="Y1584" s="143"/>
      <c r="Z1584" s="30">
        <f t="shared" si="586"/>
        <v>0</v>
      </c>
      <c r="AA1584" s="31">
        <f t="shared" si="548"/>
        <v>28</v>
      </c>
      <c r="AB1584" s="32">
        <v>3.2500000000000001E-2</v>
      </c>
      <c r="AC1584" s="32">
        <v>5.0500000000000003E-2</v>
      </c>
      <c r="AD1584" s="33">
        <f t="shared" si="499"/>
        <v>0.36808424865858885</v>
      </c>
      <c r="AE1584" s="34">
        <f t="shared" si="500"/>
        <v>8.6163110679630006E-2</v>
      </c>
      <c r="AF1584" s="33">
        <f t="shared" si="501"/>
        <v>1.2029512821714776</v>
      </c>
      <c r="AG1584" s="33">
        <f t="shared" si="502"/>
        <v>0</v>
      </c>
      <c r="AH1584" s="35">
        <f t="shared" si="503"/>
        <v>3.9091386340924403</v>
      </c>
      <c r="AI1584" s="36">
        <f t="shared" si="582"/>
        <v>8.4412073186001049</v>
      </c>
      <c r="AJ1584" s="23"/>
      <c r="AK1584" s="173">
        <v>751</v>
      </c>
      <c r="AL1584" s="44"/>
      <c r="AM1584" s="44"/>
      <c r="AN1584" s="44"/>
      <c r="AO1584" s="44"/>
      <c r="AP1584" s="44"/>
      <c r="AQ1584" s="44"/>
      <c r="AR1584" s="44"/>
    </row>
    <row r="1585" spans="1:44" ht="16.8">
      <c r="A1585" s="78" t="s">
        <v>3163</v>
      </c>
      <c r="B1585" s="79">
        <v>609</v>
      </c>
      <c r="C1585" s="79" t="s">
        <v>3164</v>
      </c>
      <c r="D1585" s="19" t="s">
        <v>3165</v>
      </c>
      <c r="E1585" s="20" t="s">
        <v>414</v>
      </c>
      <c r="F1585" s="21">
        <v>2003</v>
      </c>
      <c r="G1585" s="40">
        <v>2021</v>
      </c>
      <c r="H1585" s="23">
        <v>217666050627</v>
      </c>
      <c r="I1585" s="23">
        <v>544077560163</v>
      </c>
      <c r="J1585" s="23">
        <v>109496854135</v>
      </c>
      <c r="K1585" s="23">
        <f>(J1585+72605201779)/2</f>
        <v>91051027957</v>
      </c>
      <c r="L1585" s="23">
        <v>71618701779</v>
      </c>
      <c r="M1585" s="23">
        <f t="shared" si="551"/>
        <v>434580706028</v>
      </c>
      <c r="N1585" s="23">
        <v>788120043468</v>
      </c>
      <c r="O1585" s="25">
        <f t="shared" si="572"/>
        <v>146047348848</v>
      </c>
      <c r="P1585" s="23">
        <v>82155914160</v>
      </c>
      <c r="Q1585" s="23">
        <f>2664174044+78622408223</f>
        <v>81286582267</v>
      </c>
      <c r="R1585" s="25">
        <f t="shared" si="573"/>
        <v>706833461201</v>
      </c>
      <c r="S1585" s="26">
        <f t="shared" si="574"/>
        <v>0.20125228855642543</v>
      </c>
      <c r="T1585" s="27">
        <f t="shared" si="575"/>
        <v>3.0392347978977736</v>
      </c>
      <c r="U1585" s="26">
        <f t="shared" si="576"/>
        <v>27.022357647468716</v>
      </c>
      <c r="V1585" s="26">
        <f t="shared" si="577"/>
        <v>8.6558061029272473</v>
      </c>
      <c r="W1585" s="143"/>
      <c r="X1585" s="143"/>
      <c r="Y1585" s="143"/>
      <c r="Z1585" s="30">
        <f t="shared" si="586"/>
        <v>0</v>
      </c>
      <c r="AA1585" s="31">
        <f t="shared" si="548"/>
        <v>18</v>
      </c>
      <c r="AB1585" s="32">
        <v>1.84E-2</v>
      </c>
      <c r="AC1585" s="32">
        <v>2.58E-2</v>
      </c>
      <c r="AD1585" s="33">
        <f t="shared" si="499"/>
        <v>0.26843112001209118</v>
      </c>
      <c r="AE1585" s="34">
        <f t="shared" si="500"/>
        <v>0.15100037232814184</v>
      </c>
      <c r="AF1585" s="33">
        <f t="shared" si="501"/>
        <v>1.299140991937326</v>
      </c>
      <c r="AG1585" s="33">
        <f t="shared" si="502"/>
        <v>0</v>
      </c>
      <c r="AH1585" s="35">
        <f t="shared" si="503"/>
        <v>7.1976501032286944</v>
      </c>
      <c r="AI1585" s="36">
        <f t="shared" si="582"/>
        <v>12.018333241895778</v>
      </c>
      <c r="AJ1585" s="23"/>
      <c r="AK1585" s="173">
        <v>752</v>
      </c>
      <c r="AL1585" s="44"/>
      <c r="AM1585" s="44"/>
      <c r="AN1585" s="44"/>
      <c r="AO1585" s="44"/>
      <c r="AP1585" s="44"/>
      <c r="AQ1585" s="44"/>
      <c r="AR1585" s="44"/>
    </row>
    <row r="1586" spans="1:44" ht="16.8">
      <c r="A1586" s="78" t="s">
        <v>3166</v>
      </c>
      <c r="B1586" s="79"/>
      <c r="C1586" s="79" t="s">
        <v>3164</v>
      </c>
      <c r="D1586" s="19" t="s">
        <v>3165</v>
      </c>
      <c r="E1586" s="20" t="s">
        <v>414</v>
      </c>
      <c r="F1586" s="21">
        <v>2003</v>
      </c>
      <c r="G1586" s="40">
        <v>2022</v>
      </c>
      <c r="H1586" s="23">
        <v>314974858712</v>
      </c>
      <c r="I1586" s="23">
        <v>713007176154</v>
      </c>
      <c r="J1586" s="23">
        <v>179504113691</v>
      </c>
      <c r="K1586" s="23">
        <f t="shared" ref="K1586:K1587" si="597">AVERAGE(J1585:J1586)</f>
        <v>144500483913</v>
      </c>
      <c r="L1586" s="23">
        <v>178517613691</v>
      </c>
      <c r="M1586" s="23">
        <f t="shared" si="551"/>
        <v>533503062463</v>
      </c>
      <c r="N1586" s="23">
        <v>1113267981194</v>
      </c>
      <c r="O1586" s="25">
        <f t="shared" si="572"/>
        <v>136457245021</v>
      </c>
      <c r="P1586" s="23">
        <v>121239056435</v>
      </c>
      <c r="Q1586" s="23">
        <f>3342499860+107435397997</f>
        <v>110777897857</v>
      </c>
      <c r="R1586" s="25">
        <f t="shared" si="573"/>
        <v>1002490083337</v>
      </c>
      <c r="S1586" s="26">
        <f t="shared" si="574"/>
        <v>0.25175639137218098</v>
      </c>
      <c r="T1586" s="27">
        <f t="shared" si="575"/>
        <v>1.7643909315144488</v>
      </c>
      <c r="U1586" s="26">
        <f t="shared" si="576"/>
        <v>27.292757322042174</v>
      </c>
      <c r="V1586" s="26">
        <f t="shared" si="577"/>
        <v>7.7042508858604917</v>
      </c>
      <c r="W1586" s="143"/>
      <c r="X1586" s="143"/>
      <c r="Y1586" s="143"/>
      <c r="Z1586" s="30">
        <f t="shared" si="586"/>
        <v>0</v>
      </c>
      <c r="AA1586" s="31">
        <f t="shared" si="548"/>
        <v>19</v>
      </c>
      <c r="AB1586" s="32">
        <v>3.15E-2</v>
      </c>
      <c r="AC1586" s="32">
        <v>8.0199999999999994E-2</v>
      </c>
      <c r="AD1586" s="33">
        <f t="shared" si="499"/>
        <v>0.19138270915737188</v>
      </c>
      <c r="AE1586" s="34">
        <f t="shared" si="500"/>
        <v>0.17003904096585695</v>
      </c>
      <c r="AF1586" s="33">
        <f t="shared" si="501"/>
        <v>1.4060027961352182</v>
      </c>
      <c r="AG1586" s="33">
        <f t="shared" si="502"/>
        <v>0</v>
      </c>
      <c r="AH1586" s="35">
        <f t="shared" si="503"/>
        <v>6.2019079022912509</v>
      </c>
      <c r="AI1586" s="36">
        <f t="shared" si="582"/>
        <v>11.309431037878516</v>
      </c>
      <c r="AJ1586" s="23"/>
      <c r="AK1586" s="173">
        <v>753</v>
      </c>
      <c r="AL1586" s="44"/>
      <c r="AM1586" s="44"/>
      <c r="AN1586" s="44"/>
      <c r="AO1586" s="44"/>
      <c r="AP1586" s="44"/>
      <c r="AQ1586" s="44"/>
      <c r="AR1586" s="44"/>
    </row>
    <row r="1587" spans="1:44" ht="16.8">
      <c r="A1587" s="78" t="s">
        <v>3167</v>
      </c>
      <c r="B1587" s="79"/>
      <c r="C1587" s="79" t="s">
        <v>3164</v>
      </c>
      <c r="D1587" s="19" t="s">
        <v>3165</v>
      </c>
      <c r="E1587" s="20" t="s">
        <v>414</v>
      </c>
      <c r="F1587" s="21">
        <v>2003</v>
      </c>
      <c r="G1587" s="40">
        <v>2023</v>
      </c>
      <c r="H1587" s="23">
        <v>403101143434</v>
      </c>
      <c r="I1587" s="23">
        <v>769875715021</v>
      </c>
      <c r="J1587" s="23">
        <v>169308485914</v>
      </c>
      <c r="K1587" s="23">
        <f t="shared" si="597"/>
        <v>174406299802.5</v>
      </c>
      <c r="L1587" s="23">
        <v>129321985914</v>
      </c>
      <c r="M1587" s="23">
        <f t="shared" si="551"/>
        <v>600567229107</v>
      </c>
      <c r="N1587" s="23">
        <v>901723777354</v>
      </c>
      <c r="O1587" s="25">
        <f t="shared" si="572"/>
        <v>273779157520</v>
      </c>
      <c r="P1587" s="23">
        <v>125240866644</v>
      </c>
      <c r="Q1587" s="23">
        <f>3162427454+159277391696</f>
        <v>162439819150</v>
      </c>
      <c r="R1587" s="25">
        <f t="shared" si="573"/>
        <v>739283958204</v>
      </c>
      <c r="S1587" s="26">
        <f t="shared" si="574"/>
        <v>0.21991664707774519</v>
      </c>
      <c r="T1587" s="27">
        <f t="shared" si="575"/>
        <v>3.1170349000212925</v>
      </c>
      <c r="U1587" s="26">
        <f t="shared" si="576"/>
        <v>27.369494929702661</v>
      </c>
      <c r="V1587" s="26">
        <f t="shared" si="577"/>
        <v>5.1702477397612583</v>
      </c>
      <c r="W1587" s="143"/>
      <c r="X1587" s="143"/>
      <c r="Y1587" s="143"/>
      <c r="Z1587" s="30">
        <f t="shared" si="586"/>
        <v>0</v>
      </c>
      <c r="AA1587" s="31">
        <f t="shared" si="548"/>
        <v>20</v>
      </c>
      <c r="AB1587" s="32">
        <v>3.2500000000000001E-2</v>
      </c>
      <c r="AC1587" s="32">
        <v>5.0500000000000003E-2</v>
      </c>
      <c r="AD1587" s="33">
        <f t="shared" si="499"/>
        <v>0.35561474687187933</v>
      </c>
      <c r="AE1587" s="34">
        <f t="shared" si="500"/>
        <v>0.1626767336602945</v>
      </c>
      <c r="AF1587" s="33">
        <f t="shared" si="501"/>
        <v>0.96026403194681165</v>
      </c>
      <c r="AG1587" s="33">
        <f t="shared" si="502"/>
        <v>0</v>
      </c>
      <c r="AH1587" s="35">
        <f t="shared" si="503"/>
        <v>5.3259219258037032</v>
      </c>
      <c r="AI1587" s="36">
        <f t="shared" si="582"/>
        <v>9.1492783545988488</v>
      </c>
      <c r="AJ1587" s="23"/>
      <c r="AK1587" s="173">
        <v>754</v>
      </c>
      <c r="AL1587" s="44"/>
      <c r="AM1587" s="44"/>
      <c r="AN1587" s="44"/>
      <c r="AO1587" s="44"/>
      <c r="AP1587" s="44"/>
      <c r="AQ1587" s="44"/>
      <c r="AR1587" s="44"/>
    </row>
    <row r="1588" spans="1:44" ht="16.8">
      <c r="A1588" s="259" t="s">
        <v>3168</v>
      </c>
      <c r="B1588" s="79">
        <v>610</v>
      </c>
      <c r="C1588" s="79" t="s">
        <v>3169</v>
      </c>
      <c r="D1588" s="19" t="s">
        <v>3170</v>
      </c>
      <c r="E1588" s="20" t="s">
        <v>414</v>
      </c>
      <c r="F1588" s="21">
        <v>2001</v>
      </c>
      <c r="G1588" s="40">
        <v>2021</v>
      </c>
      <c r="H1588" s="23">
        <v>3667580449339</v>
      </c>
      <c r="I1588" s="23">
        <v>5804533486116</v>
      </c>
      <c r="J1588" s="23">
        <v>3415916609987</v>
      </c>
      <c r="K1588" s="23">
        <f>(J1588+4286109465887)/2</f>
        <v>3851013037937</v>
      </c>
      <c r="L1588" s="23">
        <v>2564472237878</v>
      </c>
      <c r="M1588" s="23">
        <f t="shared" si="551"/>
        <v>2388616876129</v>
      </c>
      <c r="N1588" s="23">
        <v>0</v>
      </c>
      <c r="O1588" s="25">
        <f t="shared" si="572"/>
        <v>1103108211461</v>
      </c>
      <c r="P1588" s="23">
        <v>180810348005</v>
      </c>
      <c r="Q1588" s="23">
        <f>83701975089+16897258501</f>
        <v>100599233590</v>
      </c>
      <c r="R1588" s="25">
        <f t="shared" si="573"/>
        <v>-100599233590</v>
      </c>
      <c r="S1588" s="26">
        <f t="shared" si="574"/>
        <v>0.58849115405357055</v>
      </c>
      <c r="T1588" s="27">
        <f t="shared" si="575"/>
        <v>1.4301501865248418</v>
      </c>
      <c r="U1588" s="26">
        <f t="shared" si="576"/>
        <v>29.389660363700195</v>
      </c>
      <c r="V1588" s="26">
        <f t="shared" si="577"/>
        <v>0</v>
      </c>
      <c r="W1588" s="143"/>
      <c r="X1588" s="143"/>
      <c r="Y1588" s="143"/>
      <c r="Z1588" s="30">
        <f t="shared" si="586"/>
        <v>0</v>
      </c>
      <c r="AA1588" s="31">
        <f t="shared" si="548"/>
        <v>20</v>
      </c>
      <c r="AB1588" s="32">
        <v>1.84E-2</v>
      </c>
      <c r="AC1588" s="32">
        <v>2.58E-2</v>
      </c>
      <c r="AD1588" s="33">
        <f t="shared" si="499"/>
        <v>0.19004252694890131</v>
      </c>
      <c r="AE1588" s="34">
        <f t="shared" si="500"/>
        <v>3.1149850102077027E-2</v>
      </c>
      <c r="AF1588" s="33">
        <f t="shared" si="501"/>
        <v>-1.7331148804744716E-2</v>
      </c>
      <c r="AG1588" s="33">
        <f t="shared" si="502"/>
        <v>0</v>
      </c>
      <c r="AH1588" s="35">
        <f t="shared" si="503"/>
        <v>0</v>
      </c>
      <c r="AI1588" s="36">
        <f t="shared" si="582"/>
        <v>0.21446803142593185</v>
      </c>
      <c r="AJ1588" s="23"/>
      <c r="AK1588" s="173">
        <v>755</v>
      </c>
      <c r="AL1588" s="44"/>
      <c r="AM1588" s="44"/>
      <c r="AN1588" s="44"/>
      <c r="AO1588" s="44"/>
      <c r="AP1588" s="44"/>
      <c r="AQ1588" s="44"/>
      <c r="AR1588" s="44"/>
    </row>
    <row r="1589" spans="1:44" ht="16.8">
      <c r="A1589" s="257"/>
      <c r="B1589" s="79"/>
      <c r="C1589" s="79" t="s">
        <v>3169</v>
      </c>
      <c r="D1589" s="19" t="s">
        <v>3170</v>
      </c>
      <c r="E1589" s="20" t="s">
        <v>414</v>
      </c>
      <c r="F1589" s="21">
        <v>2001</v>
      </c>
      <c r="G1589" s="40">
        <v>2022</v>
      </c>
      <c r="H1589" s="23">
        <v>3869585657302</v>
      </c>
      <c r="I1589" s="23">
        <v>5047843826481</v>
      </c>
      <c r="J1589" s="23">
        <v>2464836049593</v>
      </c>
      <c r="K1589" s="23">
        <f t="shared" ref="K1589:K1590" si="598">AVERAGE(J1588:J1589)</f>
        <v>2940376329790</v>
      </c>
      <c r="L1589" s="23">
        <v>2280442537100</v>
      </c>
      <c r="M1589" s="23">
        <f t="shared" si="551"/>
        <v>2583007776888</v>
      </c>
      <c r="N1589" s="23">
        <v>1005840232313</v>
      </c>
      <c r="O1589" s="25">
        <f t="shared" si="572"/>
        <v>1589143120202</v>
      </c>
      <c r="P1589" s="23">
        <v>194287025000</v>
      </c>
      <c r="Q1589" s="23">
        <v>78998735273</v>
      </c>
      <c r="R1589" s="25">
        <f t="shared" si="573"/>
        <v>926841497040</v>
      </c>
      <c r="S1589" s="26">
        <f t="shared" si="574"/>
        <v>0.48829483128270817</v>
      </c>
      <c r="T1589" s="27">
        <f t="shared" si="575"/>
        <v>1.6968573399016167</v>
      </c>
      <c r="U1589" s="26">
        <f t="shared" si="576"/>
        <v>29.249982302987018</v>
      </c>
      <c r="V1589" s="26">
        <f t="shared" si="577"/>
        <v>0.3420787407797003</v>
      </c>
      <c r="W1589" s="143"/>
      <c r="X1589" s="143"/>
      <c r="Y1589" s="143"/>
      <c r="Z1589" s="30">
        <f t="shared" si="586"/>
        <v>0</v>
      </c>
      <c r="AA1589" s="31">
        <f t="shared" si="548"/>
        <v>21</v>
      </c>
      <c r="AB1589" s="32">
        <v>3.15E-2</v>
      </c>
      <c r="AC1589" s="32">
        <v>8.0199999999999994E-2</v>
      </c>
      <c r="AD1589" s="33">
        <f t="shared" si="499"/>
        <v>0.31481622150537852</v>
      </c>
      <c r="AE1589" s="34">
        <f t="shared" si="500"/>
        <v>3.8489111723459001E-2</v>
      </c>
      <c r="AF1589" s="33">
        <f t="shared" si="501"/>
        <v>0.18361136534727707</v>
      </c>
      <c r="AG1589" s="33">
        <f t="shared" si="502"/>
        <v>0</v>
      </c>
      <c r="AH1589" s="35">
        <f t="shared" si="503"/>
        <v>0.40807591745466676</v>
      </c>
      <c r="AI1589" s="36">
        <f t="shared" si="582"/>
        <v>1.4456576453199776</v>
      </c>
      <c r="AJ1589" s="23"/>
      <c r="AK1589" s="173">
        <v>756</v>
      </c>
      <c r="AL1589" s="44"/>
      <c r="AM1589" s="44"/>
      <c r="AN1589" s="44"/>
      <c r="AO1589" s="44"/>
      <c r="AP1589" s="44"/>
      <c r="AQ1589" s="44"/>
      <c r="AR1589" s="44"/>
    </row>
    <row r="1590" spans="1:44" ht="16.8">
      <c r="A1590" s="257"/>
      <c r="B1590" s="79"/>
      <c r="C1590" s="79" t="s">
        <v>3169</v>
      </c>
      <c r="D1590" s="19" t="s">
        <v>3170</v>
      </c>
      <c r="E1590" s="20" t="s">
        <v>414</v>
      </c>
      <c r="F1590" s="21">
        <v>2001</v>
      </c>
      <c r="G1590" s="40">
        <v>2023</v>
      </c>
      <c r="H1590" s="23">
        <v>4819620232177</v>
      </c>
      <c r="I1590" s="23">
        <v>5979135351215</v>
      </c>
      <c r="J1590" s="23">
        <v>3440931178627</v>
      </c>
      <c r="K1590" s="23">
        <f t="shared" si="598"/>
        <v>2952883614110</v>
      </c>
      <c r="L1590" s="23">
        <v>3287661160726</v>
      </c>
      <c r="M1590" s="23">
        <f t="shared" si="551"/>
        <v>2538204172588</v>
      </c>
      <c r="N1590" s="23">
        <v>2007948933386</v>
      </c>
      <c r="O1590" s="25">
        <f t="shared" si="572"/>
        <v>1531959071451</v>
      </c>
      <c r="P1590" s="23">
        <v>101569790493</v>
      </c>
      <c r="Q1590" s="23">
        <v>107336396420</v>
      </c>
      <c r="R1590" s="25">
        <f t="shared" si="573"/>
        <v>1900612536966</v>
      </c>
      <c r="S1590" s="26">
        <f t="shared" si="574"/>
        <v>0.57548976173081279</v>
      </c>
      <c r="T1590" s="27">
        <f t="shared" si="575"/>
        <v>1.4659723117916155</v>
      </c>
      <c r="U1590" s="26">
        <f t="shared" si="576"/>
        <v>29.419297083339107</v>
      </c>
      <c r="V1590" s="26">
        <f t="shared" si="577"/>
        <v>0.67999596184260602</v>
      </c>
      <c r="W1590" s="143"/>
      <c r="X1590" s="143"/>
      <c r="Y1590" s="143"/>
      <c r="Z1590" s="30">
        <f t="shared" si="586"/>
        <v>0</v>
      </c>
      <c r="AA1590" s="31">
        <f t="shared" si="548"/>
        <v>22</v>
      </c>
      <c r="AB1590" s="32">
        <v>3.2500000000000001E-2</v>
      </c>
      <c r="AC1590" s="32">
        <v>5.0500000000000003E-2</v>
      </c>
      <c r="AD1590" s="33">
        <f t="shared" si="499"/>
        <v>0.25621749324334925</v>
      </c>
      <c r="AE1590" s="34">
        <f t="shared" si="500"/>
        <v>1.6987371003795781E-2</v>
      </c>
      <c r="AF1590" s="33">
        <f t="shared" si="501"/>
        <v>0.31787414489283689</v>
      </c>
      <c r="AG1590" s="33">
        <f t="shared" si="502"/>
        <v>0</v>
      </c>
      <c r="AH1590" s="35">
        <f t="shared" si="503"/>
        <v>0.58354812379223797</v>
      </c>
      <c r="AI1590" s="36">
        <f t="shared" si="582"/>
        <v>1.9637761132359328</v>
      </c>
      <c r="AJ1590" s="23"/>
      <c r="AK1590" s="173">
        <v>757</v>
      </c>
      <c r="AL1590" s="44"/>
      <c r="AM1590" s="44"/>
      <c r="AN1590" s="44"/>
      <c r="AO1590" s="44"/>
      <c r="AP1590" s="44"/>
      <c r="AQ1590" s="44"/>
      <c r="AR1590" s="44"/>
    </row>
    <row r="1591" spans="1:44" ht="16.8">
      <c r="A1591" s="259" t="s">
        <v>3171</v>
      </c>
      <c r="B1591" s="79">
        <v>611</v>
      </c>
      <c r="C1591" s="79" t="s">
        <v>3172</v>
      </c>
      <c r="D1591" s="19" t="s">
        <v>3173</v>
      </c>
      <c r="E1591" s="20" t="s">
        <v>414</v>
      </c>
      <c r="F1591" s="21">
        <v>2002</v>
      </c>
      <c r="G1591" s="40">
        <v>2021</v>
      </c>
      <c r="H1591" s="23">
        <v>51471103417</v>
      </c>
      <c r="I1591" s="23">
        <v>250400490786</v>
      </c>
      <c r="J1591" s="23">
        <v>21810179652</v>
      </c>
      <c r="K1591" s="23">
        <f>(J1591+23172578672)/2</f>
        <v>22491379162</v>
      </c>
      <c r="L1591" s="23">
        <v>21810179652</v>
      </c>
      <c r="M1591" s="23">
        <f t="shared" si="551"/>
        <v>228590311134</v>
      </c>
      <c r="N1591" s="23">
        <v>9787945600</v>
      </c>
      <c r="O1591" s="25">
        <f t="shared" si="572"/>
        <v>29660923765</v>
      </c>
      <c r="P1591" s="23">
        <v>1930207181</v>
      </c>
      <c r="Q1591" s="23">
        <v>1033416214</v>
      </c>
      <c r="R1591" s="25">
        <f t="shared" si="573"/>
        <v>8754529386</v>
      </c>
      <c r="S1591" s="26">
        <f t="shared" si="574"/>
        <v>8.7101185718679974E-2</v>
      </c>
      <c r="T1591" s="27">
        <f t="shared" si="575"/>
        <v>2.3599577921074153</v>
      </c>
      <c r="U1591" s="26">
        <f t="shared" si="576"/>
        <v>26.246327436178422</v>
      </c>
      <c r="V1591" s="26">
        <f t="shared" si="577"/>
        <v>0.43518654545369495</v>
      </c>
      <c r="W1591" s="143"/>
      <c r="X1591" s="143"/>
      <c r="Y1591" s="143"/>
      <c r="Z1591" s="30">
        <f t="shared" si="586"/>
        <v>0</v>
      </c>
      <c r="AA1591" s="31">
        <f t="shared" si="548"/>
        <v>19</v>
      </c>
      <c r="AB1591" s="32">
        <v>1.84E-2</v>
      </c>
      <c r="AC1591" s="32">
        <v>2.58E-2</v>
      </c>
      <c r="AD1591" s="33">
        <f t="shared" si="499"/>
        <v>0.11845393621991397</v>
      </c>
      <c r="AE1591" s="34">
        <f t="shared" si="500"/>
        <v>7.7084800231067225E-3</v>
      </c>
      <c r="AF1591" s="33">
        <f t="shared" si="501"/>
        <v>3.49621095330915E-2</v>
      </c>
      <c r="AG1591" s="33">
        <f t="shared" si="502"/>
        <v>0</v>
      </c>
      <c r="AH1591" s="35">
        <f t="shared" si="503"/>
        <v>0.44877877010529083</v>
      </c>
      <c r="AI1591" s="36">
        <f t="shared" si="582"/>
        <v>0.71709032706073894</v>
      </c>
      <c r="AJ1591" s="23"/>
      <c r="AK1591" s="173">
        <v>758</v>
      </c>
      <c r="AL1591" s="44"/>
      <c r="AM1591" s="44"/>
      <c r="AN1591" s="44"/>
      <c r="AO1591" s="44"/>
      <c r="AP1591" s="44"/>
      <c r="AQ1591" s="44"/>
      <c r="AR1591" s="44"/>
    </row>
    <row r="1592" spans="1:44" ht="16.8">
      <c r="A1592" s="257"/>
      <c r="B1592" s="79"/>
      <c r="C1592" s="79" t="s">
        <v>3172</v>
      </c>
      <c r="D1592" s="19" t="s">
        <v>3173</v>
      </c>
      <c r="E1592" s="20" t="s">
        <v>414</v>
      </c>
      <c r="F1592" s="21">
        <v>2002</v>
      </c>
      <c r="G1592" s="40">
        <v>2022</v>
      </c>
      <c r="H1592" s="23">
        <v>47486125807</v>
      </c>
      <c r="I1592" s="23">
        <v>131698648923</v>
      </c>
      <c r="J1592" s="23">
        <v>12640025895</v>
      </c>
      <c r="K1592" s="23">
        <f t="shared" ref="K1592:K1593" si="599">AVERAGE(J1591:J1592)</f>
        <v>17225102773.5</v>
      </c>
      <c r="L1592" s="23">
        <v>12640025895</v>
      </c>
      <c r="M1592" s="23">
        <f t="shared" si="551"/>
        <v>119058623028</v>
      </c>
      <c r="N1592" s="23">
        <v>16431744000</v>
      </c>
      <c r="O1592" s="25">
        <f t="shared" si="572"/>
        <v>34846099912</v>
      </c>
      <c r="P1592" s="23">
        <v>-109531688107</v>
      </c>
      <c r="Q1592" s="23">
        <v>2061614513</v>
      </c>
      <c r="R1592" s="25">
        <f t="shared" si="573"/>
        <v>14370129487</v>
      </c>
      <c r="S1592" s="26">
        <f t="shared" si="574"/>
        <v>9.5976883577524166E-2</v>
      </c>
      <c r="T1592" s="27">
        <f t="shared" si="575"/>
        <v>3.7568060541540529</v>
      </c>
      <c r="U1592" s="26">
        <f t="shared" si="576"/>
        <v>25.603782186895874</v>
      </c>
      <c r="V1592" s="26">
        <f t="shared" si="577"/>
        <v>0.95394171030894837</v>
      </c>
      <c r="W1592" s="143"/>
      <c r="X1592" s="143"/>
      <c r="Y1592" s="143"/>
      <c r="Z1592" s="30">
        <f t="shared" si="586"/>
        <v>0</v>
      </c>
      <c r="AA1592" s="31">
        <f t="shared" si="548"/>
        <v>20</v>
      </c>
      <c r="AB1592" s="32">
        <v>3.15E-2</v>
      </c>
      <c r="AC1592" s="32">
        <v>8.0199999999999994E-2</v>
      </c>
      <c r="AD1592" s="33">
        <f t="shared" si="499"/>
        <v>0.26458965370535731</v>
      </c>
      <c r="AE1592" s="34">
        <f t="shared" si="500"/>
        <v>-0.83168422001838216</v>
      </c>
      <c r="AF1592" s="33">
        <f t="shared" si="501"/>
        <v>0.10911371987879509</v>
      </c>
      <c r="AG1592" s="33">
        <f t="shared" si="502"/>
        <v>0</v>
      </c>
      <c r="AH1592" s="35">
        <f t="shared" si="503"/>
        <v>1.2999770836308084</v>
      </c>
      <c r="AI1592" s="36">
        <f t="shared" si="582"/>
        <v>0.81320203565152616</v>
      </c>
      <c r="AJ1592" s="23"/>
      <c r="AK1592" s="173">
        <v>759</v>
      </c>
      <c r="AL1592" s="44"/>
      <c r="AM1592" s="44"/>
      <c r="AN1592" s="44"/>
      <c r="AO1592" s="44"/>
      <c r="AP1592" s="44"/>
      <c r="AQ1592" s="44"/>
      <c r="AR1592" s="44"/>
    </row>
    <row r="1593" spans="1:44" ht="16.8">
      <c r="A1593" s="257"/>
      <c r="B1593" s="79"/>
      <c r="C1593" s="79" t="s">
        <v>3172</v>
      </c>
      <c r="D1593" s="19" t="s">
        <v>3173</v>
      </c>
      <c r="E1593" s="20" t="s">
        <v>414</v>
      </c>
      <c r="F1593" s="21">
        <v>2002</v>
      </c>
      <c r="G1593" s="40">
        <v>2023</v>
      </c>
      <c r="H1593" s="23">
        <v>42525276289</v>
      </c>
      <c r="I1593" s="23">
        <v>140017593021</v>
      </c>
      <c r="J1593" s="23">
        <v>17713968921</v>
      </c>
      <c r="K1593" s="23">
        <f t="shared" si="599"/>
        <v>15176997408</v>
      </c>
      <c r="L1593" s="23">
        <v>17713968921</v>
      </c>
      <c r="M1593" s="23">
        <f t="shared" si="551"/>
        <v>122303624100</v>
      </c>
      <c r="N1593" s="23">
        <v>51353442478</v>
      </c>
      <c r="O1593" s="25">
        <f t="shared" si="572"/>
        <v>24811307368</v>
      </c>
      <c r="P1593" s="23">
        <v>3244999272</v>
      </c>
      <c r="Q1593" s="23">
        <v>1476850836</v>
      </c>
      <c r="R1593" s="25">
        <f t="shared" si="573"/>
        <v>49876591642</v>
      </c>
      <c r="S1593" s="26">
        <f t="shared" si="574"/>
        <v>0.12651245131990835</v>
      </c>
      <c r="T1593" s="27">
        <f t="shared" si="575"/>
        <v>2.4006633679133347</v>
      </c>
      <c r="U1593" s="26">
        <f t="shared" si="576"/>
        <v>25.665033916096316</v>
      </c>
      <c r="V1593" s="26">
        <f t="shared" si="577"/>
        <v>3.3836365057907245</v>
      </c>
      <c r="W1593" s="143"/>
      <c r="X1593" s="143"/>
      <c r="Y1593" s="143"/>
      <c r="Z1593" s="30">
        <f t="shared" si="586"/>
        <v>0</v>
      </c>
      <c r="AA1593" s="31">
        <f t="shared" si="548"/>
        <v>21</v>
      </c>
      <c r="AB1593" s="32">
        <v>3.2500000000000001E-2</v>
      </c>
      <c r="AC1593" s="32">
        <v>5.0500000000000003E-2</v>
      </c>
      <c r="AD1593" s="33">
        <f t="shared" si="499"/>
        <v>0.17720135614871463</v>
      </c>
      <c r="AE1593" s="34">
        <f t="shared" si="500"/>
        <v>2.3175653873105155E-2</v>
      </c>
      <c r="AF1593" s="33">
        <f t="shared" si="501"/>
        <v>0.35621660511275499</v>
      </c>
      <c r="AG1593" s="33">
        <f t="shared" si="502"/>
        <v>0</v>
      </c>
      <c r="AH1593" s="35">
        <f t="shared" si="503"/>
        <v>2.8990365009120138</v>
      </c>
      <c r="AI1593" s="36">
        <f t="shared" si="582"/>
        <v>4.3196388405849095</v>
      </c>
      <c r="AJ1593" s="23"/>
      <c r="AK1593" s="173">
        <v>760</v>
      </c>
      <c r="AL1593" s="44"/>
      <c r="AM1593" s="44"/>
      <c r="AN1593" s="44"/>
      <c r="AO1593" s="44"/>
      <c r="AP1593" s="44"/>
      <c r="AQ1593" s="44"/>
      <c r="AR1593" s="44"/>
    </row>
    <row r="1594" spans="1:44" ht="16.8">
      <c r="A1594" s="45"/>
      <c r="B1594" s="45">
        <v>612</v>
      </c>
      <c r="C1594" s="45" t="s">
        <v>3174</v>
      </c>
      <c r="D1594" s="46" t="s">
        <v>3175</v>
      </c>
      <c r="E1594" s="47"/>
      <c r="F1594" s="48">
        <v>2010</v>
      </c>
      <c r="G1594" s="48">
        <v>2021</v>
      </c>
      <c r="H1594" s="49"/>
      <c r="I1594" s="49"/>
      <c r="J1594" s="49"/>
      <c r="K1594" s="49"/>
      <c r="L1594" s="49"/>
      <c r="M1594" s="49">
        <f t="shared" si="551"/>
        <v>0</v>
      </c>
      <c r="N1594" s="49"/>
      <c r="O1594" s="49">
        <f t="shared" si="572"/>
        <v>0</v>
      </c>
      <c r="P1594" s="49"/>
      <c r="Q1594" s="49"/>
      <c r="R1594" s="49">
        <f t="shared" si="573"/>
        <v>0</v>
      </c>
      <c r="S1594" s="50" t="e">
        <f t="shared" si="574"/>
        <v>#DIV/0!</v>
      </c>
      <c r="T1594" s="51" t="e">
        <f t="shared" si="575"/>
        <v>#DIV/0!</v>
      </c>
      <c r="U1594" s="50" t="e">
        <f t="shared" si="576"/>
        <v>#NUM!</v>
      </c>
      <c r="V1594" s="50" t="e">
        <f t="shared" si="577"/>
        <v>#DIV/0!</v>
      </c>
      <c r="W1594" s="52"/>
      <c r="X1594" s="52"/>
      <c r="Y1594" s="52"/>
      <c r="Z1594" s="55">
        <f t="shared" si="586"/>
        <v>0</v>
      </c>
      <c r="AA1594" s="48">
        <f t="shared" si="548"/>
        <v>11</v>
      </c>
      <c r="AB1594" s="49"/>
      <c r="AC1594" s="49"/>
      <c r="AD1594" s="50" t="e">
        <f t="shared" si="499"/>
        <v>#DIV/0!</v>
      </c>
      <c r="AE1594" s="56" t="e">
        <f t="shared" si="500"/>
        <v>#DIV/0!</v>
      </c>
      <c r="AF1594" s="50" t="e">
        <f t="shared" si="501"/>
        <v>#DIV/0!</v>
      </c>
      <c r="AG1594" s="50" t="e">
        <f t="shared" si="502"/>
        <v>#DIV/0!</v>
      </c>
      <c r="AH1594" s="57" t="e">
        <f t="shared" si="503"/>
        <v>#DIV/0!</v>
      </c>
      <c r="AI1594" s="58" t="e">
        <f t="shared" si="582"/>
        <v>#DIV/0!</v>
      </c>
      <c r="AJ1594" s="49"/>
      <c r="AK1594" s="49">
        <v>761</v>
      </c>
      <c r="AL1594" s="59"/>
      <c r="AM1594" s="59"/>
      <c r="AN1594" s="59"/>
      <c r="AO1594" s="59"/>
      <c r="AP1594" s="59"/>
      <c r="AQ1594" s="59"/>
      <c r="AR1594" s="59"/>
    </row>
    <row r="1595" spans="1:44" ht="16.8">
      <c r="A1595" s="259" t="s">
        <v>3176</v>
      </c>
      <c r="B1595" s="79">
        <v>613</v>
      </c>
      <c r="C1595" s="79" t="s">
        <v>3177</v>
      </c>
      <c r="D1595" s="19" t="s">
        <v>3178</v>
      </c>
      <c r="E1595" s="20" t="s">
        <v>414</v>
      </c>
      <c r="F1595" s="21">
        <v>1978</v>
      </c>
      <c r="G1595" s="40">
        <v>2021</v>
      </c>
      <c r="H1595" s="23">
        <v>1187131675840</v>
      </c>
      <c r="I1595" s="23">
        <v>12178166708712</v>
      </c>
      <c r="J1595" s="23">
        <v>7489928508899</v>
      </c>
      <c r="K1595" s="23">
        <f>(J1595+7460780462331)/2</f>
        <v>7475354485615</v>
      </c>
      <c r="L1595" s="23">
        <v>1396774183163</v>
      </c>
      <c r="M1595" s="23">
        <f t="shared" si="551"/>
        <v>4688238199813</v>
      </c>
      <c r="N1595" s="23">
        <v>948895984301</v>
      </c>
      <c r="O1595" s="25">
        <f t="shared" si="572"/>
        <v>-209642507323</v>
      </c>
      <c r="P1595" s="23">
        <v>307873734206</v>
      </c>
      <c r="Q1595" s="23">
        <f>6982442424+101660096420</f>
        <v>108642538844</v>
      </c>
      <c r="R1595" s="25">
        <f t="shared" si="573"/>
        <v>840253445457</v>
      </c>
      <c r="S1595" s="26">
        <f t="shared" si="574"/>
        <v>0.61502923125045295</v>
      </c>
      <c r="T1595" s="27">
        <f t="shared" si="575"/>
        <v>0.84990952020013444</v>
      </c>
      <c r="U1595" s="26">
        <f t="shared" si="576"/>
        <v>30.130665850355442</v>
      </c>
      <c r="V1595" s="26">
        <f t="shared" si="577"/>
        <v>0.1269365869039365</v>
      </c>
      <c r="W1595" s="143"/>
      <c r="X1595" s="143"/>
      <c r="Y1595" s="143"/>
      <c r="Z1595" s="30">
        <f t="shared" si="586"/>
        <v>0</v>
      </c>
      <c r="AA1595" s="31">
        <f t="shared" si="548"/>
        <v>43</v>
      </c>
      <c r="AB1595" s="32">
        <v>1.84E-2</v>
      </c>
      <c r="AC1595" s="32">
        <v>2.58E-2</v>
      </c>
      <c r="AD1595" s="33">
        <f t="shared" si="499"/>
        <v>-1.7214619600586206E-2</v>
      </c>
      <c r="AE1595" s="34">
        <f t="shared" si="500"/>
        <v>2.528079484950339E-2</v>
      </c>
      <c r="AF1595" s="33">
        <f t="shared" si="501"/>
        <v>6.8996710716392198E-2</v>
      </c>
      <c r="AG1595" s="33">
        <f t="shared" si="502"/>
        <v>0</v>
      </c>
      <c r="AH1595" s="35">
        <f t="shared" si="503"/>
        <v>0.1266895916527894</v>
      </c>
      <c r="AI1595" s="36">
        <f t="shared" si="582"/>
        <v>0.36911430628548492</v>
      </c>
      <c r="AJ1595" s="23"/>
      <c r="AK1595" s="173">
        <v>762</v>
      </c>
      <c r="AL1595" s="44"/>
      <c r="AM1595" s="44"/>
      <c r="AN1595" s="44"/>
      <c r="AO1595" s="44"/>
      <c r="AP1595" s="44"/>
      <c r="AQ1595" s="44"/>
      <c r="AR1595" s="44"/>
    </row>
    <row r="1596" spans="1:44" ht="16.8">
      <c r="A1596" s="257"/>
      <c r="B1596" s="79"/>
      <c r="C1596" s="79" t="s">
        <v>3177</v>
      </c>
      <c r="D1596" s="19" t="s">
        <v>3178</v>
      </c>
      <c r="E1596" s="20" t="s">
        <v>414</v>
      </c>
      <c r="F1596" s="21">
        <v>1978</v>
      </c>
      <c r="G1596" s="40">
        <v>2022</v>
      </c>
      <c r="H1596" s="23">
        <v>1244384275923</v>
      </c>
      <c r="I1596" s="23">
        <v>12750083282364</v>
      </c>
      <c r="J1596" s="23">
        <v>7906613470479</v>
      </c>
      <c r="K1596" s="23">
        <f t="shared" ref="K1596:K1597" si="600">AVERAGE(J1595:J1596)</f>
        <v>7698270989689</v>
      </c>
      <c r="L1596" s="23">
        <v>2222581550638</v>
      </c>
      <c r="M1596" s="23">
        <f t="shared" si="551"/>
        <v>4843469811885</v>
      </c>
      <c r="N1596" s="23">
        <v>1447394346192</v>
      </c>
      <c r="O1596" s="25">
        <f t="shared" si="572"/>
        <v>-978197274715</v>
      </c>
      <c r="P1596" s="23">
        <v>462591201280</v>
      </c>
      <c r="Q1596" s="23">
        <f>57840805877+107658614261</f>
        <v>165499420138</v>
      </c>
      <c r="R1596" s="25">
        <f t="shared" si="573"/>
        <v>1281894926054</v>
      </c>
      <c r="S1596" s="26">
        <f t="shared" si="574"/>
        <v>0.62012249609502401</v>
      </c>
      <c r="T1596" s="27">
        <f t="shared" si="575"/>
        <v>0.55988239242145921</v>
      </c>
      <c r="U1596" s="26">
        <f t="shared" si="576"/>
        <v>30.176558919461769</v>
      </c>
      <c r="V1596" s="26">
        <f t="shared" si="577"/>
        <v>0.18801550999316963</v>
      </c>
      <c r="W1596" s="143"/>
      <c r="X1596" s="143"/>
      <c r="Y1596" s="143"/>
      <c r="Z1596" s="30">
        <f t="shared" si="586"/>
        <v>0</v>
      </c>
      <c r="AA1596" s="31">
        <f t="shared" si="548"/>
        <v>44</v>
      </c>
      <c r="AB1596" s="32">
        <v>3.15E-2</v>
      </c>
      <c r="AC1596" s="32">
        <v>8.0199999999999994E-2</v>
      </c>
      <c r="AD1596" s="33">
        <f t="shared" si="499"/>
        <v>-7.6720853742818215E-2</v>
      </c>
      <c r="AE1596" s="34">
        <f t="shared" si="500"/>
        <v>3.6281425857026303E-2</v>
      </c>
      <c r="AF1596" s="33">
        <f t="shared" si="501"/>
        <v>0.10054012179097885</v>
      </c>
      <c r="AG1596" s="33">
        <f t="shared" si="502"/>
        <v>0</v>
      </c>
      <c r="AH1596" s="35">
        <f t="shared" si="503"/>
        <v>0.18306122483363457</v>
      </c>
      <c r="AI1596" s="36">
        <f t="shared" si="582"/>
        <v>0.47357259845231969</v>
      </c>
      <c r="AJ1596" s="23"/>
      <c r="AK1596" s="173">
        <v>763</v>
      </c>
      <c r="AL1596" s="44"/>
      <c r="AM1596" s="44"/>
      <c r="AN1596" s="44"/>
      <c r="AO1596" s="44"/>
      <c r="AP1596" s="44"/>
      <c r="AQ1596" s="44"/>
      <c r="AR1596" s="44"/>
    </row>
    <row r="1597" spans="1:44" ht="16.8">
      <c r="A1597" s="257"/>
      <c r="B1597" s="79"/>
      <c r="C1597" s="79" t="s">
        <v>3177</v>
      </c>
      <c r="D1597" s="19" t="s">
        <v>3178</v>
      </c>
      <c r="E1597" s="20" t="s">
        <v>414</v>
      </c>
      <c r="F1597" s="21">
        <v>1978</v>
      </c>
      <c r="G1597" s="40">
        <v>2023</v>
      </c>
      <c r="H1597" s="23">
        <v>1727961289823</v>
      </c>
      <c r="I1597" s="23">
        <v>22913703339215</v>
      </c>
      <c r="J1597" s="23">
        <v>17729845316439</v>
      </c>
      <c r="K1597" s="23">
        <f t="shared" si="600"/>
        <v>12818229393459</v>
      </c>
      <c r="L1597" s="23">
        <v>3101256166008</v>
      </c>
      <c r="M1597" s="23">
        <f t="shared" si="551"/>
        <v>5183858022776</v>
      </c>
      <c r="N1597" s="23">
        <v>1702630820294</v>
      </c>
      <c r="O1597" s="25">
        <f t="shared" si="572"/>
        <v>-1373294876185</v>
      </c>
      <c r="P1597" s="23">
        <v>927228912533</v>
      </c>
      <c r="Q1597" s="23">
        <f>114902865864+131139415722</f>
        <v>246042281586</v>
      </c>
      <c r="R1597" s="25">
        <f t="shared" si="573"/>
        <v>1456588538708</v>
      </c>
      <c r="S1597" s="26">
        <f t="shared" si="574"/>
        <v>0.77376603222822415</v>
      </c>
      <c r="T1597" s="27">
        <f t="shared" si="575"/>
        <v>0.55718108963803104</v>
      </c>
      <c r="U1597" s="26">
        <f t="shared" si="576"/>
        <v>30.762756246611758</v>
      </c>
      <c r="V1597" s="26">
        <f t="shared" si="577"/>
        <v>0.13282886177421926</v>
      </c>
      <c r="W1597" s="143"/>
      <c r="X1597" s="143"/>
      <c r="Y1597" s="143"/>
      <c r="Z1597" s="30">
        <f t="shared" si="586"/>
        <v>0</v>
      </c>
      <c r="AA1597" s="31">
        <f t="shared" si="548"/>
        <v>45</v>
      </c>
      <c r="AB1597" s="32">
        <v>3.2500000000000001E-2</v>
      </c>
      <c r="AC1597" s="32">
        <v>5.0500000000000003E-2</v>
      </c>
      <c r="AD1597" s="33">
        <f t="shared" si="499"/>
        <v>-5.993334450807495E-2</v>
      </c>
      <c r="AE1597" s="34">
        <f t="shared" si="500"/>
        <v>4.0466130629618506E-2</v>
      </c>
      <c r="AF1597" s="33">
        <f t="shared" si="501"/>
        <v>6.3568447105412387E-2</v>
      </c>
      <c r="AG1597" s="33">
        <f t="shared" si="502"/>
        <v>0</v>
      </c>
      <c r="AH1597" s="35">
        <f t="shared" si="503"/>
        <v>9.6031904954936714E-2</v>
      </c>
      <c r="AI1597" s="36">
        <f t="shared" si="582"/>
        <v>0.29054034987457356</v>
      </c>
      <c r="AJ1597" s="23"/>
      <c r="AK1597" s="173">
        <v>764</v>
      </c>
      <c r="AL1597" s="44"/>
      <c r="AM1597" s="44"/>
      <c r="AN1597" s="44"/>
      <c r="AO1597" s="44"/>
      <c r="AP1597" s="44"/>
      <c r="AQ1597" s="44"/>
      <c r="AR1597" s="44"/>
    </row>
    <row r="1598" spans="1:44" ht="16.8">
      <c r="A1598" s="259" t="s">
        <v>3179</v>
      </c>
      <c r="B1598" s="79">
        <v>614</v>
      </c>
      <c r="C1598" s="79" t="s">
        <v>3180</v>
      </c>
      <c r="D1598" s="19" t="s">
        <v>3181</v>
      </c>
      <c r="E1598" s="20" t="s">
        <v>414</v>
      </c>
      <c r="F1598" s="21">
        <v>2001</v>
      </c>
      <c r="G1598" s="40">
        <v>2021</v>
      </c>
      <c r="H1598" s="23">
        <v>1101671548724</v>
      </c>
      <c r="I1598" s="23">
        <v>1696383701267</v>
      </c>
      <c r="J1598" s="23">
        <v>951222480620</v>
      </c>
      <c r="K1598" s="23">
        <f>(J1598+1.05468688485)/2</f>
        <v>475611240310.52734</v>
      </c>
      <c r="L1598" s="23">
        <v>895889711808</v>
      </c>
      <c r="M1598" s="23">
        <f t="shared" si="551"/>
        <v>745161220647</v>
      </c>
      <c r="N1598" s="23">
        <v>124819074716</v>
      </c>
      <c r="O1598" s="25">
        <f t="shared" si="572"/>
        <v>205781836916</v>
      </c>
      <c r="P1598" s="23">
        <v>4599153338</v>
      </c>
      <c r="Q1598" s="23">
        <f>33115093343+1442579066</f>
        <v>34557672409</v>
      </c>
      <c r="R1598" s="25">
        <f t="shared" si="573"/>
        <v>90261402307</v>
      </c>
      <c r="S1598" s="26">
        <f t="shared" si="574"/>
        <v>0.56073545148397042</v>
      </c>
      <c r="T1598" s="27">
        <f t="shared" si="575"/>
        <v>1.2296955018053624</v>
      </c>
      <c r="U1598" s="26">
        <f t="shared" si="576"/>
        <v>28.159519866664684</v>
      </c>
      <c r="V1598" s="26">
        <f t="shared" si="577"/>
        <v>0.26243928683120571</v>
      </c>
      <c r="W1598" s="143"/>
      <c r="X1598" s="143"/>
      <c r="Y1598" s="143"/>
      <c r="Z1598" s="30">
        <f t="shared" si="586"/>
        <v>0</v>
      </c>
      <c r="AA1598" s="31">
        <f t="shared" si="548"/>
        <v>20</v>
      </c>
      <c r="AB1598" s="32">
        <v>1.84E-2</v>
      </c>
      <c r="AC1598" s="32">
        <v>2.58E-2</v>
      </c>
      <c r="AD1598" s="33">
        <f t="shared" si="499"/>
        <v>0.12130618607235207</v>
      </c>
      <c r="AE1598" s="34">
        <f t="shared" si="500"/>
        <v>2.7111515717611356E-3</v>
      </c>
      <c r="AF1598" s="33">
        <f t="shared" si="501"/>
        <v>5.3208128703185073E-2</v>
      </c>
      <c r="AG1598" s="33">
        <f t="shared" si="502"/>
        <v>0</v>
      </c>
      <c r="AH1598" s="35">
        <f t="shared" si="503"/>
        <v>0.13121964341574835</v>
      </c>
      <c r="AI1598" s="36">
        <f t="shared" si="582"/>
        <v>0.45616950362354713</v>
      </c>
      <c r="AJ1598" s="23"/>
      <c r="AK1598" s="173">
        <v>765</v>
      </c>
      <c r="AL1598" s="44"/>
      <c r="AM1598" s="44"/>
      <c r="AN1598" s="44"/>
      <c r="AO1598" s="44"/>
      <c r="AP1598" s="44"/>
      <c r="AQ1598" s="44"/>
      <c r="AR1598" s="44"/>
    </row>
    <row r="1599" spans="1:44" ht="16.8">
      <c r="A1599" s="257"/>
      <c r="B1599" s="79"/>
      <c r="C1599" s="79" t="s">
        <v>3180</v>
      </c>
      <c r="D1599" s="19" t="s">
        <v>3181</v>
      </c>
      <c r="E1599" s="20" t="s">
        <v>414</v>
      </c>
      <c r="F1599" s="21">
        <v>2001</v>
      </c>
      <c r="G1599" s="40">
        <v>2022</v>
      </c>
      <c r="H1599" s="23">
        <v>1152700178390</v>
      </c>
      <c r="I1599" s="23">
        <v>1634531352449</v>
      </c>
      <c r="J1599" s="23">
        <v>976355868376</v>
      </c>
      <c r="K1599" s="23">
        <f t="shared" ref="K1599:K1600" si="601">AVERAGE(J1598:J1599)</f>
        <v>963789174498</v>
      </c>
      <c r="L1599" s="23">
        <v>973400115093</v>
      </c>
      <c r="M1599" s="23">
        <f t="shared" si="551"/>
        <v>658175484073</v>
      </c>
      <c r="N1599" s="23">
        <v>207614278633</v>
      </c>
      <c r="O1599" s="25">
        <f t="shared" si="572"/>
        <v>179300063297</v>
      </c>
      <c r="P1599" s="23">
        <v>7029332183</v>
      </c>
      <c r="Q1599" s="23">
        <f>30470037598+1573232793</f>
        <v>32043270391</v>
      </c>
      <c r="R1599" s="25">
        <f t="shared" si="573"/>
        <v>175571008242</v>
      </c>
      <c r="S1599" s="26">
        <f t="shared" si="574"/>
        <v>0.59733076818204611</v>
      </c>
      <c r="T1599" s="27">
        <f t="shared" si="575"/>
        <v>1.1841997555957444</v>
      </c>
      <c r="U1599" s="26">
        <f t="shared" si="576"/>
        <v>28.122377244602454</v>
      </c>
      <c r="V1599" s="26">
        <f t="shared" si="577"/>
        <v>0.21541461984270383</v>
      </c>
      <c r="W1599" s="143"/>
      <c r="X1599" s="143"/>
      <c r="Y1599" s="143"/>
      <c r="Z1599" s="30">
        <f t="shared" si="586"/>
        <v>0</v>
      </c>
      <c r="AA1599" s="31">
        <f t="shared" si="548"/>
        <v>21</v>
      </c>
      <c r="AB1599" s="32">
        <v>3.15E-2</v>
      </c>
      <c r="AC1599" s="32">
        <v>8.0199999999999994E-2</v>
      </c>
      <c r="AD1599" s="33">
        <f t="shared" si="499"/>
        <v>0.10969508968326409</v>
      </c>
      <c r="AE1599" s="34">
        <f t="shared" si="500"/>
        <v>4.3005184161613239E-3</v>
      </c>
      <c r="AF1599" s="33">
        <f t="shared" si="501"/>
        <v>0.10741366813120098</v>
      </c>
      <c r="AG1599" s="33">
        <f t="shared" si="502"/>
        <v>0</v>
      </c>
      <c r="AH1599" s="35">
        <f t="shared" si="503"/>
        <v>0.21264201441051472</v>
      </c>
      <c r="AI1599" s="36">
        <f t="shared" si="582"/>
        <v>0.70476195264602071</v>
      </c>
      <c r="AJ1599" s="23"/>
      <c r="AK1599" s="173">
        <v>766</v>
      </c>
      <c r="AL1599" s="44"/>
      <c r="AM1599" s="44"/>
      <c r="AN1599" s="44"/>
      <c r="AO1599" s="44"/>
      <c r="AP1599" s="44"/>
      <c r="AQ1599" s="44"/>
      <c r="AR1599" s="44"/>
    </row>
    <row r="1600" spans="1:44" ht="16.8">
      <c r="A1600" s="257"/>
      <c r="B1600" s="79"/>
      <c r="C1600" s="79" t="s">
        <v>3180</v>
      </c>
      <c r="D1600" s="19" t="s">
        <v>3181</v>
      </c>
      <c r="E1600" s="20" t="s">
        <v>414</v>
      </c>
      <c r="F1600" s="21">
        <v>2001</v>
      </c>
      <c r="G1600" s="40">
        <v>2023</v>
      </c>
      <c r="H1600" s="23">
        <v>1113307093545</v>
      </c>
      <c r="I1600" s="23">
        <v>1346996919845</v>
      </c>
      <c r="J1600" s="23">
        <v>673065408511</v>
      </c>
      <c r="K1600" s="23">
        <f t="shared" si="601"/>
        <v>824710638443.5</v>
      </c>
      <c r="L1600" s="23">
        <v>672733919356</v>
      </c>
      <c r="M1600" s="23">
        <f t="shared" si="551"/>
        <v>673931511334</v>
      </c>
      <c r="N1600" s="23">
        <v>91321602864</v>
      </c>
      <c r="O1600" s="25">
        <f t="shared" si="572"/>
        <v>440573174189</v>
      </c>
      <c r="P1600" s="23">
        <v>16627329661</v>
      </c>
      <c r="Q1600" s="23">
        <f>46926051920+15774296048</f>
        <v>62700347968</v>
      </c>
      <c r="R1600" s="25">
        <f t="shared" si="573"/>
        <v>28621254896</v>
      </c>
      <c r="S1600" s="26">
        <f t="shared" si="574"/>
        <v>0.49967850601206287</v>
      </c>
      <c r="T1600" s="27">
        <f t="shared" si="575"/>
        <v>1.6548995992512989</v>
      </c>
      <c r="U1600" s="26">
        <f t="shared" si="576"/>
        <v>27.928898726676358</v>
      </c>
      <c r="V1600" s="26">
        <f t="shared" si="577"/>
        <v>0.11073169013116392</v>
      </c>
      <c r="W1600" s="143"/>
      <c r="X1600" s="143"/>
      <c r="Y1600" s="143"/>
      <c r="Z1600" s="30">
        <f t="shared" si="586"/>
        <v>0</v>
      </c>
      <c r="AA1600" s="31">
        <f t="shared" si="548"/>
        <v>22</v>
      </c>
      <c r="AB1600" s="32">
        <v>3.2500000000000001E-2</v>
      </c>
      <c r="AC1600" s="32">
        <v>5.0500000000000003E-2</v>
      </c>
      <c r="AD1600" s="33">
        <f t="shared" ref="AD1600:AD1854" si="602">O1600/I1600</f>
        <v>0.32707808585018672</v>
      </c>
      <c r="AE1600" s="34">
        <f t="shared" ref="AE1600:AE1854" si="603">P1600/I1600</f>
        <v>1.2343999764240976E-2</v>
      </c>
      <c r="AF1600" s="33">
        <f t="shared" ref="AF1600:AF1854" si="604">R1600/I1600</f>
        <v>2.124819624627907E-2</v>
      </c>
      <c r="AG1600" s="33">
        <f t="shared" ref="AG1600:AG1854" si="605">Z1600/J1600</f>
        <v>0</v>
      </c>
      <c r="AH1600" s="35">
        <f t="shared" ref="AH1600:AH1854" si="606">N1600/J1600</f>
        <v>0.1356801310975522</v>
      </c>
      <c r="AI1600" s="36">
        <f t="shared" si="582"/>
        <v>0.61557448140043458</v>
      </c>
      <c r="AJ1600" s="23"/>
      <c r="AK1600" s="173">
        <v>767</v>
      </c>
      <c r="AL1600" s="44"/>
      <c r="AM1600" s="44"/>
      <c r="AN1600" s="44"/>
      <c r="AO1600" s="44"/>
      <c r="AP1600" s="44"/>
      <c r="AQ1600" s="44"/>
      <c r="AR1600" s="44"/>
    </row>
    <row r="1601" spans="1:44" ht="16.8">
      <c r="A1601" s="78" t="s">
        <v>3182</v>
      </c>
      <c r="B1601" s="79">
        <v>615</v>
      </c>
      <c r="C1601" s="79" t="s">
        <v>3183</v>
      </c>
      <c r="D1601" s="19" t="s">
        <v>3184</v>
      </c>
      <c r="E1601" s="20" t="s">
        <v>414</v>
      </c>
      <c r="F1601" s="21">
        <v>2006</v>
      </c>
      <c r="G1601" s="40">
        <v>2021</v>
      </c>
      <c r="H1601" s="23">
        <v>2013790622922</v>
      </c>
      <c r="I1601" s="23">
        <v>2845357152637</v>
      </c>
      <c r="J1601" s="23">
        <v>1381253896120</v>
      </c>
      <c r="K1601" s="23">
        <f>(J1601+1315959518420)/2</f>
        <v>1348606707270</v>
      </c>
      <c r="L1601" s="23">
        <v>816063214023</v>
      </c>
      <c r="M1601" s="23">
        <f t="shared" si="551"/>
        <v>1464103256517</v>
      </c>
      <c r="N1601" s="23">
        <v>781650039241</v>
      </c>
      <c r="O1601" s="25">
        <f t="shared" si="572"/>
        <v>1197727408899</v>
      </c>
      <c r="P1601" s="23">
        <v>296311010658</v>
      </c>
      <c r="Q1601" s="23">
        <f>10332466381+49786506159</f>
        <v>60118972540</v>
      </c>
      <c r="R1601" s="25">
        <f t="shared" si="573"/>
        <v>721531066701</v>
      </c>
      <c r="S1601" s="26">
        <f t="shared" si="574"/>
        <v>0.48544130737327346</v>
      </c>
      <c r="T1601" s="27">
        <f t="shared" si="575"/>
        <v>2.4676894979673021</v>
      </c>
      <c r="U1601" s="26">
        <f t="shared" si="576"/>
        <v>28.676709712582745</v>
      </c>
      <c r="V1601" s="26">
        <f t="shared" si="577"/>
        <v>0.57959821423645674</v>
      </c>
      <c r="W1601" s="143"/>
      <c r="X1601" s="143"/>
      <c r="Y1601" s="143"/>
      <c r="Z1601" s="30">
        <f t="shared" si="586"/>
        <v>0</v>
      </c>
      <c r="AA1601" s="31">
        <f t="shared" si="548"/>
        <v>15</v>
      </c>
      <c r="AB1601" s="32">
        <v>1.84E-2</v>
      </c>
      <c r="AC1601" s="32">
        <v>2.58E-2</v>
      </c>
      <c r="AD1601" s="33">
        <f t="shared" si="602"/>
        <v>0.4209409731881914</v>
      </c>
      <c r="AE1601" s="34">
        <f t="shared" si="603"/>
        <v>0.10413842437438371</v>
      </c>
      <c r="AF1601" s="33">
        <f t="shared" si="604"/>
        <v>0.25358189780580076</v>
      </c>
      <c r="AG1601" s="33">
        <f t="shared" si="605"/>
        <v>0</v>
      </c>
      <c r="AH1601" s="35">
        <f t="shared" si="606"/>
        <v>0.56589888465595473</v>
      </c>
      <c r="AI1601" s="36">
        <f t="shared" si="582"/>
        <v>2.0536421093650636</v>
      </c>
      <c r="AJ1601" s="23"/>
      <c r="AK1601" s="173">
        <v>768</v>
      </c>
      <c r="AL1601" s="44"/>
      <c r="AM1601" s="44"/>
      <c r="AN1601" s="44"/>
      <c r="AO1601" s="44"/>
      <c r="AP1601" s="44"/>
      <c r="AQ1601" s="44"/>
      <c r="AR1601" s="44"/>
    </row>
    <row r="1602" spans="1:44" ht="16.8">
      <c r="A1602" s="78" t="s">
        <v>3185</v>
      </c>
      <c r="B1602" s="79"/>
      <c r="C1602" s="79" t="s">
        <v>3183</v>
      </c>
      <c r="D1602" s="19" t="s">
        <v>3184</v>
      </c>
      <c r="E1602" s="20" t="s">
        <v>414</v>
      </c>
      <c r="F1602" s="21">
        <v>2006</v>
      </c>
      <c r="G1602" s="40">
        <v>2022</v>
      </c>
      <c r="H1602" s="23">
        <v>2184121888323</v>
      </c>
      <c r="I1602" s="23">
        <v>3024074064810</v>
      </c>
      <c r="J1602" s="23">
        <v>1469033540624</v>
      </c>
      <c r="K1602" s="23">
        <f t="shared" ref="K1602:K1603" si="607">AVERAGE(J1601:J1602)</f>
        <v>1425143718372</v>
      </c>
      <c r="L1602" s="23">
        <v>919296064181</v>
      </c>
      <c r="M1602" s="23">
        <f t="shared" si="551"/>
        <v>1555040524186</v>
      </c>
      <c r="N1602" s="23">
        <v>628857871292</v>
      </c>
      <c r="O1602" s="25">
        <f t="shared" si="572"/>
        <v>1264825824142</v>
      </c>
      <c r="P1602" s="23">
        <v>202185982565</v>
      </c>
      <c r="Q1602" s="23">
        <f>4903255303+54806587885</f>
        <v>59709843188</v>
      </c>
      <c r="R1602" s="25">
        <f t="shared" si="573"/>
        <v>569148028104</v>
      </c>
      <c r="S1602" s="26">
        <f t="shared" si="574"/>
        <v>0.48577961688127441</v>
      </c>
      <c r="T1602" s="27">
        <f t="shared" si="575"/>
        <v>2.3758634170470772</v>
      </c>
      <c r="U1602" s="26">
        <f t="shared" si="576"/>
        <v>28.737626066277251</v>
      </c>
      <c r="V1602" s="26">
        <f t="shared" si="577"/>
        <v>0.4412592661253632</v>
      </c>
      <c r="W1602" s="143"/>
      <c r="X1602" s="143"/>
      <c r="Y1602" s="143"/>
      <c r="Z1602" s="30">
        <f t="shared" si="586"/>
        <v>0</v>
      </c>
      <c r="AA1602" s="31">
        <f t="shared" si="548"/>
        <v>16</v>
      </c>
      <c r="AB1602" s="32">
        <v>3.15E-2</v>
      </c>
      <c r="AC1602" s="32">
        <v>8.0199999999999994E-2</v>
      </c>
      <c r="AD1602" s="33">
        <f t="shared" si="602"/>
        <v>0.41825226401042792</v>
      </c>
      <c r="AE1602" s="34">
        <f t="shared" si="603"/>
        <v>6.6858806441866425E-2</v>
      </c>
      <c r="AF1602" s="33">
        <f t="shared" si="604"/>
        <v>0.18820571715718182</v>
      </c>
      <c r="AG1602" s="33">
        <f t="shared" si="605"/>
        <v>0</v>
      </c>
      <c r="AH1602" s="35">
        <f t="shared" si="606"/>
        <v>0.42807591106795329</v>
      </c>
      <c r="AI1602" s="36">
        <f t="shared" si="582"/>
        <v>1.6446598235177796</v>
      </c>
      <c r="AJ1602" s="23"/>
      <c r="AK1602" s="173">
        <v>769</v>
      </c>
      <c r="AL1602" s="44"/>
      <c r="AM1602" s="44"/>
      <c r="AN1602" s="44"/>
      <c r="AO1602" s="44"/>
      <c r="AP1602" s="44"/>
      <c r="AQ1602" s="44"/>
      <c r="AR1602" s="44"/>
    </row>
    <row r="1603" spans="1:44" ht="16.8">
      <c r="A1603" s="78" t="s">
        <v>3186</v>
      </c>
      <c r="B1603" s="79"/>
      <c r="C1603" s="79" t="s">
        <v>3183</v>
      </c>
      <c r="D1603" s="19" t="s">
        <v>3184</v>
      </c>
      <c r="E1603" s="20" t="s">
        <v>414</v>
      </c>
      <c r="F1603" s="21">
        <v>2006</v>
      </c>
      <c r="G1603" s="40">
        <v>2023</v>
      </c>
      <c r="H1603" s="23">
        <v>2155716130250</v>
      </c>
      <c r="I1603" s="23">
        <v>3055126722935</v>
      </c>
      <c r="J1603" s="23">
        <v>1460495466705</v>
      </c>
      <c r="K1603" s="23">
        <f t="shared" si="607"/>
        <v>1464764503664.5</v>
      </c>
      <c r="L1603" s="23">
        <v>863413769636</v>
      </c>
      <c r="M1603" s="23">
        <f t="shared" si="551"/>
        <v>1594631256230</v>
      </c>
      <c r="N1603" s="23">
        <v>394859343137</v>
      </c>
      <c r="O1603" s="25">
        <f t="shared" si="572"/>
        <v>1292302360614</v>
      </c>
      <c r="P1603" s="23">
        <v>166186589658</v>
      </c>
      <c r="Q1603" s="23">
        <f>5705313989+57860606143</f>
        <v>63565920132</v>
      </c>
      <c r="R1603" s="25">
        <f t="shared" si="573"/>
        <v>331293423005</v>
      </c>
      <c r="S1603" s="26">
        <f t="shared" si="574"/>
        <v>0.47804742622981305</v>
      </c>
      <c r="T1603" s="27">
        <f t="shared" si="575"/>
        <v>2.4967358710978305</v>
      </c>
      <c r="U1603" s="26">
        <f t="shared" si="576"/>
        <v>28.747842188194269</v>
      </c>
      <c r="V1603" s="26">
        <f t="shared" si="577"/>
        <v>0.26957189510611007</v>
      </c>
      <c r="W1603" s="143"/>
      <c r="X1603" s="143"/>
      <c r="Y1603" s="143"/>
      <c r="Z1603" s="30">
        <f t="shared" si="586"/>
        <v>0</v>
      </c>
      <c r="AA1603" s="31">
        <f t="shared" si="548"/>
        <v>17</v>
      </c>
      <c r="AB1603" s="32">
        <v>3.2500000000000001E-2</v>
      </c>
      <c r="AC1603" s="32">
        <v>5.0500000000000003E-2</v>
      </c>
      <c r="AD1603" s="33">
        <f t="shared" si="602"/>
        <v>0.42299468330155243</v>
      </c>
      <c r="AE1603" s="34">
        <f t="shared" si="603"/>
        <v>5.4395972648344948E-2</v>
      </c>
      <c r="AF1603" s="33">
        <f t="shared" si="604"/>
        <v>0.10843852090257419</v>
      </c>
      <c r="AG1603" s="33">
        <f t="shared" si="605"/>
        <v>0</v>
      </c>
      <c r="AH1603" s="35">
        <f t="shared" si="606"/>
        <v>0.27035985536321844</v>
      </c>
      <c r="AI1603" s="36">
        <f t="shared" si="582"/>
        <v>1.2119549560112592</v>
      </c>
      <c r="AJ1603" s="23"/>
      <c r="AK1603" s="173">
        <v>770</v>
      </c>
      <c r="AL1603" s="44"/>
      <c r="AM1603" s="44"/>
      <c r="AN1603" s="44"/>
      <c r="AO1603" s="44"/>
      <c r="AP1603" s="44"/>
      <c r="AQ1603" s="44"/>
      <c r="AR1603" s="44"/>
    </row>
    <row r="1604" spans="1:44" ht="16.8">
      <c r="A1604" s="259" t="s">
        <v>3187</v>
      </c>
      <c r="B1604" s="79">
        <v>616</v>
      </c>
      <c r="C1604" s="79" t="s">
        <v>3188</v>
      </c>
      <c r="D1604" s="19" t="s">
        <v>3189</v>
      </c>
      <c r="E1604" s="20" t="s">
        <v>414</v>
      </c>
      <c r="F1604" s="21">
        <v>1972</v>
      </c>
      <c r="G1604" s="40">
        <v>2021</v>
      </c>
      <c r="H1604" s="23">
        <v>698240683217</v>
      </c>
      <c r="I1604" s="23">
        <v>1167643782265</v>
      </c>
      <c r="J1604" s="23">
        <v>418543182989</v>
      </c>
      <c r="K1604" s="23">
        <f>(J1604+380174501932)</f>
        <v>798717684921</v>
      </c>
      <c r="L1604" s="23">
        <v>410202740892</v>
      </c>
      <c r="M1604" s="23">
        <f t="shared" si="551"/>
        <v>749100599276</v>
      </c>
      <c r="N1604" s="23">
        <v>2652839724795</v>
      </c>
      <c r="O1604" s="25">
        <f t="shared" si="572"/>
        <v>288037942325</v>
      </c>
      <c r="P1604" s="23">
        <v>167366172212</v>
      </c>
      <c r="Q1604" s="23">
        <f>105192726981+216970509002</f>
        <v>322163235983</v>
      </c>
      <c r="R1604" s="25">
        <f t="shared" si="573"/>
        <v>2330676488812</v>
      </c>
      <c r="S1604" s="26">
        <f t="shared" si="574"/>
        <v>0.35845108700626854</v>
      </c>
      <c r="T1604" s="27">
        <f t="shared" si="575"/>
        <v>1.7021843435240134</v>
      </c>
      <c r="U1604" s="26">
        <f t="shared" si="576"/>
        <v>27.786008972880939</v>
      </c>
      <c r="V1604" s="26">
        <f t="shared" si="577"/>
        <v>3.3213734650903448</v>
      </c>
      <c r="W1604" s="143"/>
      <c r="X1604" s="143"/>
      <c r="Y1604" s="143"/>
      <c r="Z1604" s="30">
        <f t="shared" si="586"/>
        <v>0</v>
      </c>
      <c r="AA1604" s="31">
        <f t="shared" si="548"/>
        <v>49</v>
      </c>
      <c r="AB1604" s="32">
        <v>1.84E-2</v>
      </c>
      <c r="AC1604" s="32">
        <v>2.58E-2</v>
      </c>
      <c r="AD1604" s="33">
        <f t="shared" si="602"/>
        <v>0.24668306096424619</v>
      </c>
      <c r="AE1604" s="34">
        <f t="shared" si="603"/>
        <v>0.14333667061314062</v>
      </c>
      <c r="AF1604" s="33">
        <f t="shared" si="604"/>
        <v>1.9960509568174505</v>
      </c>
      <c r="AG1604" s="33">
        <f t="shared" si="605"/>
        <v>0</v>
      </c>
      <c r="AH1604" s="35">
        <f t="shared" si="606"/>
        <v>6.33827005818112</v>
      </c>
      <c r="AI1604" s="36">
        <f t="shared" si="582"/>
        <v>13.421929227694198</v>
      </c>
      <c r="AJ1604" s="23"/>
      <c r="AK1604" s="173">
        <v>771</v>
      </c>
      <c r="AL1604" s="44"/>
      <c r="AM1604" s="44"/>
      <c r="AN1604" s="44"/>
      <c r="AO1604" s="44"/>
      <c r="AP1604" s="44"/>
      <c r="AQ1604" s="44"/>
      <c r="AR1604" s="44"/>
    </row>
    <row r="1605" spans="1:44" ht="16.8">
      <c r="A1605" s="257"/>
      <c r="B1605" s="79"/>
      <c r="C1605" s="79" t="s">
        <v>3188</v>
      </c>
      <c r="D1605" s="19" t="s">
        <v>3189</v>
      </c>
      <c r="E1605" s="20" t="s">
        <v>414</v>
      </c>
      <c r="F1605" s="21">
        <v>1972</v>
      </c>
      <c r="G1605" s="40">
        <v>2022</v>
      </c>
      <c r="H1605" s="23">
        <v>761512314597</v>
      </c>
      <c r="I1605" s="23">
        <v>1232208049963</v>
      </c>
      <c r="J1605" s="23">
        <v>384067512591</v>
      </c>
      <c r="K1605" s="23">
        <f t="shared" ref="K1605:K1606" si="608">AVERAGE(J1604:J1605)</f>
        <v>401305347790</v>
      </c>
      <c r="L1605" s="23">
        <v>376994195160</v>
      </c>
      <c r="M1605" s="23">
        <f t="shared" si="551"/>
        <v>848140537372</v>
      </c>
      <c r="N1605" s="23">
        <v>2858219047795</v>
      </c>
      <c r="O1605" s="25">
        <f t="shared" si="572"/>
        <v>384518119437</v>
      </c>
      <c r="P1605" s="23">
        <v>213199805317</v>
      </c>
      <c r="Q1605" s="23">
        <f>262385326909+
118394329780</f>
        <v>380779656689</v>
      </c>
      <c r="R1605" s="25">
        <f t="shared" si="573"/>
        <v>2477439391106</v>
      </c>
      <c r="S1605" s="26">
        <f t="shared" si="574"/>
        <v>0.31169047516166815</v>
      </c>
      <c r="T1605" s="27">
        <f t="shared" si="575"/>
        <v>2.0199576661221714</v>
      </c>
      <c r="U1605" s="26">
        <f t="shared" si="576"/>
        <v>27.839828838505866</v>
      </c>
      <c r="V1605" s="26">
        <f t="shared" si="577"/>
        <v>7.1223049070621505</v>
      </c>
      <c r="W1605" s="143"/>
      <c r="X1605" s="143"/>
      <c r="Y1605" s="143"/>
      <c r="Z1605" s="30">
        <f t="shared" si="586"/>
        <v>0</v>
      </c>
      <c r="AA1605" s="31">
        <f t="shared" si="548"/>
        <v>50</v>
      </c>
      <c r="AB1605" s="32">
        <v>3.15E-2</v>
      </c>
      <c r="AC1605" s="32">
        <v>8.0199999999999994E-2</v>
      </c>
      <c r="AD1605" s="33">
        <f t="shared" si="602"/>
        <v>0.31205616571693884</v>
      </c>
      <c r="AE1605" s="34">
        <f t="shared" si="603"/>
        <v>0.17302257141024346</v>
      </c>
      <c r="AF1605" s="33">
        <f t="shared" si="604"/>
        <v>2.0105690684137238</v>
      </c>
      <c r="AG1605" s="33">
        <f t="shared" si="605"/>
        <v>0</v>
      </c>
      <c r="AH1605" s="35">
        <f t="shared" si="606"/>
        <v>7.4419703674305975</v>
      </c>
      <c r="AI1605" s="36">
        <f t="shared" si="582"/>
        <v>14.693547292030553</v>
      </c>
      <c r="AJ1605" s="23"/>
      <c r="AK1605" s="173">
        <v>772</v>
      </c>
      <c r="AL1605" s="44"/>
      <c r="AM1605" s="44"/>
      <c r="AN1605" s="44"/>
      <c r="AO1605" s="44"/>
      <c r="AP1605" s="44"/>
      <c r="AQ1605" s="44"/>
      <c r="AR1605" s="44"/>
    </row>
    <row r="1606" spans="1:44" ht="16.8">
      <c r="A1606" s="78" t="s">
        <v>3190</v>
      </c>
      <c r="B1606" s="79"/>
      <c r="C1606" s="79" t="s">
        <v>3188</v>
      </c>
      <c r="D1606" s="19" t="s">
        <v>3189</v>
      </c>
      <c r="E1606" s="20" t="s">
        <v>414</v>
      </c>
      <c r="F1606" s="21">
        <v>1972</v>
      </c>
      <c r="G1606" s="40">
        <v>2023</v>
      </c>
      <c r="H1606" s="23">
        <v>824478273899</v>
      </c>
      <c r="I1606" s="23">
        <v>1306036657254</v>
      </c>
      <c r="J1606" s="23">
        <v>423701253584</v>
      </c>
      <c r="K1606" s="23">
        <f t="shared" si="608"/>
        <v>403884383087.5</v>
      </c>
      <c r="L1606" s="23">
        <v>415660286025</v>
      </c>
      <c r="M1606" s="23">
        <f t="shared" si="551"/>
        <v>882335403670</v>
      </c>
      <c r="N1606" s="23">
        <v>2891076188000</v>
      </c>
      <c r="O1606" s="25">
        <f t="shared" si="572"/>
        <v>408817987874</v>
      </c>
      <c r="P1606" s="23">
        <v>190041104444</v>
      </c>
      <c r="Q1606" s="23">
        <f>230590034749+138233135</f>
        <v>230728267884</v>
      </c>
      <c r="R1606" s="25">
        <f t="shared" si="573"/>
        <v>2660347920116</v>
      </c>
      <c r="S1606" s="26">
        <f t="shared" si="574"/>
        <v>0.32441758141371824</v>
      </c>
      <c r="T1606" s="27">
        <f t="shared" si="575"/>
        <v>1.9835387252979264</v>
      </c>
      <c r="U1606" s="26">
        <f t="shared" si="576"/>
        <v>27.898018214730381</v>
      </c>
      <c r="V1606" s="26">
        <f t="shared" si="577"/>
        <v>7.1581777089253276</v>
      </c>
      <c r="W1606" s="143"/>
      <c r="X1606" s="143"/>
      <c r="Y1606" s="143"/>
      <c r="Z1606" s="30">
        <f t="shared" si="586"/>
        <v>0</v>
      </c>
      <c r="AA1606" s="31">
        <f t="shared" si="548"/>
        <v>51</v>
      </c>
      <c r="AB1606" s="32">
        <v>3.2500000000000001E-2</v>
      </c>
      <c r="AC1606" s="32">
        <v>5.0500000000000003E-2</v>
      </c>
      <c r="AD1606" s="33">
        <f t="shared" si="602"/>
        <v>0.31302183258282962</v>
      </c>
      <c r="AE1606" s="34">
        <f t="shared" si="603"/>
        <v>0.14550977829639933</v>
      </c>
      <c r="AF1606" s="33">
        <f t="shared" si="604"/>
        <v>2.0369626727855401</v>
      </c>
      <c r="AG1606" s="33">
        <f t="shared" si="605"/>
        <v>0</v>
      </c>
      <c r="AH1606" s="35">
        <f t="shared" si="606"/>
        <v>6.8233836070698235</v>
      </c>
      <c r="AI1606" s="36">
        <f t="shared" si="582"/>
        <v>14.12470031597646</v>
      </c>
      <c r="AJ1606" s="23"/>
      <c r="AK1606" s="173">
        <v>773</v>
      </c>
      <c r="AL1606" s="44"/>
      <c r="AM1606" s="44"/>
      <c r="AN1606" s="44"/>
      <c r="AO1606" s="44"/>
      <c r="AP1606" s="44"/>
      <c r="AQ1606" s="44"/>
      <c r="AR1606" s="44"/>
    </row>
    <row r="1607" spans="1:44" ht="16.8">
      <c r="A1607" s="259" t="s">
        <v>3191</v>
      </c>
      <c r="B1607" s="79">
        <v>617</v>
      </c>
      <c r="C1607" s="79" t="s">
        <v>3192</v>
      </c>
      <c r="D1607" s="19" t="s">
        <v>3193</v>
      </c>
      <c r="E1607" s="20" t="s">
        <v>414</v>
      </c>
      <c r="F1607" s="21">
        <v>2006</v>
      </c>
      <c r="G1607" s="40">
        <v>2021</v>
      </c>
      <c r="H1607" s="23">
        <v>1148191474803</v>
      </c>
      <c r="I1607" s="23">
        <v>1342268502070</v>
      </c>
      <c r="J1607" s="23">
        <v>1046940385058</v>
      </c>
      <c r="K1607" s="23">
        <f>(J1607+1285850859803)/2</f>
        <v>1166395622430.5</v>
      </c>
      <c r="L1607" s="23">
        <v>1039344871214</v>
      </c>
      <c r="M1607" s="23">
        <f t="shared" si="551"/>
        <v>295328117012</v>
      </c>
      <c r="N1607" s="23">
        <v>142662783659</v>
      </c>
      <c r="O1607" s="25">
        <f t="shared" si="572"/>
        <v>108846603589</v>
      </c>
      <c r="P1607" s="23">
        <v>14206069203</v>
      </c>
      <c r="Q1607" s="23">
        <v>43354516613</v>
      </c>
      <c r="R1607" s="25">
        <f t="shared" si="573"/>
        <v>99308267046</v>
      </c>
      <c r="S1607" s="26">
        <f t="shared" si="574"/>
        <v>0.7799783600996707</v>
      </c>
      <c r="T1607" s="27">
        <f t="shared" si="575"/>
        <v>1.104726166072155</v>
      </c>
      <c r="U1607" s="26">
        <f t="shared" si="576"/>
        <v>27.925382210523615</v>
      </c>
      <c r="V1607" s="26">
        <f t="shared" si="577"/>
        <v>0.12231080168298608</v>
      </c>
      <c r="W1607" s="143"/>
      <c r="X1607" s="143"/>
      <c r="Y1607" s="143"/>
      <c r="Z1607" s="30">
        <f t="shared" si="586"/>
        <v>0</v>
      </c>
      <c r="AA1607" s="31">
        <f t="shared" si="548"/>
        <v>15</v>
      </c>
      <c r="AB1607" s="32">
        <v>1.84E-2</v>
      </c>
      <c r="AC1607" s="32">
        <v>2.58E-2</v>
      </c>
      <c r="AD1607" s="33">
        <f t="shared" si="602"/>
        <v>8.1091527828553334E-2</v>
      </c>
      <c r="AE1607" s="34">
        <f t="shared" si="603"/>
        <v>1.0583627032215904E-2</v>
      </c>
      <c r="AF1607" s="33">
        <f t="shared" si="604"/>
        <v>7.3985396284610885E-2</v>
      </c>
      <c r="AG1607" s="33">
        <f t="shared" si="605"/>
        <v>0</v>
      </c>
      <c r="AH1607" s="35">
        <f t="shared" si="606"/>
        <v>0.13626638698353064</v>
      </c>
      <c r="AI1607" s="36">
        <f t="shared" si="582"/>
        <v>0.49254510596211276</v>
      </c>
      <c r="AJ1607" s="23"/>
      <c r="AK1607" s="173">
        <v>774</v>
      </c>
      <c r="AL1607" s="44"/>
      <c r="AM1607" s="44"/>
      <c r="AN1607" s="44"/>
      <c r="AO1607" s="44"/>
      <c r="AP1607" s="44"/>
      <c r="AQ1607" s="44"/>
      <c r="AR1607" s="44"/>
    </row>
    <row r="1608" spans="1:44" ht="16.8">
      <c r="A1608" s="257"/>
      <c r="B1608" s="79"/>
      <c r="C1608" s="79" t="s">
        <v>3192</v>
      </c>
      <c r="D1608" s="19" t="s">
        <v>3193</v>
      </c>
      <c r="E1608" s="20" t="s">
        <v>414</v>
      </c>
      <c r="F1608" s="21">
        <v>2006</v>
      </c>
      <c r="G1608" s="40">
        <v>2022</v>
      </c>
      <c r="H1608" s="23">
        <v>1189518464574</v>
      </c>
      <c r="I1608" s="23">
        <v>1357173553093</v>
      </c>
      <c r="J1608" s="23">
        <v>1058913669887</v>
      </c>
      <c r="K1608" s="23">
        <f t="shared" ref="K1608:K1609" si="609">AVERAGE(J1607:J1608)</f>
        <v>1052927027472.5</v>
      </c>
      <c r="L1608" s="23">
        <v>1058913669887</v>
      </c>
      <c r="M1608" s="23">
        <f t="shared" si="551"/>
        <v>298259883206</v>
      </c>
      <c r="N1608" s="23">
        <v>1359895073124</v>
      </c>
      <c r="O1608" s="25">
        <f t="shared" si="572"/>
        <v>130604794687</v>
      </c>
      <c r="P1608" s="23">
        <v>14506915194</v>
      </c>
      <c r="Q1608" s="23">
        <v>49946160749</v>
      </c>
      <c r="R1608" s="25">
        <f t="shared" si="573"/>
        <v>1309948912375</v>
      </c>
      <c r="S1608" s="26">
        <f t="shared" si="574"/>
        <v>0.78023453041339819</v>
      </c>
      <c r="T1608" s="27">
        <f t="shared" si="575"/>
        <v>1.1233384726263258</v>
      </c>
      <c r="U1608" s="26">
        <f t="shared" si="576"/>
        <v>27.936425383292473</v>
      </c>
      <c r="V1608" s="26">
        <f t="shared" si="577"/>
        <v>1.2915378156721475</v>
      </c>
      <c r="W1608" s="143"/>
      <c r="X1608" s="143"/>
      <c r="Y1608" s="143"/>
      <c r="Z1608" s="30">
        <f t="shared" si="586"/>
        <v>0</v>
      </c>
      <c r="AA1608" s="31">
        <f t="shared" si="548"/>
        <v>16</v>
      </c>
      <c r="AB1608" s="32">
        <v>3.15E-2</v>
      </c>
      <c r="AC1608" s="32">
        <v>8.0199999999999994E-2</v>
      </c>
      <c r="AD1608" s="33">
        <f t="shared" si="602"/>
        <v>9.6232935271507114E-2</v>
      </c>
      <c r="AE1608" s="34">
        <f t="shared" si="603"/>
        <v>1.0689064166435254E-2</v>
      </c>
      <c r="AF1608" s="33">
        <f t="shared" si="604"/>
        <v>0.96520368333852735</v>
      </c>
      <c r="AG1608" s="33">
        <f t="shared" si="605"/>
        <v>0</v>
      </c>
      <c r="AH1608" s="35">
        <f t="shared" si="606"/>
        <v>1.2842360163969917</v>
      </c>
      <c r="AI1608" s="36">
        <f t="shared" si="582"/>
        <v>4.5998523835729497</v>
      </c>
      <c r="AJ1608" s="23"/>
      <c r="AK1608" s="173">
        <v>775</v>
      </c>
      <c r="AL1608" s="44"/>
      <c r="AM1608" s="44"/>
      <c r="AN1608" s="44"/>
      <c r="AO1608" s="44"/>
      <c r="AP1608" s="44"/>
      <c r="AQ1608" s="44"/>
      <c r="AR1608" s="44"/>
    </row>
    <row r="1609" spans="1:44" ht="16.8">
      <c r="A1609" s="257"/>
      <c r="B1609" s="79"/>
      <c r="C1609" s="79" t="s">
        <v>3192</v>
      </c>
      <c r="D1609" s="19" t="s">
        <v>3193</v>
      </c>
      <c r="E1609" s="20" t="s">
        <v>414</v>
      </c>
      <c r="F1609" s="21">
        <v>2006</v>
      </c>
      <c r="G1609" s="40">
        <v>2023</v>
      </c>
      <c r="H1609" s="23">
        <v>1061922272453</v>
      </c>
      <c r="I1609" s="23">
        <v>1219634518137</v>
      </c>
      <c r="J1609" s="23">
        <v>921833559656</v>
      </c>
      <c r="K1609" s="23">
        <f t="shared" si="609"/>
        <v>990373614771.5</v>
      </c>
      <c r="L1609" s="23">
        <v>914690378026</v>
      </c>
      <c r="M1609" s="23">
        <f t="shared" si="551"/>
        <v>297800958481</v>
      </c>
      <c r="N1609" s="23">
        <v>1329005020637</v>
      </c>
      <c r="O1609" s="25">
        <f t="shared" si="572"/>
        <v>147231894427</v>
      </c>
      <c r="P1609" s="23">
        <v>11831140275</v>
      </c>
      <c r="Q1609" s="23">
        <v>53565300281</v>
      </c>
      <c r="R1609" s="25">
        <f t="shared" si="573"/>
        <v>1275439720356</v>
      </c>
      <c r="S1609" s="26">
        <f t="shared" si="574"/>
        <v>0.75582770571638713</v>
      </c>
      <c r="T1609" s="27">
        <f t="shared" si="575"/>
        <v>1.1609636418661604</v>
      </c>
      <c r="U1609" s="26">
        <f t="shared" si="576"/>
        <v>27.82957235449453</v>
      </c>
      <c r="V1609" s="26">
        <f t="shared" si="577"/>
        <v>1.3419228872970625</v>
      </c>
      <c r="W1609" s="143"/>
      <c r="X1609" s="143"/>
      <c r="Y1609" s="143"/>
      <c r="Z1609" s="30">
        <f t="shared" si="586"/>
        <v>0</v>
      </c>
      <c r="AA1609" s="31">
        <f t="shared" si="548"/>
        <v>17</v>
      </c>
      <c r="AB1609" s="32">
        <v>3.2500000000000001E-2</v>
      </c>
      <c r="AC1609" s="32">
        <v>5.0500000000000003E-2</v>
      </c>
      <c r="AD1609" s="33">
        <f t="shared" si="602"/>
        <v>0.12071804482206498</v>
      </c>
      <c r="AE1609" s="34">
        <f t="shared" si="603"/>
        <v>9.7005620118657734E-3</v>
      </c>
      <c r="AF1609" s="33">
        <f t="shared" si="604"/>
        <v>1.0457556763023097</v>
      </c>
      <c r="AG1609" s="33">
        <f t="shared" si="605"/>
        <v>0</v>
      </c>
      <c r="AH1609" s="35">
        <f t="shared" si="606"/>
        <v>1.4416973722815472</v>
      </c>
      <c r="AI1609" s="36">
        <f t="shared" si="582"/>
        <v>5.0511335446822594</v>
      </c>
      <c r="AJ1609" s="23"/>
      <c r="AK1609" s="173">
        <v>776</v>
      </c>
      <c r="AL1609" s="44"/>
      <c r="AM1609" s="44"/>
      <c r="AN1609" s="44"/>
      <c r="AO1609" s="44"/>
      <c r="AP1609" s="44"/>
      <c r="AQ1609" s="44"/>
      <c r="AR1609" s="44"/>
    </row>
    <row r="1610" spans="1:44" ht="16.8">
      <c r="A1610" s="259" t="s">
        <v>3194</v>
      </c>
      <c r="B1610" s="79">
        <v>618</v>
      </c>
      <c r="C1610" s="79" t="s">
        <v>3195</v>
      </c>
      <c r="D1610" s="19" t="s">
        <v>3196</v>
      </c>
      <c r="E1610" s="20" t="s">
        <v>414</v>
      </c>
      <c r="F1610" s="21">
        <v>1999</v>
      </c>
      <c r="G1610" s="40">
        <v>2021</v>
      </c>
      <c r="H1610" s="23">
        <v>991422243191</v>
      </c>
      <c r="I1610" s="23">
        <v>2558488919360</v>
      </c>
      <c r="J1610" s="23">
        <v>923045994647</v>
      </c>
      <c r="K1610" s="23">
        <f>(J1610+964701040316)/2</f>
        <v>943873517481.5</v>
      </c>
      <c r="L1610" s="23">
        <v>847763640635</v>
      </c>
      <c r="M1610" s="23">
        <f t="shared" si="551"/>
        <v>1635442924713</v>
      </c>
      <c r="N1610" s="23">
        <v>2041008108004</v>
      </c>
      <c r="O1610" s="25">
        <f t="shared" si="572"/>
        <v>143658602556</v>
      </c>
      <c r="P1610" s="23">
        <v>44672656307</v>
      </c>
      <c r="Q1610" s="23">
        <f>60778882673+73643064962</f>
        <v>134421947635</v>
      </c>
      <c r="R1610" s="25">
        <f t="shared" si="573"/>
        <v>1906586160369</v>
      </c>
      <c r="S1610" s="26">
        <f t="shared" si="574"/>
        <v>0.36077779648070463</v>
      </c>
      <c r="T1610" s="27">
        <f t="shared" si="575"/>
        <v>1.1694559611549222</v>
      </c>
      <c r="U1610" s="26">
        <f t="shared" si="576"/>
        <v>28.570437934269535</v>
      </c>
      <c r="V1610" s="26">
        <f t="shared" si="577"/>
        <v>2.1623745874870401</v>
      </c>
      <c r="W1610" s="143"/>
      <c r="X1610" s="143"/>
      <c r="Y1610" s="143"/>
      <c r="Z1610" s="30">
        <f t="shared" si="586"/>
        <v>0</v>
      </c>
      <c r="AA1610" s="31">
        <f t="shared" si="548"/>
        <v>22</v>
      </c>
      <c r="AB1610" s="32">
        <v>1.84E-2</v>
      </c>
      <c r="AC1610" s="32">
        <v>2.58E-2</v>
      </c>
      <c r="AD1610" s="33">
        <f t="shared" si="602"/>
        <v>5.6149784925367534E-2</v>
      </c>
      <c r="AE1610" s="34">
        <f t="shared" si="603"/>
        <v>1.7460562744268111E-2</v>
      </c>
      <c r="AF1610" s="33">
        <f t="shared" si="604"/>
        <v>0.74520008507440716</v>
      </c>
      <c r="AG1610" s="33">
        <f t="shared" si="605"/>
        <v>0</v>
      </c>
      <c r="AH1610" s="35">
        <f t="shared" si="606"/>
        <v>2.2111662038949009</v>
      </c>
      <c r="AI1610" s="36">
        <f t="shared" si="582"/>
        <v>4.7621510143928614</v>
      </c>
      <c r="AJ1610" s="23"/>
      <c r="AK1610" s="173">
        <v>777</v>
      </c>
      <c r="AL1610" s="44"/>
      <c r="AM1610" s="44"/>
      <c r="AN1610" s="44"/>
      <c r="AO1610" s="44"/>
      <c r="AP1610" s="44"/>
      <c r="AQ1610" s="44"/>
      <c r="AR1610" s="44"/>
    </row>
    <row r="1611" spans="1:44" ht="16.8">
      <c r="A1611" s="257"/>
      <c r="B1611" s="79"/>
      <c r="C1611" s="79" t="s">
        <v>3195</v>
      </c>
      <c r="D1611" s="19" t="s">
        <v>3196</v>
      </c>
      <c r="E1611" s="20" t="s">
        <v>414</v>
      </c>
      <c r="F1611" s="21">
        <v>1999</v>
      </c>
      <c r="G1611" s="40">
        <v>2022</v>
      </c>
      <c r="H1611" s="23">
        <v>1117223342223</v>
      </c>
      <c r="I1611" s="23">
        <v>2542062278319</v>
      </c>
      <c r="J1611" s="23">
        <v>889484000758</v>
      </c>
      <c r="K1611" s="23">
        <f t="shared" ref="K1611:K1612" si="610">AVERAGE(J1610:J1611)</f>
        <v>906264997702.5</v>
      </c>
      <c r="L1611" s="23">
        <v>830164499328</v>
      </c>
      <c r="M1611" s="23">
        <f t="shared" si="551"/>
        <v>1652578277561</v>
      </c>
      <c r="N1611" s="23">
        <v>1807631439670</v>
      </c>
      <c r="O1611" s="25">
        <f t="shared" si="572"/>
        <v>287058842895</v>
      </c>
      <c r="P1611" s="23">
        <v>30129245714</v>
      </c>
      <c r="Q1611" s="23">
        <f>61275439217        +55601702783</f>
        <v>116877142000</v>
      </c>
      <c r="R1611" s="25">
        <f t="shared" si="573"/>
        <v>1690754297670</v>
      </c>
      <c r="S1611" s="26">
        <f t="shared" si="574"/>
        <v>0.34990645522114933</v>
      </c>
      <c r="T1611" s="27">
        <f t="shared" si="575"/>
        <v>1.3457854956787092</v>
      </c>
      <c r="U1611" s="26">
        <f t="shared" si="576"/>
        <v>28.563996788127799</v>
      </c>
      <c r="V1611" s="26">
        <f t="shared" si="577"/>
        <v>1.9945947865718985</v>
      </c>
      <c r="W1611" s="143"/>
      <c r="X1611" s="143"/>
      <c r="Y1611" s="143"/>
      <c r="Z1611" s="30">
        <f t="shared" si="586"/>
        <v>0</v>
      </c>
      <c r="AA1611" s="31">
        <f t="shared" si="548"/>
        <v>23</v>
      </c>
      <c r="AB1611" s="32">
        <v>3.15E-2</v>
      </c>
      <c r="AC1611" s="32">
        <v>8.0199999999999994E-2</v>
      </c>
      <c r="AD1611" s="33">
        <f t="shared" si="602"/>
        <v>0.11292360747543313</v>
      </c>
      <c r="AE1611" s="34">
        <f t="shared" si="603"/>
        <v>1.1852284647378385E-2</v>
      </c>
      <c r="AF1611" s="33">
        <f t="shared" si="604"/>
        <v>0.66511128074645443</v>
      </c>
      <c r="AG1611" s="33">
        <f t="shared" si="605"/>
        <v>0</v>
      </c>
      <c r="AH1611" s="35">
        <f t="shared" si="606"/>
        <v>2.0322247933965913</v>
      </c>
      <c r="AI1611" s="36">
        <f t="shared" si="582"/>
        <v>4.3791935473367403</v>
      </c>
      <c r="AJ1611" s="23"/>
      <c r="AK1611" s="173">
        <v>778</v>
      </c>
      <c r="AL1611" s="44"/>
      <c r="AM1611" s="44"/>
      <c r="AN1611" s="44"/>
      <c r="AO1611" s="44"/>
      <c r="AP1611" s="44"/>
      <c r="AQ1611" s="44"/>
      <c r="AR1611" s="44"/>
    </row>
    <row r="1612" spans="1:44" ht="16.8">
      <c r="A1612" s="78" t="s">
        <v>3197</v>
      </c>
      <c r="B1612" s="79"/>
      <c r="C1612" s="79" t="s">
        <v>3195</v>
      </c>
      <c r="D1612" s="19" t="s">
        <v>3196</v>
      </c>
      <c r="E1612" s="20" t="s">
        <v>414</v>
      </c>
      <c r="F1612" s="21">
        <v>1999</v>
      </c>
      <c r="G1612" s="40">
        <v>2023</v>
      </c>
      <c r="H1612" s="23">
        <v>1593433142516</v>
      </c>
      <c r="I1612" s="23">
        <v>2970258910548</v>
      </c>
      <c r="J1612" s="23">
        <v>1202166862199</v>
      </c>
      <c r="K1612" s="23">
        <f t="shared" si="610"/>
        <v>1045825431478.5</v>
      </c>
      <c r="L1612" s="23">
        <v>1170219058562</v>
      </c>
      <c r="M1612" s="23">
        <f t="shared" si="551"/>
        <v>1768092048349</v>
      </c>
      <c r="N1612" s="23">
        <v>2692398124303</v>
      </c>
      <c r="O1612" s="25">
        <f t="shared" si="572"/>
        <v>423214083954</v>
      </c>
      <c r="P1612" s="23">
        <v>121358988854</v>
      </c>
      <c r="Q1612" s="23">
        <f>65700833240+83651630255</f>
        <v>149352463495</v>
      </c>
      <c r="R1612" s="25">
        <f t="shared" si="573"/>
        <v>2543045660808</v>
      </c>
      <c r="S1612" s="26">
        <f t="shared" si="574"/>
        <v>0.40473470441578624</v>
      </c>
      <c r="T1612" s="27">
        <f t="shared" si="575"/>
        <v>1.3616537270159128</v>
      </c>
      <c r="U1612" s="26">
        <f t="shared" si="576"/>
        <v>28.719670240212299</v>
      </c>
      <c r="V1612" s="26">
        <f t="shared" si="577"/>
        <v>2.574424032217991</v>
      </c>
      <c r="W1612" s="143"/>
      <c r="X1612" s="143"/>
      <c r="Y1612" s="143"/>
      <c r="Z1612" s="30">
        <f t="shared" si="586"/>
        <v>0</v>
      </c>
      <c r="AA1612" s="31">
        <f t="shared" si="548"/>
        <v>24</v>
      </c>
      <c r="AB1612" s="32">
        <v>3.2500000000000001E-2</v>
      </c>
      <c r="AC1612" s="32">
        <v>5.0500000000000003E-2</v>
      </c>
      <c r="AD1612" s="33">
        <f t="shared" si="602"/>
        <v>0.14248390349106599</v>
      </c>
      <c r="AE1612" s="34">
        <f t="shared" si="603"/>
        <v>4.0858050597215374E-2</v>
      </c>
      <c r="AF1612" s="33">
        <f t="shared" si="604"/>
        <v>0.85616969341531879</v>
      </c>
      <c r="AG1612" s="33">
        <f t="shared" si="605"/>
        <v>0</v>
      </c>
      <c r="AH1612" s="35">
        <f t="shared" si="606"/>
        <v>2.2396209785537371</v>
      </c>
      <c r="AI1612" s="36">
        <f t="shared" si="582"/>
        <v>5.2931629218496692</v>
      </c>
      <c r="AJ1612" s="23"/>
      <c r="AK1612" s="173">
        <v>779</v>
      </c>
      <c r="AL1612" s="44"/>
      <c r="AM1612" s="44"/>
      <c r="AN1612" s="44"/>
      <c r="AO1612" s="44"/>
      <c r="AP1612" s="44"/>
      <c r="AQ1612" s="44"/>
      <c r="AR1612" s="44"/>
    </row>
    <row r="1613" spans="1:44" ht="16.8">
      <c r="A1613" s="78" t="s">
        <v>3198</v>
      </c>
      <c r="B1613" s="176">
        <v>619</v>
      </c>
      <c r="C1613" s="176" t="s">
        <v>3199</v>
      </c>
      <c r="D1613" s="19" t="s">
        <v>3200</v>
      </c>
      <c r="E1613" s="20" t="s">
        <v>414</v>
      </c>
      <c r="F1613" s="21">
        <v>1999</v>
      </c>
      <c r="G1613" s="40">
        <v>2021</v>
      </c>
      <c r="H1613" s="177">
        <f>(3475341+38051039+35983193)*1000000</f>
        <v>77509573000000</v>
      </c>
      <c r="I1613" s="23">
        <v>607140419000000</v>
      </c>
      <c r="J1613" s="23">
        <v>544654396000000</v>
      </c>
      <c r="K1613" s="23">
        <f>(J1613+444882667000000)/2</f>
        <v>494768531500000</v>
      </c>
      <c r="L1613" s="177">
        <f t="shared" ref="L1613:L1615" si="611">J1613</f>
        <v>544654396000000</v>
      </c>
      <c r="M1613" s="23">
        <f t="shared" si="551"/>
        <v>62486023000000</v>
      </c>
      <c r="N1613" s="23">
        <v>38464932000000</v>
      </c>
      <c r="O1613" s="25">
        <f t="shared" si="572"/>
        <v>-467144823000000</v>
      </c>
      <c r="P1613" s="23">
        <v>13221437000000</v>
      </c>
      <c r="Q1613" s="23">
        <v>12377188000000</v>
      </c>
      <c r="R1613" s="25">
        <f t="shared" si="573"/>
        <v>26087744000000</v>
      </c>
      <c r="S1613" s="26">
        <f t="shared" si="574"/>
        <v>0.89708143117383199</v>
      </c>
      <c r="T1613" s="27">
        <f t="shared" si="575"/>
        <v>0.14230964363684306</v>
      </c>
      <c r="U1613" s="26">
        <f t="shared" si="576"/>
        <v>34.039781213018927</v>
      </c>
      <c r="V1613" s="26">
        <f t="shared" si="577"/>
        <v>7.7743287115259879E-2</v>
      </c>
      <c r="W1613" s="112"/>
      <c r="X1613" s="112"/>
      <c r="Y1613" s="112"/>
      <c r="Z1613" s="30">
        <f t="shared" si="586"/>
        <v>0</v>
      </c>
      <c r="AA1613" s="31">
        <f t="shared" si="548"/>
        <v>22</v>
      </c>
      <c r="AB1613" s="32">
        <v>1.84E-2</v>
      </c>
      <c r="AC1613" s="32">
        <v>2.58E-2</v>
      </c>
      <c r="AD1613" s="33">
        <f t="shared" si="602"/>
        <v>-0.76941809239025483</v>
      </c>
      <c r="AE1613" s="34">
        <f t="shared" si="603"/>
        <v>2.1776571920177169E-2</v>
      </c>
      <c r="AF1613" s="33">
        <f t="shared" si="604"/>
        <v>4.296822149144381E-2</v>
      </c>
      <c r="AG1613" s="33">
        <f t="shared" si="605"/>
        <v>0</v>
      </c>
      <c r="AH1613" s="35">
        <f t="shared" si="606"/>
        <v>7.0622641224399485E-2</v>
      </c>
      <c r="AI1613" s="36">
        <f t="shared" si="582"/>
        <v>-0.68039673803389356</v>
      </c>
      <c r="AJ1613" s="23"/>
      <c r="AK1613" s="173">
        <v>780</v>
      </c>
      <c r="AL1613" s="44"/>
      <c r="AM1613" s="44"/>
      <c r="AN1613" s="44"/>
      <c r="AO1613" s="44"/>
      <c r="AP1613" s="44"/>
      <c r="AQ1613" s="44"/>
      <c r="AR1613" s="44"/>
    </row>
    <row r="1614" spans="1:44" ht="16.8">
      <c r="A1614" s="78" t="s">
        <v>3201</v>
      </c>
      <c r="B1614" s="176"/>
      <c r="C1614" s="176"/>
      <c r="D1614" s="19" t="s">
        <v>3200</v>
      </c>
      <c r="E1614" s="20" t="s">
        <v>414</v>
      </c>
      <c r="F1614" s="21">
        <v>1999</v>
      </c>
      <c r="G1614" s="40">
        <v>2022</v>
      </c>
      <c r="H1614" s="177">
        <f>(3744100+39654541+32937210)*1000000</f>
        <v>76335851000000</v>
      </c>
      <c r="I1614" s="23">
        <v>728532373000000</v>
      </c>
      <c r="J1614" s="23">
        <v>648919154000000</v>
      </c>
      <c r="K1614" s="23">
        <f t="shared" ref="K1614:K1615" si="612">AVERAGE(J1613:J1614)</f>
        <v>596786775000000</v>
      </c>
      <c r="L1614" s="177">
        <f t="shared" si="611"/>
        <v>648919154000000</v>
      </c>
      <c r="M1614" s="23">
        <f t="shared" si="551"/>
        <v>79613219000000</v>
      </c>
      <c r="N1614" s="23">
        <v>52485812000000</v>
      </c>
      <c r="O1614" s="25">
        <f t="shared" si="572"/>
        <v>-572583303000000</v>
      </c>
      <c r="P1614" s="23">
        <v>18155185000000</v>
      </c>
      <c r="Q1614" s="23">
        <v>14815628000000</v>
      </c>
      <c r="R1614" s="25">
        <f t="shared" si="573"/>
        <v>37670184000000</v>
      </c>
      <c r="S1614" s="26">
        <f t="shared" si="574"/>
        <v>0.89072109634309959</v>
      </c>
      <c r="T1614" s="27">
        <f t="shared" si="575"/>
        <v>0.11763537958381792</v>
      </c>
      <c r="U1614" s="26">
        <f t="shared" si="576"/>
        <v>34.222053178462538</v>
      </c>
      <c r="V1614" s="26">
        <f t="shared" si="577"/>
        <v>8.7947344342541769E-2</v>
      </c>
      <c r="W1614" s="112"/>
      <c r="X1614" s="112"/>
      <c r="Y1614" s="112"/>
      <c r="Z1614" s="30">
        <f t="shared" si="586"/>
        <v>0</v>
      </c>
      <c r="AA1614" s="31">
        <f t="shared" si="548"/>
        <v>23</v>
      </c>
      <c r="AB1614" s="32">
        <v>3.15E-2</v>
      </c>
      <c r="AC1614" s="32">
        <v>8.0199999999999994E-2</v>
      </c>
      <c r="AD1614" s="33">
        <f t="shared" si="602"/>
        <v>-0.78594078207146467</v>
      </c>
      <c r="AE1614" s="34">
        <f t="shared" si="603"/>
        <v>2.4920217237896166E-2</v>
      </c>
      <c r="AF1614" s="33">
        <f t="shared" si="604"/>
        <v>5.1706945903967398E-2</v>
      </c>
      <c r="AG1614" s="33">
        <f t="shared" si="605"/>
        <v>0</v>
      </c>
      <c r="AH1614" s="35">
        <f t="shared" si="606"/>
        <v>8.0881896730081726E-2</v>
      </c>
      <c r="AI1614" s="36">
        <f t="shared" si="582"/>
        <v>-0.65672581613952874</v>
      </c>
      <c r="AJ1614" s="23"/>
      <c r="AK1614" s="173">
        <v>781</v>
      </c>
      <c r="AL1614" s="44"/>
      <c r="AM1614" s="44"/>
      <c r="AN1614" s="44"/>
      <c r="AO1614" s="44"/>
      <c r="AP1614" s="44"/>
      <c r="AQ1614" s="44"/>
      <c r="AR1614" s="44"/>
    </row>
    <row r="1615" spans="1:44" ht="16.8">
      <c r="A1615" s="78" t="s">
        <v>3202</v>
      </c>
      <c r="B1615" s="176"/>
      <c r="C1615" s="176"/>
      <c r="D1615" s="19" t="s">
        <v>3200</v>
      </c>
      <c r="E1615" s="20" t="s">
        <v>414</v>
      </c>
      <c r="F1615" s="21">
        <v>1999</v>
      </c>
      <c r="G1615" s="40">
        <v>2023</v>
      </c>
      <c r="H1615" s="177">
        <f>(3675394+66321652+46343813)*1000000</f>
        <v>116340859000000</v>
      </c>
      <c r="I1615" s="23">
        <v>944953640000000</v>
      </c>
      <c r="J1615" s="23">
        <v>848242481000000</v>
      </c>
      <c r="K1615" s="23">
        <f t="shared" si="612"/>
        <v>748580817500000</v>
      </c>
      <c r="L1615" s="177">
        <f t="shared" si="611"/>
        <v>848242481000000</v>
      </c>
      <c r="M1615" s="23">
        <f t="shared" si="551"/>
        <v>96711159000000</v>
      </c>
      <c r="N1615" s="23">
        <v>69143043000000</v>
      </c>
      <c r="O1615" s="25">
        <f t="shared" si="572"/>
        <v>-731901622000000</v>
      </c>
      <c r="P1615" s="23">
        <v>21053792000000</v>
      </c>
      <c r="Q1615" s="23">
        <v>14912941000000</v>
      </c>
      <c r="R1615" s="25">
        <f t="shared" si="573"/>
        <v>54230102000000</v>
      </c>
      <c r="S1615" s="26">
        <f t="shared" si="574"/>
        <v>0.89765512835105854</v>
      </c>
      <c r="T1615" s="27">
        <f t="shared" si="575"/>
        <v>0.13715519041541613</v>
      </c>
      <c r="U1615" s="26">
        <f t="shared" si="576"/>
        <v>34.482156984017841</v>
      </c>
      <c r="V1615" s="26">
        <f t="shared" si="577"/>
        <v>9.2365502005399711E-2</v>
      </c>
      <c r="W1615" s="112"/>
      <c r="X1615" s="112"/>
      <c r="Y1615" s="112"/>
      <c r="Z1615" s="30">
        <f t="shared" si="586"/>
        <v>0</v>
      </c>
      <c r="AA1615" s="31">
        <f t="shared" si="548"/>
        <v>24</v>
      </c>
      <c r="AB1615" s="32">
        <v>3.2500000000000001E-2</v>
      </c>
      <c r="AC1615" s="32">
        <v>5.0500000000000003E-2</v>
      </c>
      <c r="AD1615" s="33">
        <f t="shared" si="602"/>
        <v>-0.77453706829469438</v>
      </c>
      <c r="AE1615" s="34">
        <f t="shared" si="603"/>
        <v>2.2280238001940497E-2</v>
      </c>
      <c r="AF1615" s="33">
        <f t="shared" si="604"/>
        <v>5.7389166732031427E-2</v>
      </c>
      <c r="AG1615" s="33">
        <f t="shared" si="605"/>
        <v>0</v>
      </c>
      <c r="AH1615" s="35">
        <f t="shared" si="606"/>
        <v>8.1513299025635574E-2</v>
      </c>
      <c r="AI1615" s="36">
        <f t="shared" si="582"/>
        <v>-0.62735459950957728</v>
      </c>
      <c r="AJ1615" s="23"/>
      <c r="AK1615" s="173">
        <v>782</v>
      </c>
      <c r="AL1615" s="44"/>
      <c r="AM1615" s="44"/>
      <c r="AN1615" s="44"/>
      <c r="AO1615" s="44"/>
      <c r="AP1615" s="44"/>
      <c r="AQ1615" s="44"/>
      <c r="AR1615" s="44"/>
    </row>
    <row r="1616" spans="1:44" ht="16.8">
      <c r="A1616" s="45"/>
      <c r="B1616" s="45">
        <v>620</v>
      </c>
      <c r="C1616" s="45" t="s">
        <v>3203</v>
      </c>
      <c r="D1616" s="46" t="s">
        <v>3204</v>
      </c>
      <c r="E1616" s="47"/>
      <c r="F1616" s="48"/>
      <c r="G1616" s="48">
        <v>2021</v>
      </c>
      <c r="H1616" s="49"/>
      <c r="I1616" s="49"/>
      <c r="J1616" s="49"/>
      <c r="K1616" s="49"/>
      <c r="L1616" s="49"/>
      <c r="M1616" s="49">
        <f t="shared" si="551"/>
        <v>0</v>
      </c>
      <c r="N1616" s="49"/>
      <c r="O1616" s="49">
        <f t="shared" si="572"/>
        <v>0</v>
      </c>
      <c r="P1616" s="49"/>
      <c r="Q1616" s="49"/>
      <c r="R1616" s="49">
        <f t="shared" si="573"/>
        <v>0</v>
      </c>
      <c r="S1616" s="50" t="e">
        <f t="shared" si="574"/>
        <v>#DIV/0!</v>
      </c>
      <c r="T1616" s="51" t="e">
        <f t="shared" si="575"/>
        <v>#DIV/0!</v>
      </c>
      <c r="U1616" s="50" t="e">
        <f t="shared" si="576"/>
        <v>#NUM!</v>
      </c>
      <c r="V1616" s="50" t="e">
        <f t="shared" si="577"/>
        <v>#DIV/0!</v>
      </c>
      <c r="W1616" s="52"/>
      <c r="X1616" s="52"/>
      <c r="Y1616" s="52"/>
      <c r="Z1616" s="55">
        <f t="shared" si="586"/>
        <v>0</v>
      </c>
      <c r="AA1616" s="48">
        <f t="shared" si="548"/>
        <v>2021</v>
      </c>
      <c r="AB1616" s="49"/>
      <c r="AC1616" s="49"/>
      <c r="AD1616" s="50" t="e">
        <f t="shared" si="602"/>
        <v>#DIV/0!</v>
      </c>
      <c r="AE1616" s="56" t="e">
        <f t="shared" si="603"/>
        <v>#DIV/0!</v>
      </c>
      <c r="AF1616" s="50" t="e">
        <f t="shared" si="604"/>
        <v>#DIV/0!</v>
      </c>
      <c r="AG1616" s="50" t="e">
        <f t="shared" si="605"/>
        <v>#DIV/0!</v>
      </c>
      <c r="AH1616" s="57" t="e">
        <f t="shared" si="606"/>
        <v>#DIV/0!</v>
      </c>
      <c r="AI1616" s="58" t="e">
        <f t="shared" si="582"/>
        <v>#DIV/0!</v>
      </c>
      <c r="AJ1616" s="49" t="s">
        <v>3205</v>
      </c>
      <c r="AK1616" s="49">
        <v>783</v>
      </c>
      <c r="AL1616" s="59"/>
      <c r="AM1616" s="59"/>
      <c r="AN1616" s="59"/>
      <c r="AO1616" s="59"/>
      <c r="AP1616" s="59"/>
      <c r="AQ1616" s="59"/>
      <c r="AR1616" s="59"/>
    </row>
    <row r="1617" spans="1:44" ht="16.8">
      <c r="A1617" s="78" t="s">
        <v>3206</v>
      </c>
      <c r="B1617" s="79">
        <v>621</v>
      </c>
      <c r="C1617" s="79" t="s">
        <v>3207</v>
      </c>
      <c r="D1617" s="19" t="s">
        <v>3208</v>
      </c>
      <c r="E1617" s="20" t="s">
        <v>414</v>
      </c>
      <c r="F1617" s="21">
        <v>1959</v>
      </c>
      <c r="G1617" s="40">
        <v>2021</v>
      </c>
      <c r="H1617" s="23">
        <v>244557378946</v>
      </c>
      <c r="I1617" s="23">
        <v>333795940264</v>
      </c>
      <c r="J1617" s="23">
        <v>110803246983</v>
      </c>
      <c r="K1617" s="23">
        <f>(J1617+158730329229)/2</f>
        <v>134766788106</v>
      </c>
      <c r="L1617" s="23">
        <v>110803246983</v>
      </c>
      <c r="M1617" s="23">
        <f t="shared" si="551"/>
        <v>222992693281</v>
      </c>
      <c r="N1617" s="23">
        <v>431744238526</v>
      </c>
      <c r="O1617" s="25">
        <f t="shared" si="572"/>
        <v>133754131963</v>
      </c>
      <c r="P1617" s="23">
        <v>22591406095</v>
      </c>
      <c r="Q1617" s="23">
        <f>17991810988+17991810988</f>
        <v>35983621976</v>
      </c>
      <c r="R1617" s="25">
        <f t="shared" si="573"/>
        <v>395760616550</v>
      </c>
      <c r="S1617" s="26">
        <f t="shared" si="574"/>
        <v>0.3319490551483803</v>
      </c>
      <c r="T1617" s="27">
        <f t="shared" si="575"/>
        <v>2.2071318811038205</v>
      </c>
      <c r="U1617" s="26">
        <f t="shared" si="576"/>
        <v>26.533795685919241</v>
      </c>
      <c r="V1617" s="26">
        <f t="shared" si="577"/>
        <v>3.2036397438396631</v>
      </c>
      <c r="W1617" s="143"/>
      <c r="X1617" s="143"/>
      <c r="Y1617" s="143"/>
      <c r="Z1617" s="30">
        <f t="shared" si="586"/>
        <v>0</v>
      </c>
      <c r="AA1617" s="31">
        <f t="shared" si="548"/>
        <v>62</v>
      </c>
      <c r="AB1617" s="32">
        <v>1.84E-2</v>
      </c>
      <c r="AC1617" s="32">
        <v>2.58E-2</v>
      </c>
      <c r="AD1617" s="33">
        <f t="shared" si="602"/>
        <v>0.40070628737190017</v>
      </c>
      <c r="AE1617" s="34">
        <f t="shared" si="603"/>
        <v>6.7680290171091964E-2</v>
      </c>
      <c r="AF1617" s="33">
        <f t="shared" si="604"/>
        <v>1.1856363988039877</v>
      </c>
      <c r="AG1617" s="33">
        <f t="shared" si="605"/>
        <v>0</v>
      </c>
      <c r="AH1617" s="35">
        <f t="shared" si="606"/>
        <v>3.8964944645732307</v>
      </c>
      <c r="AI1617" s="36">
        <f t="shared" si="582"/>
        <v>8.3846945317121993</v>
      </c>
      <c r="AJ1617" s="23"/>
      <c r="AK1617" s="173">
        <v>784</v>
      </c>
      <c r="AL1617" s="44"/>
      <c r="AM1617" s="44"/>
      <c r="AN1617" s="44"/>
      <c r="AO1617" s="44"/>
      <c r="AP1617" s="44"/>
      <c r="AQ1617" s="44"/>
      <c r="AR1617" s="44"/>
    </row>
    <row r="1618" spans="1:44" ht="16.8">
      <c r="A1618" s="78" t="s">
        <v>3209</v>
      </c>
      <c r="B1618" s="79"/>
      <c r="C1618" s="79" t="s">
        <v>3207</v>
      </c>
      <c r="D1618" s="19" t="s">
        <v>3208</v>
      </c>
      <c r="E1618" s="20" t="s">
        <v>414</v>
      </c>
      <c r="F1618" s="21">
        <v>1959</v>
      </c>
      <c r="G1618" s="40">
        <v>2022</v>
      </c>
      <c r="H1618" s="23">
        <v>222154848703</v>
      </c>
      <c r="I1618" s="23">
        <v>311411429487</v>
      </c>
      <c r="J1618" s="23">
        <v>79382038548</v>
      </c>
      <c r="K1618" s="23">
        <f t="shared" ref="K1618:K1619" si="613">AVERAGE(J1617:J1618)</f>
        <v>95092642765.5</v>
      </c>
      <c r="L1618" s="23">
        <v>79382038548</v>
      </c>
      <c r="M1618" s="23">
        <f t="shared" si="551"/>
        <v>232029390939</v>
      </c>
      <c r="N1618" s="23">
        <v>515772530738</v>
      </c>
      <c r="O1618" s="25">
        <f t="shared" si="572"/>
        <v>142772810155</v>
      </c>
      <c r="P1618" s="23">
        <v>11279300476</v>
      </c>
      <c r="Q1618" s="23">
        <f>16578075939+16810163505</f>
        <v>33388239444</v>
      </c>
      <c r="R1618" s="25">
        <f t="shared" si="573"/>
        <v>482384291294</v>
      </c>
      <c r="S1618" s="26">
        <f t="shared" si="574"/>
        <v>0.25491048507361813</v>
      </c>
      <c r="T1618" s="27">
        <f t="shared" si="575"/>
        <v>2.7985530828698666</v>
      </c>
      <c r="U1618" s="26">
        <f t="shared" si="576"/>
        <v>26.464380799227662</v>
      </c>
      <c r="V1618" s="26">
        <f t="shared" si="577"/>
        <v>5.4238952219458598</v>
      </c>
      <c r="W1618" s="143"/>
      <c r="X1618" s="143"/>
      <c r="Y1618" s="143"/>
      <c r="Z1618" s="30">
        <f t="shared" si="586"/>
        <v>0</v>
      </c>
      <c r="AA1618" s="31">
        <f t="shared" si="548"/>
        <v>63</v>
      </c>
      <c r="AB1618" s="32">
        <v>3.15E-2</v>
      </c>
      <c r="AC1618" s="32">
        <v>8.0199999999999994E-2</v>
      </c>
      <c r="AD1618" s="33">
        <f t="shared" si="602"/>
        <v>0.45847003878500903</v>
      </c>
      <c r="AE1618" s="34">
        <f t="shared" si="603"/>
        <v>3.62199309594411E-2</v>
      </c>
      <c r="AF1618" s="33">
        <f t="shared" si="604"/>
        <v>1.5490256478018489</v>
      </c>
      <c r="AG1618" s="33">
        <f t="shared" si="605"/>
        <v>0</v>
      </c>
      <c r="AH1618" s="35">
        <f t="shared" si="606"/>
        <v>6.4973454974468492</v>
      </c>
      <c r="AI1618" s="36">
        <f t="shared" si="582"/>
        <v>12.210002085078179</v>
      </c>
      <c r="AJ1618" s="23"/>
      <c r="AK1618" s="173">
        <v>785</v>
      </c>
      <c r="AL1618" s="44"/>
      <c r="AM1618" s="44"/>
      <c r="AN1618" s="44"/>
      <c r="AO1618" s="44"/>
      <c r="AP1618" s="44"/>
      <c r="AQ1618" s="44"/>
      <c r="AR1618" s="44"/>
    </row>
    <row r="1619" spans="1:44" ht="16.8">
      <c r="A1619" s="78" t="s">
        <v>3210</v>
      </c>
      <c r="B1619" s="79"/>
      <c r="C1619" s="79" t="s">
        <v>3207</v>
      </c>
      <c r="D1619" s="19" t="s">
        <v>3208</v>
      </c>
      <c r="E1619" s="20" t="s">
        <v>414</v>
      </c>
      <c r="F1619" s="21">
        <v>1959</v>
      </c>
      <c r="G1619" s="40">
        <v>2023</v>
      </c>
      <c r="H1619" s="23">
        <v>237818943441</v>
      </c>
      <c r="I1619" s="23">
        <v>319084683757</v>
      </c>
      <c r="J1619" s="23">
        <v>70741259736</v>
      </c>
      <c r="K1619" s="23">
        <f t="shared" si="613"/>
        <v>75061649142</v>
      </c>
      <c r="L1619" s="23">
        <v>70741259736</v>
      </c>
      <c r="M1619" s="23">
        <f t="shared" si="551"/>
        <v>248343424021</v>
      </c>
      <c r="N1619" s="23">
        <v>494021420795</v>
      </c>
      <c r="O1619" s="25">
        <f t="shared" si="572"/>
        <v>167077683705</v>
      </c>
      <c r="P1619" s="23">
        <v>17441963130</v>
      </c>
      <c r="Q1619" s="23">
        <f>15480648691+19997912550</f>
        <v>35478561241</v>
      </c>
      <c r="R1619" s="25">
        <f t="shared" si="573"/>
        <v>458542859554</v>
      </c>
      <c r="S1619" s="26">
        <f t="shared" si="574"/>
        <v>0.22170058087110581</v>
      </c>
      <c r="T1619" s="27">
        <f t="shared" si="575"/>
        <v>3.3618138032672706</v>
      </c>
      <c r="U1619" s="26">
        <f t="shared" si="576"/>
        <v>26.488722370824192</v>
      </c>
      <c r="V1619" s="26">
        <f t="shared" si="577"/>
        <v>6.5815423247685514</v>
      </c>
      <c r="W1619" s="143"/>
      <c r="X1619" s="143"/>
      <c r="Y1619" s="143"/>
      <c r="Z1619" s="30">
        <f t="shared" si="586"/>
        <v>0</v>
      </c>
      <c r="AA1619" s="31">
        <f t="shared" si="548"/>
        <v>64</v>
      </c>
      <c r="AB1619" s="32">
        <v>3.2500000000000001E-2</v>
      </c>
      <c r="AC1619" s="32">
        <v>5.0500000000000003E-2</v>
      </c>
      <c r="AD1619" s="33">
        <f t="shared" si="602"/>
        <v>0.52361549209374947</v>
      </c>
      <c r="AE1619" s="34">
        <f t="shared" si="603"/>
        <v>5.4662489357474094E-2</v>
      </c>
      <c r="AF1619" s="33">
        <f t="shared" si="604"/>
        <v>1.4370569409818643</v>
      </c>
      <c r="AG1619" s="33">
        <f t="shared" si="605"/>
        <v>0</v>
      </c>
      <c r="AH1619" s="35">
        <f t="shared" si="606"/>
        <v>6.9834976453436566</v>
      </c>
      <c r="AI1619" s="36">
        <f t="shared" si="582"/>
        <v>12.430651626196772</v>
      </c>
      <c r="AJ1619" s="23"/>
      <c r="AK1619" s="173">
        <v>786</v>
      </c>
      <c r="AL1619" s="44"/>
      <c r="AM1619" s="44"/>
      <c r="AN1619" s="44"/>
      <c r="AO1619" s="44"/>
      <c r="AP1619" s="44"/>
      <c r="AQ1619" s="44"/>
      <c r="AR1619" s="44"/>
    </row>
    <row r="1620" spans="1:44" ht="16.8">
      <c r="A1620" s="45"/>
      <c r="B1620" s="45">
        <v>622</v>
      </c>
      <c r="C1620" s="45" t="s">
        <v>3211</v>
      </c>
      <c r="D1620" s="46" t="s">
        <v>3212</v>
      </c>
      <c r="E1620" s="47"/>
      <c r="F1620" s="48"/>
      <c r="G1620" s="48">
        <v>2021</v>
      </c>
      <c r="H1620" s="49"/>
      <c r="I1620" s="49"/>
      <c r="J1620" s="49"/>
      <c r="K1620" s="49"/>
      <c r="L1620" s="49"/>
      <c r="M1620" s="49">
        <f t="shared" si="551"/>
        <v>0</v>
      </c>
      <c r="N1620" s="49"/>
      <c r="O1620" s="49">
        <f t="shared" si="572"/>
        <v>0</v>
      </c>
      <c r="P1620" s="49"/>
      <c r="Q1620" s="49"/>
      <c r="R1620" s="49">
        <f t="shared" si="573"/>
        <v>0</v>
      </c>
      <c r="S1620" s="50" t="e">
        <f t="shared" si="574"/>
        <v>#DIV/0!</v>
      </c>
      <c r="T1620" s="51" t="e">
        <f t="shared" si="575"/>
        <v>#DIV/0!</v>
      </c>
      <c r="U1620" s="50" t="e">
        <f t="shared" si="576"/>
        <v>#NUM!</v>
      </c>
      <c r="V1620" s="50" t="e">
        <f t="shared" si="577"/>
        <v>#DIV/0!</v>
      </c>
      <c r="W1620" s="52"/>
      <c r="X1620" s="52"/>
      <c r="Y1620" s="52"/>
      <c r="Z1620" s="55">
        <f t="shared" si="586"/>
        <v>0</v>
      </c>
      <c r="AA1620" s="48">
        <f t="shared" si="548"/>
        <v>2021</v>
      </c>
      <c r="AB1620" s="49"/>
      <c r="AC1620" s="49"/>
      <c r="AD1620" s="50" t="e">
        <f t="shared" si="602"/>
        <v>#DIV/0!</v>
      </c>
      <c r="AE1620" s="56" t="e">
        <f t="shared" si="603"/>
        <v>#DIV/0!</v>
      </c>
      <c r="AF1620" s="50" t="e">
        <f t="shared" si="604"/>
        <v>#DIV/0!</v>
      </c>
      <c r="AG1620" s="50" t="e">
        <f t="shared" si="605"/>
        <v>#DIV/0!</v>
      </c>
      <c r="AH1620" s="57" t="e">
        <f t="shared" si="606"/>
        <v>#DIV/0!</v>
      </c>
      <c r="AI1620" s="58" t="e">
        <f t="shared" si="582"/>
        <v>#DIV/0!</v>
      </c>
      <c r="AJ1620" s="49" t="s">
        <v>3213</v>
      </c>
      <c r="AK1620" s="49">
        <v>787</v>
      </c>
      <c r="AL1620" s="59"/>
      <c r="AM1620" s="59"/>
      <c r="AN1620" s="59"/>
      <c r="AO1620" s="59"/>
      <c r="AP1620" s="59"/>
      <c r="AQ1620" s="59"/>
      <c r="AR1620" s="59"/>
    </row>
    <row r="1621" spans="1:44" ht="16.8">
      <c r="A1621" s="78" t="s">
        <v>3214</v>
      </c>
      <c r="B1621" s="79">
        <v>623</v>
      </c>
      <c r="C1621" s="79" t="s">
        <v>3215</v>
      </c>
      <c r="D1621" s="19" t="s">
        <v>3216</v>
      </c>
      <c r="E1621" s="20" t="s">
        <v>414</v>
      </c>
      <c r="F1621" s="21">
        <v>2006</v>
      </c>
      <c r="G1621" s="40">
        <v>2021</v>
      </c>
      <c r="H1621" s="23">
        <v>279827258349</v>
      </c>
      <c r="I1621" s="23">
        <v>368328535836</v>
      </c>
      <c r="J1621" s="23">
        <v>209832736268</v>
      </c>
      <c r="K1621" s="23">
        <f>(J1621+198782457361)/2</f>
        <v>204307596814.5</v>
      </c>
      <c r="L1621" s="23">
        <v>209832736268</v>
      </c>
      <c r="M1621" s="23">
        <f t="shared" si="551"/>
        <v>158495799568</v>
      </c>
      <c r="N1621" s="23">
        <v>210845236453</v>
      </c>
      <c r="O1621" s="25">
        <f t="shared" si="572"/>
        <v>69994522081</v>
      </c>
      <c r="P1621" s="23">
        <v>15715471169</v>
      </c>
      <c r="Q1621" s="23">
        <f>8946524771+8946524771</f>
        <v>17893049542</v>
      </c>
      <c r="R1621" s="25">
        <f t="shared" si="573"/>
        <v>192952186911</v>
      </c>
      <c r="S1621" s="26">
        <f t="shared" si="574"/>
        <v>0.56968905705809614</v>
      </c>
      <c r="T1621" s="27">
        <f t="shared" si="575"/>
        <v>1.3335729368348057</v>
      </c>
      <c r="U1621" s="26">
        <f t="shared" si="576"/>
        <v>26.632241137265691</v>
      </c>
      <c r="V1621" s="26">
        <f t="shared" si="577"/>
        <v>1.031999004150765</v>
      </c>
      <c r="W1621" s="143"/>
      <c r="X1621" s="143"/>
      <c r="Y1621" s="143"/>
      <c r="Z1621" s="30">
        <f t="shared" si="586"/>
        <v>0</v>
      </c>
      <c r="AA1621" s="31">
        <f t="shared" si="548"/>
        <v>15</v>
      </c>
      <c r="AB1621" s="32">
        <v>1.84E-2</v>
      </c>
      <c r="AC1621" s="32">
        <v>2.58E-2</v>
      </c>
      <c r="AD1621" s="33">
        <f t="shared" si="602"/>
        <v>0.1900328518455203</v>
      </c>
      <c r="AE1621" s="34">
        <f t="shared" si="603"/>
        <v>4.2666993295348114E-2</v>
      </c>
      <c r="AF1621" s="33">
        <f t="shared" si="604"/>
        <v>0.52385891436039278</v>
      </c>
      <c r="AG1621" s="33">
        <f t="shared" si="605"/>
        <v>0</v>
      </c>
      <c r="AH1621" s="35">
        <f t="shared" si="606"/>
        <v>1.0048252727529932</v>
      </c>
      <c r="AI1621" s="36">
        <f t="shared" si="582"/>
        <v>3.0213329029704008</v>
      </c>
      <c r="AJ1621" s="23"/>
      <c r="AK1621" s="173">
        <v>788</v>
      </c>
      <c r="AL1621" s="44"/>
      <c r="AM1621" s="44"/>
      <c r="AN1621" s="44"/>
      <c r="AO1621" s="44"/>
      <c r="AP1621" s="44"/>
      <c r="AQ1621" s="44"/>
      <c r="AR1621" s="44"/>
    </row>
    <row r="1622" spans="1:44" ht="16.8">
      <c r="A1622" s="78" t="s">
        <v>3217</v>
      </c>
      <c r="B1622" s="79"/>
      <c r="C1622" s="79" t="s">
        <v>3215</v>
      </c>
      <c r="D1622" s="19" t="s">
        <v>3216</v>
      </c>
      <c r="E1622" s="20" t="s">
        <v>414</v>
      </c>
      <c r="F1622" s="21">
        <v>2006</v>
      </c>
      <c r="G1622" s="40">
        <v>2022</v>
      </c>
      <c r="H1622" s="23">
        <v>307800030481</v>
      </c>
      <c r="I1622" s="23">
        <v>394539493249</v>
      </c>
      <c r="J1622" s="23">
        <v>224101157999</v>
      </c>
      <c r="K1622" s="23">
        <f t="shared" ref="K1622:K1623" si="614">AVERAGE(J1621:J1622)</f>
        <v>216966947133.5</v>
      </c>
      <c r="L1622" s="23">
        <v>224101157999</v>
      </c>
      <c r="M1622" s="23">
        <f t="shared" si="551"/>
        <v>170438335250</v>
      </c>
      <c r="N1622" s="23">
        <v>360824685421</v>
      </c>
      <c r="O1622" s="25">
        <f t="shared" si="572"/>
        <v>83698872482</v>
      </c>
      <c r="P1622" s="23">
        <v>21629555382</v>
      </c>
      <c r="Q1622" s="23">
        <f>31334394130+9375164884</f>
        <v>40709559014</v>
      </c>
      <c r="R1622" s="25">
        <f t="shared" si="573"/>
        <v>320115126407</v>
      </c>
      <c r="S1622" s="26">
        <f t="shared" si="574"/>
        <v>0.56800690889914607</v>
      </c>
      <c r="T1622" s="27">
        <f t="shared" si="575"/>
        <v>1.3734870146560041</v>
      </c>
      <c r="U1622" s="26">
        <f t="shared" si="576"/>
        <v>26.700985081851616</v>
      </c>
      <c r="V1622" s="26">
        <f t="shared" si="577"/>
        <v>1.6630398785995002</v>
      </c>
      <c r="W1622" s="143"/>
      <c r="X1622" s="143"/>
      <c r="Y1622" s="143"/>
      <c r="Z1622" s="30">
        <f t="shared" si="586"/>
        <v>0</v>
      </c>
      <c r="AA1622" s="31">
        <f t="shared" si="548"/>
        <v>16</v>
      </c>
      <c r="AB1622" s="32">
        <v>3.15E-2</v>
      </c>
      <c r="AC1622" s="32">
        <v>8.0199999999999994E-2</v>
      </c>
      <c r="AD1622" s="33">
        <f t="shared" si="602"/>
        <v>0.21214320470872694</v>
      </c>
      <c r="AE1622" s="34">
        <f t="shared" si="603"/>
        <v>5.4822282058210207E-2</v>
      </c>
      <c r="AF1622" s="33">
        <f t="shared" si="604"/>
        <v>0.81136396199751382</v>
      </c>
      <c r="AG1622" s="33">
        <f t="shared" si="605"/>
        <v>0</v>
      </c>
      <c r="AH1622" s="35">
        <f t="shared" si="606"/>
        <v>1.6100973713960465</v>
      </c>
      <c r="AI1622" s="36">
        <f t="shared" si="582"/>
        <v>4.6189214865198078</v>
      </c>
      <c r="AJ1622" s="23"/>
      <c r="AK1622" s="173">
        <v>789</v>
      </c>
      <c r="AL1622" s="44"/>
      <c r="AM1622" s="44"/>
      <c r="AN1622" s="44"/>
      <c r="AO1622" s="44"/>
      <c r="AP1622" s="44"/>
      <c r="AQ1622" s="44"/>
      <c r="AR1622" s="44"/>
    </row>
    <row r="1623" spans="1:44" ht="16.8">
      <c r="A1623" s="78" t="s">
        <v>3218</v>
      </c>
      <c r="B1623" s="79"/>
      <c r="C1623" s="79" t="s">
        <v>3215</v>
      </c>
      <c r="D1623" s="19" t="s">
        <v>3216</v>
      </c>
      <c r="E1623" s="20" t="s">
        <v>414</v>
      </c>
      <c r="F1623" s="21">
        <v>2006</v>
      </c>
      <c r="G1623" s="40">
        <v>2023</v>
      </c>
      <c r="H1623" s="23">
        <v>270895702104</v>
      </c>
      <c r="I1623" s="23">
        <v>354976025400</v>
      </c>
      <c r="J1623" s="23">
        <v>228719428276</v>
      </c>
      <c r="K1623" s="23">
        <f t="shared" si="614"/>
        <v>226410293137.5</v>
      </c>
      <c r="L1623" s="23">
        <v>228719428276</v>
      </c>
      <c r="M1623" s="23">
        <f t="shared" si="551"/>
        <v>126256597124</v>
      </c>
      <c r="N1623" s="23">
        <v>277002949678</v>
      </c>
      <c r="O1623" s="25">
        <f t="shared" si="572"/>
        <v>42176273828</v>
      </c>
      <c r="P1623" s="23">
        <v>-36489905426</v>
      </c>
      <c r="Q1623" s="23">
        <f>36950084190+46373147066</f>
        <v>83323231256</v>
      </c>
      <c r="R1623" s="25">
        <f t="shared" si="573"/>
        <v>193679718422</v>
      </c>
      <c r="S1623" s="26">
        <f t="shared" si="574"/>
        <v>0.64432359345471446</v>
      </c>
      <c r="T1623" s="27">
        <f t="shared" si="575"/>
        <v>1.184401798071588</v>
      </c>
      <c r="U1623" s="26">
        <f t="shared" si="576"/>
        <v>26.595316090056791</v>
      </c>
      <c r="V1623" s="26">
        <f t="shared" si="577"/>
        <v>1.2234556381664805</v>
      </c>
      <c r="W1623" s="143"/>
      <c r="X1623" s="143"/>
      <c r="Y1623" s="143"/>
      <c r="Z1623" s="30">
        <f t="shared" si="586"/>
        <v>0</v>
      </c>
      <c r="AA1623" s="31">
        <f t="shared" si="548"/>
        <v>17</v>
      </c>
      <c r="AB1623" s="32">
        <v>3.2500000000000001E-2</v>
      </c>
      <c r="AC1623" s="32">
        <v>5.0500000000000003E-2</v>
      </c>
      <c r="AD1623" s="33">
        <f t="shared" si="602"/>
        <v>0.1188144291729962</v>
      </c>
      <c r="AE1623" s="34">
        <f t="shared" si="603"/>
        <v>-0.10279540818251552</v>
      </c>
      <c r="AF1623" s="33">
        <f t="shared" si="604"/>
        <v>0.54561351912077605</v>
      </c>
      <c r="AG1623" s="33">
        <f t="shared" si="605"/>
        <v>0</v>
      </c>
      <c r="AH1623" s="35">
        <f t="shared" si="606"/>
        <v>1.2111037167500058</v>
      </c>
      <c r="AI1623" s="36">
        <f t="shared" si="582"/>
        <v>3.0102920734006404</v>
      </c>
      <c r="AJ1623" s="23"/>
      <c r="AK1623" s="173">
        <v>790</v>
      </c>
      <c r="AL1623" s="44"/>
      <c r="AM1623" s="44"/>
      <c r="AN1623" s="44"/>
      <c r="AO1623" s="44"/>
      <c r="AP1623" s="44"/>
      <c r="AQ1623" s="44"/>
      <c r="AR1623" s="44"/>
    </row>
    <row r="1624" spans="1:44" ht="16.8">
      <c r="A1624" s="259" t="s">
        <v>3219</v>
      </c>
      <c r="B1624" s="79">
        <v>624</v>
      </c>
      <c r="C1624" s="79" t="s">
        <v>3220</v>
      </c>
      <c r="D1624" s="19" t="s">
        <v>3221</v>
      </c>
      <c r="E1624" s="20" t="s">
        <v>414</v>
      </c>
      <c r="F1624" s="21">
        <v>1999</v>
      </c>
      <c r="G1624" s="40">
        <v>2021</v>
      </c>
      <c r="H1624" s="23">
        <v>1175035559066</v>
      </c>
      <c r="I1624" s="23">
        <v>1474713848238</v>
      </c>
      <c r="J1624" s="23">
        <v>905744738668</v>
      </c>
      <c r="K1624" s="23">
        <f>(J1624+349651839902)/2</f>
        <v>627698289285</v>
      </c>
      <c r="L1624" s="23">
        <v>272748974472</v>
      </c>
      <c r="M1624" s="23">
        <f t="shared" si="551"/>
        <v>568969109570</v>
      </c>
      <c r="N1624" s="23">
        <v>23898658790</v>
      </c>
      <c r="O1624" s="25">
        <f t="shared" si="572"/>
        <v>902286584594</v>
      </c>
      <c r="P1624" s="23">
        <v>48838618599</v>
      </c>
      <c r="Q1624" s="23">
        <v>11863938858</v>
      </c>
      <c r="R1624" s="25">
        <f t="shared" si="573"/>
        <v>12034719932</v>
      </c>
      <c r="S1624" s="26">
        <f t="shared" si="574"/>
        <v>0.61418338191520416</v>
      </c>
      <c r="T1624" s="27">
        <f t="shared" si="575"/>
        <v>4.3081209061947447</v>
      </c>
      <c r="U1624" s="26">
        <f t="shared" si="576"/>
        <v>28.019485085705089</v>
      </c>
      <c r="V1624" s="26">
        <f t="shared" si="577"/>
        <v>3.8073480839373543E-2</v>
      </c>
      <c r="W1624" s="143"/>
      <c r="X1624" s="143"/>
      <c r="Y1624" s="143"/>
      <c r="Z1624" s="30">
        <f t="shared" si="586"/>
        <v>0</v>
      </c>
      <c r="AA1624" s="31">
        <f t="shared" si="548"/>
        <v>22</v>
      </c>
      <c r="AB1624" s="32">
        <v>1.84E-2</v>
      </c>
      <c r="AC1624" s="32">
        <v>2.58E-2</v>
      </c>
      <c r="AD1624" s="33">
        <f t="shared" si="602"/>
        <v>0.6118384157523572</v>
      </c>
      <c r="AE1624" s="34">
        <f t="shared" si="603"/>
        <v>3.3117352669707938E-2</v>
      </c>
      <c r="AF1624" s="33">
        <f t="shared" si="604"/>
        <v>8.160715345813821E-3</v>
      </c>
      <c r="AG1624" s="33">
        <f t="shared" si="605"/>
        <v>0</v>
      </c>
      <c r="AH1624" s="35">
        <f t="shared" si="606"/>
        <v>2.6385644618974743E-2</v>
      </c>
      <c r="AI1624" s="36">
        <f t="shared" si="582"/>
        <v>0.83388639790058006</v>
      </c>
      <c r="AJ1624" s="23"/>
      <c r="AK1624" s="173">
        <v>791</v>
      </c>
      <c r="AL1624" s="44"/>
      <c r="AM1624" s="44"/>
      <c r="AN1624" s="44"/>
      <c r="AO1624" s="44"/>
      <c r="AP1624" s="44"/>
      <c r="AQ1624" s="44"/>
      <c r="AR1624" s="44"/>
    </row>
    <row r="1625" spans="1:44" ht="16.8">
      <c r="A1625" s="257"/>
      <c r="B1625" s="79"/>
      <c r="C1625" s="79" t="s">
        <v>3220</v>
      </c>
      <c r="D1625" s="19" t="s">
        <v>3221</v>
      </c>
      <c r="E1625" s="20" t="s">
        <v>414</v>
      </c>
      <c r="F1625" s="21">
        <v>1999</v>
      </c>
      <c r="G1625" s="40">
        <v>2022</v>
      </c>
      <c r="H1625" s="23">
        <v>923981353937</v>
      </c>
      <c r="I1625" s="23">
        <v>1156222275812</v>
      </c>
      <c r="J1625" s="23">
        <v>638749357741</v>
      </c>
      <c r="K1625" s="23">
        <f t="shared" ref="K1625:K1626" si="615">AVERAGE(J1624:J1625)</f>
        <v>772247048204.5</v>
      </c>
      <c r="L1625" s="23">
        <v>260010287770</v>
      </c>
      <c r="M1625" s="23">
        <f t="shared" si="551"/>
        <v>517472918071</v>
      </c>
      <c r="N1625" s="23">
        <v>50745416117</v>
      </c>
      <c r="O1625" s="25">
        <f t="shared" si="572"/>
        <v>663971066167</v>
      </c>
      <c r="P1625" s="23">
        <v>-30792769499</v>
      </c>
      <c r="Q1625" s="23">
        <f>13625309243+8090741</f>
        <v>13633399984</v>
      </c>
      <c r="R1625" s="25">
        <f t="shared" si="573"/>
        <v>37112016133</v>
      </c>
      <c r="S1625" s="26">
        <f t="shared" si="574"/>
        <v>0.5524451233154235</v>
      </c>
      <c r="T1625" s="27">
        <f t="shared" si="575"/>
        <v>3.5536338268058678</v>
      </c>
      <c r="U1625" s="26">
        <f t="shared" si="576"/>
        <v>27.776179147809469</v>
      </c>
      <c r="V1625" s="26">
        <f t="shared" si="577"/>
        <v>6.5711375957971968E-2</v>
      </c>
      <c r="W1625" s="143"/>
      <c r="X1625" s="143"/>
      <c r="Y1625" s="143"/>
      <c r="Z1625" s="30">
        <f t="shared" si="586"/>
        <v>0</v>
      </c>
      <c r="AA1625" s="31">
        <f t="shared" si="548"/>
        <v>23</v>
      </c>
      <c r="AB1625" s="32">
        <v>3.15E-2</v>
      </c>
      <c r="AC1625" s="32">
        <v>8.0199999999999994E-2</v>
      </c>
      <c r="AD1625" s="33">
        <f t="shared" si="602"/>
        <v>0.57425901581138594</v>
      </c>
      <c r="AE1625" s="34">
        <f t="shared" si="603"/>
        <v>-2.663222301038495E-2</v>
      </c>
      <c r="AF1625" s="33">
        <f t="shared" si="604"/>
        <v>3.2097648444747967E-2</v>
      </c>
      <c r="AG1625" s="33">
        <f t="shared" si="605"/>
        <v>0</v>
      </c>
      <c r="AH1625" s="35">
        <f t="shared" si="606"/>
        <v>7.9444958342449315E-2</v>
      </c>
      <c r="AI1625" s="36">
        <f t="shared" si="582"/>
        <v>0.83719290496924181</v>
      </c>
      <c r="AJ1625" s="23"/>
      <c r="AK1625" s="173">
        <v>792</v>
      </c>
      <c r="AL1625" s="44"/>
      <c r="AM1625" s="44"/>
      <c r="AN1625" s="44"/>
      <c r="AO1625" s="44"/>
      <c r="AP1625" s="44"/>
      <c r="AQ1625" s="44"/>
      <c r="AR1625" s="44"/>
    </row>
    <row r="1626" spans="1:44" ht="16.8">
      <c r="A1626" s="78" t="s">
        <v>3222</v>
      </c>
      <c r="B1626" s="79"/>
      <c r="C1626" s="79" t="s">
        <v>3220</v>
      </c>
      <c r="D1626" s="19" t="s">
        <v>3221</v>
      </c>
      <c r="E1626" s="20" t="s">
        <v>414</v>
      </c>
      <c r="F1626" s="21">
        <v>1999</v>
      </c>
      <c r="G1626" s="40">
        <v>2023</v>
      </c>
      <c r="H1626" s="23">
        <v>571174636661</v>
      </c>
      <c r="I1626" s="23">
        <v>720680608795</v>
      </c>
      <c r="J1626" s="23">
        <v>178313962811</v>
      </c>
      <c r="K1626" s="23">
        <f t="shared" si="615"/>
        <v>408531660276</v>
      </c>
      <c r="L1626" s="23">
        <v>25593088752</v>
      </c>
      <c r="M1626" s="23">
        <f t="shared" si="551"/>
        <v>542366645984</v>
      </c>
      <c r="N1626" s="23">
        <v>131567449205</v>
      </c>
      <c r="O1626" s="25">
        <f t="shared" si="572"/>
        <v>545581547909</v>
      </c>
      <c r="P1626" s="23">
        <v>25682577855</v>
      </c>
      <c r="Q1626" s="23">
        <v>14516140933</v>
      </c>
      <c r="R1626" s="25">
        <f t="shared" si="573"/>
        <v>117051308272</v>
      </c>
      <c r="S1626" s="26">
        <f t="shared" si="574"/>
        <v>0.24742439387837339</v>
      </c>
      <c r="T1626" s="27">
        <f t="shared" si="575"/>
        <v>22.317534323260023</v>
      </c>
      <c r="U1626" s="26">
        <f t="shared" si="576"/>
        <v>27.303461892444346</v>
      </c>
      <c r="V1626" s="26">
        <f t="shared" si="577"/>
        <v>0.32204957901209985</v>
      </c>
      <c r="W1626" s="143"/>
      <c r="X1626" s="143"/>
      <c r="Y1626" s="143"/>
      <c r="Z1626" s="30">
        <f t="shared" si="586"/>
        <v>0</v>
      </c>
      <c r="AA1626" s="31">
        <f t="shared" si="548"/>
        <v>24</v>
      </c>
      <c r="AB1626" s="32">
        <v>3.2500000000000001E-2</v>
      </c>
      <c r="AC1626" s="32">
        <v>5.0500000000000003E-2</v>
      </c>
      <c r="AD1626" s="33">
        <f t="shared" si="602"/>
        <v>0.75703653081665268</v>
      </c>
      <c r="AE1626" s="34">
        <f t="shared" si="603"/>
        <v>3.5636560137148762E-2</v>
      </c>
      <c r="AF1626" s="33">
        <f t="shared" si="604"/>
        <v>0.16241772963437071</v>
      </c>
      <c r="AG1626" s="33">
        <f t="shared" si="605"/>
        <v>0</v>
      </c>
      <c r="AH1626" s="35">
        <f t="shared" si="606"/>
        <v>0.73784154157603488</v>
      </c>
      <c r="AI1626" s="36">
        <f t="shared" si="582"/>
        <v>2.2321550705414497</v>
      </c>
      <c r="AJ1626" s="23"/>
      <c r="AK1626" s="173">
        <v>793</v>
      </c>
      <c r="AL1626" s="44"/>
      <c r="AM1626" s="44"/>
      <c r="AN1626" s="44"/>
      <c r="AO1626" s="44"/>
      <c r="AP1626" s="44"/>
      <c r="AQ1626" s="44"/>
      <c r="AR1626" s="44"/>
    </row>
    <row r="1627" spans="1:44" ht="16.8">
      <c r="A1627" s="145"/>
      <c r="B1627" s="145">
        <v>625</v>
      </c>
      <c r="C1627" s="145" t="s">
        <v>3223</v>
      </c>
      <c r="D1627" s="146" t="s">
        <v>3224</v>
      </c>
      <c r="E1627" s="147" t="s">
        <v>3225</v>
      </c>
      <c r="F1627" s="148"/>
      <c r="G1627" s="148">
        <v>2021</v>
      </c>
      <c r="H1627" s="149"/>
      <c r="I1627" s="149"/>
      <c r="J1627" s="149"/>
      <c r="K1627" s="149"/>
      <c r="L1627" s="149"/>
      <c r="M1627" s="149">
        <f t="shared" si="551"/>
        <v>0</v>
      </c>
      <c r="N1627" s="149"/>
      <c r="O1627" s="149">
        <f t="shared" si="572"/>
        <v>0</v>
      </c>
      <c r="P1627" s="149"/>
      <c r="Q1627" s="149"/>
      <c r="R1627" s="149">
        <f t="shared" si="573"/>
        <v>0</v>
      </c>
      <c r="S1627" s="150" t="e">
        <f t="shared" si="574"/>
        <v>#DIV/0!</v>
      </c>
      <c r="T1627" s="151" t="e">
        <f t="shared" si="575"/>
        <v>#DIV/0!</v>
      </c>
      <c r="U1627" s="150" t="e">
        <f t="shared" si="576"/>
        <v>#NUM!</v>
      </c>
      <c r="V1627" s="150" t="e">
        <f t="shared" si="577"/>
        <v>#DIV/0!</v>
      </c>
      <c r="W1627" s="152"/>
      <c r="X1627" s="152"/>
      <c r="Y1627" s="152"/>
      <c r="Z1627" s="153">
        <f t="shared" ref="Z1627:Z1628" si="616">W1627*Y1627</f>
        <v>0</v>
      </c>
      <c r="AA1627" s="148">
        <f t="shared" si="548"/>
        <v>2021</v>
      </c>
      <c r="AB1627" s="149"/>
      <c r="AC1627" s="149"/>
      <c r="AD1627" s="150" t="e">
        <f t="shared" si="602"/>
        <v>#DIV/0!</v>
      </c>
      <c r="AE1627" s="154" t="e">
        <f t="shared" si="603"/>
        <v>#DIV/0!</v>
      </c>
      <c r="AF1627" s="150" t="e">
        <f t="shared" si="604"/>
        <v>#DIV/0!</v>
      </c>
      <c r="AG1627" s="150" t="e">
        <f t="shared" si="605"/>
        <v>#DIV/0!</v>
      </c>
      <c r="AH1627" s="155" t="e">
        <f t="shared" si="606"/>
        <v>#DIV/0!</v>
      </c>
      <c r="AI1627" s="156" t="e">
        <f t="shared" si="582"/>
        <v>#DIV/0!</v>
      </c>
      <c r="AJ1627" s="149"/>
      <c r="AK1627" s="149"/>
      <c r="AL1627" s="157"/>
      <c r="AM1627" s="157"/>
      <c r="AN1627" s="157"/>
      <c r="AO1627" s="157"/>
      <c r="AP1627" s="157"/>
      <c r="AQ1627" s="157"/>
      <c r="AR1627" s="157"/>
    </row>
    <row r="1628" spans="1:44" ht="16.8">
      <c r="A1628" s="145"/>
      <c r="B1628" s="145">
        <v>626</v>
      </c>
      <c r="C1628" s="145" t="s">
        <v>3226</v>
      </c>
      <c r="D1628" s="146" t="s">
        <v>3227</v>
      </c>
      <c r="E1628" s="147" t="s">
        <v>3225</v>
      </c>
      <c r="F1628" s="148"/>
      <c r="G1628" s="148">
        <v>2021</v>
      </c>
      <c r="H1628" s="149"/>
      <c r="I1628" s="149"/>
      <c r="J1628" s="149"/>
      <c r="K1628" s="149"/>
      <c r="L1628" s="149"/>
      <c r="M1628" s="149">
        <f t="shared" si="551"/>
        <v>0</v>
      </c>
      <c r="N1628" s="149"/>
      <c r="O1628" s="149">
        <f t="shared" si="572"/>
        <v>0</v>
      </c>
      <c r="P1628" s="149"/>
      <c r="Q1628" s="149"/>
      <c r="R1628" s="149">
        <f t="shared" si="573"/>
        <v>0</v>
      </c>
      <c r="S1628" s="150" t="e">
        <f t="shared" si="574"/>
        <v>#DIV/0!</v>
      </c>
      <c r="T1628" s="151" t="e">
        <f t="shared" si="575"/>
        <v>#DIV/0!</v>
      </c>
      <c r="U1628" s="150" t="e">
        <f t="shared" si="576"/>
        <v>#NUM!</v>
      </c>
      <c r="V1628" s="150" t="e">
        <f t="shared" si="577"/>
        <v>#DIV/0!</v>
      </c>
      <c r="W1628" s="152"/>
      <c r="X1628" s="152"/>
      <c r="Y1628" s="152"/>
      <c r="Z1628" s="153">
        <f t="shared" si="616"/>
        <v>0</v>
      </c>
      <c r="AA1628" s="148">
        <f t="shared" si="548"/>
        <v>2021</v>
      </c>
      <c r="AB1628" s="149"/>
      <c r="AC1628" s="149"/>
      <c r="AD1628" s="150" t="e">
        <f t="shared" si="602"/>
        <v>#DIV/0!</v>
      </c>
      <c r="AE1628" s="154" t="e">
        <f t="shared" si="603"/>
        <v>#DIV/0!</v>
      </c>
      <c r="AF1628" s="150" t="e">
        <f t="shared" si="604"/>
        <v>#DIV/0!</v>
      </c>
      <c r="AG1628" s="150" t="e">
        <f t="shared" si="605"/>
        <v>#DIV/0!</v>
      </c>
      <c r="AH1628" s="155" t="e">
        <f t="shared" si="606"/>
        <v>#DIV/0!</v>
      </c>
      <c r="AI1628" s="156" t="e">
        <f t="shared" si="582"/>
        <v>#DIV/0!</v>
      </c>
      <c r="AJ1628" s="149"/>
      <c r="AK1628" s="149"/>
      <c r="AL1628" s="157"/>
      <c r="AM1628" s="157"/>
      <c r="AN1628" s="157"/>
      <c r="AO1628" s="157"/>
      <c r="AP1628" s="157"/>
      <c r="AQ1628" s="157"/>
      <c r="AR1628" s="157"/>
    </row>
    <row r="1629" spans="1:44" ht="16.8">
      <c r="A1629" s="78" t="s">
        <v>3228</v>
      </c>
      <c r="B1629" s="79">
        <v>627</v>
      </c>
      <c r="C1629" s="79" t="s">
        <v>3229</v>
      </c>
      <c r="D1629" s="19" t="s">
        <v>3230</v>
      </c>
      <c r="E1629" s="20" t="s">
        <v>414</v>
      </c>
      <c r="F1629" s="21">
        <v>2004</v>
      </c>
      <c r="G1629" s="40">
        <v>2021</v>
      </c>
      <c r="H1629" s="23">
        <v>43630176000000</v>
      </c>
      <c r="I1629" s="23">
        <v>126093471000000</v>
      </c>
      <c r="J1629" s="23">
        <v>83756819000000</v>
      </c>
      <c r="K1629" s="23">
        <v>87231551000000</v>
      </c>
      <c r="L1629" s="23">
        <v>34547836000000</v>
      </c>
      <c r="M1629" s="23">
        <v>42336652000000</v>
      </c>
      <c r="N1629" s="23">
        <v>89791619000000</v>
      </c>
      <c r="O1629" s="25">
        <f t="shared" si="572"/>
        <v>9082340000000</v>
      </c>
      <c r="P1629" s="23">
        <v>10101381000000</v>
      </c>
      <c r="Q1629" s="23">
        <v>15851307000000</v>
      </c>
      <c r="R1629" s="25">
        <f t="shared" si="573"/>
        <v>73940312000000</v>
      </c>
      <c r="S1629" s="26">
        <f t="shared" si="574"/>
        <v>0.6642439004633317</v>
      </c>
      <c r="T1629" s="27">
        <f t="shared" si="575"/>
        <v>1.2628917191803273</v>
      </c>
      <c r="U1629" s="26">
        <f t="shared" si="576"/>
        <v>32.468044581191016</v>
      </c>
      <c r="V1629" s="26">
        <f t="shared" si="577"/>
        <v>1.0293479592034309</v>
      </c>
      <c r="W1629" s="143"/>
      <c r="X1629" s="143"/>
      <c r="Y1629" s="143"/>
      <c r="Z1629" s="30">
        <f t="shared" ref="Z1629:Z1668" si="617">X1629*Y1629</f>
        <v>0</v>
      </c>
      <c r="AA1629" s="31">
        <f t="shared" si="548"/>
        <v>17</v>
      </c>
      <c r="AB1629" s="32">
        <v>1.84E-2</v>
      </c>
      <c r="AC1629" s="32">
        <v>2.58E-2</v>
      </c>
      <c r="AD1629" s="33">
        <f t="shared" si="602"/>
        <v>7.2028630253187342E-2</v>
      </c>
      <c r="AE1629" s="34">
        <f t="shared" si="603"/>
        <v>8.011026201348681E-2</v>
      </c>
      <c r="AF1629" s="33">
        <f t="shared" si="604"/>
        <v>0.58639286724052508</v>
      </c>
      <c r="AG1629" s="33">
        <f t="shared" si="605"/>
        <v>0</v>
      </c>
      <c r="AH1629" s="35">
        <f t="shared" si="606"/>
        <v>1.0720514469395024</v>
      </c>
      <c r="AI1629" s="36">
        <f t="shared" si="582"/>
        <v>3.2057366319559413</v>
      </c>
      <c r="AJ1629" s="23"/>
      <c r="AK1629" s="173">
        <v>794</v>
      </c>
      <c r="AL1629" s="44"/>
      <c r="AM1629" s="44"/>
      <c r="AN1629" s="44"/>
      <c r="AO1629" s="44"/>
      <c r="AP1629" s="44"/>
      <c r="AQ1629" s="44"/>
      <c r="AR1629" s="44"/>
    </row>
    <row r="1630" spans="1:44" ht="16.8">
      <c r="A1630" s="78" t="s">
        <v>3231</v>
      </c>
      <c r="B1630" s="79"/>
      <c r="C1630" s="79" t="s">
        <v>3229</v>
      </c>
      <c r="D1630" s="19" t="s">
        <v>3230</v>
      </c>
      <c r="E1630" s="20" t="s">
        <v>414</v>
      </c>
      <c r="F1630" s="21">
        <v>2004</v>
      </c>
      <c r="G1630" s="40">
        <v>2022</v>
      </c>
      <c r="H1630" s="23">
        <v>47674624000000</v>
      </c>
      <c r="I1630" s="23">
        <v>141342851000000</v>
      </c>
      <c r="J1630" s="23">
        <v>104706076000000</v>
      </c>
      <c r="K1630" s="23">
        <v>94231447500000</v>
      </c>
      <c r="L1630" s="23">
        <v>65320877000000</v>
      </c>
      <c r="M1630" s="23">
        <v>36636775000000</v>
      </c>
      <c r="N1630" s="23">
        <v>76380750000000</v>
      </c>
      <c r="O1630" s="25">
        <f t="shared" si="572"/>
        <v>-17646253000000</v>
      </c>
      <c r="P1630" s="23">
        <v>4754384000000</v>
      </c>
      <c r="Q1630" s="23">
        <v>16365853000000</v>
      </c>
      <c r="R1630" s="25">
        <f t="shared" si="573"/>
        <v>60014897000000</v>
      </c>
      <c r="S1630" s="26">
        <f t="shared" si="574"/>
        <v>0.74079499075620037</v>
      </c>
      <c r="T1630" s="27">
        <f t="shared" si="575"/>
        <v>0.7298527850445119</v>
      </c>
      <c r="U1630" s="26">
        <f t="shared" si="576"/>
        <v>32.582209622206157</v>
      </c>
      <c r="V1630" s="26">
        <f t="shared" si="577"/>
        <v>0.8105653900732025</v>
      </c>
      <c r="W1630" s="143"/>
      <c r="X1630" s="143"/>
      <c r="Y1630" s="143"/>
      <c r="Z1630" s="30">
        <f t="shared" si="617"/>
        <v>0</v>
      </c>
      <c r="AA1630" s="31">
        <f t="shared" si="548"/>
        <v>18</v>
      </c>
      <c r="AB1630" s="32">
        <v>3.15E-2</v>
      </c>
      <c r="AC1630" s="32">
        <v>8.0199999999999994E-2</v>
      </c>
      <c r="AD1630" s="33">
        <f t="shared" si="602"/>
        <v>-0.12484715622440642</v>
      </c>
      <c r="AE1630" s="34">
        <f t="shared" si="603"/>
        <v>3.3637244235295634E-2</v>
      </c>
      <c r="AF1630" s="33">
        <f t="shared" si="604"/>
        <v>0.4246051114392761</v>
      </c>
      <c r="AG1630" s="33">
        <f t="shared" si="605"/>
        <v>0</v>
      </c>
      <c r="AH1630" s="35">
        <f t="shared" si="606"/>
        <v>0.72947772390973753</v>
      </c>
      <c r="AI1630" s="36">
        <f t="shared" si="582"/>
        <v>2.0279501461194749</v>
      </c>
      <c r="AJ1630" s="23"/>
      <c r="AK1630" s="173">
        <v>795</v>
      </c>
      <c r="AL1630" s="44"/>
      <c r="AM1630" s="44"/>
      <c r="AN1630" s="44"/>
      <c r="AO1630" s="44"/>
      <c r="AP1630" s="44"/>
      <c r="AQ1630" s="44"/>
      <c r="AR1630" s="44"/>
    </row>
    <row r="1631" spans="1:44" ht="16.8">
      <c r="A1631" s="78" t="s">
        <v>3232</v>
      </c>
      <c r="B1631" s="79"/>
      <c r="C1631" s="79" t="s">
        <v>3229</v>
      </c>
      <c r="D1631" s="19" t="s">
        <v>3230</v>
      </c>
      <c r="E1631" s="20" t="s">
        <v>414</v>
      </c>
      <c r="F1631" s="21">
        <v>2004</v>
      </c>
      <c r="G1631" s="40">
        <v>2023</v>
      </c>
      <c r="H1631" s="23">
        <v>43763477000000</v>
      </c>
      <c r="I1631" s="23">
        <v>147383472000000</v>
      </c>
      <c r="J1631" s="23">
        <v>109146231000000</v>
      </c>
      <c r="K1631" s="23">
        <v>106926153500000</v>
      </c>
      <c r="L1631" s="23">
        <v>50422500000000</v>
      </c>
      <c r="M1631" s="23">
        <v>38237241000000</v>
      </c>
      <c r="N1631" s="23">
        <v>78516999000000</v>
      </c>
      <c r="O1631" s="25">
        <f t="shared" si="572"/>
        <v>-6659023000000</v>
      </c>
      <c r="P1631" s="23">
        <v>1869927000000</v>
      </c>
      <c r="Q1631" s="23">
        <v>17942357000000</v>
      </c>
      <c r="R1631" s="25">
        <f t="shared" si="573"/>
        <v>60574642000000</v>
      </c>
      <c r="S1631" s="26">
        <f t="shared" si="574"/>
        <v>0.74055950452843178</v>
      </c>
      <c r="T1631" s="27">
        <f t="shared" si="575"/>
        <v>0.86793548515047847</v>
      </c>
      <c r="U1631" s="26">
        <f t="shared" si="576"/>
        <v>32.624058959138914</v>
      </c>
      <c r="V1631" s="26">
        <f t="shared" si="577"/>
        <v>0.7343105164631214</v>
      </c>
      <c r="W1631" s="143"/>
      <c r="X1631" s="143"/>
      <c r="Y1631" s="143"/>
      <c r="Z1631" s="30">
        <f t="shared" si="617"/>
        <v>0</v>
      </c>
      <c r="AA1631" s="31">
        <f t="shared" si="548"/>
        <v>19</v>
      </c>
      <c r="AB1631" s="32">
        <v>3.2500000000000001E-2</v>
      </c>
      <c r="AC1631" s="32">
        <v>5.0500000000000003E-2</v>
      </c>
      <c r="AD1631" s="33">
        <f t="shared" si="602"/>
        <v>-4.5181613037315341E-2</v>
      </c>
      <c r="AE1631" s="34">
        <f t="shared" si="603"/>
        <v>1.2687494565197922E-2</v>
      </c>
      <c r="AF1631" s="33">
        <f t="shared" si="604"/>
        <v>0.41100023753002646</v>
      </c>
      <c r="AG1631" s="33">
        <f t="shared" si="605"/>
        <v>0</v>
      </c>
      <c r="AH1631" s="35">
        <f t="shared" si="606"/>
        <v>0.71937435017797358</v>
      </c>
      <c r="AI1631" s="36">
        <f t="shared" si="582"/>
        <v>2.0392196907735594</v>
      </c>
      <c r="AJ1631" s="23"/>
      <c r="AK1631" s="173">
        <v>796</v>
      </c>
      <c r="AL1631" s="44"/>
      <c r="AM1631" s="44"/>
      <c r="AN1631" s="44"/>
      <c r="AO1631" s="44"/>
      <c r="AP1631" s="44"/>
      <c r="AQ1631" s="44"/>
      <c r="AR1631" s="44"/>
    </row>
    <row r="1632" spans="1:44" ht="16.8">
      <c r="A1632" s="259" t="s">
        <v>3233</v>
      </c>
      <c r="B1632" s="79">
        <v>628</v>
      </c>
      <c r="C1632" s="79" t="s">
        <v>3234</v>
      </c>
      <c r="D1632" s="19" t="s">
        <v>3235</v>
      </c>
      <c r="E1632" s="20" t="s">
        <v>414</v>
      </c>
      <c r="F1632" s="21">
        <v>2004</v>
      </c>
      <c r="G1632" s="40">
        <v>2021</v>
      </c>
      <c r="H1632" s="23">
        <v>51955257770657</v>
      </c>
      <c r="I1632" s="23">
        <v>62971404814942</v>
      </c>
      <c r="J1632" s="23">
        <v>42593158815096</v>
      </c>
      <c r="K1632" s="23">
        <v>36571174460559</v>
      </c>
      <c r="L1632" s="23">
        <v>42593158815096</v>
      </c>
      <c r="M1632" s="23">
        <v>20378245999846</v>
      </c>
      <c r="N1632" s="23">
        <v>124141525689948</v>
      </c>
      <c r="O1632" s="25">
        <f t="shared" si="572"/>
        <v>9362098955561</v>
      </c>
      <c r="P1632" s="23">
        <v>4901426673890</v>
      </c>
      <c r="Q1632" s="23">
        <v>21737563377110</v>
      </c>
      <c r="R1632" s="25">
        <f t="shared" si="573"/>
        <v>102403962312838</v>
      </c>
      <c r="S1632" s="26">
        <f t="shared" si="574"/>
        <v>0.67638889334400554</v>
      </c>
      <c r="T1632" s="27">
        <f t="shared" si="575"/>
        <v>1.219802879523527</v>
      </c>
      <c r="U1632" s="26">
        <f t="shared" si="576"/>
        <v>31.773701847453687</v>
      </c>
      <c r="V1632" s="26">
        <f t="shared" si="577"/>
        <v>3.394518429366582</v>
      </c>
      <c r="W1632" s="143"/>
      <c r="X1632" s="143"/>
      <c r="Y1632" s="143"/>
      <c r="Z1632" s="30">
        <f t="shared" si="617"/>
        <v>0</v>
      </c>
      <c r="AA1632" s="31">
        <f t="shared" si="548"/>
        <v>17</v>
      </c>
      <c r="AB1632" s="32">
        <v>1.84E-2</v>
      </c>
      <c r="AC1632" s="32">
        <v>2.58E-2</v>
      </c>
      <c r="AD1632" s="33">
        <f t="shared" si="602"/>
        <v>0.14867222643474423</v>
      </c>
      <c r="AE1632" s="34">
        <f t="shared" si="603"/>
        <v>7.7835752406892125E-2</v>
      </c>
      <c r="AF1632" s="33">
        <f t="shared" si="604"/>
        <v>1.6261978371576578</v>
      </c>
      <c r="AG1632" s="33">
        <f t="shared" si="605"/>
        <v>0</v>
      </c>
      <c r="AH1632" s="35">
        <f t="shared" si="606"/>
        <v>2.9145883785907274</v>
      </c>
      <c r="AI1632" s="36">
        <f t="shared" si="582"/>
        <v>8.5684179663023397</v>
      </c>
      <c r="AJ1632" s="23"/>
      <c r="AK1632" s="173">
        <v>797</v>
      </c>
      <c r="AL1632" s="44"/>
      <c r="AM1632" s="44"/>
      <c r="AN1632" s="44"/>
      <c r="AO1632" s="44"/>
      <c r="AP1632" s="44"/>
      <c r="AQ1632" s="44"/>
      <c r="AR1632" s="44"/>
    </row>
    <row r="1633" spans="1:44" ht="16.8">
      <c r="A1633" s="257"/>
      <c r="B1633" s="79"/>
      <c r="C1633" s="79" t="s">
        <v>3234</v>
      </c>
      <c r="D1633" s="19" t="s">
        <v>3235</v>
      </c>
      <c r="E1633" s="20" t="s">
        <v>414</v>
      </c>
      <c r="F1633" s="21">
        <v>2004</v>
      </c>
      <c r="G1633" s="40">
        <v>2022</v>
      </c>
      <c r="H1633" s="23">
        <v>44577607228189</v>
      </c>
      <c r="I1633" s="23">
        <v>55834095614049</v>
      </c>
      <c r="J1633" s="23">
        <v>31901514096473</v>
      </c>
      <c r="K1633" s="23">
        <v>37247336455785</v>
      </c>
      <c r="L1633" s="23">
        <v>26000264096473</v>
      </c>
      <c r="M1633" s="23">
        <v>23932581517576</v>
      </c>
      <c r="N1633" s="23">
        <v>134722248887557</v>
      </c>
      <c r="O1633" s="25">
        <f t="shared" si="572"/>
        <v>18577343131716</v>
      </c>
      <c r="P1633" s="23">
        <v>4101714424939</v>
      </c>
      <c r="Q1633" s="23">
        <v>24217865647392</v>
      </c>
      <c r="R1633" s="25">
        <f t="shared" si="573"/>
        <v>110504383240165</v>
      </c>
      <c r="S1633" s="26">
        <f t="shared" si="574"/>
        <v>0.57136260103487602</v>
      </c>
      <c r="T1633" s="27">
        <f t="shared" si="575"/>
        <v>1.7145059397391298</v>
      </c>
      <c r="U1633" s="26">
        <f t="shared" si="576"/>
        <v>31.653405831221299</v>
      </c>
      <c r="V1633" s="26">
        <f t="shared" si="577"/>
        <v>3.6169632974288253</v>
      </c>
      <c r="W1633" s="143"/>
      <c r="X1633" s="143"/>
      <c r="Y1633" s="143"/>
      <c r="Z1633" s="30">
        <f t="shared" si="617"/>
        <v>0</v>
      </c>
      <c r="AA1633" s="31">
        <f t="shared" si="548"/>
        <v>18</v>
      </c>
      <c r="AB1633" s="32">
        <v>3.15E-2</v>
      </c>
      <c r="AC1633" s="32">
        <v>8.0199999999999994E-2</v>
      </c>
      <c r="AD1633" s="33">
        <f t="shared" si="602"/>
        <v>0.33272399109195139</v>
      </c>
      <c r="AE1633" s="34">
        <f t="shared" si="603"/>
        <v>7.346253897066661E-2</v>
      </c>
      <c r="AF1633" s="33">
        <f t="shared" si="604"/>
        <v>1.9791559624073116</v>
      </c>
      <c r="AG1633" s="33">
        <f t="shared" si="605"/>
        <v>0</v>
      </c>
      <c r="AH1633" s="35">
        <f t="shared" si="606"/>
        <v>4.2230675472062238</v>
      </c>
      <c r="AI1633" s="36">
        <f t="shared" si="582"/>
        <v>11.256398567019627</v>
      </c>
      <c r="AJ1633" s="23"/>
      <c r="AK1633" s="173">
        <v>798</v>
      </c>
      <c r="AL1633" s="44"/>
      <c r="AM1633" s="44"/>
      <c r="AN1633" s="44"/>
      <c r="AO1633" s="44"/>
      <c r="AP1633" s="44"/>
      <c r="AQ1633" s="44"/>
      <c r="AR1633" s="44"/>
    </row>
    <row r="1634" spans="1:44" ht="16.8">
      <c r="A1634" s="257"/>
      <c r="B1634" s="79"/>
      <c r="C1634" s="79" t="s">
        <v>3234</v>
      </c>
      <c r="D1634" s="19" t="s">
        <v>3235</v>
      </c>
      <c r="E1634" s="20" t="s">
        <v>414</v>
      </c>
      <c r="F1634" s="21">
        <v>2004</v>
      </c>
      <c r="G1634" s="40">
        <v>2023</v>
      </c>
      <c r="H1634" s="23">
        <v>51950337976047</v>
      </c>
      <c r="I1634" s="23">
        <v>60111237212724</v>
      </c>
      <c r="J1634" s="23">
        <v>36751679245386</v>
      </c>
      <c r="K1634" s="23">
        <v>34326596670930</v>
      </c>
      <c r="L1634" s="23">
        <v>30765260553972</v>
      </c>
      <c r="M1634" s="23">
        <v>23359557967338</v>
      </c>
      <c r="N1634" s="23">
        <v>119234184825086</v>
      </c>
      <c r="O1634" s="25">
        <f t="shared" si="572"/>
        <v>21185077422075</v>
      </c>
      <c r="P1634" s="23">
        <v>167829154939</v>
      </c>
      <c r="Q1634" s="23">
        <v>22084362417842</v>
      </c>
      <c r="R1634" s="25">
        <f t="shared" si="573"/>
        <v>97149822407244</v>
      </c>
      <c r="S1634" s="26">
        <f t="shared" si="574"/>
        <v>0.6113944904399109</v>
      </c>
      <c r="T1634" s="27">
        <f t="shared" si="575"/>
        <v>1.6886038681489361</v>
      </c>
      <c r="U1634" s="26">
        <f t="shared" si="576"/>
        <v>31.727217915245326</v>
      </c>
      <c r="V1634" s="26">
        <f t="shared" si="577"/>
        <v>3.4735218864869664</v>
      </c>
      <c r="W1634" s="143"/>
      <c r="X1634" s="143"/>
      <c r="Y1634" s="143"/>
      <c r="Z1634" s="30">
        <f t="shared" si="617"/>
        <v>0</v>
      </c>
      <c r="AA1634" s="31">
        <f t="shared" si="548"/>
        <v>19</v>
      </c>
      <c r="AB1634" s="32">
        <v>3.2500000000000001E-2</v>
      </c>
      <c r="AC1634" s="32">
        <v>5.0500000000000003E-2</v>
      </c>
      <c r="AD1634" s="33">
        <f t="shared" si="602"/>
        <v>0.35243123256812064</v>
      </c>
      <c r="AE1634" s="34">
        <f t="shared" si="603"/>
        <v>2.7919763877938433E-3</v>
      </c>
      <c r="AF1634" s="33">
        <f t="shared" si="604"/>
        <v>1.6161674074923198</v>
      </c>
      <c r="AG1634" s="33">
        <f t="shared" si="605"/>
        <v>0</v>
      </c>
      <c r="AH1634" s="35">
        <f t="shared" si="606"/>
        <v>3.2443193691633909</v>
      </c>
      <c r="AI1634" s="36">
        <f t="shared" si="582"/>
        <v>9.0044980599127022</v>
      </c>
      <c r="AJ1634" s="23"/>
      <c r="AK1634" s="173">
        <v>799</v>
      </c>
      <c r="AL1634" s="44"/>
      <c r="AM1634" s="44"/>
      <c r="AN1634" s="44"/>
      <c r="AO1634" s="44"/>
      <c r="AP1634" s="44"/>
      <c r="AQ1634" s="44"/>
      <c r="AR1634" s="44"/>
    </row>
    <row r="1635" spans="1:44" ht="16.8">
      <c r="A1635" s="78" t="s">
        <v>3236</v>
      </c>
      <c r="B1635" s="79">
        <v>629</v>
      </c>
      <c r="C1635" s="79" t="s">
        <v>3237</v>
      </c>
      <c r="D1635" s="19" t="s">
        <v>3238</v>
      </c>
      <c r="E1635" s="20" t="s">
        <v>414</v>
      </c>
      <c r="F1635" s="21">
        <v>1995</v>
      </c>
      <c r="G1635" s="40">
        <v>2021</v>
      </c>
      <c r="H1635" s="23">
        <v>1029319761677</v>
      </c>
      <c r="I1635" s="23">
        <v>1654056488569</v>
      </c>
      <c r="J1635" s="23">
        <v>817658652169</v>
      </c>
      <c r="K1635" s="23">
        <v>800065839616</v>
      </c>
      <c r="L1635" s="23">
        <v>700840862341</v>
      </c>
      <c r="M1635" s="23">
        <v>836397836400</v>
      </c>
      <c r="N1635" s="23">
        <v>1629278864172</v>
      </c>
      <c r="O1635" s="25">
        <f t="shared" si="572"/>
        <v>328478899336</v>
      </c>
      <c r="P1635" s="23">
        <v>77605196474</v>
      </c>
      <c r="Q1635" s="23">
        <v>182597903038</v>
      </c>
      <c r="R1635" s="25">
        <f t="shared" si="573"/>
        <v>1446680961134</v>
      </c>
      <c r="S1635" s="26">
        <f t="shared" si="574"/>
        <v>0.49433538565323965</v>
      </c>
      <c r="T1635" s="27">
        <f t="shared" si="575"/>
        <v>1.4686925620158486</v>
      </c>
      <c r="U1635" s="26">
        <f t="shared" si="576"/>
        <v>28.134251864648792</v>
      </c>
      <c r="V1635" s="26">
        <f t="shared" si="577"/>
        <v>2.0364309829225924</v>
      </c>
      <c r="W1635" s="143"/>
      <c r="X1635" s="143"/>
      <c r="Y1635" s="143"/>
      <c r="Z1635" s="30">
        <f t="shared" si="617"/>
        <v>0</v>
      </c>
      <c r="AA1635" s="31">
        <f t="shared" si="548"/>
        <v>26</v>
      </c>
      <c r="AB1635" s="32">
        <v>1.84E-2</v>
      </c>
      <c r="AC1635" s="32">
        <v>2.58E-2</v>
      </c>
      <c r="AD1635" s="33">
        <f t="shared" si="602"/>
        <v>0.19858989194509441</v>
      </c>
      <c r="AE1635" s="34">
        <f t="shared" si="603"/>
        <v>4.6918105282570975E-2</v>
      </c>
      <c r="AF1635" s="33">
        <f t="shared" si="604"/>
        <v>0.87462609114734036</v>
      </c>
      <c r="AG1635" s="33">
        <f t="shared" si="605"/>
        <v>0</v>
      </c>
      <c r="AH1635" s="35">
        <f t="shared" si="606"/>
        <v>1.9926149620627363</v>
      </c>
      <c r="AI1635" s="36">
        <f t="shared" si="582"/>
        <v>5.1828742805786714</v>
      </c>
      <c r="AJ1635" s="23"/>
      <c r="AK1635" s="173">
        <v>800</v>
      </c>
      <c r="AL1635" s="44"/>
      <c r="AM1635" s="44"/>
      <c r="AN1635" s="44"/>
      <c r="AO1635" s="44"/>
      <c r="AP1635" s="44"/>
      <c r="AQ1635" s="44"/>
      <c r="AR1635" s="44"/>
    </row>
    <row r="1636" spans="1:44" ht="16.8">
      <c r="A1636" s="78" t="s">
        <v>3239</v>
      </c>
      <c r="B1636" s="79"/>
      <c r="C1636" s="79" t="s">
        <v>3237</v>
      </c>
      <c r="D1636" s="19" t="s">
        <v>3238</v>
      </c>
      <c r="E1636" s="20" t="s">
        <v>414</v>
      </c>
      <c r="F1636" s="21">
        <v>1995</v>
      </c>
      <c r="G1636" s="40">
        <v>2022</v>
      </c>
      <c r="H1636" s="23">
        <v>1166762878120</v>
      </c>
      <c r="I1636" s="23">
        <v>1743747866687</v>
      </c>
      <c r="J1636" s="23">
        <v>851560032938</v>
      </c>
      <c r="K1636" s="23">
        <v>908163983125</v>
      </c>
      <c r="L1636" s="23">
        <v>772283083192</v>
      </c>
      <c r="M1636" s="23">
        <v>892187833749</v>
      </c>
      <c r="N1636" s="23">
        <v>1817811173255</v>
      </c>
      <c r="O1636" s="25">
        <f t="shared" si="572"/>
        <v>394479794928</v>
      </c>
      <c r="P1636" s="23">
        <v>79842099674</v>
      </c>
      <c r="Q1636" s="23">
        <v>256377904687</v>
      </c>
      <c r="R1636" s="25">
        <f t="shared" si="573"/>
        <v>1561433268568</v>
      </c>
      <c r="S1636" s="26">
        <f t="shared" si="574"/>
        <v>0.4883504371282214</v>
      </c>
      <c r="T1636" s="27">
        <f t="shared" si="575"/>
        <v>1.5107968871952191</v>
      </c>
      <c r="U1636" s="26">
        <f t="shared" si="576"/>
        <v>28.187057859110034</v>
      </c>
      <c r="V1636" s="26">
        <f t="shared" si="577"/>
        <v>2.0016331929393369</v>
      </c>
      <c r="W1636" s="143"/>
      <c r="X1636" s="143"/>
      <c r="Y1636" s="143"/>
      <c r="Z1636" s="30">
        <f t="shared" si="617"/>
        <v>0</v>
      </c>
      <c r="AA1636" s="31">
        <f t="shared" si="548"/>
        <v>27</v>
      </c>
      <c r="AB1636" s="32">
        <v>3.15E-2</v>
      </c>
      <c r="AC1636" s="32">
        <v>8.0199999999999994E-2</v>
      </c>
      <c r="AD1636" s="33">
        <f t="shared" si="602"/>
        <v>0.22622524876688982</v>
      </c>
      <c r="AE1636" s="34">
        <f t="shared" si="603"/>
        <v>4.578764005927901E-2</v>
      </c>
      <c r="AF1636" s="33">
        <f t="shared" si="604"/>
        <v>0.89544669754040473</v>
      </c>
      <c r="AG1636" s="33">
        <f t="shared" si="605"/>
        <v>0</v>
      </c>
      <c r="AH1636" s="35">
        <f t="shared" si="606"/>
        <v>2.1346835254624383</v>
      </c>
      <c r="AI1636" s="36">
        <f t="shared" si="582"/>
        <v>5.4252306219490318</v>
      </c>
      <c r="AJ1636" s="23"/>
      <c r="AK1636" s="173">
        <v>801</v>
      </c>
      <c r="AL1636" s="44"/>
      <c r="AM1636" s="44"/>
      <c r="AN1636" s="44"/>
      <c r="AO1636" s="44"/>
      <c r="AP1636" s="44"/>
      <c r="AQ1636" s="44"/>
      <c r="AR1636" s="44"/>
    </row>
    <row r="1637" spans="1:44" ht="16.8">
      <c r="A1637" s="78" t="s">
        <v>3240</v>
      </c>
      <c r="B1637" s="79"/>
      <c r="C1637" s="79" t="s">
        <v>3237</v>
      </c>
      <c r="D1637" s="19" t="s">
        <v>3238</v>
      </c>
      <c r="E1637" s="20" t="s">
        <v>414</v>
      </c>
      <c r="F1637" s="21">
        <v>1995</v>
      </c>
      <c r="G1637" s="40">
        <v>2023</v>
      </c>
      <c r="H1637" s="23">
        <v>1016641720903</v>
      </c>
      <c r="I1637" s="23">
        <v>2043235491713</v>
      </c>
      <c r="J1637" s="23">
        <v>1055273264267</v>
      </c>
      <c r="K1637" s="23">
        <v>953416648603</v>
      </c>
      <c r="L1637" s="23">
        <v>964514376008</v>
      </c>
      <c r="M1637" s="23">
        <v>987962227446</v>
      </c>
      <c r="N1637" s="23">
        <v>1754554175364</v>
      </c>
      <c r="O1637" s="25">
        <f t="shared" si="572"/>
        <v>52127344895</v>
      </c>
      <c r="P1637" s="23">
        <v>109929280569</v>
      </c>
      <c r="Q1637" s="23">
        <v>305377356067</v>
      </c>
      <c r="R1637" s="25">
        <f t="shared" si="573"/>
        <v>1449176819297</v>
      </c>
      <c r="S1637" s="26">
        <f t="shared" si="574"/>
        <v>0.51647167864252597</v>
      </c>
      <c r="T1637" s="27">
        <f t="shared" si="575"/>
        <v>1.054045171530515</v>
      </c>
      <c r="U1637" s="26">
        <f t="shared" si="576"/>
        <v>28.345555692724268</v>
      </c>
      <c r="V1637" s="26">
        <f t="shared" si="577"/>
        <v>1.8402806138689438</v>
      </c>
      <c r="W1637" s="143"/>
      <c r="X1637" s="143"/>
      <c r="Y1637" s="143"/>
      <c r="Z1637" s="30">
        <f t="shared" si="617"/>
        <v>0</v>
      </c>
      <c r="AA1637" s="31">
        <f t="shared" si="548"/>
        <v>28</v>
      </c>
      <c r="AB1637" s="32">
        <v>3.2500000000000001E-2</v>
      </c>
      <c r="AC1637" s="32">
        <v>5.0500000000000003E-2</v>
      </c>
      <c r="AD1637" s="33">
        <f t="shared" si="602"/>
        <v>2.5512157118657758E-2</v>
      </c>
      <c r="AE1637" s="34">
        <f t="shared" si="603"/>
        <v>5.3801571583331251E-2</v>
      </c>
      <c r="AF1637" s="33">
        <f t="shared" si="604"/>
        <v>0.70925589594278471</v>
      </c>
      <c r="AG1637" s="33">
        <f t="shared" si="605"/>
        <v>0</v>
      </c>
      <c r="AH1637" s="35">
        <f t="shared" si="606"/>
        <v>1.6626538686950676</v>
      </c>
      <c r="AI1637" s="36">
        <f t="shared" si="582"/>
        <v>4.1091351140653103</v>
      </c>
      <c r="AJ1637" s="23"/>
      <c r="AK1637" s="173">
        <v>802</v>
      </c>
      <c r="AL1637" s="44"/>
      <c r="AM1637" s="44"/>
      <c r="AN1637" s="44"/>
      <c r="AO1637" s="44"/>
      <c r="AP1637" s="44"/>
      <c r="AQ1637" s="44"/>
      <c r="AR1637" s="44"/>
    </row>
    <row r="1638" spans="1:44" ht="16.8">
      <c r="A1638" s="259" t="s">
        <v>3241</v>
      </c>
      <c r="B1638" s="79">
        <v>630</v>
      </c>
      <c r="C1638" s="79" t="s">
        <v>3242</v>
      </c>
      <c r="D1638" s="19" t="s">
        <v>2431</v>
      </c>
      <c r="E1638" s="20" t="s">
        <v>414</v>
      </c>
      <c r="F1638" s="21">
        <v>1993</v>
      </c>
      <c r="G1638" s="40">
        <v>2021</v>
      </c>
      <c r="H1638" s="23">
        <v>2916543313685</v>
      </c>
      <c r="I1638" s="23">
        <v>4887179840940</v>
      </c>
      <c r="J1638" s="23">
        <v>2551594214788</v>
      </c>
      <c r="K1638" s="23">
        <v>2525849785346</v>
      </c>
      <c r="L1638" s="23">
        <v>2336515879518</v>
      </c>
      <c r="M1638" s="23">
        <v>2335585626152</v>
      </c>
      <c r="N1638" s="23">
        <v>3504425921790</v>
      </c>
      <c r="O1638" s="25">
        <f t="shared" si="572"/>
        <v>580027434167</v>
      </c>
      <c r="P1638" s="23">
        <v>128739197732</v>
      </c>
      <c r="Q1638" s="23">
        <v>337430992921</v>
      </c>
      <c r="R1638" s="25">
        <f t="shared" si="573"/>
        <v>3166994928869</v>
      </c>
      <c r="S1638" s="26">
        <f t="shared" si="574"/>
        <v>0.52209951297745294</v>
      </c>
      <c r="T1638" s="27">
        <f t="shared" si="575"/>
        <v>1.2482445932645037</v>
      </c>
      <c r="U1638" s="26">
        <f t="shared" si="576"/>
        <v>29.217636533404416</v>
      </c>
      <c r="V1638" s="26">
        <f t="shared" si="577"/>
        <v>1.3874245183230289</v>
      </c>
      <c r="W1638" s="143"/>
      <c r="X1638" s="143"/>
      <c r="Y1638" s="143"/>
      <c r="Z1638" s="30">
        <f t="shared" si="617"/>
        <v>0</v>
      </c>
      <c r="AA1638" s="31">
        <f t="shared" si="548"/>
        <v>28</v>
      </c>
      <c r="AB1638" s="32">
        <v>1.84E-2</v>
      </c>
      <c r="AC1638" s="32">
        <v>2.58E-2</v>
      </c>
      <c r="AD1638" s="33">
        <f t="shared" si="602"/>
        <v>0.11868346429736409</v>
      </c>
      <c r="AE1638" s="34">
        <f t="shared" si="603"/>
        <v>2.6342226380447319E-2</v>
      </c>
      <c r="AF1638" s="33">
        <f t="shared" si="604"/>
        <v>0.64802095112993841</v>
      </c>
      <c r="AG1638" s="33">
        <f t="shared" si="605"/>
        <v>0</v>
      </c>
      <c r="AH1638" s="35">
        <f t="shared" si="606"/>
        <v>1.3734260336066666</v>
      </c>
      <c r="AI1638" s="36">
        <f t="shared" si="582"/>
        <v>3.6911944464249262</v>
      </c>
      <c r="AJ1638" s="23"/>
      <c r="AK1638" s="173">
        <v>803</v>
      </c>
      <c r="AL1638" s="44"/>
      <c r="AM1638" s="44"/>
      <c r="AN1638" s="44"/>
      <c r="AO1638" s="44"/>
      <c r="AP1638" s="44"/>
      <c r="AQ1638" s="44"/>
      <c r="AR1638" s="44"/>
    </row>
    <row r="1639" spans="1:44" ht="16.8">
      <c r="A1639" s="257"/>
      <c r="B1639" s="79"/>
      <c r="C1639" s="79" t="s">
        <v>3242</v>
      </c>
      <c r="D1639" s="19" t="s">
        <v>2431</v>
      </c>
      <c r="E1639" s="20" t="s">
        <v>414</v>
      </c>
      <c r="F1639" s="21">
        <v>1993</v>
      </c>
      <c r="G1639" s="40">
        <v>2022</v>
      </c>
      <c r="H1639" s="23">
        <v>3255100959692</v>
      </c>
      <c r="I1639" s="23">
        <v>5467653137750</v>
      </c>
      <c r="J1639" s="23">
        <v>2585450152251</v>
      </c>
      <c r="K1639" s="23">
        <v>2568522183520</v>
      </c>
      <c r="L1639" s="23">
        <v>2417509035225</v>
      </c>
      <c r="M1639" s="23">
        <v>2882202985499</v>
      </c>
      <c r="N1639" s="23">
        <v>4934505844469</v>
      </c>
      <c r="O1639" s="25">
        <f t="shared" si="572"/>
        <v>837591924467</v>
      </c>
      <c r="P1639" s="23">
        <v>673745234347</v>
      </c>
      <c r="Q1639" s="23">
        <v>472414231078</v>
      </c>
      <c r="R1639" s="25">
        <f t="shared" si="573"/>
        <v>4462091613391</v>
      </c>
      <c r="S1639" s="26">
        <f t="shared" si="574"/>
        <v>0.47286286951899464</v>
      </c>
      <c r="T1639" s="27">
        <f t="shared" si="575"/>
        <v>1.3464689944329595</v>
      </c>
      <c r="U1639" s="26">
        <f t="shared" si="576"/>
        <v>29.329870597838521</v>
      </c>
      <c r="V1639" s="26">
        <f t="shared" si="577"/>
        <v>1.9211458932025132</v>
      </c>
      <c r="W1639" s="143"/>
      <c r="X1639" s="143"/>
      <c r="Y1639" s="143"/>
      <c r="Z1639" s="30">
        <f t="shared" si="617"/>
        <v>0</v>
      </c>
      <c r="AA1639" s="31">
        <f t="shared" si="548"/>
        <v>29</v>
      </c>
      <c r="AB1639" s="32">
        <v>3.15E-2</v>
      </c>
      <c r="AC1639" s="32">
        <v>8.0199999999999994E-2</v>
      </c>
      <c r="AD1639" s="33">
        <f t="shared" si="602"/>
        <v>0.15319039144675486</v>
      </c>
      <c r="AE1639" s="34">
        <f t="shared" si="603"/>
        <v>0.12322384346133808</v>
      </c>
      <c r="AF1639" s="33">
        <f t="shared" si="604"/>
        <v>0.81608900582658395</v>
      </c>
      <c r="AG1639" s="33">
        <f t="shared" si="605"/>
        <v>0</v>
      </c>
      <c r="AH1639" s="35">
        <f t="shared" si="606"/>
        <v>1.9085673882255338</v>
      </c>
      <c r="AI1639" s="36">
        <f t="shared" si="582"/>
        <v>4.95800295803524</v>
      </c>
      <c r="AJ1639" s="23"/>
      <c r="AK1639" s="173">
        <v>804</v>
      </c>
      <c r="AL1639" s="44"/>
      <c r="AM1639" s="44"/>
      <c r="AN1639" s="44"/>
      <c r="AO1639" s="44"/>
      <c r="AP1639" s="44"/>
      <c r="AQ1639" s="44"/>
      <c r="AR1639" s="44"/>
    </row>
    <row r="1640" spans="1:44" ht="16.8">
      <c r="A1640" s="257"/>
      <c r="B1640" s="79"/>
      <c r="C1640" s="79" t="s">
        <v>3242</v>
      </c>
      <c r="D1640" s="19" t="s">
        <v>2431</v>
      </c>
      <c r="E1640" s="20" t="s">
        <v>414</v>
      </c>
      <c r="F1640" s="21">
        <v>1993</v>
      </c>
      <c r="G1640" s="40">
        <v>2023</v>
      </c>
      <c r="H1640" s="23">
        <v>2950604371240</v>
      </c>
      <c r="I1640" s="23">
        <v>5112670123139</v>
      </c>
      <c r="J1640" s="23">
        <v>2264803367530</v>
      </c>
      <c r="K1640" s="23">
        <v>2425126759891</v>
      </c>
      <c r="L1640" s="23">
        <v>2103113559761</v>
      </c>
      <c r="M1640" s="23">
        <v>2847866755609</v>
      </c>
      <c r="N1640" s="23">
        <v>4461787494846</v>
      </c>
      <c r="O1640" s="25">
        <f t="shared" si="572"/>
        <v>847490811479</v>
      </c>
      <c r="P1640" s="23">
        <v>39191645110</v>
      </c>
      <c r="Q1640" s="23">
        <v>264132718574</v>
      </c>
      <c r="R1640" s="25">
        <f t="shared" si="573"/>
        <v>4197654776272</v>
      </c>
      <c r="S1640" s="26">
        <f t="shared" si="574"/>
        <v>0.44297858320252631</v>
      </c>
      <c r="T1640" s="27">
        <f t="shared" si="575"/>
        <v>1.40296959122612</v>
      </c>
      <c r="U1640" s="26">
        <f t="shared" si="576"/>
        <v>29.262742912663445</v>
      </c>
      <c r="V1640" s="26">
        <f t="shared" si="577"/>
        <v>1.8398161979155845</v>
      </c>
      <c r="W1640" s="143"/>
      <c r="X1640" s="143"/>
      <c r="Y1640" s="143"/>
      <c r="Z1640" s="30">
        <f t="shared" si="617"/>
        <v>0</v>
      </c>
      <c r="AA1640" s="31">
        <f t="shared" si="548"/>
        <v>30</v>
      </c>
      <c r="AB1640" s="32">
        <v>3.2500000000000001E-2</v>
      </c>
      <c r="AC1640" s="32">
        <v>5.0500000000000003E-2</v>
      </c>
      <c r="AD1640" s="33">
        <f t="shared" si="602"/>
        <v>0.16576285797188697</v>
      </c>
      <c r="AE1640" s="34">
        <f t="shared" si="603"/>
        <v>7.6655923746431157E-3</v>
      </c>
      <c r="AF1640" s="33">
        <f t="shared" si="604"/>
        <v>0.82102984842972571</v>
      </c>
      <c r="AG1640" s="33">
        <f t="shared" si="605"/>
        <v>0</v>
      </c>
      <c r="AH1640" s="35">
        <f t="shared" si="606"/>
        <v>1.9700551309723793</v>
      </c>
      <c r="AI1640" s="36">
        <f t="shared" si="582"/>
        <v>4.8891008896812389</v>
      </c>
      <c r="AJ1640" s="23"/>
      <c r="AK1640" s="173">
        <v>805</v>
      </c>
      <c r="AL1640" s="44"/>
      <c r="AM1640" s="44"/>
      <c r="AN1640" s="44"/>
      <c r="AO1640" s="44"/>
      <c r="AP1640" s="44"/>
      <c r="AQ1640" s="44"/>
      <c r="AR1640" s="44"/>
    </row>
    <row r="1641" spans="1:44" ht="16.8">
      <c r="A1641" s="259" t="s">
        <v>3243</v>
      </c>
      <c r="B1641" s="79">
        <v>631</v>
      </c>
      <c r="C1641" s="79" t="s">
        <v>3244</v>
      </c>
      <c r="D1641" s="19" t="s">
        <v>3245</v>
      </c>
      <c r="E1641" s="20" t="s">
        <v>414</v>
      </c>
      <c r="F1641" s="21">
        <v>2005</v>
      </c>
      <c r="G1641" s="40">
        <v>2021</v>
      </c>
      <c r="H1641" s="23">
        <v>1773894194000</v>
      </c>
      <c r="I1641" s="23">
        <v>4373653981000</v>
      </c>
      <c r="J1641" s="23">
        <v>2543451547000</v>
      </c>
      <c r="K1641" s="23">
        <v>2433755525094</v>
      </c>
      <c r="L1641" s="23">
        <v>2181867087000</v>
      </c>
      <c r="M1641" s="23">
        <v>1830202434000</v>
      </c>
      <c r="N1641" s="23">
        <v>565231601936</v>
      </c>
      <c r="O1641" s="25">
        <f t="shared" si="572"/>
        <v>-407972893000</v>
      </c>
      <c r="P1641" s="23">
        <v>313092616869</v>
      </c>
      <c r="Q1641" s="23">
        <v>69540446443</v>
      </c>
      <c r="R1641" s="25">
        <f t="shared" si="573"/>
        <v>495691155493</v>
      </c>
      <c r="S1641" s="26">
        <f t="shared" si="574"/>
        <v>0.5815392708360666</v>
      </c>
      <c r="T1641" s="27">
        <f t="shared" si="575"/>
        <v>0.81301661525086288</v>
      </c>
      <c r="U1641" s="26">
        <f t="shared" si="576"/>
        <v>29.106619926914906</v>
      </c>
      <c r="V1641" s="26">
        <f t="shared" si="577"/>
        <v>0.2322466640991678</v>
      </c>
      <c r="W1641" s="143"/>
      <c r="X1641" s="143"/>
      <c r="Y1641" s="143"/>
      <c r="Z1641" s="30">
        <f t="shared" si="617"/>
        <v>0</v>
      </c>
      <c r="AA1641" s="31">
        <f t="shared" si="548"/>
        <v>16</v>
      </c>
      <c r="AB1641" s="32">
        <v>1.84E-2</v>
      </c>
      <c r="AC1641" s="32">
        <v>2.58E-2</v>
      </c>
      <c r="AD1641" s="33">
        <f t="shared" si="602"/>
        <v>-9.3279645525757932E-2</v>
      </c>
      <c r="AE1641" s="34">
        <f t="shared" si="603"/>
        <v>7.1586050983716357E-2</v>
      </c>
      <c r="AF1641" s="33">
        <f t="shared" si="604"/>
        <v>0.1133357045725104</v>
      </c>
      <c r="AG1641" s="33">
        <f t="shared" si="605"/>
        <v>0</v>
      </c>
      <c r="AH1641" s="35">
        <f t="shared" si="606"/>
        <v>0.22223014336667449</v>
      </c>
      <c r="AI1641" s="36">
        <f t="shared" si="582"/>
        <v>0.58452286520225216</v>
      </c>
      <c r="AJ1641" s="23"/>
      <c r="AK1641" s="173">
        <v>806</v>
      </c>
      <c r="AL1641" s="44"/>
      <c r="AM1641" s="44"/>
      <c r="AN1641" s="44"/>
      <c r="AO1641" s="44"/>
      <c r="AP1641" s="44"/>
      <c r="AQ1641" s="44"/>
      <c r="AR1641" s="44"/>
    </row>
    <row r="1642" spans="1:44" ht="16.8">
      <c r="A1642" s="257"/>
      <c r="B1642" s="79"/>
      <c r="C1642" s="79" t="s">
        <v>3244</v>
      </c>
      <c r="D1642" s="19" t="s">
        <v>3245</v>
      </c>
      <c r="E1642" s="20" t="s">
        <v>414</v>
      </c>
      <c r="F1642" s="21">
        <v>2005</v>
      </c>
      <c r="G1642" s="40">
        <v>2022</v>
      </c>
      <c r="H1642" s="23">
        <v>2806084422000</v>
      </c>
      <c r="I1642" s="23">
        <v>6387256323000</v>
      </c>
      <c r="J1642" s="23">
        <v>4567447492000</v>
      </c>
      <c r="K1642" s="23">
        <v>3555449519500</v>
      </c>
      <c r="L1642" s="23">
        <v>1884476594000</v>
      </c>
      <c r="M1642" s="23">
        <v>1819808831000</v>
      </c>
      <c r="N1642" s="23">
        <v>466361957012</v>
      </c>
      <c r="O1642" s="25">
        <f t="shared" si="572"/>
        <v>921607828000</v>
      </c>
      <c r="P1642" s="23">
        <v>7176523932000</v>
      </c>
      <c r="Q1642" s="23">
        <v>45472362151</v>
      </c>
      <c r="R1642" s="25">
        <f t="shared" si="573"/>
        <v>420889594861</v>
      </c>
      <c r="S1642" s="26">
        <f t="shared" si="574"/>
        <v>0.71508755262458878</v>
      </c>
      <c r="T1642" s="27">
        <f t="shared" si="575"/>
        <v>1.4890524143066115</v>
      </c>
      <c r="U1642" s="26">
        <f t="shared" si="576"/>
        <v>29.485325921689583</v>
      </c>
      <c r="V1642" s="26">
        <f t="shared" si="577"/>
        <v>0.13116821219207864</v>
      </c>
      <c r="W1642" s="143"/>
      <c r="X1642" s="143"/>
      <c r="Y1642" s="143"/>
      <c r="Z1642" s="30">
        <f t="shared" si="617"/>
        <v>0</v>
      </c>
      <c r="AA1642" s="31">
        <f t="shared" si="548"/>
        <v>17</v>
      </c>
      <c r="AB1642" s="32">
        <v>3.15E-2</v>
      </c>
      <c r="AC1642" s="32">
        <v>8.0199999999999994E-2</v>
      </c>
      <c r="AD1642" s="33">
        <f t="shared" si="602"/>
        <v>0.14428853037905554</v>
      </c>
      <c r="AE1642" s="34">
        <f t="shared" si="603"/>
        <v>1.1235691146694569</v>
      </c>
      <c r="AF1642" s="33">
        <f t="shared" si="604"/>
        <v>6.5895209707712871E-2</v>
      </c>
      <c r="AG1642" s="33">
        <f t="shared" si="605"/>
        <v>0</v>
      </c>
      <c r="AH1642" s="35">
        <f t="shared" si="606"/>
        <v>0.10210559789222422</v>
      </c>
      <c r="AI1642" s="36">
        <f t="shared" si="582"/>
        <v>2.0657027869197826</v>
      </c>
      <c r="AJ1642" s="23"/>
      <c r="AK1642" s="173">
        <v>807</v>
      </c>
      <c r="AL1642" s="44"/>
      <c r="AM1642" s="44"/>
      <c r="AN1642" s="44"/>
      <c r="AO1642" s="44"/>
      <c r="AP1642" s="44"/>
      <c r="AQ1642" s="44"/>
      <c r="AR1642" s="44"/>
    </row>
    <row r="1643" spans="1:44" ht="16.8">
      <c r="A1643" s="257"/>
      <c r="B1643" s="79"/>
      <c r="C1643" s="79" t="s">
        <v>3244</v>
      </c>
      <c r="D1643" s="19" t="s">
        <v>3245</v>
      </c>
      <c r="E1643" s="20" t="s">
        <v>414</v>
      </c>
      <c r="F1643" s="21">
        <v>2005</v>
      </c>
      <c r="G1643" s="40">
        <v>2023</v>
      </c>
      <c r="H1643" s="23">
        <v>2680822497000</v>
      </c>
      <c r="I1643" s="23">
        <v>6910132131000</v>
      </c>
      <c r="J1643" s="23">
        <v>5089477677000</v>
      </c>
      <c r="K1643" s="23">
        <v>4828462584500</v>
      </c>
      <c r="L1643" s="23">
        <v>2244732417000</v>
      </c>
      <c r="M1643" s="23">
        <v>1820654454000</v>
      </c>
      <c r="N1643" s="23">
        <v>293035706646</v>
      </c>
      <c r="O1643" s="25">
        <f t="shared" si="572"/>
        <v>436090080000</v>
      </c>
      <c r="P1643" s="23">
        <v>1085764774000</v>
      </c>
      <c r="Q1643" s="23">
        <v>50395142923</v>
      </c>
      <c r="R1643" s="25">
        <f t="shared" si="573"/>
        <v>242640563723</v>
      </c>
      <c r="S1643" s="26">
        <f t="shared" si="574"/>
        <v>0.73652393044233677</v>
      </c>
      <c r="T1643" s="27">
        <f t="shared" si="575"/>
        <v>1.1942726343226324</v>
      </c>
      <c r="U1643" s="26">
        <f t="shared" si="576"/>
        <v>29.56400987523298</v>
      </c>
      <c r="V1643" s="26">
        <f t="shared" si="577"/>
        <v>6.0689236277129528E-2</v>
      </c>
      <c r="W1643" s="143"/>
      <c r="X1643" s="143"/>
      <c r="Y1643" s="143"/>
      <c r="Z1643" s="30">
        <f t="shared" si="617"/>
        <v>0</v>
      </c>
      <c r="AA1643" s="31">
        <f t="shared" si="548"/>
        <v>18</v>
      </c>
      <c r="AB1643" s="32">
        <v>3.2500000000000001E-2</v>
      </c>
      <c r="AC1643" s="32">
        <v>5.0500000000000003E-2</v>
      </c>
      <c r="AD1643" s="33">
        <f t="shared" si="602"/>
        <v>6.3108790357803368E-2</v>
      </c>
      <c r="AE1643" s="34">
        <f t="shared" si="603"/>
        <v>0.15712648519831898</v>
      </c>
      <c r="AF1643" s="33">
        <f t="shared" si="604"/>
        <v>3.5113737208363083E-2</v>
      </c>
      <c r="AG1643" s="33">
        <f t="shared" si="605"/>
        <v>0</v>
      </c>
      <c r="AH1643" s="35">
        <f t="shared" si="606"/>
        <v>5.7576774129546891E-2</v>
      </c>
      <c r="AI1643" s="36">
        <f t="shared" si="582"/>
        <v>0.46915973462415561</v>
      </c>
      <c r="AJ1643" s="23"/>
      <c r="AK1643" s="173">
        <v>808</v>
      </c>
      <c r="AL1643" s="44"/>
      <c r="AM1643" s="44"/>
      <c r="AN1643" s="44"/>
      <c r="AO1643" s="44"/>
      <c r="AP1643" s="44"/>
      <c r="AQ1643" s="44"/>
      <c r="AR1643" s="44"/>
    </row>
    <row r="1644" spans="1:44" ht="16.8">
      <c r="A1644" s="259" t="s">
        <v>3246</v>
      </c>
      <c r="B1644" s="79">
        <v>632</v>
      </c>
      <c r="C1644" s="79" t="s">
        <v>3247</v>
      </c>
      <c r="D1644" s="19" t="s">
        <v>3248</v>
      </c>
      <c r="E1644" s="20" t="s">
        <v>414</v>
      </c>
      <c r="F1644" s="21">
        <v>2005</v>
      </c>
      <c r="G1644" s="40">
        <v>2021</v>
      </c>
      <c r="H1644" s="23">
        <v>387762484000</v>
      </c>
      <c r="I1644" s="23">
        <v>554003717000</v>
      </c>
      <c r="J1644" s="23">
        <v>96653305000</v>
      </c>
      <c r="K1644" s="23">
        <v>83799097917</v>
      </c>
      <c r="L1644" s="23">
        <v>87823642000</v>
      </c>
      <c r="M1644" s="23">
        <v>457350412000</v>
      </c>
      <c r="N1644" s="23">
        <v>742156297060</v>
      </c>
      <c r="O1644" s="25">
        <f t="shared" si="572"/>
        <v>299938842000</v>
      </c>
      <c r="P1644" s="23">
        <v>223612260181</v>
      </c>
      <c r="Q1644" s="23">
        <v>74837287286</v>
      </c>
      <c r="R1644" s="25">
        <f t="shared" si="573"/>
        <v>667319009774</v>
      </c>
      <c r="S1644" s="26">
        <f t="shared" si="574"/>
        <v>0.17446327891695354</v>
      </c>
      <c r="T1644" s="27">
        <f t="shared" si="575"/>
        <v>4.4152403062491992</v>
      </c>
      <c r="U1644" s="26">
        <f t="shared" si="576"/>
        <v>27.040437233057467</v>
      </c>
      <c r="V1644" s="26">
        <f t="shared" si="577"/>
        <v>8.8563757308590496</v>
      </c>
      <c r="W1644" s="143"/>
      <c r="X1644" s="143"/>
      <c r="Y1644" s="143"/>
      <c r="Z1644" s="30">
        <f t="shared" si="617"/>
        <v>0</v>
      </c>
      <c r="AA1644" s="31">
        <f t="shared" si="548"/>
        <v>16</v>
      </c>
      <c r="AB1644" s="32">
        <v>1.84E-2</v>
      </c>
      <c r="AC1644" s="32">
        <v>2.58E-2</v>
      </c>
      <c r="AD1644" s="33">
        <f t="shared" si="602"/>
        <v>0.54140221950893519</v>
      </c>
      <c r="AE1644" s="34">
        <f t="shared" si="603"/>
        <v>0.40362953048742811</v>
      </c>
      <c r="AF1644" s="33">
        <f t="shared" si="604"/>
        <v>1.2045388673339894</v>
      </c>
      <c r="AG1644" s="33">
        <f t="shared" si="605"/>
        <v>0</v>
      </c>
      <c r="AH1644" s="35">
        <f t="shared" si="606"/>
        <v>7.678540294716254</v>
      </c>
      <c r="AI1644" s="36">
        <f t="shared" si="582"/>
        <v>12.86828256301154</v>
      </c>
      <c r="AJ1644" s="23"/>
      <c r="AK1644" s="173">
        <v>809</v>
      </c>
      <c r="AL1644" s="44"/>
      <c r="AM1644" s="44"/>
      <c r="AN1644" s="44"/>
      <c r="AO1644" s="44"/>
      <c r="AP1644" s="44"/>
      <c r="AQ1644" s="44"/>
      <c r="AR1644" s="44"/>
    </row>
    <row r="1645" spans="1:44" ht="16.8">
      <c r="A1645" s="257"/>
      <c r="B1645" s="79"/>
      <c r="C1645" s="79" t="s">
        <v>3247</v>
      </c>
      <c r="D1645" s="19" t="s">
        <v>3248</v>
      </c>
      <c r="E1645" s="20" t="s">
        <v>414</v>
      </c>
      <c r="F1645" s="21">
        <v>2005</v>
      </c>
      <c r="G1645" s="40">
        <v>2022</v>
      </c>
      <c r="H1645" s="23">
        <v>316848663000</v>
      </c>
      <c r="I1645" s="23">
        <v>500598613000</v>
      </c>
      <c r="J1645" s="23">
        <v>68261493000</v>
      </c>
      <c r="K1645" s="23">
        <v>82457399000</v>
      </c>
      <c r="L1645" s="23">
        <v>59181493000</v>
      </c>
      <c r="M1645" s="23">
        <v>432337120000</v>
      </c>
      <c r="N1645" s="23">
        <v>735914902070</v>
      </c>
      <c r="O1645" s="25">
        <f t="shared" si="572"/>
        <v>257667170000</v>
      </c>
      <c r="P1645" s="23">
        <v>237185892552</v>
      </c>
      <c r="Q1645" s="23">
        <v>79599566710</v>
      </c>
      <c r="R1645" s="25">
        <f t="shared" si="573"/>
        <v>656315335360</v>
      </c>
      <c r="S1645" s="26">
        <f t="shared" si="574"/>
        <v>0.13635973258279882</v>
      </c>
      <c r="T1645" s="27">
        <f t="shared" si="575"/>
        <v>5.353847071752651</v>
      </c>
      <c r="U1645" s="26">
        <f t="shared" si="576"/>
        <v>26.939070445265056</v>
      </c>
      <c r="V1645" s="26">
        <f t="shared" si="577"/>
        <v>8.9247891759234363</v>
      </c>
      <c r="W1645" s="143"/>
      <c r="X1645" s="143"/>
      <c r="Y1645" s="143"/>
      <c r="Z1645" s="30">
        <f t="shared" si="617"/>
        <v>0</v>
      </c>
      <c r="AA1645" s="31">
        <f t="shared" si="548"/>
        <v>17</v>
      </c>
      <c r="AB1645" s="32">
        <v>3.15E-2</v>
      </c>
      <c r="AC1645" s="32">
        <v>8.0199999999999994E-2</v>
      </c>
      <c r="AD1645" s="33">
        <f t="shared" si="602"/>
        <v>0.51471810610070545</v>
      </c>
      <c r="AE1645" s="34">
        <f t="shared" si="603"/>
        <v>0.47380453399698091</v>
      </c>
      <c r="AF1645" s="33">
        <f t="shared" si="604"/>
        <v>1.3110610343620748</v>
      </c>
      <c r="AG1645" s="33">
        <f t="shared" si="605"/>
        <v>0</v>
      </c>
      <c r="AH1645" s="35">
        <f t="shared" si="606"/>
        <v>10.780820484984119</v>
      </c>
      <c r="AI1645" s="36">
        <f t="shared" si="582"/>
        <v>16.388309973295584</v>
      </c>
      <c r="AJ1645" s="23"/>
      <c r="AK1645" s="173">
        <v>810</v>
      </c>
      <c r="AL1645" s="44"/>
      <c r="AM1645" s="44"/>
      <c r="AN1645" s="44"/>
      <c r="AO1645" s="44"/>
      <c r="AP1645" s="44"/>
      <c r="AQ1645" s="44"/>
      <c r="AR1645" s="44"/>
    </row>
    <row r="1646" spans="1:44" ht="16.8">
      <c r="A1646" s="257"/>
      <c r="B1646" s="79"/>
      <c r="C1646" s="79" t="s">
        <v>3247</v>
      </c>
      <c r="D1646" s="19" t="s">
        <v>3248</v>
      </c>
      <c r="E1646" s="20" t="s">
        <v>414</v>
      </c>
      <c r="F1646" s="21">
        <v>2005</v>
      </c>
      <c r="G1646" s="40">
        <v>2023</v>
      </c>
      <c r="H1646" s="23">
        <v>387998112000</v>
      </c>
      <c r="I1646" s="23">
        <v>554648135000</v>
      </c>
      <c r="J1646" s="23">
        <v>121245713000</v>
      </c>
      <c r="K1646" s="23">
        <v>94753603000</v>
      </c>
      <c r="L1646" s="23">
        <v>110035833000</v>
      </c>
      <c r="M1646" s="23">
        <v>433402422000</v>
      </c>
      <c r="N1646" s="23">
        <v>701788879881</v>
      </c>
      <c r="O1646" s="25">
        <f t="shared" si="572"/>
        <v>277962279000</v>
      </c>
      <c r="P1646" s="23">
        <v>216796101316</v>
      </c>
      <c r="Q1646" s="23">
        <v>87630985755</v>
      </c>
      <c r="R1646" s="25">
        <f t="shared" si="573"/>
        <v>614157894126</v>
      </c>
      <c r="S1646" s="26">
        <f t="shared" si="574"/>
        <v>0.21859933415263355</v>
      </c>
      <c r="T1646" s="27">
        <f t="shared" si="575"/>
        <v>3.5261069182799751</v>
      </c>
      <c r="U1646" s="26">
        <f t="shared" si="576"/>
        <v>27.041599758644583</v>
      </c>
      <c r="V1646" s="26">
        <f t="shared" si="577"/>
        <v>7.4064611546328214</v>
      </c>
      <c r="W1646" s="143"/>
      <c r="X1646" s="143"/>
      <c r="Y1646" s="143"/>
      <c r="Z1646" s="30">
        <f t="shared" si="617"/>
        <v>0</v>
      </c>
      <c r="AA1646" s="31">
        <f t="shared" si="548"/>
        <v>18</v>
      </c>
      <c r="AB1646" s="32">
        <v>3.2500000000000001E-2</v>
      </c>
      <c r="AC1646" s="32">
        <v>5.0500000000000003E-2</v>
      </c>
      <c r="AD1646" s="33">
        <f t="shared" si="602"/>
        <v>0.50115066013879228</v>
      </c>
      <c r="AE1646" s="34">
        <f t="shared" si="603"/>
        <v>0.39087141493047661</v>
      </c>
      <c r="AF1646" s="33">
        <f t="shared" si="604"/>
        <v>1.1072928138954259</v>
      </c>
      <c r="AG1646" s="33">
        <f t="shared" si="605"/>
        <v>0</v>
      </c>
      <c r="AH1646" s="35">
        <f t="shared" si="606"/>
        <v>5.7881541748284331</v>
      </c>
      <c r="AI1646" s="36">
        <f t="shared" si="582"/>
        <v>10.590821233752557</v>
      </c>
      <c r="AJ1646" s="23"/>
      <c r="AK1646" s="173">
        <v>811</v>
      </c>
      <c r="AL1646" s="44"/>
      <c r="AM1646" s="44"/>
      <c r="AN1646" s="44"/>
      <c r="AO1646" s="44"/>
      <c r="AP1646" s="44"/>
      <c r="AQ1646" s="44"/>
      <c r="AR1646" s="44"/>
    </row>
    <row r="1647" spans="1:44" ht="16.8">
      <c r="A1647" s="45"/>
      <c r="B1647" s="45">
        <v>633</v>
      </c>
      <c r="C1647" s="45" t="s">
        <v>3249</v>
      </c>
      <c r="D1647" s="46" t="s">
        <v>3250</v>
      </c>
      <c r="E1647" s="47"/>
      <c r="F1647" s="48"/>
      <c r="G1647" s="48">
        <v>2021</v>
      </c>
      <c r="H1647" s="49"/>
      <c r="I1647" s="49"/>
      <c r="J1647" s="49"/>
      <c r="K1647" s="49"/>
      <c r="L1647" s="49"/>
      <c r="M1647" s="49">
        <f t="shared" ref="M1647:M1649" si="618">I1647-J1647</f>
        <v>0</v>
      </c>
      <c r="N1647" s="49"/>
      <c r="O1647" s="49">
        <f t="shared" si="572"/>
        <v>0</v>
      </c>
      <c r="P1647" s="49"/>
      <c r="Q1647" s="49"/>
      <c r="R1647" s="49">
        <f t="shared" si="573"/>
        <v>0</v>
      </c>
      <c r="S1647" s="50" t="e">
        <f t="shared" si="574"/>
        <v>#DIV/0!</v>
      </c>
      <c r="T1647" s="51" t="e">
        <f t="shared" si="575"/>
        <v>#DIV/0!</v>
      </c>
      <c r="U1647" s="50" t="e">
        <f t="shared" si="576"/>
        <v>#NUM!</v>
      </c>
      <c r="V1647" s="50" t="e">
        <f t="shared" si="577"/>
        <v>#DIV/0!</v>
      </c>
      <c r="W1647" s="52"/>
      <c r="X1647" s="52"/>
      <c r="Y1647" s="52"/>
      <c r="Z1647" s="55">
        <f t="shared" si="617"/>
        <v>0</v>
      </c>
      <c r="AA1647" s="48">
        <f t="shared" si="548"/>
        <v>2021</v>
      </c>
      <c r="AB1647" s="49"/>
      <c r="AC1647" s="49"/>
      <c r="AD1647" s="50" t="e">
        <f t="shared" si="602"/>
        <v>#DIV/0!</v>
      </c>
      <c r="AE1647" s="56" t="e">
        <f t="shared" si="603"/>
        <v>#DIV/0!</v>
      </c>
      <c r="AF1647" s="50" t="e">
        <f t="shared" si="604"/>
        <v>#DIV/0!</v>
      </c>
      <c r="AG1647" s="50" t="e">
        <f t="shared" si="605"/>
        <v>#DIV/0!</v>
      </c>
      <c r="AH1647" s="57" t="e">
        <f t="shared" si="606"/>
        <v>#DIV/0!</v>
      </c>
      <c r="AI1647" s="58" t="e">
        <f t="shared" si="582"/>
        <v>#DIV/0!</v>
      </c>
      <c r="AJ1647" s="49"/>
      <c r="AK1647" s="49">
        <v>812</v>
      </c>
      <c r="AL1647" s="59"/>
      <c r="AM1647" s="59"/>
      <c r="AN1647" s="59"/>
      <c r="AO1647" s="59"/>
      <c r="AP1647" s="59"/>
      <c r="AQ1647" s="59"/>
      <c r="AR1647" s="59"/>
    </row>
    <row r="1648" spans="1:44" ht="16.8">
      <c r="A1648" s="45"/>
      <c r="B1648" s="45">
        <v>634</v>
      </c>
      <c r="C1648" s="45" t="s">
        <v>3251</v>
      </c>
      <c r="D1648" s="46" t="s">
        <v>3252</v>
      </c>
      <c r="E1648" s="47"/>
      <c r="F1648" s="48"/>
      <c r="G1648" s="48">
        <v>2021</v>
      </c>
      <c r="H1648" s="49"/>
      <c r="I1648" s="49"/>
      <c r="J1648" s="49"/>
      <c r="K1648" s="49"/>
      <c r="L1648" s="49"/>
      <c r="M1648" s="49">
        <f t="shared" si="618"/>
        <v>0</v>
      </c>
      <c r="N1648" s="49"/>
      <c r="O1648" s="49">
        <f t="shared" si="572"/>
        <v>0</v>
      </c>
      <c r="P1648" s="49"/>
      <c r="Q1648" s="49"/>
      <c r="R1648" s="49">
        <f t="shared" si="573"/>
        <v>0</v>
      </c>
      <c r="S1648" s="50" t="e">
        <f t="shared" si="574"/>
        <v>#DIV/0!</v>
      </c>
      <c r="T1648" s="51" t="e">
        <f t="shared" si="575"/>
        <v>#DIV/0!</v>
      </c>
      <c r="U1648" s="50" t="e">
        <f t="shared" si="576"/>
        <v>#NUM!</v>
      </c>
      <c r="V1648" s="50" t="e">
        <f t="shared" si="577"/>
        <v>#DIV/0!</v>
      </c>
      <c r="W1648" s="52"/>
      <c r="X1648" s="52"/>
      <c r="Y1648" s="52"/>
      <c r="Z1648" s="55">
        <f t="shared" si="617"/>
        <v>0</v>
      </c>
      <c r="AA1648" s="48">
        <f t="shared" si="548"/>
        <v>2021</v>
      </c>
      <c r="AB1648" s="49"/>
      <c r="AC1648" s="49"/>
      <c r="AD1648" s="50" t="e">
        <f t="shared" si="602"/>
        <v>#DIV/0!</v>
      </c>
      <c r="AE1648" s="56" t="e">
        <f t="shared" si="603"/>
        <v>#DIV/0!</v>
      </c>
      <c r="AF1648" s="50" t="e">
        <f t="shared" si="604"/>
        <v>#DIV/0!</v>
      </c>
      <c r="AG1648" s="50" t="e">
        <f t="shared" si="605"/>
        <v>#DIV/0!</v>
      </c>
      <c r="AH1648" s="57" t="e">
        <f t="shared" si="606"/>
        <v>#DIV/0!</v>
      </c>
      <c r="AI1648" s="58" t="e">
        <f t="shared" si="582"/>
        <v>#DIV/0!</v>
      </c>
      <c r="AJ1648" s="49"/>
      <c r="AK1648" s="49">
        <v>813</v>
      </c>
      <c r="AL1648" s="59"/>
      <c r="AM1648" s="59"/>
      <c r="AN1648" s="59"/>
      <c r="AO1648" s="59"/>
      <c r="AP1648" s="59"/>
      <c r="AQ1648" s="59"/>
      <c r="AR1648" s="59"/>
    </row>
    <row r="1649" spans="1:44" ht="16.8">
      <c r="A1649" s="45"/>
      <c r="B1649" s="45">
        <v>635</v>
      </c>
      <c r="C1649" s="45" t="s">
        <v>3253</v>
      </c>
      <c r="D1649" s="46" t="s">
        <v>3254</v>
      </c>
      <c r="E1649" s="47"/>
      <c r="F1649" s="48"/>
      <c r="G1649" s="48">
        <v>2021</v>
      </c>
      <c r="H1649" s="49"/>
      <c r="I1649" s="49"/>
      <c r="J1649" s="49"/>
      <c r="K1649" s="49"/>
      <c r="L1649" s="49"/>
      <c r="M1649" s="49">
        <f t="shared" si="618"/>
        <v>0</v>
      </c>
      <c r="N1649" s="49"/>
      <c r="O1649" s="49">
        <f t="shared" si="572"/>
        <v>0</v>
      </c>
      <c r="P1649" s="49"/>
      <c r="Q1649" s="49"/>
      <c r="R1649" s="49">
        <f t="shared" si="573"/>
        <v>0</v>
      </c>
      <c r="S1649" s="50" t="e">
        <f t="shared" si="574"/>
        <v>#DIV/0!</v>
      </c>
      <c r="T1649" s="51" t="e">
        <f t="shared" si="575"/>
        <v>#DIV/0!</v>
      </c>
      <c r="U1649" s="50" t="e">
        <f t="shared" si="576"/>
        <v>#NUM!</v>
      </c>
      <c r="V1649" s="50" t="e">
        <f t="shared" si="577"/>
        <v>#DIV/0!</v>
      </c>
      <c r="W1649" s="52"/>
      <c r="X1649" s="52"/>
      <c r="Y1649" s="52"/>
      <c r="Z1649" s="55">
        <f t="shared" si="617"/>
        <v>0</v>
      </c>
      <c r="AA1649" s="48">
        <f t="shared" si="548"/>
        <v>2021</v>
      </c>
      <c r="AB1649" s="49"/>
      <c r="AC1649" s="49"/>
      <c r="AD1649" s="50" t="e">
        <f t="shared" si="602"/>
        <v>#DIV/0!</v>
      </c>
      <c r="AE1649" s="56" t="e">
        <f t="shared" si="603"/>
        <v>#DIV/0!</v>
      </c>
      <c r="AF1649" s="50" t="e">
        <f t="shared" si="604"/>
        <v>#DIV/0!</v>
      </c>
      <c r="AG1649" s="50" t="e">
        <f t="shared" si="605"/>
        <v>#DIV/0!</v>
      </c>
      <c r="AH1649" s="57" t="e">
        <f t="shared" si="606"/>
        <v>#DIV/0!</v>
      </c>
      <c r="AI1649" s="58" t="e">
        <f t="shared" si="582"/>
        <v>#DIV/0!</v>
      </c>
      <c r="AJ1649" s="49" t="s">
        <v>3255</v>
      </c>
      <c r="AK1649" s="49">
        <v>814</v>
      </c>
      <c r="AL1649" s="59"/>
      <c r="AM1649" s="59"/>
      <c r="AN1649" s="59"/>
      <c r="AO1649" s="59"/>
      <c r="AP1649" s="59"/>
      <c r="AQ1649" s="59"/>
      <c r="AR1649" s="59"/>
    </row>
    <row r="1650" spans="1:44" ht="16.8">
      <c r="A1650" s="78" t="s">
        <v>3256</v>
      </c>
      <c r="B1650" s="79">
        <v>636</v>
      </c>
      <c r="C1650" s="79" t="s">
        <v>3257</v>
      </c>
      <c r="D1650" s="19" t="s">
        <v>3258</v>
      </c>
      <c r="E1650" s="20" t="s">
        <v>414</v>
      </c>
      <c r="F1650" s="21">
        <v>2002</v>
      </c>
      <c r="G1650" s="40">
        <v>2021</v>
      </c>
      <c r="H1650" s="23">
        <v>12215599008275</v>
      </c>
      <c r="I1650" s="23">
        <v>15397915366296</v>
      </c>
      <c r="J1650" s="23">
        <v>9674711671751</v>
      </c>
      <c r="K1650" s="23">
        <v>7128392417184</v>
      </c>
      <c r="L1650" s="23">
        <v>9598192512183</v>
      </c>
      <c r="M1650" s="23">
        <v>5723203694545</v>
      </c>
      <c r="N1650" s="23">
        <v>28206149855751</v>
      </c>
      <c r="O1650" s="25">
        <f t="shared" si="572"/>
        <v>2617406496092</v>
      </c>
      <c r="P1650" s="23">
        <v>2225261958221</v>
      </c>
      <c r="Q1650" s="23">
        <v>1520672020868</v>
      </c>
      <c r="R1650" s="25">
        <f t="shared" si="573"/>
        <v>26685477834883</v>
      </c>
      <c r="S1650" s="26">
        <f t="shared" si="574"/>
        <v>0.62831308275194608</v>
      </c>
      <c r="T1650" s="27">
        <f t="shared" si="575"/>
        <v>1.2726978535562525</v>
      </c>
      <c r="U1650" s="26">
        <f t="shared" si="576"/>
        <v>30.365253250360418</v>
      </c>
      <c r="V1650" s="26">
        <f t="shared" si="577"/>
        <v>3.9568738931594281</v>
      </c>
      <c r="W1650" s="143"/>
      <c r="X1650" s="143"/>
      <c r="Y1650" s="143"/>
      <c r="Z1650" s="30">
        <f t="shared" si="617"/>
        <v>0</v>
      </c>
      <c r="AA1650" s="31">
        <f t="shared" si="548"/>
        <v>19</v>
      </c>
      <c r="AB1650" s="32">
        <v>1.84E-2</v>
      </c>
      <c r="AC1650" s="32">
        <v>2.58E-2</v>
      </c>
      <c r="AD1650" s="33">
        <f t="shared" si="602"/>
        <v>0.16998447087332072</v>
      </c>
      <c r="AE1650" s="34">
        <f t="shared" si="603"/>
        <v>0.1445170924300444</v>
      </c>
      <c r="AF1650" s="33">
        <f t="shared" si="604"/>
        <v>1.7330578328345654</v>
      </c>
      <c r="AG1650" s="33">
        <f t="shared" si="605"/>
        <v>0</v>
      </c>
      <c r="AH1650" s="35">
        <f t="shared" si="606"/>
        <v>2.9154512106143256</v>
      </c>
      <c r="AI1650" s="36">
        <f t="shared" si="582"/>
        <v>9.0408473534184388</v>
      </c>
      <c r="AJ1650" s="23"/>
      <c r="AK1650" s="173">
        <v>815</v>
      </c>
      <c r="AL1650" s="44"/>
      <c r="AM1650" s="44"/>
      <c r="AN1650" s="44"/>
      <c r="AO1650" s="44"/>
      <c r="AP1650" s="44"/>
      <c r="AQ1650" s="44"/>
      <c r="AR1650" s="44"/>
    </row>
    <row r="1651" spans="1:44" ht="16.8">
      <c r="A1651" s="78" t="s">
        <v>3259</v>
      </c>
      <c r="B1651" s="79"/>
      <c r="C1651" s="79" t="s">
        <v>3257</v>
      </c>
      <c r="D1651" s="19" t="s">
        <v>3258</v>
      </c>
      <c r="E1651" s="20" t="s">
        <v>414</v>
      </c>
      <c r="F1651" s="21">
        <v>2002</v>
      </c>
      <c r="G1651" s="40">
        <v>2022</v>
      </c>
      <c r="H1651" s="23">
        <v>10414909064976</v>
      </c>
      <c r="I1651" s="23">
        <v>13460759829882</v>
      </c>
      <c r="J1651" s="23">
        <v>8141109694811</v>
      </c>
      <c r="K1651" s="23">
        <v>8907910683281</v>
      </c>
      <c r="L1651" s="23">
        <v>8108870806964</v>
      </c>
      <c r="M1651" s="23">
        <v>5319650135071</v>
      </c>
      <c r="N1651" s="23">
        <v>23128328990585</v>
      </c>
      <c r="O1651" s="25">
        <f t="shared" si="572"/>
        <v>2306038258012</v>
      </c>
      <c r="P1651" s="23">
        <v>-124684837727</v>
      </c>
      <c r="Q1651" s="23">
        <v>1388107340985</v>
      </c>
      <c r="R1651" s="25">
        <f t="shared" si="573"/>
        <v>21740221649600</v>
      </c>
      <c r="S1651" s="26">
        <f t="shared" si="574"/>
        <v>0.60480313130156838</v>
      </c>
      <c r="T1651" s="27">
        <f t="shared" si="575"/>
        <v>1.2843846341751488</v>
      </c>
      <c r="U1651" s="26">
        <f t="shared" si="576"/>
        <v>30.230799889508894</v>
      </c>
      <c r="V1651" s="26">
        <f t="shared" si="577"/>
        <v>2.5963808813209019</v>
      </c>
      <c r="W1651" s="143"/>
      <c r="X1651" s="143"/>
      <c r="Y1651" s="143"/>
      <c r="Z1651" s="30">
        <f t="shared" si="617"/>
        <v>0</v>
      </c>
      <c r="AA1651" s="31">
        <f t="shared" si="548"/>
        <v>20</v>
      </c>
      <c r="AB1651" s="32">
        <v>3.15E-2</v>
      </c>
      <c r="AC1651" s="32">
        <v>8.0199999999999994E-2</v>
      </c>
      <c r="AD1651" s="33">
        <f t="shared" si="602"/>
        <v>0.17131560826846839</v>
      </c>
      <c r="AE1651" s="34">
        <f t="shared" si="603"/>
        <v>-9.2628380048953764E-3</v>
      </c>
      <c r="AF1651" s="33">
        <f t="shared" si="604"/>
        <v>1.6150813122256398</v>
      </c>
      <c r="AG1651" s="33">
        <f t="shared" si="605"/>
        <v>0</v>
      </c>
      <c r="AH1651" s="35">
        <f t="shared" si="606"/>
        <v>2.8409307646753108</v>
      </c>
      <c r="AI1651" s="36">
        <f t="shared" si="582"/>
        <v>8.3633098517352309</v>
      </c>
      <c r="AJ1651" s="23"/>
      <c r="AK1651" s="173">
        <v>816</v>
      </c>
      <c r="AL1651" s="44"/>
      <c r="AM1651" s="44"/>
      <c r="AN1651" s="44"/>
      <c r="AO1651" s="44"/>
      <c r="AP1651" s="44"/>
      <c r="AQ1651" s="44"/>
      <c r="AR1651" s="44"/>
    </row>
    <row r="1652" spans="1:44" ht="16.8">
      <c r="A1652" s="78" t="s">
        <v>3260</v>
      </c>
      <c r="B1652" s="79"/>
      <c r="C1652" s="79" t="s">
        <v>3257</v>
      </c>
      <c r="D1652" s="19" t="s">
        <v>3258</v>
      </c>
      <c r="E1652" s="20" t="s">
        <v>414</v>
      </c>
      <c r="F1652" s="21">
        <v>2002</v>
      </c>
      <c r="G1652" s="40">
        <v>2023</v>
      </c>
      <c r="H1652" s="23">
        <v>9322639041423</v>
      </c>
      <c r="I1652" s="23">
        <v>12235401246591</v>
      </c>
      <c r="J1652" s="23">
        <v>6812327289944</v>
      </c>
      <c r="K1652" s="23">
        <v>7476718492378</v>
      </c>
      <c r="L1652" s="23">
        <v>6784014554254</v>
      </c>
      <c r="M1652" s="23">
        <v>5423073956647</v>
      </c>
      <c r="N1652" s="23">
        <v>18621212567707</v>
      </c>
      <c r="O1652" s="25">
        <f t="shared" si="572"/>
        <v>2538624487169</v>
      </c>
      <c r="P1652" s="23">
        <v>117408565158</v>
      </c>
      <c r="Q1652" s="23">
        <v>739414148156</v>
      </c>
      <c r="R1652" s="25">
        <f t="shared" si="573"/>
        <v>17881798419551</v>
      </c>
      <c r="S1652" s="26">
        <f t="shared" si="574"/>
        <v>0.55677187471412393</v>
      </c>
      <c r="T1652" s="27">
        <f t="shared" si="575"/>
        <v>1.3742068161656764</v>
      </c>
      <c r="U1652" s="26">
        <f t="shared" si="576"/>
        <v>30.135354607266315</v>
      </c>
      <c r="V1652" s="26">
        <f t="shared" si="577"/>
        <v>2.4905595398155014</v>
      </c>
      <c r="W1652" s="143"/>
      <c r="X1652" s="143"/>
      <c r="Y1652" s="143"/>
      <c r="Z1652" s="30">
        <f t="shared" si="617"/>
        <v>0</v>
      </c>
      <c r="AA1652" s="31">
        <f t="shared" si="548"/>
        <v>21</v>
      </c>
      <c r="AB1652" s="32">
        <v>3.2500000000000001E-2</v>
      </c>
      <c r="AC1652" s="32">
        <v>5.0500000000000003E-2</v>
      </c>
      <c r="AD1652" s="33">
        <f t="shared" si="602"/>
        <v>0.20748191546855121</v>
      </c>
      <c r="AE1652" s="34">
        <f t="shared" si="603"/>
        <v>9.595808326327844E-3</v>
      </c>
      <c r="AF1652" s="33">
        <f t="shared" si="604"/>
        <v>1.4614803437307122</v>
      </c>
      <c r="AG1652" s="33">
        <f t="shared" si="605"/>
        <v>0</v>
      </c>
      <c r="AH1652" s="35">
        <f t="shared" si="606"/>
        <v>2.733458299220981</v>
      </c>
      <c r="AI1652" s="36">
        <f t="shared" si="582"/>
        <v>7.8187558637514512</v>
      </c>
      <c r="AJ1652" s="23"/>
      <c r="AK1652" s="173">
        <v>817</v>
      </c>
      <c r="AL1652" s="44"/>
      <c r="AM1652" s="44"/>
      <c r="AN1652" s="44"/>
      <c r="AO1652" s="44"/>
      <c r="AP1652" s="44"/>
      <c r="AQ1652" s="44"/>
      <c r="AR1652" s="44"/>
    </row>
    <row r="1653" spans="1:44" ht="16.8">
      <c r="A1653" s="45"/>
      <c r="B1653" s="45">
        <v>637</v>
      </c>
      <c r="C1653" s="45" t="s">
        <v>3261</v>
      </c>
      <c r="D1653" s="46" t="s">
        <v>3262</v>
      </c>
      <c r="E1653" s="47"/>
      <c r="F1653" s="48"/>
      <c r="G1653" s="48">
        <v>2021</v>
      </c>
      <c r="H1653" s="49"/>
      <c r="I1653" s="49"/>
      <c r="J1653" s="49"/>
      <c r="K1653" s="49"/>
      <c r="L1653" s="49"/>
      <c r="M1653" s="49">
        <f>I1653-J1653</f>
        <v>0</v>
      </c>
      <c r="N1653" s="49"/>
      <c r="O1653" s="49">
        <f t="shared" si="572"/>
        <v>0</v>
      </c>
      <c r="P1653" s="49"/>
      <c r="Q1653" s="49"/>
      <c r="R1653" s="49">
        <f t="shared" si="573"/>
        <v>0</v>
      </c>
      <c r="S1653" s="50" t="e">
        <f t="shared" si="574"/>
        <v>#DIV/0!</v>
      </c>
      <c r="T1653" s="51" t="e">
        <f t="shared" si="575"/>
        <v>#DIV/0!</v>
      </c>
      <c r="U1653" s="50" t="e">
        <f t="shared" si="576"/>
        <v>#NUM!</v>
      </c>
      <c r="V1653" s="50" t="e">
        <f t="shared" si="577"/>
        <v>#DIV/0!</v>
      </c>
      <c r="W1653" s="52"/>
      <c r="X1653" s="52"/>
      <c r="Y1653" s="52"/>
      <c r="Z1653" s="55">
        <f t="shared" si="617"/>
        <v>0</v>
      </c>
      <c r="AA1653" s="48">
        <f t="shared" si="548"/>
        <v>2021</v>
      </c>
      <c r="AB1653" s="49"/>
      <c r="AC1653" s="49"/>
      <c r="AD1653" s="50" t="e">
        <f t="shared" si="602"/>
        <v>#DIV/0!</v>
      </c>
      <c r="AE1653" s="56" t="e">
        <f t="shared" si="603"/>
        <v>#DIV/0!</v>
      </c>
      <c r="AF1653" s="50" t="e">
        <f t="shared" si="604"/>
        <v>#DIV/0!</v>
      </c>
      <c r="AG1653" s="50" t="e">
        <f t="shared" si="605"/>
        <v>#DIV/0!</v>
      </c>
      <c r="AH1653" s="57" t="e">
        <f t="shared" si="606"/>
        <v>#DIV/0!</v>
      </c>
      <c r="AI1653" s="58" t="e">
        <f t="shared" si="582"/>
        <v>#DIV/0!</v>
      </c>
      <c r="AJ1653" s="49"/>
      <c r="AK1653" s="49">
        <v>818</v>
      </c>
      <c r="AL1653" s="59"/>
      <c r="AM1653" s="59"/>
      <c r="AN1653" s="59"/>
      <c r="AO1653" s="59"/>
      <c r="AP1653" s="59"/>
      <c r="AQ1653" s="59"/>
      <c r="AR1653" s="59"/>
    </row>
    <row r="1654" spans="1:44" ht="16.8">
      <c r="A1654" s="259" t="s">
        <v>3263</v>
      </c>
      <c r="B1654" s="79">
        <v>638</v>
      </c>
      <c r="C1654" s="79" t="s">
        <v>3264</v>
      </c>
      <c r="D1654" s="19" t="s">
        <v>3265</v>
      </c>
      <c r="E1654" s="20" t="s">
        <v>414</v>
      </c>
      <c r="F1654" s="21">
        <v>1975</v>
      </c>
      <c r="G1654" s="40">
        <v>2021</v>
      </c>
      <c r="H1654" s="23">
        <v>191283257000</v>
      </c>
      <c r="I1654" s="23">
        <v>354494400000</v>
      </c>
      <c r="J1654" s="23">
        <v>52936484000</v>
      </c>
      <c r="K1654" s="23">
        <v>73865588871</v>
      </c>
      <c r="L1654" s="23">
        <v>49699114000</v>
      </c>
      <c r="M1654" s="23">
        <v>301557916000</v>
      </c>
      <c r="N1654" s="23">
        <v>159041506887</v>
      </c>
      <c r="O1654" s="25">
        <f t="shared" si="572"/>
        <v>141584143000</v>
      </c>
      <c r="P1654" s="23">
        <v>38622174326</v>
      </c>
      <c r="Q1654" s="23">
        <v>10900070537</v>
      </c>
      <c r="R1654" s="25">
        <f t="shared" si="573"/>
        <v>148141436350</v>
      </c>
      <c r="S1654" s="26">
        <f t="shared" si="574"/>
        <v>0.14932953524794751</v>
      </c>
      <c r="T1654" s="27">
        <f t="shared" si="575"/>
        <v>3.848826298995994</v>
      </c>
      <c r="U1654" s="26">
        <f t="shared" si="576"/>
        <v>26.593958385896784</v>
      </c>
      <c r="V1654" s="26">
        <f t="shared" si="577"/>
        <v>2.1531204085403357</v>
      </c>
      <c r="W1654" s="143"/>
      <c r="X1654" s="143"/>
      <c r="Y1654" s="143"/>
      <c r="Z1654" s="30">
        <f t="shared" si="617"/>
        <v>0</v>
      </c>
      <c r="AA1654" s="31">
        <f t="shared" si="548"/>
        <v>46</v>
      </c>
      <c r="AB1654" s="32">
        <v>1.84E-2</v>
      </c>
      <c r="AC1654" s="32">
        <v>2.58E-2</v>
      </c>
      <c r="AD1654" s="33">
        <f t="shared" si="602"/>
        <v>0.39939740373895893</v>
      </c>
      <c r="AE1654" s="34">
        <f t="shared" si="603"/>
        <v>0.10895002664640119</v>
      </c>
      <c r="AF1654" s="33">
        <f t="shared" si="604"/>
        <v>0.41789499735397795</v>
      </c>
      <c r="AG1654" s="33">
        <f t="shared" si="605"/>
        <v>0</v>
      </c>
      <c r="AH1654" s="35">
        <f t="shared" si="606"/>
        <v>3.0043836475237002</v>
      </c>
      <c r="AI1654" s="36">
        <f t="shared" si="582"/>
        <v>5.01524406058354</v>
      </c>
      <c r="AJ1654" s="23"/>
      <c r="AK1654" s="173">
        <v>819</v>
      </c>
      <c r="AL1654" s="44"/>
      <c r="AM1654" s="44"/>
      <c r="AN1654" s="44"/>
      <c r="AO1654" s="44"/>
      <c r="AP1654" s="44"/>
      <c r="AQ1654" s="44"/>
      <c r="AR1654" s="44"/>
    </row>
    <row r="1655" spans="1:44" ht="16.8">
      <c r="A1655" s="257"/>
      <c r="B1655" s="79"/>
      <c r="C1655" s="79" t="s">
        <v>3264</v>
      </c>
      <c r="D1655" s="19" t="s">
        <v>3265</v>
      </c>
      <c r="E1655" s="20" t="s">
        <v>414</v>
      </c>
      <c r="F1655" s="21">
        <v>1975</v>
      </c>
      <c r="G1655" s="40">
        <v>2022</v>
      </c>
      <c r="H1655" s="23">
        <v>211990094000</v>
      </c>
      <c r="I1655" s="23">
        <v>392325666000</v>
      </c>
      <c r="J1655" s="23">
        <v>52006945000</v>
      </c>
      <c r="K1655" s="23">
        <v>52471714500</v>
      </c>
      <c r="L1655" s="23">
        <v>48297311000</v>
      </c>
      <c r="M1655" s="23">
        <v>340318721000</v>
      </c>
      <c r="N1655" s="23">
        <v>80579832608</v>
      </c>
      <c r="O1655" s="25">
        <f t="shared" si="572"/>
        <v>163692783000</v>
      </c>
      <c r="P1655" s="23">
        <v>41678143342</v>
      </c>
      <c r="Q1655" s="23">
        <v>23932455397</v>
      </c>
      <c r="R1655" s="25">
        <f t="shared" si="573"/>
        <v>56647377211</v>
      </c>
      <c r="S1655" s="26">
        <f t="shared" si="574"/>
        <v>0.13256064924388608</v>
      </c>
      <c r="T1655" s="27">
        <f t="shared" si="575"/>
        <v>4.3892732247557218</v>
      </c>
      <c r="U1655" s="26">
        <f t="shared" si="576"/>
        <v>26.695358112441919</v>
      </c>
      <c r="V1655" s="26">
        <f t="shared" si="577"/>
        <v>1.535681335665142</v>
      </c>
      <c r="W1655" s="143"/>
      <c r="X1655" s="143"/>
      <c r="Y1655" s="143"/>
      <c r="Z1655" s="30">
        <f t="shared" si="617"/>
        <v>0</v>
      </c>
      <c r="AA1655" s="31">
        <f t="shared" si="548"/>
        <v>47</v>
      </c>
      <c r="AB1655" s="32">
        <v>3.15E-2</v>
      </c>
      <c r="AC1655" s="32">
        <v>8.0199999999999994E-2</v>
      </c>
      <c r="AD1655" s="33">
        <f t="shared" si="602"/>
        <v>0.41723699769364564</v>
      </c>
      <c r="AE1655" s="34">
        <f t="shared" si="603"/>
        <v>0.10623353747649025</v>
      </c>
      <c r="AF1655" s="33">
        <f t="shared" si="604"/>
        <v>0.14438866003479875</v>
      </c>
      <c r="AG1655" s="33">
        <f t="shared" si="605"/>
        <v>0</v>
      </c>
      <c r="AH1655" s="35">
        <f t="shared" si="606"/>
        <v>1.5494052305514197</v>
      </c>
      <c r="AI1655" s="36">
        <f t="shared" si="582"/>
        <v>2.6752991583657169</v>
      </c>
      <c r="AJ1655" s="23"/>
      <c r="AK1655" s="173">
        <v>820</v>
      </c>
      <c r="AL1655" s="44"/>
      <c r="AM1655" s="44"/>
      <c r="AN1655" s="44"/>
      <c r="AO1655" s="44"/>
      <c r="AP1655" s="44"/>
      <c r="AQ1655" s="44"/>
      <c r="AR1655" s="44"/>
    </row>
    <row r="1656" spans="1:44" ht="16.8">
      <c r="A1656" s="257"/>
      <c r="B1656" s="79"/>
      <c r="C1656" s="79" t="s">
        <v>3264</v>
      </c>
      <c r="D1656" s="19" t="s">
        <v>3265</v>
      </c>
      <c r="E1656" s="20" t="s">
        <v>414</v>
      </c>
      <c r="F1656" s="21">
        <v>1975</v>
      </c>
      <c r="G1656" s="40">
        <v>2023</v>
      </c>
      <c r="H1656" s="23">
        <v>229379470000</v>
      </c>
      <c r="I1656" s="23">
        <v>431434399000</v>
      </c>
      <c r="J1656" s="23">
        <v>57069357000</v>
      </c>
      <c r="K1656" s="23">
        <v>54538151000</v>
      </c>
      <c r="L1656" s="23">
        <v>53166275000</v>
      </c>
      <c r="M1656" s="23">
        <v>374365042000</v>
      </c>
      <c r="N1656" s="23">
        <v>175941033105</v>
      </c>
      <c r="O1656" s="25">
        <f t="shared" si="572"/>
        <v>176213195000</v>
      </c>
      <c r="P1656" s="23">
        <v>37271844865</v>
      </c>
      <c r="Q1656" s="23">
        <v>54683724460</v>
      </c>
      <c r="R1656" s="25">
        <f t="shared" si="573"/>
        <v>121257308645</v>
      </c>
      <c r="S1656" s="26">
        <f t="shared" si="574"/>
        <v>0.13227817979344758</v>
      </c>
      <c r="T1656" s="27">
        <f t="shared" si="575"/>
        <v>4.3143791811632468</v>
      </c>
      <c r="U1656" s="26">
        <f t="shared" si="576"/>
        <v>26.790381305784681</v>
      </c>
      <c r="V1656" s="26">
        <f t="shared" si="577"/>
        <v>3.2260175653002978</v>
      </c>
      <c r="W1656" s="143"/>
      <c r="X1656" s="143"/>
      <c r="Y1656" s="143"/>
      <c r="Z1656" s="30">
        <f t="shared" si="617"/>
        <v>0</v>
      </c>
      <c r="AA1656" s="31">
        <f t="shared" si="548"/>
        <v>48</v>
      </c>
      <c r="AB1656" s="32">
        <v>3.2500000000000001E-2</v>
      </c>
      <c r="AC1656" s="32">
        <v>5.0500000000000003E-2</v>
      </c>
      <c r="AD1656" s="33">
        <f t="shared" si="602"/>
        <v>0.40843566347151655</v>
      </c>
      <c r="AE1656" s="34">
        <f t="shared" si="603"/>
        <v>8.6390526465646988E-2</v>
      </c>
      <c r="AF1656" s="33">
        <f t="shared" si="604"/>
        <v>0.28105619052643044</v>
      </c>
      <c r="AG1656" s="33">
        <f t="shared" si="605"/>
        <v>0</v>
      </c>
      <c r="AH1656" s="35">
        <f t="shared" si="606"/>
        <v>3.0829335102724218</v>
      </c>
      <c r="AI1656" s="36">
        <f t="shared" si="582"/>
        <v>4.6214884722273677</v>
      </c>
      <c r="AJ1656" s="23"/>
      <c r="AK1656" s="173">
        <v>821</v>
      </c>
      <c r="AL1656" s="44"/>
      <c r="AM1656" s="44"/>
      <c r="AN1656" s="44"/>
      <c r="AO1656" s="44"/>
      <c r="AP1656" s="44"/>
      <c r="AQ1656" s="44"/>
      <c r="AR1656" s="44"/>
    </row>
    <row r="1657" spans="1:44" ht="16.8">
      <c r="A1657" s="259" t="s">
        <v>3266</v>
      </c>
      <c r="B1657" s="79">
        <v>639</v>
      </c>
      <c r="C1657" s="79" t="s">
        <v>3267</v>
      </c>
      <c r="D1657" s="19" t="s">
        <v>3268</v>
      </c>
      <c r="E1657" s="20" t="s">
        <v>414</v>
      </c>
      <c r="F1657" s="21">
        <v>2003</v>
      </c>
      <c r="G1657" s="40">
        <v>2021</v>
      </c>
      <c r="H1657" s="23">
        <v>1043930000000</v>
      </c>
      <c r="I1657" s="23">
        <v>1931959000000</v>
      </c>
      <c r="J1657" s="23">
        <v>627326000000</v>
      </c>
      <c r="K1657" s="23">
        <v>613717294126</v>
      </c>
      <c r="L1657" s="23">
        <v>595378000000</v>
      </c>
      <c r="M1657" s="23">
        <v>1304633000000</v>
      </c>
      <c r="N1657" s="23">
        <v>2082592650797</v>
      </c>
      <c r="O1657" s="25">
        <f t="shared" si="572"/>
        <v>448552000000</v>
      </c>
      <c r="P1657" s="23">
        <v>225630794419</v>
      </c>
      <c r="Q1657" s="23">
        <v>346759900148</v>
      </c>
      <c r="R1657" s="25">
        <f t="shared" si="573"/>
        <v>1735832750649</v>
      </c>
      <c r="S1657" s="26">
        <f t="shared" si="574"/>
        <v>0.3247097893899405</v>
      </c>
      <c r="T1657" s="27">
        <f t="shared" si="575"/>
        <v>1.7533902831478489</v>
      </c>
      <c r="U1657" s="26">
        <f t="shared" si="576"/>
        <v>28.289555629961605</v>
      </c>
      <c r="V1657" s="26">
        <f t="shared" si="577"/>
        <v>3.3934071448366758</v>
      </c>
      <c r="W1657" s="143"/>
      <c r="X1657" s="143"/>
      <c r="Y1657" s="143"/>
      <c r="Z1657" s="30">
        <f t="shared" si="617"/>
        <v>0</v>
      </c>
      <c r="AA1657" s="31">
        <f t="shared" si="548"/>
        <v>18</v>
      </c>
      <c r="AB1657" s="32">
        <v>1.84E-2</v>
      </c>
      <c r="AC1657" s="32">
        <v>2.58E-2</v>
      </c>
      <c r="AD1657" s="33">
        <f t="shared" si="602"/>
        <v>0.23217469935956198</v>
      </c>
      <c r="AE1657" s="34">
        <f t="shared" si="603"/>
        <v>0.1167886039087786</v>
      </c>
      <c r="AF1657" s="33">
        <f t="shared" si="604"/>
        <v>0.89848322384118917</v>
      </c>
      <c r="AG1657" s="33">
        <f t="shared" si="605"/>
        <v>0</v>
      </c>
      <c r="AH1657" s="35">
        <f t="shared" si="606"/>
        <v>3.3197932985353709</v>
      </c>
      <c r="AI1657" s="36">
        <f t="shared" si="582"/>
        <v>6.7269016219150597</v>
      </c>
      <c r="AJ1657" s="23"/>
      <c r="AK1657" s="173">
        <v>822</v>
      </c>
      <c r="AL1657" s="44"/>
      <c r="AM1657" s="44"/>
      <c r="AN1657" s="44"/>
      <c r="AO1657" s="44"/>
      <c r="AP1657" s="44"/>
      <c r="AQ1657" s="44"/>
      <c r="AR1657" s="44"/>
    </row>
    <row r="1658" spans="1:44" ht="16.8">
      <c r="A1658" s="257"/>
      <c r="B1658" s="79"/>
      <c r="C1658" s="79" t="s">
        <v>3267</v>
      </c>
      <c r="D1658" s="19" t="s">
        <v>3268</v>
      </c>
      <c r="E1658" s="20" t="s">
        <v>414</v>
      </c>
      <c r="F1658" s="21">
        <v>2003</v>
      </c>
      <c r="G1658" s="40">
        <v>2022</v>
      </c>
      <c r="H1658" s="23">
        <v>1175488000000</v>
      </c>
      <c r="I1658" s="23">
        <v>2025729000000</v>
      </c>
      <c r="J1658" s="23">
        <v>674471000000</v>
      </c>
      <c r="K1658" s="23">
        <v>650898500000</v>
      </c>
      <c r="L1658" s="23">
        <v>642834000000</v>
      </c>
      <c r="M1658" s="23">
        <v>1351258000000</v>
      </c>
      <c r="N1658" s="23">
        <v>2030667641187</v>
      </c>
      <c r="O1658" s="25">
        <f t="shared" si="572"/>
        <v>532654000000</v>
      </c>
      <c r="P1658" s="23">
        <v>226885940836</v>
      </c>
      <c r="Q1658" s="23">
        <v>357115146951</v>
      </c>
      <c r="R1658" s="25">
        <f t="shared" si="573"/>
        <v>1673552494236</v>
      </c>
      <c r="S1658" s="26">
        <f t="shared" si="574"/>
        <v>0.33295223596048634</v>
      </c>
      <c r="T1658" s="27">
        <f t="shared" si="575"/>
        <v>1.8286027185867579</v>
      </c>
      <c r="U1658" s="26">
        <f t="shared" si="576"/>
        <v>28.336950751702599</v>
      </c>
      <c r="V1658" s="26">
        <f t="shared" si="577"/>
        <v>3.1197915515045742</v>
      </c>
      <c r="W1658" s="143"/>
      <c r="X1658" s="143"/>
      <c r="Y1658" s="143"/>
      <c r="Z1658" s="30">
        <f t="shared" si="617"/>
        <v>0</v>
      </c>
      <c r="AA1658" s="31">
        <f t="shared" si="548"/>
        <v>19</v>
      </c>
      <c r="AB1658" s="32">
        <v>3.15E-2</v>
      </c>
      <c r="AC1658" s="32">
        <v>8.0199999999999994E-2</v>
      </c>
      <c r="AD1658" s="33">
        <f t="shared" si="602"/>
        <v>0.26294435237882263</v>
      </c>
      <c r="AE1658" s="34">
        <f t="shared" si="603"/>
        <v>0.11200211915611614</v>
      </c>
      <c r="AF1658" s="33">
        <f t="shared" si="604"/>
        <v>0.82614826279132103</v>
      </c>
      <c r="AG1658" s="33">
        <f t="shared" si="605"/>
        <v>0</v>
      </c>
      <c r="AH1658" s="35">
        <f t="shared" si="606"/>
        <v>3.0107560461265197</v>
      </c>
      <c r="AI1658" s="36">
        <f t="shared" si="582"/>
        <v>6.2093815030110289</v>
      </c>
      <c r="AJ1658" s="23"/>
      <c r="AK1658" s="173">
        <v>823</v>
      </c>
      <c r="AL1658" s="44"/>
      <c r="AM1658" s="44"/>
      <c r="AN1658" s="44"/>
      <c r="AO1658" s="44"/>
      <c r="AP1658" s="44"/>
      <c r="AQ1658" s="44"/>
      <c r="AR1658" s="44"/>
    </row>
    <row r="1659" spans="1:44" ht="16.8">
      <c r="A1659" s="257"/>
      <c r="B1659" s="79"/>
      <c r="C1659" s="79" t="s">
        <v>3267</v>
      </c>
      <c r="D1659" s="19" t="s">
        <v>3268</v>
      </c>
      <c r="E1659" s="20" t="s">
        <v>414</v>
      </c>
      <c r="F1659" s="21">
        <v>2003</v>
      </c>
      <c r="G1659" s="40">
        <v>2023</v>
      </c>
      <c r="H1659" s="23">
        <v>1366016000000</v>
      </c>
      <c r="I1659" s="23">
        <v>2221165000000</v>
      </c>
      <c r="J1659" s="23">
        <v>775030000000</v>
      </c>
      <c r="K1659" s="23">
        <v>724750500000</v>
      </c>
      <c r="L1659" s="23">
        <v>742914000000</v>
      </c>
      <c r="M1659" s="23">
        <v>1446135000000</v>
      </c>
      <c r="N1659" s="23">
        <v>2206476770842</v>
      </c>
      <c r="O1659" s="25">
        <f t="shared" si="572"/>
        <v>623102000000</v>
      </c>
      <c r="P1659" s="23">
        <v>230128510222</v>
      </c>
      <c r="Q1659" s="23">
        <v>355240130048</v>
      </c>
      <c r="R1659" s="25">
        <f t="shared" si="573"/>
        <v>1851236640794</v>
      </c>
      <c r="S1659" s="26">
        <f t="shared" si="574"/>
        <v>0.34892950321115268</v>
      </c>
      <c r="T1659" s="27">
        <f t="shared" si="575"/>
        <v>1.838726958975063</v>
      </c>
      <c r="U1659" s="26">
        <f t="shared" si="576"/>
        <v>28.429052948941383</v>
      </c>
      <c r="V1659" s="26">
        <f t="shared" si="577"/>
        <v>3.0444639511694023</v>
      </c>
      <c r="W1659" s="143"/>
      <c r="X1659" s="143"/>
      <c r="Y1659" s="143"/>
      <c r="Z1659" s="30">
        <f t="shared" si="617"/>
        <v>0</v>
      </c>
      <c r="AA1659" s="31">
        <f t="shared" si="548"/>
        <v>20</v>
      </c>
      <c r="AB1659" s="32">
        <v>3.2500000000000001E-2</v>
      </c>
      <c r="AC1659" s="32">
        <v>5.0500000000000003E-2</v>
      </c>
      <c r="AD1659" s="33">
        <f t="shared" si="602"/>
        <v>0.28052936184389721</v>
      </c>
      <c r="AE1659" s="34">
        <f t="shared" si="603"/>
        <v>0.10360712068756711</v>
      </c>
      <c r="AF1659" s="33">
        <f t="shared" si="604"/>
        <v>0.83345300362377406</v>
      </c>
      <c r="AG1659" s="33">
        <f t="shared" si="605"/>
        <v>0</v>
      </c>
      <c r="AH1659" s="35">
        <f t="shared" si="606"/>
        <v>2.8469565963149814</v>
      </c>
      <c r="AI1659" s="36">
        <f t="shared" si="582"/>
        <v>6.0790367114487065</v>
      </c>
      <c r="AJ1659" s="23"/>
      <c r="AK1659" s="173">
        <v>824</v>
      </c>
      <c r="AL1659" s="44"/>
      <c r="AM1659" s="44"/>
      <c r="AN1659" s="44"/>
      <c r="AO1659" s="44"/>
      <c r="AP1659" s="44"/>
      <c r="AQ1659" s="44"/>
      <c r="AR1659" s="44"/>
    </row>
    <row r="1660" spans="1:44" ht="16.8">
      <c r="A1660" s="259" t="s">
        <v>3269</v>
      </c>
      <c r="B1660" s="79">
        <v>640</v>
      </c>
      <c r="C1660" s="79" t="s">
        <v>3270</v>
      </c>
      <c r="D1660" s="19" t="s">
        <v>3271</v>
      </c>
      <c r="E1660" s="20" t="s">
        <v>414</v>
      </c>
      <c r="F1660" s="21">
        <v>2007</v>
      </c>
      <c r="G1660" s="40">
        <v>2021</v>
      </c>
      <c r="H1660" s="23">
        <v>2581043453000</v>
      </c>
      <c r="I1660" s="23">
        <v>6624064539000</v>
      </c>
      <c r="J1660" s="23">
        <v>2390490807000</v>
      </c>
      <c r="K1660" s="23">
        <v>2237137693716</v>
      </c>
      <c r="L1660" s="23">
        <v>2390490807000</v>
      </c>
      <c r="M1660" s="23">
        <v>4233573732000</v>
      </c>
      <c r="N1660" s="23">
        <v>6149583588676</v>
      </c>
      <c r="O1660" s="25">
        <f t="shared" si="572"/>
        <v>190552646000</v>
      </c>
      <c r="P1660" s="23">
        <v>533789073040</v>
      </c>
      <c r="Q1660" s="23">
        <v>82922197505</v>
      </c>
      <c r="R1660" s="25">
        <f t="shared" si="573"/>
        <v>6066661391171</v>
      </c>
      <c r="S1660" s="26">
        <f t="shared" si="574"/>
        <v>0.36087975787761267</v>
      </c>
      <c r="T1660" s="27">
        <f t="shared" si="575"/>
        <v>1.0797127708845442</v>
      </c>
      <c r="U1660" s="26">
        <f t="shared" si="576"/>
        <v>29.521730276170565</v>
      </c>
      <c r="V1660" s="26">
        <f t="shared" si="577"/>
        <v>2.74886235476245</v>
      </c>
      <c r="W1660" s="143"/>
      <c r="X1660" s="143"/>
      <c r="Y1660" s="143"/>
      <c r="Z1660" s="30">
        <f t="shared" si="617"/>
        <v>0</v>
      </c>
      <c r="AA1660" s="31">
        <f t="shared" si="548"/>
        <v>14</v>
      </c>
      <c r="AB1660" s="32">
        <v>1.84E-2</v>
      </c>
      <c r="AC1660" s="32">
        <v>2.58E-2</v>
      </c>
      <c r="AD1660" s="33">
        <f t="shared" si="602"/>
        <v>2.8766725456567898E-2</v>
      </c>
      <c r="AE1660" s="34">
        <f t="shared" si="603"/>
        <v>8.0583314050950247E-2</v>
      </c>
      <c r="AF1660" s="33">
        <f t="shared" si="604"/>
        <v>0.91585179393298177</v>
      </c>
      <c r="AG1660" s="33">
        <f t="shared" si="605"/>
        <v>0</v>
      </c>
      <c r="AH1660" s="35">
        <f t="shared" si="606"/>
        <v>2.5725192377516639</v>
      </c>
      <c r="AI1660" s="36">
        <f t="shared" si="582"/>
        <v>5.7421668679497149</v>
      </c>
      <c r="AJ1660" s="23"/>
      <c r="AK1660" s="173">
        <v>825</v>
      </c>
      <c r="AL1660" s="44"/>
      <c r="AM1660" s="44"/>
      <c r="AN1660" s="44"/>
      <c r="AO1660" s="44"/>
      <c r="AP1660" s="44"/>
      <c r="AQ1660" s="44"/>
      <c r="AR1660" s="44"/>
    </row>
    <row r="1661" spans="1:44" ht="16.8">
      <c r="A1661" s="257"/>
      <c r="B1661" s="79"/>
      <c r="C1661" s="79" t="s">
        <v>3270</v>
      </c>
      <c r="D1661" s="19" t="s">
        <v>3272</v>
      </c>
      <c r="E1661" s="20" t="s">
        <v>414</v>
      </c>
      <c r="F1661" s="21">
        <v>2007</v>
      </c>
      <c r="G1661" s="40">
        <v>2022</v>
      </c>
      <c r="H1661" s="23">
        <v>4556819822000</v>
      </c>
      <c r="I1661" s="23">
        <v>7444781926000</v>
      </c>
      <c r="J1661" s="23">
        <v>2830940225000</v>
      </c>
      <c r="K1661" s="23">
        <v>2610715516000</v>
      </c>
      <c r="L1661" s="23">
        <v>2830940225000</v>
      </c>
      <c r="M1661" s="23">
        <v>4613841701000</v>
      </c>
      <c r="N1661" s="23">
        <v>8787691488678</v>
      </c>
      <c r="O1661" s="25">
        <f t="shared" si="572"/>
        <v>1725879597000</v>
      </c>
      <c r="P1661" s="23">
        <v>883417416165</v>
      </c>
      <c r="Q1661" s="23">
        <v>131432911182</v>
      </c>
      <c r="R1661" s="25">
        <f t="shared" si="573"/>
        <v>8656258577496</v>
      </c>
      <c r="S1661" s="26">
        <f t="shared" si="574"/>
        <v>0.38025831423124484</v>
      </c>
      <c r="T1661" s="27">
        <f t="shared" si="575"/>
        <v>1.609648901011324</v>
      </c>
      <c r="U1661" s="26">
        <f t="shared" si="576"/>
        <v>29.638534490299055</v>
      </c>
      <c r="V1661" s="26">
        <f t="shared" si="577"/>
        <v>3.3660088335254681</v>
      </c>
      <c r="W1661" s="143"/>
      <c r="X1661" s="143"/>
      <c r="Y1661" s="143"/>
      <c r="Z1661" s="30">
        <f t="shared" si="617"/>
        <v>0</v>
      </c>
      <c r="AA1661" s="31">
        <f t="shared" si="548"/>
        <v>15</v>
      </c>
      <c r="AB1661" s="32">
        <v>3.15E-2</v>
      </c>
      <c r="AC1661" s="32">
        <v>8.0199999999999994E-2</v>
      </c>
      <c r="AD1661" s="33">
        <f t="shared" si="602"/>
        <v>0.23182406337149708</v>
      </c>
      <c r="AE1661" s="34">
        <f t="shared" si="603"/>
        <v>0.1186626317528216</v>
      </c>
      <c r="AF1661" s="33">
        <f t="shared" si="604"/>
        <v>1.1627282925863904</v>
      </c>
      <c r="AG1661" s="33">
        <f t="shared" si="605"/>
        <v>0</v>
      </c>
      <c r="AH1661" s="35">
        <f t="shared" si="606"/>
        <v>3.1041600282033506</v>
      </c>
      <c r="AI1661" s="36">
        <f t="shared" si="582"/>
        <v>7.3854799542381855</v>
      </c>
      <c r="AJ1661" s="23"/>
      <c r="AK1661" s="173">
        <v>826</v>
      </c>
      <c r="AL1661" s="44"/>
      <c r="AM1661" s="44"/>
      <c r="AN1661" s="44"/>
      <c r="AO1661" s="44"/>
      <c r="AP1661" s="44"/>
      <c r="AQ1661" s="44"/>
      <c r="AR1661" s="44"/>
    </row>
    <row r="1662" spans="1:44" ht="16.8">
      <c r="A1662" s="257"/>
      <c r="B1662" s="79"/>
      <c r="C1662" s="79" t="s">
        <v>3270</v>
      </c>
      <c r="D1662" s="19" t="s">
        <v>3273</v>
      </c>
      <c r="E1662" s="20" t="s">
        <v>414</v>
      </c>
      <c r="F1662" s="21">
        <v>2007</v>
      </c>
      <c r="G1662" s="40">
        <v>2023</v>
      </c>
      <c r="H1662" s="23">
        <v>4770230875000</v>
      </c>
      <c r="I1662" s="23">
        <v>8451154114000</v>
      </c>
      <c r="J1662" s="23">
        <v>4115304744000</v>
      </c>
      <c r="K1662" s="23">
        <v>3473122484500</v>
      </c>
      <c r="L1662" s="23">
        <v>4115304744000</v>
      </c>
      <c r="M1662" s="23">
        <v>4335849370000</v>
      </c>
      <c r="N1662" s="23">
        <v>6385884555364</v>
      </c>
      <c r="O1662" s="25">
        <f t="shared" si="572"/>
        <v>654926131000</v>
      </c>
      <c r="P1662" s="23">
        <v>473076742026</v>
      </c>
      <c r="Q1662" s="23">
        <v>69002598374</v>
      </c>
      <c r="R1662" s="25">
        <f t="shared" si="573"/>
        <v>6316881956990</v>
      </c>
      <c r="S1662" s="26">
        <f t="shared" si="574"/>
        <v>0.48695180427282408</v>
      </c>
      <c r="T1662" s="27">
        <f t="shared" si="575"/>
        <v>1.1591440176951329</v>
      </c>
      <c r="U1662" s="26">
        <f t="shared" si="576"/>
        <v>29.765324129509683</v>
      </c>
      <c r="V1662" s="26">
        <f t="shared" si="577"/>
        <v>1.8386580328978317</v>
      </c>
      <c r="W1662" s="143"/>
      <c r="X1662" s="143"/>
      <c r="Y1662" s="143"/>
      <c r="Z1662" s="30">
        <f t="shared" si="617"/>
        <v>0</v>
      </c>
      <c r="AA1662" s="31">
        <f t="shared" si="548"/>
        <v>16</v>
      </c>
      <c r="AB1662" s="32">
        <v>3.2500000000000001E-2</v>
      </c>
      <c r="AC1662" s="32">
        <v>5.0500000000000003E-2</v>
      </c>
      <c r="AD1662" s="33">
        <f t="shared" si="602"/>
        <v>7.7495466555871168E-2</v>
      </c>
      <c r="AE1662" s="34">
        <f t="shared" si="603"/>
        <v>5.597776772787888E-2</v>
      </c>
      <c r="AF1662" s="33">
        <f t="shared" si="604"/>
        <v>0.74745790595932804</v>
      </c>
      <c r="AG1662" s="33">
        <f t="shared" si="605"/>
        <v>0</v>
      </c>
      <c r="AH1662" s="35">
        <f t="shared" si="606"/>
        <v>1.5517403819667164</v>
      </c>
      <c r="AI1662" s="36">
        <f t="shared" si="582"/>
        <v>4.1897149063185744</v>
      </c>
      <c r="AJ1662" s="23"/>
      <c r="AK1662" s="173">
        <v>827</v>
      </c>
      <c r="AL1662" s="44"/>
      <c r="AM1662" s="44"/>
      <c r="AN1662" s="44"/>
      <c r="AO1662" s="44"/>
      <c r="AP1662" s="44"/>
      <c r="AQ1662" s="44"/>
      <c r="AR1662" s="44"/>
    </row>
    <row r="1663" spans="1:44" ht="16.8">
      <c r="A1663" s="259" t="s">
        <v>3274</v>
      </c>
      <c r="B1663" s="79">
        <v>641</v>
      </c>
      <c r="C1663" s="79" t="s">
        <v>3275</v>
      </c>
      <c r="D1663" s="19" t="s">
        <v>3276</v>
      </c>
      <c r="E1663" s="20" t="s">
        <v>414</v>
      </c>
      <c r="F1663" s="21">
        <v>1974</v>
      </c>
      <c r="G1663" s="40">
        <v>2021</v>
      </c>
      <c r="H1663" s="23">
        <v>1606656203000</v>
      </c>
      <c r="I1663" s="23">
        <v>1685279911000</v>
      </c>
      <c r="J1663" s="23">
        <v>427359874000</v>
      </c>
      <c r="K1663" s="23">
        <v>536515770156</v>
      </c>
      <c r="L1663" s="23">
        <v>427359874000</v>
      </c>
      <c r="M1663" s="23">
        <v>1257920037000</v>
      </c>
      <c r="N1663" s="23">
        <v>576723888348</v>
      </c>
      <c r="O1663" s="25">
        <f t="shared" si="572"/>
        <v>1179296329000</v>
      </c>
      <c r="P1663" s="23">
        <v>237956355285</v>
      </c>
      <c r="Q1663" s="23">
        <v>33499049331</v>
      </c>
      <c r="R1663" s="25">
        <f t="shared" si="573"/>
        <v>543224839017</v>
      </c>
      <c r="S1663" s="26">
        <f t="shared" si="574"/>
        <v>0.25358391280319487</v>
      </c>
      <c r="T1663" s="27">
        <f t="shared" si="575"/>
        <v>3.7594924108387398</v>
      </c>
      <c r="U1663" s="26">
        <f t="shared" si="576"/>
        <v>28.152952785224425</v>
      </c>
      <c r="V1663" s="26">
        <f t="shared" si="577"/>
        <v>1.0749430313675754</v>
      </c>
      <c r="W1663" s="143"/>
      <c r="X1663" s="143"/>
      <c r="Y1663" s="143"/>
      <c r="Z1663" s="30">
        <f t="shared" si="617"/>
        <v>0</v>
      </c>
      <c r="AA1663" s="31">
        <f t="shared" si="548"/>
        <v>47</v>
      </c>
      <c r="AB1663" s="32">
        <v>1.84E-2</v>
      </c>
      <c r="AC1663" s="32">
        <v>2.58E-2</v>
      </c>
      <c r="AD1663" s="33">
        <f t="shared" si="602"/>
        <v>0.69976288289120891</v>
      </c>
      <c r="AE1663" s="34">
        <f t="shared" si="603"/>
        <v>0.14119693335916114</v>
      </c>
      <c r="AF1663" s="33">
        <f t="shared" si="604"/>
        <v>0.32233508242240005</v>
      </c>
      <c r="AG1663" s="33">
        <f t="shared" si="605"/>
        <v>0</v>
      </c>
      <c r="AH1663" s="35">
        <f t="shared" si="606"/>
        <v>1.3495040677309822</v>
      </c>
      <c r="AI1663" s="36">
        <f t="shared" si="582"/>
        <v>3.4506010058971786</v>
      </c>
      <c r="AJ1663" s="23"/>
      <c r="AK1663" s="173">
        <v>828</v>
      </c>
      <c r="AL1663" s="44"/>
      <c r="AM1663" s="44"/>
      <c r="AN1663" s="44"/>
      <c r="AO1663" s="44"/>
      <c r="AP1663" s="44"/>
      <c r="AQ1663" s="44"/>
      <c r="AR1663" s="44"/>
    </row>
    <row r="1664" spans="1:44" ht="16.8">
      <c r="A1664" s="257"/>
      <c r="B1664" s="79"/>
      <c r="C1664" s="79" t="s">
        <v>3275</v>
      </c>
      <c r="D1664" s="19" t="s">
        <v>3276</v>
      </c>
      <c r="E1664" s="20" t="s">
        <v>414</v>
      </c>
      <c r="F1664" s="21">
        <v>1974</v>
      </c>
      <c r="G1664" s="40">
        <v>2022</v>
      </c>
      <c r="H1664" s="23">
        <v>1962652474000</v>
      </c>
      <c r="I1664" s="23">
        <v>2035334743000</v>
      </c>
      <c r="J1664" s="23">
        <v>573154292000</v>
      </c>
      <c r="K1664" s="23">
        <v>500257083000</v>
      </c>
      <c r="L1664" s="23">
        <v>573154292000</v>
      </c>
      <c r="M1664" s="23">
        <v>1462180451000</v>
      </c>
      <c r="N1664" s="23">
        <v>391277326966</v>
      </c>
      <c r="O1664" s="25">
        <f t="shared" si="572"/>
        <v>1389498182000</v>
      </c>
      <c r="P1664" s="23">
        <v>106500409483</v>
      </c>
      <c r="Q1664" s="23">
        <v>34783003626</v>
      </c>
      <c r="R1664" s="25">
        <f t="shared" si="573"/>
        <v>356494323340</v>
      </c>
      <c r="S1664" s="26">
        <f t="shared" si="574"/>
        <v>0.28160197921801994</v>
      </c>
      <c r="T1664" s="27">
        <f t="shared" si="575"/>
        <v>3.4243004046107712</v>
      </c>
      <c r="U1664" s="26">
        <f t="shared" si="576"/>
        <v>28.341681414170331</v>
      </c>
      <c r="V1664" s="26">
        <f t="shared" si="577"/>
        <v>0.78215249771086204</v>
      </c>
      <c r="W1664" s="143"/>
      <c r="X1664" s="143"/>
      <c r="Y1664" s="143"/>
      <c r="Z1664" s="30">
        <f t="shared" si="617"/>
        <v>0</v>
      </c>
      <c r="AA1664" s="31">
        <f t="shared" si="548"/>
        <v>48</v>
      </c>
      <c r="AB1664" s="32">
        <v>3.15E-2</v>
      </c>
      <c r="AC1664" s="32">
        <v>8.0199999999999994E-2</v>
      </c>
      <c r="AD1664" s="33">
        <f t="shared" si="602"/>
        <v>0.68268779215743969</v>
      </c>
      <c r="AE1664" s="34">
        <f t="shared" si="603"/>
        <v>5.232574634186353E-2</v>
      </c>
      <c r="AF1664" s="33">
        <f t="shared" si="604"/>
        <v>0.17515267430385528</v>
      </c>
      <c r="AG1664" s="33">
        <f t="shared" si="605"/>
        <v>0</v>
      </c>
      <c r="AH1664" s="35">
        <f t="shared" si="606"/>
        <v>0.68267364028742195</v>
      </c>
      <c r="AI1664" s="36">
        <f t="shared" si="582"/>
        <v>2.1531588609576811</v>
      </c>
      <c r="AJ1664" s="23"/>
      <c r="AK1664" s="173">
        <v>829</v>
      </c>
      <c r="AL1664" s="44"/>
      <c r="AM1664" s="44"/>
      <c r="AN1664" s="44"/>
      <c r="AO1664" s="44"/>
      <c r="AP1664" s="44"/>
      <c r="AQ1664" s="44"/>
      <c r="AR1664" s="44"/>
    </row>
    <row r="1665" spans="1:44" ht="16.8">
      <c r="A1665" s="257"/>
      <c r="B1665" s="79"/>
      <c r="C1665" s="79" t="s">
        <v>3275</v>
      </c>
      <c r="D1665" s="19" t="s">
        <v>3276</v>
      </c>
      <c r="E1665" s="20" t="s">
        <v>414</v>
      </c>
      <c r="F1665" s="21">
        <v>1974</v>
      </c>
      <c r="G1665" s="40">
        <v>2023</v>
      </c>
      <c r="H1665" s="23">
        <v>1962652474000</v>
      </c>
      <c r="I1665" s="23">
        <v>2035334743000</v>
      </c>
      <c r="J1665" s="23">
        <v>573154292000</v>
      </c>
      <c r="K1665" s="23">
        <v>573154292000</v>
      </c>
      <c r="L1665" s="23">
        <v>573154292000</v>
      </c>
      <c r="M1665" s="23">
        <v>1462180451000</v>
      </c>
      <c r="N1665" s="23">
        <v>914023641213</v>
      </c>
      <c r="O1665" s="25">
        <f t="shared" si="572"/>
        <v>1389498182000</v>
      </c>
      <c r="P1665" s="23">
        <v>364190288722</v>
      </c>
      <c r="Q1665" s="23">
        <v>30308170988</v>
      </c>
      <c r="R1665" s="25">
        <f t="shared" si="573"/>
        <v>883715470225</v>
      </c>
      <c r="S1665" s="26">
        <f t="shared" si="574"/>
        <v>0.28160197921801994</v>
      </c>
      <c r="T1665" s="27">
        <f t="shared" si="575"/>
        <v>3.4243004046107712</v>
      </c>
      <c r="U1665" s="26">
        <f t="shared" si="576"/>
        <v>28.341681414170331</v>
      </c>
      <c r="V1665" s="26">
        <f t="shared" si="577"/>
        <v>1.5947252842224202</v>
      </c>
      <c r="W1665" s="143"/>
      <c r="X1665" s="143"/>
      <c r="Y1665" s="143"/>
      <c r="Z1665" s="30">
        <f t="shared" si="617"/>
        <v>0</v>
      </c>
      <c r="AA1665" s="31">
        <f t="shared" si="548"/>
        <v>49</v>
      </c>
      <c r="AB1665" s="32">
        <v>3.2500000000000001E-2</v>
      </c>
      <c r="AC1665" s="32">
        <v>5.0500000000000003E-2</v>
      </c>
      <c r="AD1665" s="33">
        <f t="shared" si="602"/>
        <v>0.68268779215743969</v>
      </c>
      <c r="AE1665" s="34">
        <f t="shared" si="603"/>
        <v>0.17893385349733598</v>
      </c>
      <c r="AF1665" s="33">
        <f t="shared" si="604"/>
        <v>0.43418679569260415</v>
      </c>
      <c r="AG1665" s="33">
        <f t="shared" si="605"/>
        <v>0</v>
      </c>
      <c r="AH1665" s="35">
        <f t="shared" si="606"/>
        <v>1.5947252842224202</v>
      </c>
      <c r="AI1665" s="36">
        <f t="shared" si="582"/>
        <v>4.0972744554932117</v>
      </c>
      <c r="AJ1665" s="23"/>
      <c r="AK1665" s="173">
        <v>830</v>
      </c>
      <c r="AL1665" s="44"/>
      <c r="AM1665" s="44"/>
      <c r="AN1665" s="44"/>
      <c r="AO1665" s="44"/>
      <c r="AP1665" s="44"/>
      <c r="AQ1665" s="44"/>
      <c r="AR1665" s="44"/>
    </row>
    <row r="1666" spans="1:44" ht="16.8">
      <c r="A1666" s="78" t="s">
        <v>3277</v>
      </c>
      <c r="B1666" s="79">
        <v>642</v>
      </c>
      <c r="C1666" s="79" t="s">
        <v>3278</v>
      </c>
      <c r="D1666" s="19" t="s">
        <v>3279</v>
      </c>
      <c r="E1666" s="20" t="s">
        <v>414</v>
      </c>
      <c r="F1666" s="21">
        <v>1992</v>
      </c>
      <c r="G1666" s="40">
        <v>2021</v>
      </c>
      <c r="H1666" s="23">
        <v>156048716497795</v>
      </c>
      <c r="I1666" s="23">
        <v>201833546986050</v>
      </c>
      <c r="J1666" s="23">
        <v>160660433654081</v>
      </c>
      <c r="K1666" s="23">
        <v>56302099224158</v>
      </c>
      <c r="L1666" s="23">
        <v>49214830460474</v>
      </c>
      <c r="M1666" s="23">
        <v>41173113331969</v>
      </c>
      <c r="N1666" s="23">
        <v>14967335269790</v>
      </c>
      <c r="O1666" s="25">
        <f t="shared" si="572"/>
        <v>106833886037321</v>
      </c>
      <c r="P1666" s="23">
        <v>3454751838912</v>
      </c>
      <c r="Q1666" s="23">
        <v>2616716927295</v>
      </c>
      <c r="R1666" s="25">
        <f t="shared" si="573"/>
        <v>12350618342495</v>
      </c>
      <c r="S1666" s="26">
        <f t="shared" si="574"/>
        <v>0.7960046090117282</v>
      </c>
      <c r="T1666" s="27">
        <f t="shared" si="575"/>
        <v>3.1707661092751849</v>
      </c>
      <c r="U1666" s="26">
        <f t="shared" si="576"/>
        <v>32.938464448813143</v>
      </c>
      <c r="V1666" s="26">
        <f t="shared" si="577"/>
        <v>0.26583973734620259</v>
      </c>
      <c r="W1666" s="143"/>
      <c r="X1666" s="143"/>
      <c r="Y1666" s="143"/>
      <c r="Z1666" s="30">
        <f t="shared" si="617"/>
        <v>0</v>
      </c>
      <c r="AA1666" s="31">
        <f t="shared" si="548"/>
        <v>29</v>
      </c>
      <c r="AB1666" s="32">
        <v>1.84E-2</v>
      </c>
      <c r="AC1666" s="32">
        <v>2.58E-2</v>
      </c>
      <c r="AD1666" s="33">
        <f t="shared" si="602"/>
        <v>0.52931679412394694</v>
      </c>
      <c r="AE1666" s="34">
        <f t="shared" si="603"/>
        <v>1.7116836574005114E-2</v>
      </c>
      <c r="AF1666" s="33">
        <f t="shared" si="604"/>
        <v>6.1192098771115734E-2</v>
      </c>
      <c r="AG1666" s="33">
        <f t="shared" si="605"/>
        <v>0</v>
      </c>
      <c r="AH1666" s="35">
        <f t="shared" si="606"/>
        <v>9.3161302564489928E-2</v>
      </c>
      <c r="AI1666" s="36">
        <f t="shared" si="582"/>
        <v>0.95423895266151537</v>
      </c>
      <c r="AJ1666" s="23"/>
      <c r="AK1666" s="173">
        <v>831</v>
      </c>
      <c r="AL1666" s="44"/>
      <c r="AM1666" s="44"/>
      <c r="AN1666" s="44"/>
      <c r="AO1666" s="44"/>
      <c r="AP1666" s="44"/>
      <c r="AQ1666" s="44"/>
      <c r="AR1666" s="44"/>
    </row>
    <row r="1667" spans="1:44" ht="16.8">
      <c r="A1667" s="78" t="s">
        <v>3280</v>
      </c>
      <c r="B1667" s="79"/>
      <c r="C1667" s="79" t="s">
        <v>3278</v>
      </c>
      <c r="D1667" s="19" t="s">
        <v>3279</v>
      </c>
      <c r="E1667" s="20" t="s">
        <v>414</v>
      </c>
      <c r="F1667" s="21">
        <v>1992</v>
      </c>
      <c r="G1667" s="40">
        <v>2022</v>
      </c>
      <c r="H1667" s="23">
        <v>198114675000040</v>
      </c>
      <c r="I1667" s="23">
        <v>257734876168021</v>
      </c>
      <c r="J1667" s="23">
        <v>212917145787856</v>
      </c>
      <c r="K1667" s="23">
        <v>186788789720969</v>
      </c>
      <c r="L1667" s="23">
        <v>78174120549026</v>
      </c>
      <c r="M1667" s="23">
        <v>44817730380165</v>
      </c>
      <c r="N1667" s="23">
        <v>11150728886696</v>
      </c>
      <c r="O1667" s="25">
        <f t="shared" si="572"/>
        <v>119940554451014</v>
      </c>
      <c r="P1667" s="23">
        <v>2181530210596</v>
      </c>
      <c r="Q1667" s="23">
        <v>2496341674631</v>
      </c>
      <c r="R1667" s="25">
        <f t="shared" si="573"/>
        <v>8654387212065</v>
      </c>
      <c r="S1667" s="26">
        <f t="shared" si="574"/>
        <v>0.82610917448771004</v>
      </c>
      <c r="T1667" s="27">
        <f t="shared" si="575"/>
        <v>2.5342744326211468</v>
      </c>
      <c r="U1667" s="26">
        <f t="shared" si="576"/>
        <v>33.18295256074336</v>
      </c>
      <c r="V1667" s="26">
        <f t="shared" si="577"/>
        <v>5.9696992005533689E-2</v>
      </c>
      <c r="W1667" s="143"/>
      <c r="X1667" s="143"/>
      <c r="Y1667" s="143"/>
      <c r="Z1667" s="30">
        <f t="shared" si="617"/>
        <v>0</v>
      </c>
      <c r="AA1667" s="31">
        <f t="shared" si="548"/>
        <v>30</v>
      </c>
      <c r="AB1667" s="32">
        <v>3.15E-2</v>
      </c>
      <c r="AC1667" s="32">
        <v>8.0199999999999994E-2</v>
      </c>
      <c r="AD1667" s="33">
        <f t="shared" si="602"/>
        <v>0.4653640835663353</v>
      </c>
      <c r="AE1667" s="34">
        <f t="shared" si="603"/>
        <v>8.4642414058616958E-3</v>
      </c>
      <c r="AF1667" s="33">
        <f t="shared" si="604"/>
        <v>3.3578642288298939E-2</v>
      </c>
      <c r="AG1667" s="33">
        <f t="shared" si="605"/>
        <v>0</v>
      </c>
      <c r="AH1667" s="35">
        <f t="shared" si="606"/>
        <v>5.2371211559477875E-2</v>
      </c>
      <c r="AI1667" s="36">
        <f t="shared" si="582"/>
        <v>0.73346756935867308</v>
      </c>
      <c r="AJ1667" s="23"/>
      <c r="AK1667" s="173">
        <v>832</v>
      </c>
      <c r="AL1667" s="44"/>
      <c r="AM1667" s="44"/>
      <c r="AN1667" s="44"/>
      <c r="AO1667" s="44"/>
      <c r="AP1667" s="44"/>
      <c r="AQ1667" s="44"/>
      <c r="AR1667" s="44"/>
    </row>
    <row r="1668" spans="1:44" ht="16.8">
      <c r="A1668" s="78" t="s">
        <v>3281</v>
      </c>
      <c r="B1668" s="79"/>
      <c r="C1668" s="79" t="s">
        <v>3278</v>
      </c>
      <c r="D1668" s="19" t="s">
        <v>3279</v>
      </c>
      <c r="E1668" s="20" t="s">
        <v>414</v>
      </c>
      <c r="F1668" s="21">
        <v>1992</v>
      </c>
      <c r="G1668" s="40">
        <v>2023</v>
      </c>
      <c r="H1668" s="23">
        <v>191154819921853</v>
      </c>
      <c r="I1668" s="23">
        <v>241486379543125</v>
      </c>
      <c r="J1668" s="23">
        <v>196183529500722</v>
      </c>
      <c r="K1668" s="23">
        <v>204550337644289</v>
      </c>
      <c r="L1668" s="23">
        <v>87282658320119</v>
      </c>
      <c r="M1668" s="23">
        <v>45302850042403</v>
      </c>
      <c r="N1668" s="23">
        <v>4769950330281</v>
      </c>
      <c r="O1668" s="25">
        <f t="shared" si="572"/>
        <v>103872161601734</v>
      </c>
      <c r="P1668" s="23">
        <v>485864524898</v>
      </c>
      <c r="Q1668" s="23">
        <v>1782201145975</v>
      </c>
      <c r="R1668" s="25">
        <f t="shared" si="573"/>
        <v>2987749184306</v>
      </c>
      <c r="S1668" s="26">
        <f t="shared" si="574"/>
        <v>0.81239997830058674</v>
      </c>
      <c r="T1668" s="27">
        <f t="shared" si="575"/>
        <v>2.190066430158109</v>
      </c>
      <c r="U1668" s="26">
        <f t="shared" si="576"/>
        <v>33.117834188023316</v>
      </c>
      <c r="V1668" s="26">
        <f t="shared" si="577"/>
        <v>2.3319200472677274E-2</v>
      </c>
      <c r="W1668" s="143"/>
      <c r="X1668" s="143"/>
      <c r="Y1668" s="143"/>
      <c r="Z1668" s="30">
        <f t="shared" si="617"/>
        <v>0</v>
      </c>
      <c r="AA1668" s="31">
        <f t="shared" si="548"/>
        <v>31</v>
      </c>
      <c r="AB1668" s="32">
        <v>3.2500000000000001E-2</v>
      </c>
      <c r="AC1668" s="32">
        <v>5.0500000000000003E-2</v>
      </c>
      <c r="AD1668" s="33">
        <f t="shared" si="602"/>
        <v>0.43013672985719825</v>
      </c>
      <c r="AE1668" s="34">
        <f t="shared" si="603"/>
        <v>2.0119748609309603E-3</v>
      </c>
      <c r="AF1668" s="33">
        <f t="shared" si="604"/>
        <v>1.2372330025232098E-2</v>
      </c>
      <c r="AG1668" s="33">
        <f t="shared" si="605"/>
        <v>0</v>
      </c>
      <c r="AH1668" s="35">
        <f t="shared" si="606"/>
        <v>2.4313714522418383E-2</v>
      </c>
      <c r="AI1668" s="36">
        <f t="shared" si="582"/>
        <v>0.58412324423962558</v>
      </c>
      <c r="AJ1668" s="23"/>
      <c r="AK1668" s="173">
        <v>833</v>
      </c>
      <c r="AL1668" s="44"/>
      <c r="AM1668" s="44"/>
      <c r="AN1668" s="44"/>
      <c r="AO1668" s="44"/>
      <c r="AP1668" s="44"/>
      <c r="AQ1668" s="44"/>
      <c r="AR1668" s="44"/>
    </row>
    <row r="1669" spans="1:44" ht="16.8">
      <c r="A1669" s="178"/>
      <c r="B1669" s="45">
        <v>643</v>
      </c>
      <c r="C1669" s="45" t="s">
        <v>3282</v>
      </c>
      <c r="D1669" s="46" t="s">
        <v>3283</v>
      </c>
      <c r="E1669" s="47" t="s">
        <v>1371</v>
      </c>
      <c r="F1669" s="48"/>
      <c r="G1669" s="48">
        <v>2021</v>
      </c>
      <c r="H1669" s="49"/>
      <c r="I1669" s="49"/>
      <c r="J1669" s="49"/>
      <c r="K1669" s="49"/>
      <c r="L1669" s="49"/>
      <c r="M1669" s="49">
        <f>I1669-J1669</f>
        <v>0</v>
      </c>
      <c r="N1669" s="49"/>
      <c r="O1669" s="49">
        <f t="shared" si="572"/>
        <v>0</v>
      </c>
      <c r="P1669" s="49"/>
      <c r="Q1669" s="49"/>
      <c r="R1669" s="49">
        <f t="shared" si="573"/>
        <v>0</v>
      </c>
      <c r="S1669" s="50" t="e">
        <f t="shared" si="574"/>
        <v>#DIV/0!</v>
      </c>
      <c r="T1669" s="51" t="e">
        <f t="shared" si="575"/>
        <v>#DIV/0!</v>
      </c>
      <c r="U1669" s="50" t="e">
        <f t="shared" si="576"/>
        <v>#NUM!</v>
      </c>
      <c r="V1669" s="50" t="e">
        <f t="shared" si="577"/>
        <v>#DIV/0!</v>
      </c>
      <c r="W1669" s="52"/>
      <c r="X1669" s="52"/>
      <c r="Y1669" s="52"/>
      <c r="Z1669" s="55">
        <f>W1669*Y1669</f>
        <v>0</v>
      </c>
      <c r="AA1669" s="48">
        <f t="shared" si="548"/>
        <v>2021</v>
      </c>
      <c r="AB1669" s="49"/>
      <c r="AC1669" s="49"/>
      <c r="AD1669" s="50" t="e">
        <f t="shared" si="602"/>
        <v>#DIV/0!</v>
      </c>
      <c r="AE1669" s="56" t="e">
        <f t="shared" si="603"/>
        <v>#DIV/0!</v>
      </c>
      <c r="AF1669" s="50" t="e">
        <f t="shared" si="604"/>
        <v>#DIV/0!</v>
      </c>
      <c r="AG1669" s="50" t="e">
        <f t="shared" si="605"/>
        <v>#DIV/0!</v>
      </c>
      <c r="AH1669" s="57" t="e">
        <f t="shared" si="606"/>
        <v>#DIV/0!</v>
      </c>
      <c r="AI1669" s="58" t="e">
        <f t="shared" si="582"/>
        <v>#DIV/0!</v>
      </c>
      <c r="AJ1669" s="49"/>
      <c r="AK1669" s="49"/>
      <c r="AL1669" s="59"/>
      <c r="AM1669" s="59"/>
      <c r="AN1669" s="59"/>
      <c r="AO1669" s="59"/>
      <c r="AP1669" s="59"/>
      <c r="AQ1669" s="59"/>
      <c r="AR1669" s="59"/>
    </row>
    <row r="1670" spans="1:44" ht="16.8">
      <c r="A1670" s="78" t="s">
        <v>3284</v>
      </c>
      <c r="B1670" s="79">
        <v>644</v>
      </c>
      <c r="C1670" s="79" t="s">
        <v>3285</v>
      </c>
      <c r="D1670" s="19" t="s">
        <v>3286</v>
      </c>
      <c r="E1670" s="20" t="s">
        <v>414</v>
      </c>
      <c r="F1670" s="21">
        <v>2006</v>
      </c>
      <c r="G1670" s="40">
        <v>2021</v>
      </c>
      <c r="H1670" s="23">
        <v>130695121670</v>
      </c>
      <c r="I1670" s="23">
        <v>1085842697933</v>
      </c>
      <c r="J1670" s="23">
        <v>543311836595</v>
      </c>
      <c r="K1670" s="23">
        <v>271750945206</v>
      </c>
      <c r="L1670" s="23">
        <v>110259145184</v>
      </c>
      <c r="M1670" s="23">
        <v>542530861338</v>
      </c>
      <c r="N1670" s="23">
        <v>126669847959</v>
      </c>
      <c r="O1670" s="25">
        <f t="shared" si="572"/>
        <v>20435976486</v>
      </c>
      <c r="P1670" s="23">
        <v>-62148791544</v>
      </c>
      <c r="Q1670" s="23">
        <v>51826341020</v>
      </c>
      <c r="R1670" s="25">
        <f t="shared" si="573"/>
        <v>74843506939</v>
      </c>
      <c r="S1670" s="26">
        <f t="shared" si="574"/>
        <v>0.50035961712432508</v>
      </c>
      <c r="T1670" s="27">
        <f t="shared" si="575"/>
        <v>1.1853449566645609</v>
      </c>
      <c r="U1670" s="26">
        <f t="shared" si="576"/>
        <v>27.713377481583628</v>
      </c>
      <c r="V1670" s="26">
        <f t="shared" si="577"/>
        <v>0.46612477414927955</v>
      </c>
      <c r="W1670" s="143"/>
      <c r="X1670" s="143"/>
      <c r="Y1670" s="143"/>
      <c r="Z1670" s="30">
        <f t="shared" ref="Z1670:Z1738" si="619">X1670*Y1670</f>
        <v>0</v>
      </c>
      <c r="AA1670" s="31">
        <f t="shared" si="548"/>
        <v>15</v>
      </c>
      <c r="AB1670" s="32">
        <v>1.84E-2</v>
      </c>
      <c r="AC1670" s="32">
        <v>2.58E-2</v>
      </c>
      <c r="AD1670" s="33">
        <f t="shared" si="602"/>
        <v>1.8820383951470811E-2</v>
      </c>
      <c r="AE1670" s="34">
        <f t="shared" si="603"/>
        <v>-5.7235538501392381E-2</v>
      </c>
      <c r="AF1670" s="33">
        <f t="shared" si="604"/>
        <v>6.8926656762965208E-2</v>
      </c>
      <c r="AG1670" s="33">
        <f t="shared" si="605"/>
        <v>0</v>
      </c>
      <c r="AH1670" s="35">
        <f t="shared" si="606"/>
        <v>0.23314391372890939</v>
      </c>
      <c r="AI1670" s="36">
        <f t="shared" si="582"/>
        <v>0.40305658788651022</v>
      </c>
      <c r="AJ1670" s="23"/>
      <c r="AK1670" s="173">
        <v>834</v>
      </c>
      <c r="AL1670" s="44"/>
      <c r="AM1670" s="44"/>
      <c r="AN1670" s="44"/>
      <c r="AO1670" s="44"/>
      <c r="AP1670" s="44"/>
      <c r="AQ1670" s="44"/>
      <c r="AR1670" s="44"/>
    </row>
    <row r="1671" spans="1:44" ht="16.8">
      <c r="A1671" s="78" t="s">
        <v>3287</v>
      </c>
      <c r="B1671" s="79"/>
      <c r="C1671" s="79" t="s">
        <v>3285</v>
      </c>
      <c r="D1671" s="19" t="s">
        <v>3286</v>
      </c>
      <c r="E1671" s="20" t="s">
        <v>414</v>
      </c>
      <c r="F1671" s="21">
        <v>2006</v>
      </c>
      <c r="G1671" s="40">
        <v>2022</v>
      </c>
      <c r="H1671" s="23">
        <v>152590514188</v>
      </c>
      <c r="I1671" s="23">
        <v>1099239732504</v>
      </c>
      <c r="J1671" s="23">
        <v>566397612597</v>
      </c>
      <c r="K1671" s="23">
        <v>554854724596</v>
      </c>
      <c r="L1671" s="23">
        <v>149381644346</v>
      </c>
      <c r="M1671" s="23">
        <v>532842119907</v>
      </c>
      <c r="N1671" s="23">
        <v>337305177516</v>
      </c>
      <c r="O1671" s="25">
        <f t="shared" si="572"/>
        <v>3208869842</v>
      </c>
      <c r="P1671" s="23">
        <v>16320576208</v>
      </c>
      <c r="Q1671" s="23">
        <v>125690892602</v>
      </c>
      <c r="R1671" s="25">
        <f t="shared" si="573"/>
        <v>211614284914</v>
      </c>
      <c r="S1671" s="26">
        <f t="shared" si="574"/>
        <v>0.51526304576598714</v>
      </c>
      <c r="T1671" s="27">
        <f t="shared" si="575"/>
        <v>1.0214810183409655</v>
      </c>
      <c r="U1671" s="26">
        <f t="shared" si="576"/>
        <v>27.725639904507943</v>
      </c>
      <c r="V1671" s="26">
        <f t="shared" si="577"/>
        <v>0.60791620322165973</v>
      </c>
      <c r="W1671" s="143"/>
      <c r="X1671" s="143"/>
      <c r="Y1671" s="143"/>
      <c r="Z1671" s="30">
        <f t="shared" si="619"/>
        <v>0</v>
      </c>
      <c r="AA1671" s="31">
        <f t="shared" si="548"/>
        <v>16</v>
      </c>
      <c r="AB1671" s="32">
        <v>3.15E-2</v>
      </c>
      <c r="AC1671" s="32">
        <v>8.0199999999999994E-2</v>
      </c>
      <c r="AD1671" s="33">
        <f t="shared" si="602"/>
        <v>2.919171994165816E-3</v>
      </c>
      <c r="AE1671" s="34">
        <f t="shared" si="603"/>
        <v>1.4847149102609982E-2</v>
      </c>
      <c r="AF1671" s="33">
        <f t="shared" si="604"/>
        <v>0.19250967614858297</v>
      </c>
      <c r="AG1671" s="33">
        <f t="shared" si="605"/>
        <v>0</v>
      </c>
      <c r="AH1671" s="35">
        <f t="shared" si="606"/>
        <v>0.59552718799328253</v>
      </c>
      <c r="AI1671" s="36">
        <f t="shared" si="582"/>
        <v>1.2550981344202592</v>
      </c>
      <c r="AJ1671" s="23"/>
      <c r="AK1671" s="173">
        <v>835</v>
      </c>
      <c r="AL1671" s="44"/>
      <c r="AM1671" s="44"/>
      <c r="AN1671" s="44"/>
      <c r="AO1671" s="44"/>
      <c r="AP1671" s="44"/>
      <c r="AQ1671" s="44"/>
      <c r="AR1671" s="44"/>
    </row>
    <row r="1672" spans="1:44" ht="16.8">
      <c r="A1672" s="79"/>
      <c r="B1672" s="79"/>
      <c r="C1672" s="79" t="s">
        <v>3285</v>
      </c>
      <c r="D1672" s="19" t="s">
        <v>3286</v>
      </c>
      <c r="E1672" s="20" t="s">
        <v>414</v>
      </c>
      <c r="F1672" s="21">
        <v>2006</v>
      </c>
      <c r="G1672" s="40">
        <v>2023</v>
      </c>
      <c r="H1672" s="23">
        <v>140543827862</v>
      </c>
      <c r="I1672" s="23">
        <v>1078634597717</v>
      </c>
      <c r="J1672" s="23">
        <v>540309186603</v>
      </c>
      <c r="K1672" s="23">
        <v>553353399600</v>
      </c>
      <c r="L1672" s="23">
        <v>134450361474</v>
      </c>
      <c r="M1672" s="23">
        <v>538325411114</v>
      </c>
      <c r="N1672" s="23">
        <v>337060270126</v>
      </c>
      <c r="O1672" s="25">
        <f t="shared" si="572"/>
        <v>6093466388</v>
      </c>
      <c r="P1672" s="23">
        <v>35833221189</v>
      </c>
      <c r="Q1672" s="23">
        <v>130205002042</v>
      </c>
      <c r="R1672" s="25">
        <f t="shared" si="573"/>
        <v>206855268084</v>
      </c>
      <c r="S1672" s="26">
        <f t="shared" si="574"/>
        <v>0.50091957716412894</v>
      </c>
      <c r="T1672" s="27">
        <f t="shared" si="575"/>
        <v>1.045321309077911</v>
      </c>
      <c r="U1672" s="26">
        <f t="shared" si="576"/>
        <v>27.706717095838901</v>
      </c>
      <c r="V1672" s="26">
        <f t="shared" si="577"/>
        <v>0.60912297705164398</v>
      </c>
      <c r="W1672" s="143"/>
      <c r="X1672" s="143"/>
      <c r="Y1672" s="143"/>
      <c r="Z1672" s="30">
        <f t="shared" si="619"/>
        <v>0</v>
      </c>
      <c r="AA1672" s="31">
        <f t="shared" si="548"/>
        <v>17</v>
      </c>
      <c r="AB1672" s="32">
        <v>3.2500000000000001E-2</v>
      </c>
      <c r="AC1672" s="32">
        <v>5.0500000000000003E-2</v>
      </c>
      <c r="AD1672" s="33">
        <f t="shared" si="602"/>
        <v>5.6492406241160963E-3</v>
      </c>
      <c r="AE1672" s="34">
        <f t="shared" si="603"/>
        <v>3.3220908419629165E-2</v>
      </c>
      <c r="AF1672" s="33">
        <f t="shared" si="604"/>
        <v>0.19177510949660115</v>
      </c>
      <c r="AG1672" s="33">
        <f t="shared" si="605"/>
        <v>0</v>
      </c>
      <c r="AH1672" s="35">
        <f t="shared" si="606"/>
        <v>0.62382850131633971</v>
      </c>
      <c r="AI1672" s="36">
        <f t="shared" si="582"/>
        <v>1.3099747231915435</v>
      </c>
      <c r="AJ1672" s="23"/>
      <c r="AK1672" s="173">
        <v>836</v>
      </c>
      <c r="AL1672" s="44"/>
      <c r="AM1672" s="44"/>
      <c r="AN1672" s="44"/>
      <c r="AO1672" s="44"/>
      <c r="AP1672" s="44"/>
      <c r="AQ1672" s="44"/>
      <c r="AR1672" s="44"/>
    </row>
    <row r="1673" spans="1:44" ht="16.8">
      <c r="A1673" s="78" t="s">
        <v>3288</v>
      </c>
      <c r="B1673" s="79">
        <v>645</v>
      </c>
      <c r="C1673" s="79" t="s">
        <v>3289</v>
      </c>
      <c r="D1673" s="19" t="s">
        <v>3290</v>
      </c>
      <c r="E1673" s="20" t="s">
        <v>414</v>
      </c>
      <c r="F1673" s="21">
        <v>2007</v>
      </c>
      <c r="G1673" s="40">
        <v>2021</v>
      </c>
      <c r="H1673" s="23">
        <v>1208602690457</v>
      </c>
      <c r="I1673" s="23">
        <v>2932844228065</v>
      </c>
      <c r="J1673" s="23">
        <v>1918894326564</v>
      </c>
      <c r="K1673" s="23">
        <v>2222170707605</v>
      </c>
      <c r="L1673" s="23">
        <v>764392129001</v>
      </c>
      <c r="M1673" s="23">
        <v>1013949901501</v>
      </c>
      <c r="N1673" s="23">
        <v>416463807679</v>
      </c>
      <c r="O1673" s="25">
        <f t="shared" si="572"/>
        <v>444210561456</v>
      </c>
      <c r="P1673" s="23">
        <v>-208028911741</v>
      </c>
      <c r="Q1673" s="23">
        <v>367008203961</v>
      </c>
      <c r="R1673" s="25">
        <f t="shared" si="573"/>
        <v>49455603718</v>
      </c>
      <c r="S1673" s="26">
        <f t="shared" si="574"/>
        <v>0.65427761495196324</v>
      </c>
      <c r="T1673" s="27">
        <f t="shared" si="575"/>
        <v>1.5811291673509877</v>
      </c>
      <c r="U1673" s="26">
        <f t="shared" si="576"/>
        <v>28.706993794409481</v>
      </c>
      <c r="V1673" s="26">
        <f t="shared" si="577"/>
        <v>0.18741305798592506</v>
      </c>
      <c r="W1673" s="143"/>
      <c r="X1673" s="143"/>
      <c r="Y1673" s="143"/>
      <c r="Z1673" s="30">
        <f t="shared" si="619"/>
        <v>0</v>
      </c>
      <c r="AA1673" s="31">
        <f t="shared" si="548"/>
        <v>14</v>
      </c>
      <c r="AB1673" s="32">
        <v>1.84E-2</v>
      </c>
      <c r="AC1673" s="32">
        <v>2.58E-2</v>
      </c>
      <c r="AD1673" s="33">
        <f t="shared" si="602"/>
        <v>0.15146067329633678</v>
      </c>
      <c r="AE1673" s="34">
        <f t="shared" si="603"/>
        <v>-7.0930774212393494E-2</v>
      </c>
      <c r="AF1673" s="33">
        <f t="shared" si="604"/>
        <v>1.6862676593850087E-2</v>
      </c>
      <c r="AG1673" s="33">
        <f t="shared" si="605"/>
        <v>0</v>
      </c>
      <c r="AH1673" s="35">
        <f t="shared" si="606"/>
        <v>0.21703321642767381</v>
      </c>
      <c r="AI1673" s="36">
        <f t="shared" si="582"/>
        <v>0.35512977324563233</v>
      </c>
      <c r="AJ1673" s="23"/>
      <c r="AK1673" s="173">
        <v>837</v>
      </c>
      <c r="AL1673" s="44"/>
      <c r="AM1673" s="44"/>
      <c r="AN1673" s="44"/>
      <c r="AO1673" s="44"/>
      <c r="AP1673" s="44"/>
      <c r="AQ1673" s="44"/>
      <c r="AR1673" s="44"/>
    </row>
    <row r="1674" spans="1:44" ht="16.8">
      <c r="A1674" s="78" t="s">
        <v>3291</v>
      </c>
      <c r="B1674" s="79"/>
      <c r="C1674" s="79" t="s">
        <v>3289</v>
      </c>
      <c r="D1674" s="19" t="s">
        <v>3290</v>
      </c>
      <c r="E1674" s="20" t="s">
        <v>414</v>
      </c>
      <c r="F1674" s="21">
        <v>2007</v>
      </c>
      <c r="G1674" s="40">
        <v>2022</v>
      </c>
      <c r="H1674" s="23">
        <v>1309105460491</v>
      </c>
      <c r="I1674" s="23">
        <v>2986913515902</v>
      </c>
      <c r="J1674" s="23">
        <v>1887293172111</v>
      </c>
      <c r="K1674" s="23">
        <v>1903093749338</v>
      </c>
      <c r="L1674" s="23">
        <v>782045882742</v>
      </c>
      <c r="M1674" s="23">
        <v>1099620343791</v>
      </c>
      <c r="N1674" s="23">
        <v>1017555451758</v>
      </c>
      <c r="O1674" s="25">
        <f t="shared" si="572"/>
        <v>527059577749</v>
      </c>
      <c r="P1674" s="23">
        <v>59063698489</v>
      </c>
      <c r="Q1674" s="23">
        <v>354303450452</v>
      </c>
      <c r="R1674" s="25">
        <f t="shared" si="573"/>
        <v>663252001306</v>
      </c>
      <c r="S1674" s="26">
        <f t="shared" si="574"/>
        <v>0.63185397302709234</v>
      </c>
      <c r="T1674" s="27">
        <f t="shared" si="575"/>
        <v>1.673949686815088</v>
      </c>
      <c r="U1674" s="26">
        <f t="shared" si="576"/>
        <v>28.725261701245536</v>
      </c>
      <c r="V1674" s="26">
        <f t="shared" si="577"/>
        <v>0.53468487935077369</v>
      </c>
      <c r="W1674" s="143"/>
      <c r="X1674" s="143"/>
      <c r="Y1674" s="143"/>
      <c r="Z1674" s="30">
        <f t="shared" si="619"/>
        <v>0</v>
      </c>
      <c r="AA1674" s="31">
        <f t="shared" si="548"/>
        <v>15</v>
      </c>
      <c r="AB1674" s="32">
        <v>3.15E-2</v>
      </c>
      <c r="AC1674" s="32">
        <v>8.0199999999999994E-2</v>
      </c>
      <c r="AD1674" s="33">
        <f t="shared" si="602"/>
        <v>0.17645625658158248</v>
      </c>
      <c r="AE1674" s="34">
        <f t="shared" si="603"/>
        <v>1.9774157562497657E-2</v>
      </c>
      <c r="AF1674" s="33">
        <f t="shared" si="604"/>
        <v>0.22205262983843324</v>
      </c>
      <c r="AG1674" s="33">
        <f t="shared" si="605"/>
        <v>0</v>
      </c>
      <c r="AH1674" s="35">
        <f t="shared" si="606"/>
        <v>0.53916130614716873</v>
      </c>
      <c r="AI1674" s="36">
        <f t="shared" si="582"/>
        <v>1.5113663130993942</v>
      </c>
      <c r="AJ1674" s="23"/>
      <c r="AK1674" s="173">
        <v>838</v>
      </c>
      <c r="AL1674" s="44"/>
      <c r="AM1674" s="44"/>
      <c r="AN1674" s="44"/>
      <c r="AO1674" s="44"/>
      <c r="AP1674" s="44"/>
      <c r="AQ1674" s="44"/>
      <c r="AR1674" s="44"/>
    </row>
    <row r="1675" spans="1:44" ht="16.8">
      <c r="A1675" s="78" t="s">
        <v>3292</v>
      </c>
      <c r="B1675" s="79"/>
      <c r="C1675" s="79" t="s">
        <v>3289</v>
      </c>
      <c r="D1675" s="19" t="s">
        <v>3290</v>
      </c>
      <c r="E1675" s="20" t="s">
        <v>414</v>
      </c>
      <c r="F1675" s="21">
        <v>2007</v>
      </c>
      <c r="G1675" s="40">
        <v>2023</v>
      </c>
      <c r="H1675" s="23">
        <v>614489696098</v>
      </c>
      <c r="I1675" s="23">
        <v>4767834482251</v>
      </c>
      <c r="J1675" s="23">
        <v>3210735650988</v>
      </c>
      <c r="K1675" s="23">
        <v>2549014411550</v>
      </c>
      <c r="L1675" s="23">
        <v>712586425247</v>
      </c>
      <c r="M1675" s="23">
        <v>1557098831263</v>
      </c>
      <c r="N1675" s="23">
        <v>999175492396</v>
      </c>
      <c r="O1675" s="25">
        <f t="shared" si="572"/>
        <v>-98096729149</v>
      </c>
      <c r="P1675" s="23">
        <v>141260936288</v>
      </c>
      <c r="Q1675" s="23">
        <v>319672869010</v>
      </c>
      <c r="R1675" s="25">
        <f t="shared" si="573"/>
        <v>679502623386</v>
      </c>
      <c r="S1675" s="26">
        <f t="shared" si="574"/>
        <v>0.6734159214084422</v>
      </c>
      <c r="T1675" s="27">
        <f t="shared" si="575"/>
        <v>0.86233707846034635</v>
      </c>
      <c r="U1675" s="26">
        <f t="shared" si="576"/>
        <v>29.192913330796046</v>
      </c>
      <c r="V1675" s="26">
        <f t="shared" si="577"/>
        <v>0.39198503071170288</v>
      </c>
      <c r="W1675" s="143"/>
      <c r="X1675" s="143"/>
      <c r="Y1675" s="143"/>
      <c r="Z1675" s="30">
        <f t="shared" si="619"/>
        <v>0</v>
      </c>
      <c r="AA1675" s="31">
        <f t="shared" si="548"/>
        <v>16</v>
      </c>
      <c r="AB1675" s="32">
        <v>3.2500000000000001E-2</v>
      </c>
      <c r="AC1675" s="32">
        <v>5.0500000000000003E-2</v>
      </c>
      <c r="AD1675" s="33">
        <f t="shared" si="602"/>
        <v>-2.0574692664810455E-2</v>
      </c>
      <c r="AE1675" s="34">
        <f t="shared" si="603"/>
        <v>2.9627902733172815E-2</v>
      </c>
      <c r="AF1675" s="33">
        <f t="shared" si="604"/>
        <v>0.14251808151385151</v>
      </c>
      <c r="AG1675" s="33">
        <f t="shared" si="605"/>
        <v>0</v>
      </c>
      <c r="AH1675" s="35">
        <f t="shared" si="606"/>
        <v>0.31119830500170143</v>
      </c>
      <c r="AI1675" s="36">
        <f t="shared" si="582"/>
        <v>0.79829740662608084</v>
      </c>
      <c r="AJ1675" s="23"/>
      <c r="AK1675" s="173">
        <v>839</v>
      </c>
      <c r="AL1675" s="44"/>
      <c r="AM1675" s="44"/>
      <c r="AN1675" s="44"/>
      <c r="AO1675" s="44"/>
      <c r="AP1675" s="44"/>
      <c r="AQ1675" s="44"/>
      <c r="AR1675" s="44"/>
    </row>
    <row r="1676" spans="1:44" ht="16.8">
      <c r="A1676" s="78" t="s">
        <v>3293</v>
      </c>
      <c r="B1676" s="79">
        <v>646</v>
      </c>
      <c r="C1676" s="79" t="s">
        <v>3294</v>
      </c>
      <c r="D1676" s="19" t="s">
        <v>3295</v>
      </c>
      <c r="E1676" s="20" t="s">
        <v>414</v>
      </c>
      <c r="F1676" s="21">
        <v>1977</v>
      </c>
      <c r="G1676" s="40">
        <v>2021</v>
      </c>
      <c r="H1676" s="23">
        <v>886325096318</v>
      </c>
      <c r="I1676" s="23">
        <v>1238200512713</v>
      </c>
      <c r="J1676" s="23">
        <v>495177134889</v>
      </c>
      <c r="K1676" s="23">
        <v>468643669511</v>
      </c>
      <c r="L1676" s="23">
        <v>489632350814</v>
      </c>
      <c r="M1676" s="23">
        <v>743023377824</v>
      </c>
      <c r="N1676" s="23">
        <v>1126407919401</v>
      </c>
      <c r="O1676" s="25">
        <f t="shared" si="572"/>
        <v>396692745504</v>
      </c>
      <c r="P1676" s="23">
        <v>123362621688</v>
      </c>
      <c r="Q1676" s="23">
        <v>273368527577</v>
      </c>
      <c r="R1676" s="25">
        <f t="shared" si="573"/>
        <v>853039391824</v>
      </c>
      <c r="S1676" s="26">
        <f t="shared" si="574"/>
        <v>0.39991675807339622</v>
      </c>
      <c r="T1676" s="27">
        <f t="shared" si="575"/>
        <v>1.810184916998457</v>
      </c>
      <c r="U1676" s="26">
        <f t="shared" si="576"/>
        <v>27.844680242110766</v>
      </c>
      <c r="V1676" s="26">
        <f t="shared" si="577"/>
        <v>2.4035487784916318</v>
      </c>
      <c r="W1676" s="143"/>
      <c r="X1676" s="143"/>
      <c r="Y1676" s="143"/>
      <c r="Z1676" s="30">
        <f t="shared" si="619"/>
        <v>0</v>
      </c>
      <c r="AA1676" s="31">
        <f t="shared" si="548"/>
        <v>44</v>
      </c>
      <c r="AB1676" s="32">
        <v>1.84E-2</v>
      </c>
      <c r="AC1676" s="32">
        <v>2.58E-2</v>
      </c>
      <c r="AD1676" s="33">
        <f t="shared" si="602"/>
        <v>0.32037843744290923</v>
      </c>
      <c r="AE1676" s="34">
        <f t="shared" si="603"/>
        <v>9.9630569056785689E-2</v>
      </c>
      <c r="AF1676" s="33">
        <f t="shared" si="604"/>
        <v>0.68893477515602053</v>
      </c>
      <c r="AG1676" s="33">
        <f t="shared" si="605"/>
        <v>0</v>
      </c>
      <c r="AH1676" s="35">
        <f t="shared" si="606"/>
        <v>2.2747575363177828</v>
      </c>
      <c r="AI1676" s="36">
        <f t="shared" si="582"/>
        <v>5.0721792159436419</v>
      </c>
      <c r="AJ1676" s="23"/>
      <c r="AK1676" s="173">
        <v>840</v>
      </c>
      <c r="AL1676" s="44"/>
      <c r="AM1676" s="44"/>
      <c r="AN1676" s="44"/>
      <c r="AO1676" s="44"/>
      <c r="AP1676" s="44"/>
      <c r="AQ1676" s="44"/>
      <c r="AR1676" s="44"/>
    </row>
    <row r="1677" spans="1:44" ht="16.8">
      <c r="A1677" s="78" t="s">
        <v>3296</v>
      </c>
      <c r="B1677" s="79"/>
      <c r="C1677" s="79" t="s">
        <v>3294</v>
      </c>
      <c r="D1677" s="19" t="s">
        <v>3295</v>
      </c>
      <c r="E1677" s="20" t="s">
        <v>414</v>
      </c>
      <c r="F1677" s="21">
        <v>1977</v>
      </c>
      <c r="G1677" s="40">
        <v>2022</v>
      </c>
      <c r="H1677" s="23">
        <v>911257655505</v>
      </c>
      <c r="I1677" s="23">
        <v>1246224736812</v>
      </c>
      <c r="J1677" s="23">
        <v>374260457563</v>
      </c>
      <c r="K1677" s="23">
        <v>434718796226</v>
      </c>
      <c r="L1677" s="23">
        <v>368835959870</v>
      </c>
      <c r="M1677" s="23">
        <v>871964279249</v>
      </c>
      <c r="N1677" s="23">
        <v>1194003443459</v>
      </c>
      <c r="O1677" s="25">
        <f t="shared" si="572"/>
        <v>542421695635</v>
      </c>
      <c r="P1677" s="23">
        <v>142394151139</v>
      </c>
      <c r="Q1677" s="23">
        <v>306215072172</v>
      </c>
      <c r="R1677" s="25">
        <f t="shared" si="573"/>
        <v>887788371287</v>
      </c>
      <c r="S1677" s="26">
        <f t="shared" si="574"/>
        <v>0.30031538173476274</v>
      </c>
      <c r="T1677" s="27">
        <f t="shared" si="575"/>
        <v>2.4706312687791669</v>
      </c>
      <c r="U1677" s="26">
        <f t="shared" si="576"/>
        <v>27.851139886652501</v>
      </c>
      <c r="V1677" s="26">
        <f t="shared" si="577"/>
        <v>2.7466110364325398</v>
      </c>
      <c r="W1677" s="143"/>
      <c r="X1677" s="143"/>
      <c r="Y1677" s="143"/>
      <c r="Z1677" s="30">
        <f t="shared" si="619"/>
        <v>0</v>
      </c>
      <c r="AA1677" s="31">
        <f t="shared" si="548"/>
        <v>45</v>
      </c>
      <c r="AB1677" s="32">
        <v>3.15E-2</v>
      </c>
      <c r="AC1677" s="32">
        <v>8.0199999999999994E-2</v>
      </c>
      <c r="AD1677" s="33">
        <f t="shared" si="602"/>
        <v>0.43525190891538801</v>
      </c>
      <c r="AE1677" s="34">
        <f t="shared" si="603"/>
        <v>0.11426041141123726</v>
      </c>
      <c r="AF1677" s="33">
        <f t="shared" si="604"/>
        <v>0.71238224139096662</v>
      </c>
      <c r="AG1677" s="33">
        <f t="shared" si="605"/>
        <v>0</v>
      </c>
      <c r="AH1677" s="35">
        <f t="shared" si="606"/>
        <v>3.1903008167995175</v>
      </c>
      <c r="AI1677" s="36">
        <f t="shared" si="582"/>
        <v>6.2234290800639052</v>
      </c>
      <c r="AJ1677" s="23"/>
      <c r="AK1677" s="173">
        <v>841</v>
      </c>
      <c r="AL1677" s="44"/>
      <c r="AM1677" s="44"/>
      <c r="AN1677" s="44"/>
      <c r="AO1677" s="44"/>
      <c r="AP1677" s="44"/>
      <c r="AQ1677" s="44"/>
      <c r="AR1677" s="44"/>
    </row>
    <row r="1678" spans="1:44" ht="16.8">
      <c r="A1678" s="78" t="s">
        <v>3297</v>
      </c>
      <c r="B1678" s="79"/>
      <c r="C1678" s="79" t="s">
        <v>3294</v>
      </c>
      <c r="D1678" s="19" t="s">
        <v>3295</v>
      </c>
      <c r="E1678" s="20" t="s">
        <v>414</v>
      </c>
      <c r="F1678" s="21">
        <v>1977</v>
      </c>
      <c r="G1678" s="40">
        <v>2023</v>
      </c>
      <c r="H1678" s="23">
        <v>927670577951</v>
      </c>
      <c r="I1678" s="23">
        <v>1260821164709</v>
      </c>
      <c r="J1678" s="23">
        <v>376657460640</v>
      </c>
      <c r="K1678" s="23">
        <v>375458959102</v>
      </c>
      <c r="L1678" s="23">
        <v>371746751691</v>
      </c>
      <c r="M1678" s="23">
        <v>884163704069</v>
      </c>
      <c r="N1678" s="23">
        <v>1008957297999</v>
      </c>
      <c r="O1678" s="25">
        <f t="shared" si="572"/>
        <v>555923826260</v>
      </c>
      <c r="P1678" s="23">
        <v>122318809292</v>
      </c>
      <c r="Q1678" s="23">
        <v>280968332366</v>
      </c>
      <c r="R1678" s="25">
        <f t="shared" si="573"/>
        <v>727988965633</v>
      </c>
      <c r="S1678" s="26">
        <f t="shared" si="574"/>
        <v>0.29873979846057969</v>
      </c>
      <c r="T1678" s="27">
        <f t="shared" si="575"/>
        <v>2.4954369439173743</v>
      </c>
      <c r="U1678" s="26">
        <f t="shared" si="576"/>
        <v>27.862784342638985</v>
      </c>
      <c r="V1678" s="26">
        <f t="shared" si="577"/>
        <v>2.6872638767554329</v>
      </c>
      <c r="W1678" s="143"/>
      <c r="X1678" s="143"/>
      <c r="Y1678" s="143"/>
      <c r="Z1678" s="30">
        <f t="shared" si="619"/>
        <v>0</v>
      </c>
      <c r="AA1678" s="31">
        <f t="shared" si="548"/>
        <v>46</v>
      </c>
      <c r="AB1678" s="32">
        <v>3.2500000000000001E-2</v>
      </c>
      <c r="AC1678" s="32">
        <v>5.0500000000000003E-2</v>
      </c>
      <c r="AD1678" s="33">
        <f t="shared" si="602"/>
        <v>0.44092202908753386</v>
      </c>
      <c r="AE1678" s="34">
        <f t="shared" si="603"/>
        <v>9.7015193522890633E-2</v>
      </c>
      <c r="AF1678" s="33">
        <f t="shared" si="604"/>
        <v>0.57739272309964851</v>
      </c>
      <c r="AG1678" s="33">
        <f t="shared" si="605"/>
        <v>0</v>
      </c>
      <c r="AH1678" s="35">
        <f t="shared" si="606"/>
        <v>2.6787131636384518</v>
      </c>
      <c r="AI1678" s="36">
        <f t="shared" si="582"/>
        <v>5.2490368557043787</v>
      </c>
      <c r="AJ1678" s="23"/>
      <c r="AK1678" s="173">
        <v>842</v>
      </c>
      <c r="AL1678" s="44"/>
      <c r="AM1678" s="44"/>
      <c r="AN1678" s="44"/>
      <c r="AO1678" s="44"/>
      <c r="AP1678" s="44"/>
      <c r="AQ1678" s="44"/>
      <c r="AR1678" s="44"/>
    </row>
    <row r="1679" spans="1:44" ht="16.8">
      <c r="A1679" s="78" t="s">
        <v>3298</v>
      </c>
      <c r="B1679" s="79">
        <v>647</v>
      </c>
      <c r="C1679" s="79" t="s">
        <v>3299</v>
      </c>
      <c r="D1679" s="19" t="s">
        <v>3300</v>
      </c>
      <c r="E1679" s="20" t="s">
        <v>414</v>
      </c>
      <c r="F1679" s="21">
        <v>1976</v>
      </c>
      <c r="G1679" s="40">
        <v>2021</v>
      </c>
      <c r="H1679" s="23">
        <v>1798363417999</v>
      </c>
      <c r="I1679" s="23">
        <v>2468635392528</v>
      </c>
      <c r="J1679" s="23">
        <v>1614497191637</v>
      </c>
      <c r="K1679" s="23">
        <v>1642215155987</v>
      </c>
      <c r="L1679" s="23">
        <v>1546840929941</v>
      </c>
      <c r="M1679" s="23">
        <v>854138200891</v>
      </c>
      <c r="N1679" s="23">
        <v>3530513437533</v>
      </c>
      <c r="O1679" s="25">
        <f t="shared" si="572"/>
        <v>251522488058</v>
      </c>
      <c r="P1679" s="23">
        <v>173826965883</v>
      </c>
      <c r="Q1679" s="23">
        <v>258623178991</v>
      </c>
      <c r="R1679" s="25">
        <f t="shared" si="573"/>
        <v>3271890258542</v>
      </c>
      <c r="S1679" s="26">
        <f t="shared" si="574"/>
        <v>0.65400390698590694</v>
      </c>
      <c r="T1679" s="27">
        <f t="shared" si="575"/>
        <v>1.162603977687346</v>
      </c>
      <c r="U1679" s="26">
        <f t="shared" si="576"/>
        <v>28.534686641238451</v>
      </c>
      <c r="V1679" s="26">
        <f t="shared" si="577"/>
        <v>2.1498482855074492</v>
      </c>
      <c r="W1679" s="143"/>
      <c r="X1679" s="143"/>
      <c r="Y1679" s="143"/>
      <c r="Z1679" s="30">
        <f t="shared" si="619"/>
        <v>0</v>
      </c>
      <c r="AA1679" s="31">
        <f t="shared" si="548"/>
        <v>45</v>
      </c>
      <c r="AB1679" s="32">
        <v>1.84E-2</v>
      </c>
      <c r="AC1679" s="32">
        <v>2.58E-2</v>
      </c>
      <c r="AD1679" s="33">
        <f t="shared" si="602"/>
        <v>0.10188725674893165</v>
      </c>
      <c r="AE1679" s="34">
        <f t="shared" si="603"/>
        <v>7.0414191747041638E-2</v>
      </c>
      <c r="AF1679" s="33">
        <f t="shared" si="604"/>
        <v>1.3253841650513765</v>
      </c>
      <c r="AG1679" s="33">
        <f t="shared" si="605"/>
        <v>0</v>
      </c>
      <c r="AH1679" s="35">
        <f t="shared" si="606"/>
        <v>2.1867572491428606</v>
      </c>
      <c r="AI1679" s="36">
        <f t="shared" si="582"/>
        <v>6.7813695703569792</v>
      </c>
      <c r="AJ1679" s="23"/>
      <c r="AK1679" s="173">
        <v>843</v>
      </c>
      <c r="AL1679" s="44"/>
      <c r="AM1679" s="44"/>
      <c r="AN1679" s="44"/>
      <c r="AO1679" s="44"/>
      <c r="AP1679" s="44"/>
      <c r="AQ1679" s="44"/>
      <c r="AR1679" s="44"/>
    </row>
    <row r="1680" spans="1:44" ht="16.8">
      <c r="A1680" s="78" t="s">
        <v>3301</v>
      </c>
      <c r="B1680" s="79"/>
      <c r="C1680" s="79" t="s">
        <v>3299</v>
      </c>
      <c r="D1680" s="19" t="s">
        <v>3300</v>
      </c>
      <c r="E1680" s="20" t="s">
        <v>414</v>
      </c>
      <c r="F1680" s="21">
        <v>1976</v>
      </c>
      <c r="G1680" s="40">
        <v>2022</v>
      </c>
      <c r="H1680" s="23">
        <v>1663689832459</v>
      </c>
      <c r="I1680" s="23">
        <v>2416589808370</v>
      </c>
      <c r="J1680" s="23">
        <v>1493529975107</v>
      </c>
      <c r="K1680" s="23">
        <v>1554013583372</v>
      </c>
      <c r="L1680" s="23">
        <v>1448046547087</v>
      </c>
      <c r="M1680" s="23">
        <v>923059833263</v>
      </c>
      <c r="N1680" s="23">
        <v>3835776645881</v>
      </c>
      <c r="O1680" s="25">
        <f t="shared" si="572"/>
        <v>215643285372</v>
      </c>
      <c r="P1680" s="23">
        <v>156387589460</v>
      </c>
      <c r="Q1680" s="23">
        <v>250030816336</v>
      </c>
      <c r="R1680" s="25">
        <f t="shared" si="573"/>
        <v>3585745829545</v>
      </c>
      <c r="S1680" s="26">
        <f t="shared" si="574"/>
        <v>0.61803205903379699</v>
      </c>
      <c r="T1680" s="27">
        <f t="shared" si="575"/>
        <v>1.1489201336834125</v>
      </c>
      <c r="U1680" s="26">
        <f t="shared" si="576"/>
        <v>28.513378492188178</v>
      </c>
      <c r="V1680" s="26">
        <f t="shared" si="577"/>
        <v>2.468303164736747</v>
      </c>
      <c r="W1680" s="143"/>
      <c r="X1680" s="143"/>
      <c r="Y1680" s="143"/>
      <c r="Z1680" s="30">
        <f t="shared" si="619"/>
        <v>0</v>
      </c>
      <c r="AA1680" s="31">
        <f t="shared" si="548"/>
        <v>46</v>
      </c>
      <c r="AB1680" s="32">
        <v>3.15E-2</v>
      </c>
      <c r="AC1680" s="32">
        <v>8.0199999999999994E-2</v>
      </c>
      <c r="AD1680" s="33">
        <f t="shared" si="602"/>
        <v>8.9234542256657251E-2</v>
      </c>
      <c r="AE1680" s="34">
        <f t="shared" si="603"/>
        <v>6.4714164116037587E-2</v>
      </c>
      <c r="AF1680" s="33">
        <f t="shared" si="604"/>
        <v>1.4838040850480954</v>
      </c>
      <c r="AG1680" s="33">
        <f t="shared" si="605"/>
        <v>0</v>
      </c>
      <c r="AH1680" s="35">
        <f t="shared" si="606"/>
        <v>2.568262244355823</v>
      </c>
      <c r="AI1680" s="36">
        <f t="shared" si="582"/>
        <v>7.6624970054849797</v>
      </c>
      <c r="AJ1680" s="23"/>
      <c r="AK1680" s="173">
        <v>844</v>
      </c>
      <c r="AL1680" s="44"/>
      <c r="AM1680" s="44"/>
      <c r="AN1680" s="44"/>
      <c r="AO1680" s="44"/>
      <c r="AP1680" s="44"/>
      <c r="AQ1680" s="44"/>
      <c r="AR1680" s="44"/>
    </row>
    <row r="1681" spans="1:44" ht="16.8">
      <c r="A1681" s="78" t="s">
        <v>3302</v>
      </c>
      <c r="B1681" s="79"/>
      <c r="C1681" s="79" t="s">
        <v>3299</v>
      </c>
      <c r="D1681" s="19" t="s">
        <v>3300</v>
      </c>
      <c r="E1681" s="20" t="s">
        <v>414</v>
      </c>
      <c r="F1681" s="21">
        <v>1976</v>
      </c>
      <c r="G1681" s="40">
        <v>2023</v>
      </c>
      <c r="H1681" s="23">
        <v>1726186325353</v>
      </c>
      <c r="I1681" s="23">
        <v>2433505703245</v>
      </c>
      <c r="J1681" s="23">
        <v>1489037435221</v>
      </c>
      <c r="K1681" s="23">
        <v>1491283705164</v>
      </c>
      <c r="L1681" s="23">
        <v>1467423205920</v>
      </c>
      <c r="M1681" s="23">
        <v>944468268024</v>
      </c>
      <c r="N1681" s="23">
        <v>3593413239932</v>
      </c>
      <c r="O1681" s="25">
        <f t="shared" si="572"/>
        <v>258763119433</v>
      </c>
      <c r="P1681" s="23">
        <v>115202344188</v>
      </c>
      <c r="Q1681" s="23">
        <v>262723438130</v>
      </c>
      <c r="R1681" s="25">
        <f t="shared" si="573"/>
        <v>3330689801802</v>
      </c>
      <c r="S1681" s="26">
        <f t="shared" si="574"/>
        <v>0.61188984814599667</v>
      </c>
      <c r="T1681" s="27">
        <f t="shared" si="575"/>
        <v>1.1763384403279684</v>
      </c>
      <c r="U1681" s="26">
        <f t="shared" si="576"/>
        <v>28.520354009855964</v>
      </c>
      <c r="V1681" s="26">
        <f t="shared" si="577"/>
        <v>2.4096107450840978</v>
      </c>
      <c r="W1681" s="143"/>
      <c r="X1681" s="143"/>
      <c r="Y1681" s="143"/>
      <c r="Z1681" s="30">
        <f t="shared" si="619"/>
        <v>0</v>
      </c>
      <c r="AA1681" s="31">
        <f t="shared" si="548"/>
        <v>47</v>
      </c>
      <c r="AB1681" s="32">
        <v>3.2500000000000001E-2</v>
      </c>
      <c r="AC1681" s="32">
        <v>5.0500000000000003E-2</v>
      </c>
      <c r="AD1681" s="33">
        <f t="shared" si="602"/>
        <v>0.10633347564706665</v>
      </c>
      <c r="AE1681" s="34">
        <f t="shared" si="603"/>
        <v>4.7340075691781391E-2</v>
      </c>
      <c r="AF1681" s="33">
        <f t="shared" si="604"/>
        <v>1.368679677783633</v>
      </c>
      <c r="AG1681" s="33">
        <f t="shared" si="605"/>
        <v>0</v>
      </c>
      <c r="AH1681" s="35">
        <f t="shared" si="606"/>
        <v>2.4132457350870244</v>
      </c>
      <c r="AI1681" s="36">
        <f t="shared" si="582"/>
        <v>7.1237649485179872</v>
      </c>
      <c r="AJ1681" s="23"/>
      <c r="AK1681" s="173">
        <v>845</v>
      </c>
      <c r="AL1681" s="44"/>
      <c r="AM1681" s="44"/>
      <c r="AN1681" s="44"/>
      <c r="AO1681" s="44"/>
      <c r="AP1681" s="44"/>
      <c r="AQ1681" s="44"/>
      <c r="AR1681" s="44"/>
    </row>
    <row r="1682" spans="1:44" ht="16.8">
      <c r="A1682" s="78" t="s">
        <v>3303</v>
      </c>
      <c r="B1682" s="79">
        <v>648</v>
      </c>
      <c r="C1682" s="79" t="s">
        <v>3304</v>
      </c>
      <c r="D1682" s="19" t="s">
        <v>3305</v>
      </c>
      <c r="E1682" s="20" t="s">
        <v>414</v>
      </c>
      <c r="F1682" s="21">
        <v>1993</v>
      </c>
      <c r="G1682" s="40">
        <v>2021</v>
      </c>
      <c r="H1682" s="23">
        <v>10058956068240</v>
      </c>
      <c r="I1682" s="23">
        <v>15529385723970</v>
      </c>
      <c r="J1682" s="23">
        <v>7594644822016</v>
      </c>
      <c r="K1682" s="23">
        <v>6378893282422</v>
      </c>
      <c r="L1682" s="23">
        <v>5992745217951</v>
      </c>
      <c r="M1682" s="23">
        <v>7934740901954</v>
      </c>
      <c r="N1682" s="23">
        <v>9462888295206</v>
      </c>
      <c r="O1682" s="25">
        <f t="shared" si="572"/>
        <v>4066210850289</v>
      </c>
      <c r="P1682" s="23">
        <v>510754725421</v>
      </c>
      <c r="Q1682" s="23">
        <v>1300503262808</v>
      </c>
      <c r="R1682" s="25">
        <f t="shared" si="573"/>
        <v>8162385032398</v>
      </c>
      <c r="S1682" s="26">
        <f t="shared" si="574"/>
        <v>0.48904991845836332</v>
      </c>
      <c r="T1682" s="27">
        <f t="shared" si="575"/>
        <v>1.6785222301974139</v>
      </c>
      <c r="U1682" s="26">
        <f t="shared" si="576"/>
        <v>30.373755198151674</v>
      </c>
      <c r="V1682" s="26">
        <f t="shared" si="577"/>
        <v>1.4834686639581214</v>
      </c>
      <c r="W1682" s="143"/>
      <c r="X1682" s="143"/>
      <c r="Y1682" s="143"/>
      <c r="Z1682" s="30">
        <f t="shared" si="619"/>
        <v>0</v>
      </c>
      <c r="AA1682" s="31">
        <f t="shared" si="548"/>
        <v>28</v>
      </c>
      <c r="AB1682" s="32">
        <v>1.84E-2</v>
      </c>
      <c r="AC1682" s="32">
        <v>2.58E-2</v>
      </c>
      <c r="AD1682" s="33">
        <f t="shared" si="602"/>
        <v>0.26183977412659026</v>
      </c>
      <c r="AE1682" s="34">
        <f t="shared" si="603"/>
        <v>3.2889563985305431E-2</v>
      </c>
      <c r="AF1682" s="33">
        <f t="shared" si="604"/>
        <v>0.52560900846188341</v>
      </c>
      <c r="AG1682" s="33">
        <f t="shared" si="605"/>
        <v>0</v>
      </c>
      <c r="AH1682" s="35">
        <f t="shared" si="606"/>
        <v>1.2459948446534561</v>
      </c>
      <c r="AI1682" s="36">
        <f t="shared" si="582"/>
        <v>3.3407576911090073</v>
      </c>
      <c r="AJ1682" s="23"/>
      <c r="AK1682" s="173">
        <v>846</v>
      </c>
      <c r="AL1682" s="44"/>
      <c r="AM1682" s="44"/>
      <c r="AN1682" s="44"/>
      <c r="AO1682" s="44"/>
      <c r="AP1682" s="44"/>
      <c r="AQ1682" s="44"/>
      <c r="AR1682" s="44"/>
    </row>
    <row r="1683" spans="1:44" ht="16.8">
      <c r="A1683" s="78" t="s">
        <v>3306</v>
      </c>
      <c r="B1683" s="79"/>
      <c r="C1683" s="79" t="s">
        <v>3304</v>
      </c>
      <c r="D1683" s="19" t="s">
        <v>3305</v>
      </c>
      <c r="E1683" s="20" t="s">
        <v>414</v>
      </c>
      <c r="F1683" s="21">
        <v>1993</v>
      </c>
      <c r="G1683" s="40">
        <v>2022</v>
      </c>
      <c r="H1683" s="23">
        <v>10114920098521</v>
      </c>
      <c r="I1683" s="23">
        <v>16081598046958</v>
      </c>
      <c r="J1683" s="23">
        <v>8203214264883</v>
      </c>
      <c r="K1683" s="23">
        <v>7898929543450</v>
      </c>
      <c r="L1683" s="23">
        <v>7812635745585</v>
      </c>
      <c r="M1683" s="23">
        <v>7878383782075</v>
      </c>
      <c r="N1683" s="23">
        <v>14094610978836</v>
      </c>
      <c r="O1683" s="25">
        <f t="shared" si="572"/>
        <v>2302284352936</v>
      </c>
      <c r="P1683" s="23">
        <v>794302277402</v>
      </c>
      <c r="Q1683" s="23">
        <v>1866322871363</v>
      </c>
      <c r="R1683" s="25">
        <f t="shared" si="573"/>
        <v>12228288107473</v>
      </c>
      <c r="S1683" s="26">
        <f t="shared" si="574"/>
        <v>0.5100994466426626</v>
      </c>
      <c r="T1683" s="27">
        <f t="shared" si="575"/>
        <v>1.294687276856219</v>
      </c>
      <c r="U1683" s="26">
        <f t="shared" si="576"/>
        <v>30.408696755771128</v>
      </c>
      <c r="V1683" s="26">
        <f t="shared" si="577"/>
        <v>1.7843697555858846</v>
      </c>
      <c r="W1683" s="143"/>
      <c r="X1683" s="143"/>
      <c r="Y1683" s="143"/>
      <c r="Z1683" s="30">
        <f t="shared" si="619"/>
        <v>0</v>
      </c>
      <c r="AA1683" s="31">
        <f t="shared" si="548"/>
        <v>29</v>
      </c>
      <c r="AB1683" s="32">
        <v>3.15E-2</v>
      </c>
      <c r="AC1683" s="32">
        <v>8.0199999999999994E-2</v>
      </c>
      <c r="AD1683" s="33">
        <f t="shared" si="602"/>
        <v>0.14316265996783203</v>
      </c>
      <c r="AE1683" s="34">
        <f t="shared" si="603"/>
        <v>4.9391999170893992E-2</v>
      </c>
      <c r="AF1683" s="33">
        <f t="shared" si="604"/>
        <v>0.76039010997331247</v>
      </c>
      <c r="AG1683" s="33">
        <f t="shared" si="605"/>
        <v>0</v>
      </c>
      <c r="AH1683" s="35">
        <f t="shared" si="606"/>
        <v>1.7181814985832298</v>
      </c>
      <c r="AI1683" s="36">
        <f t="shared" si="582"/>
        <v>4.4684128522958115</v>
      </c>
      <c r="AJ1683" s="23"/>
      <c r="AK1683" s="173">
        <v>847</v>
      </c>
      <c r="AL1683" s="44"/>
      <c r="AM1683" s="44"/>
      <c r="AN1683" s="44"/>
      <c r="AO1683" s="44"/>
      <c r="AP1683" s="44"/>
      <c r="AQ1683" s="44"/>
      <c r="AR1683" s="44"/>
    </row>
    <row r="1684" spans="1:44" ht="16.8">
      <c r="A1684" s="78" t="s">
        <v>3307</v>
      </c>
      <c r="B1684" s="79"/>
      <c r="C1684" s="79" t="s">
        <v>3304</v>
      </c>
      <c r="D1684" s="19" t="s">
        <v>3305</v>
      </c>
      <c r="E1684" s="20" t="s">
        <v>414</v>
      </c>
      <c r="F1684" s="21">
        <v>1993</v>
      </c>
      <c r="G1684" s="40">
        <v>2023</v>
      </c>
      <c r="H1684" s="23">
        <v>14280778689366</v>
      </c>
      <c r="I1684" s="23">
        <v>20188140662749</v>
      </c>
      <c r="J1684" s="23">
        <v>11844692468278</v>
      </c>
      <c r="K1684" s="23">
        <v>10023953366581</v>
      </c>
      <c r="L1684" s="23">
        <v>10865676770435</v>
      </c>
      <c r="M1684" s="23">
        <v>8343448194471</v>
      </c>
      <c r="N1684" s="23">
        <v>13716602098224</v>
      </c>
      <c r="O1684" s="25">
        <f t="shared" si="572"/>
        <v>3415101918931</v>
      </c>
      <c r="P1684" s="23">
        <v>817117336270</v>
      </c>
      <c r="Q1684" s="23">
        <v>1720347475551</v>
      </c>
      <c r="R1684" s="25">
        <f t="shared" si="573"/>
        <v>11996254622673</v>
      </c>
      <c r="S1684" s="26">
        <f t="shared" si="574"/>
        <v>0.58671537246289029</v>
      </c>
      <c r="T1684" s="27">
        <f t="shared" si="575"/>
        <v>1.3143018139673852</v>
      </c>
      <c r="U1684" s="26">
        <f t="shared" si="576"/>
        <v>30.636116452023909</v>
      </c>
      <c r="V1684" s="26">
        <f t="shared" si="577"/>
        <v>1.3683824731222287</v>
      </c>
      <c r="W1684" s="143"/>
      <c r="X1684" s="143"/>
      <c r="Y1684" s="143"/>
      <c r="Z1684" s="30">
        <f t="shared" si="619"/>
        <v>0</v>
      </c>
      <c r="AA1684" s="31">
        <f t="shared" si="548"/>
        <v>30</v>
      </c>
      <c r="AB1684" s="32">
        <v>3.2500000000000001E-2</v>
      </c>
      <c r="AC1684" s="32">
        <v>5.0500000000000003E-2</v>
      </c>
      <c r="AD1684" s="33">
        <f t="shared" si="602"/>
        <v>0.16916376678673137</v>
      </c>
      <c r="AE1684" s="34">
        <f t="shared" si="603"/>
        <v>4.0475116055523556E-2</v>
      </c>
      <c r="AF1684" s="33">
        <f t="shared" si="604"/>
        <v>0.59422285702657085</v>
      </c>
      <c r="AG1684" s="33">
        <f t="shared" si="605"/>
        <v>0</v>
      </c>
      <c r="AH1684" s="35">
        <f t="shared" si="606"/>
        <v>1.1580378414179411</v>
      </c>
      <c r="AI1684" s="36">
        <f t="shared" si="582"/>
        <v>3.3786349522274355</v>
      </c>
      <c r="AJ1684" s="23"/>
      <c r="AK1684" s="173">
        <v>848</v>
      </c>
      <c r="AL1684" s="44"/>
      <c r="AM1684" s="44"/>
      <c r="AN1684" s="44"/>
      <c r="AO1684" s="44"/>
      <c r="AP1684" s="44"/>
      <c r="AQ1684" s="44"/>
      <c r="AR1684" s="44"/>
    </row>
    <row r="1685" spans="1:44" ht="16.8">
      <c r="A1685" s="78" t="s">
        <v>3308</v>
      </c>
      <c r="B1685" s="79">
        <v>649</v>
      </c>
      <c r="C1685" s="79" t="s">
        <v>3309</v>
      </c>
      <c r="D1685" s="19" t="s">
        <v>3310</v>
      </c>
      <c r="E1685" s="20" t="s">
        <v>414</v>
      </c>
      <c r="F1685" s="21">
        <v>1988</v>
      </c>
      <c r="G1685" s="40">
        <v>2021</v>
      </c>
      <c r="H1685" s="23">
        <v>6589439946263</v>
      </c>
      <c r="I1685" s="23">
        <v>18687035417527</v>
      </c>
      <c r="J1685" s="23">
        <v>12406199375288</v>
      </c>
      <c r="K1685" s="23">
        <v>9179170733047</v>
      </c>
      <c r="L1685" s="23">
        <v>5798709308694</v>
      </c>
      <c r="M1685" s="23">
        <v>6280836042239</v>
      </c>
      <c r="N1685" s="23">
        <v>9828463180375</v>
      </c>
      <c r="O1685" s="25">
        <f t="shared" si="572"/>
        <v>790730637569</v>
      </c>
      <c r="P1685" s="23">
        <v>764289966590</v>
      </c>
      <c r="Q1685" s="23">
        <v>296774997251</v>
      </c>
      <c r="R1685" s="25">
        <f t="shared" si="573"/>
        <v>9531688183124</v>
      </c>
      <c r="S1685" s="26">
        <f t="shared" si="574"/>
        <v>0.66389339443601314</v>
      </c>
      <c r="T1685" s="27">
        <f t="shared" si="575"/>
        <v>1.136363213859239</v>
      </c>
      <c r="U1685" s="26">
        <f t="shared" si="576"/>
        <v>30.558851106169861</v>
      </c>
      <c r="V1685" s="26">
        <f t="shared" si="577"/>
        <v>1.0707354145827581</v>
      </c>
      <c r="W1685" s="143"/>
      <c r="X1685" s="143"/>
      <c r="Y1685" s="143"/>
      <c r="Z1685" s="30">
        <f t="shared" si="619"/>
        <v>0</v>
      </c>
      <c r="AA1685" s="31">
        <f t="shared" si="548"/>
        <v>33</v>
      </c>
      <c r="AB1685" s="32">
        <v>1.84E-2</v>
      </c>
      <c r="AC1685" s="32">
        <v>2.58E-2</v>
      </c>
      <c r="AD1685" s="33">
        <f t="shared" si="602"/>
        <v>4.2314397115518688E-2</v>
      </c>
      <c r="AE1685" s="34">
        <f t="shared" si="603"/>
        <v>4.0899476536184809E-2</v>
      </c>
      <c r="AF1685" s="33">
        <f t="shared" si="604"/>
        <v>0.51006957337834391</v>
      </c>
      <c r="AG1685" s="33">
        <f t="shared" si="605"/>
        <v>0</v>
      </c>
      <c r="AH1685" s="35">
        <f t="shared" si="606"/>
        <v>0.79222192736579655</v>
      </c>
      <c r="AI1685" s="36">
        <f t="shared" si="582"/>
        <v>2.5834880632036126</v>
      </c>
      <c r="AJ1685" s="23"/>
      <c r="AK1685" s="173">
        <v>849</v>
      </c>
      <c r="AL1685" s="44"/>
      <c r="AM1685" s="44"/>
      <c r="AN1685" s="44"/>
      <c r="AO1685" s="44"/>
      <c r="AP1685" s="44"/>
      <c r="AQ1685" s="44"/>
      <c r="AR1685" s="44"/>
    </row>
    <row r="1686" spans="1:44" ht="16.8">
      <c r="A1686" s="78" t="s">
        <v>3311</v>
      </c>
      <c r="B1686" s="79"/>
      <c r="C1686" s="79" t="s">
        <v>3309</v>
      </c>
      <c r="D1686" s="19" t="s">
        <v>3310</v>
      </c>
      <c r="E1686" s="20" t="s">
        <v>414</v>
      </c>
      <c r="F1686" s="21">
        <v>1988</v>
      </c>
      <c r="G1686" s="40">
        <v>2022</v>
      </c>
      <c r="H1686" s="23">
        <v>7913404977944</v>
      </c>
      <c r="I1686" s="23">
        <v>21754413518378</v>
      </c>
      <c r="J1686" s="23">
        <v>14581667435007</v>
      </c>
      <c r="K1686" s="23">
        <v>13493933405148</v>
      </c>
      <c r="L1686" s="23">
        <v>5950347915950</v>
      </c>
      <c r="M1686" s="23">
        <v>7172746083371</v>
      </c>
      <c r="N1686" s="23">
        <v>8357602470324</v>
      </c>
      <c r="O1686" s="25">
        <f t="shared" si="572"/>
        <v>1963057061994</v>
      </c>
      <c r="P1686" s="23">
        <v>536931903723</v>
      </c>
      <c r="Q1686" s="23">
        <v>276890295719</v>
      </c>
      <c r="R1686" s="25">
        <f t="shared" si="573"/>
        <v>8080712174605</v>
      </c>
      <c r="S1686" s="26">
        <f t="shared" si="574"/>
        <v>0.67028547667757132</v>
      </c>
      <c r="T1686" s="27">
        <f t="shared" si="575"/>
        <v>1.3299062659398444</v>
      </c>
      <c r="U1686" s="26">
        <f t="shared" si="576"/>
        <v>30.710837773262881</v>
      </c>
      <c r="V1686" s="26">
        <f t="shared" si="577"/>
        <v>0.61935999084859383</v>
      </c>
      <c r="W1686" s="143"/>
      <c r="X1686" s="143"/>
      <c r="Y1686" s="143"/>
      <c r="Z1686" s="30">
        <f t="shared" si="619"/>
        <v>0</v>
      </c>
      <c r="AA1686" s="31">
        <f t="shared" si="548"/>
        <v>34</v>
      </c>
      <c r="AB1686" s="32">
        <v>3.15E-2</v>
      </c>
      <c r="AC1686" s="32">
        <v>8.0199999999999994E-2</v>
      </c>
      <c r="AD1686" s="33">
        <f t="shared" si="602"/>
        <v>9.0237186138602224E-2</v>
      </c>
      <c r="AE1686" s="34">
        <f t="shared" si="603"/>
        <v>2.468151592638446E-2</v>
      </c>
      <c r="AF1686" s="33">
        <f t="shared" si="604"/>
        <v>0.37145162142746169</v>
      </c>
      <c r="AG1686" s="33">
        <f t="shared" si="605"/>
        <v>0</v>
      </c>
      <c r="AH1686" s="35">
        <f t="shared" si="606"/>
        <v>0.57315821442062587</v>
      </c>
      <c r="AI1686" s="36">
        <f t="shared" si="582"/>
        <v>1.9417873107945103</v>
      </c>
      <c r="AJ1686" s="23"/>
      <c r="AK1686" s="173">
        <v>850</v>
      </c>
      <c r="AL1686" s="44"/>
      <c r="AM1686" s="44"/>
      <c r="AN1686" s="44"/>
      <c r="AO1686" s="44"/>
      <c r="AP1686" s="44"/>
      <c r="AQ1686" s="44"/>
      <c r="AR1686" s="44"/>
    </row>
    <row r="1687" spans="1:44" ht="16.8">
      <c r="A1687" s="78" t="s">
        <v>3312</v>
      </c>
      <c r="B1687" s="79"/>
      <c r="C1687" s="79" t="s">
        <v>3309</v>
      </c>
      <c r="D1687" s="19" t="s">
        <v>3310</v>
      </c>
      <c r="E1687" s="20" t="s">
        <v>414</v>
      </c>
      <c r="F1687" s="21">
        <v>1988</v>
      </c>
      <c r="G1687" s="40">
        <v>2023</v>
      </c>
      <c r="H1687" s="23">
        <v>6868401655191</v>
      </c>
      <c r="I1687" s="23">
        <v>20234797569414</v>
      </c>
      <c r="J1687" s="23">
        <v>12964400258570</v>
      </c>
      <c r="K1687" s="23">
        <v>13773033846789</v>
      </c>
      <c r="L1687" s="23">
        <v>4714620923896</v>
      </c>
      <c r="M1687" s="23">
        <v>7270397310844</v>
      </c>
      <c r="N1687" s="23">
        <v>7775239783868</v>
      </c>
      <c r="O1687" s="25">
        <f t="shared" si="572"/>
        <v>2153780731295</v>
      </c>
      <c r="P1687" s="23">
        <v>303032989501</v>
      </c>
      <c r="Q1687" s="23">
        <v>391189688149</v>
      </c>
      <c r="R1687" s="25">
        <f t="shared" si="573"/>
        <v>7384050095719</v>
      </c>
      <c r="S1687" s="26">
        <f t="shared" si="574"/>
        <v>0.64069829283424107</v>
      </c>
      <c r="T1687" s="27">
        <f t="shared" si="575"/>
        <v>1.4568300964301473</v>
      </c>
      <c r="U1687" s="26">
        <f t="shared" si="576"/>
        <v>30.638424890223831</v>
      </c>
      <c r="V1687" s="26">
        <f t="shared" si="577"/>
        <v>0.56452629612034921</v>
      </c>
      <c r="W1687" s="143"/>
      <c r="X1687" s="143"/>
      <c r="Y1687" s="143"/>
      <c r="Z1687" s="30">
        <f t="shared" si="619"/>
        <v>0</v>
      </c>
      <c r="AA1687" s="31">
        <f t="shared" si="548"/>
        <v>35</v>
      </c>
      <c r="AB1687" s="32">
        <v>3.2500000000000001E-2</v>
      </c>
      <c r="AC1687" s="32">
        <v>5.0500000000000003E-2</v>
      </c>
      <c r="AD1687" s="33">
        <f t="shared" si="602"/>
        <v>0.1064394503531163</v>
      </c>
      <c r="AE1687" s="34">
        <f t="shared" si="603"/>
        <v>1.4975834992243801E-2</v>
      </c>
      <c r="AF1687" s="33">
        <f t="shared" si="604"/>
        <v>0.36491840703563028</v>
      </c>
      <c r="AG1687" s="33">
        <f t="shared" si="605"/>
        <v>0</v>
      </c>
      <c r="AH1687" s="35">
        <f t="shared" si="606"/>
        <v>0.59973771472600501</v>
      </c>
      <c r="AI1687" s="36">
        <f t="shared" si="582"/>
        <v>1.9526619673564658</v>
      </c>
      <c r="AJ1687" s="23"/>
      <c r="AK1687" s="173">
        <v>851</v>
      </c>
      <c r="AL1687" s="44"/>
      <c r="AM1687" s="44"/>
      <c r="AN1687" s="44"/>
      <c r="AO1687" s="44"/>
      <c r="AP1687" s="44"/>
      <c r="AQ1687" s="44"/>
      <c r="AR1687" s="44"/>
    </row>
    <row r="1688" spans="1:44" ht="16.8">
      <c r="A1688" s="78" t="s">
        <v>3313</v>
      </c>
      <c r="B1688" s="79">
        <v>650</v>
      </c>
      <c r="C1688" s="79" t="s">
        <v>3314</v>
      </c>
      <c r="D1688" s="19" t="s">
        <v>3315</v>
      </c>
      <c r="E1688" s="20" t="s">
        <v>414</v>
      </c>
      <c r="F1688" s="21">
        <v>1989</v>
      </c>
      <c r="G1688" s="40">
        <v>2021</v>
      </c>
      <c r="H1688" s="23">
        <v>378414901630</v>
      </c>
      <c r="I1688" s="23">
        <v>1141847598506</v>
      </c>
      <c r="J1688" s="23">
        <v>417026120870</v>
      </c>
      <c r="K1688" s="23">
        <v>417026125870</v>
      </c>
      <c r="L1688" s="23">
        <v>280526114978</v>
      </c>
      <c r="M1688" s="23">
        <v>724821477636</v>
      </c>
      <c r="N1688" s="23">
        <v>892513207236</v>
      </c>
      <c r="O1688" s="25">
        <f t="shared" si="572"/>
        <v>97888786652</v>
      </c>
      <c r="P1688" s="23">
        <v>160781262644</v>
      </c>
      <c r="Q1688" s="23">
        <v>66668348942</v>
      </c>
      <c r="R1688" s="25">
        <f t="shared" si="573"/>
        <v>825844858294</v>
      </c>
      <c r="S1688" s="26">
        <f t="shared" si="574"/>
        <v>0.36522047374416639</v>
      </c>
      <c r="T1688" s="27">
        <f t="shared" si="575"/>
        <v>1.3489471440463816</v>
      </c>
      <c r="U1688" s="26">
        <f t="shared" si="576"/>
        <v>27.763668766861141</v>
      </c>
      <c r="V1688" s="26">
        <f t="shared" si="577"/>
        <v>2.1401853549919414</v>
      </c>
      <c r="W1688" s="143"/>
      <c r="X1688" s="143"/>
      <c r="Y1688" s="143"/>
      <c r="Z1688" s="30">
        <f t="shared" si="619"/>
        <v>0</v>
      </c>
      <c r="AA1688" s="31">
        <f t="shared" si="548"/>
        <v>32</v>
      </c>
      <c r="AB1688" s="32">
        <v>1.84E-2</v>
      </c>
      <c r="AC1688" s="32">
        <v>2.58E-2</v>
      </c>
      <c r="AD1688" s="33">
        <f t="shared" si="602"/>
        <v>8.5728416629398049E-2</v>
      </c>
      <c r="AE1688" s="34">
        <f t="shared" si="603"/>
        <v>0.14080798773353567</v>
      </c>
      <c r="AF1688" s="33">
        <f t="shared" si="604"/>
        <v>0.72325313761183208</v>
      </c>
      <c r="AG1688" s="33">
        <f t="shared" si="605"/>
        <v>0</v>
      </c>
      <c r="AH1688" s="35">
        <f t="shared" si="606"/>
        <v>2.1401853806520288</v>
      </c>
      <c r="AI1688" s="36">
        <f t="shared" si="582"/>
        <v>4.8269260175533022</v>
      </c>
      <c r="AJ1688" s="23"/>
      <c r="AK1688" s="173">
        <v>852</v>
      </c>
      <c r="AL1688" s="44"/>
      <c r="AM1688" s="44"/>
      <c r="AN1688" s="44"/>
      <c r="AO1688" s="44"/>
      <c r="AP1688" s="44"/>
      <c r="AQ1688" s="44"/>
      <c r="AR1688" s="44"/>
    </row>
    <row r="1689" spans="1:44" ht="16.8">
      <c r="A1689" s="78" t="s">
        <v>3316</v>
      </c>
      <c r="B1689" s="79"/>
      <c r="C1689" s="79" t="s">
        <v>3314</v>
      </c>
      <c r="D1689" s="19" t="s">
        <v>3315</v>
      </c>
      <c r="E1689" s="20" t="s">
        <v>414</v>
      </c>
      <c r="F1689" s="21">
        <v>1989</v>
      </c>
      <c r="G1689" s="40">
        <v>2022</v>
      </c>
      <c r="H1689" s="23">
        <v>467451246958</v>
      </c>
      <c r="I1689" s="23">
        <v>1238256468210</v>
      </c>
      <c r="J1689" s="23">
        <v>410314957786</v>
      </c>
      <c r="K1689" s="23">
        <v>413670539328</v>
      </c>
      <c r="L1689" s="23">
        <v>292930951894</v>
      </c>
      <c r="M1689" s="23">
        <v>827941510424</v>
      </c>
      <c r="N1689" s="23">
        <v>1067545444509</v>
      </c>
      <c r="O1689" s="25">
        <f t="shared" si="572"/>
        <v>174520295064</v>
      </c>
      <c r="P1689" s="23">
        <v>234192998788</v>
      </c>
      <c r="Q1689" s="23">
        <v>75056253815</v>
      </c>
      <c r="R1689" s="25">
        <f t="shared" si="573"/>
        <v>992489190694</v>
      </c>
      <c r="S1689" s="26">
        <f t="shared" si="574"/>
        <v>0.3313650833410493</v>
      </c>
      <c r="T1689" s="27">
        <f t="shared" si="575"/>
        <v>1.595772805624009</v>
      </c>
      <c r="U1689" s="26">
        <f t="shared" si="576"/>
        <v>27.844725432071616</v>
      </c>
      <c r="V1689" s="26">
        <f t="shared" si="577"/>
        <v>2.5806658754167207</v>
      </c>
      <c r="W1689" s="143"/>
      <c r="X1689" s="143"/>
      <c r="Y1689" s="143"/>
      <c r="Z1689" s="30">
        <f t="shared" si="619"/>
        <v>0</v>
      </c>
      <c r="AA1689" s="31">
        <f t="shared" si="548"/>
        <v>33</v>
      </c>
      <c r="AB1689" s="32">
        <v>3.15E-2</v>
      </c>
      <c r="AC1689" s="32">
        <v>8.0199999999999994E-2</v>
      </c>
      <c r="AD1689" s="33">
        <f t="shared" si="602"/>
        <v>0.14094034599817856</v>
      </c>
      <c r="AE1689" s="34">
        <f t="shared" si="603"/>
        <v>0.18913125414684484</v>
      </c>
      <c r="AF1689" s="33">
        <f t="shared" si="604"/>
        <v>0.80152150719529336</v>
      </c>
      <c r="AG1689" s="33">
        <f t="shared" si="605"/>
        <v>0</v>
      </c>
      <c r="AH1689" s="35">
        <f t="shared" si="606"/>
        <v>2.6017707233226894</v>
      </c>
      <c r="AI1689" s="36">
        <f t="shared" si="582"/>
        <v>5.6807038680705544</v>
      </c>
      <c r="AJ1689" s="23"/>
      <c r="AK1689" s="173">
        <v>853</v>
      </c>
      <c r="AL1689" s="44"/>
      <c r="AM1689" s="44"/>
      <c r="AN1689" s="44"/>
      <c r="AO1689" s="44"/>
      <c r="AP1689" s="44"/>
      <c r="AQ1689" s="44"/>
      <c r="AR1689" s="44"/>
    </row>
    <row r="1690" spans="1:44" ht="16.8">
      <c r="A1690" s="78" t="s">
        <v>3317</v>
      </c>
      <c r="B1690" s="79"/>
      <c r="C1690" s="79" t="s">
        <v>3314</v>
      </c>
      <c r="D1690" s="19" t="s">
        <v>3315</v>
      </c>
      <c r="E1690" s="20" t="s">
        <v>414</v>
      </c>
      <c r="F1690" s="21">
        <v>1989</v>
      </c>
      <c r="G1690" s="40">
        <v>2023</v>
      </c>
      <c r="H1690" s="23">
        <v>627951986972</v>
      </c>
      <c r="I1690" s="23">
        <v>1359305854962</v>
      </c>
      <c r="J1690" s="23">
        <v>358844022366</v>
      </c>
      <c r="K1690" s="23">
        <v>384579490076</v>
      </c>
      <c r="L1690" s="23">
        <v>270613098791</v>
      </c>
      <c r="M1690" s="23">
        <v>1000461832596</v>
      </c>
      <c r="N1690" s="23">
        <v>1167236966484</v>
      </c>
      <c r="O1690" s="25">
        <f t="shared" si="572"/>
        <v>357338888181</v>
      </c>
      <c r="P1690" s="23">
        <v>194575464772</v>
      </c>
      <c r="Q1690" s="23">
        <v>74570931028</v>
      </c>
      <c r="R1690" s="25">
        <f t="shared" si="573"/>
        <v>1092666035456</v>
      </c>
      <c r="S1690" s="26">
        <f t="shared" si="574"/>
        <v>0.26399063982258181</v>
      </c>
      <c r="T1690" s="27">
        <f t="shared" si="575"/>
        <v>2.3204789043008596</v>
      </c>
      <c r="U1690" s="26">
        <f t="shared" si="576"/>
        <v>27.937995284614466</v>
      </c>
      <c r="V1690" s="26">
        <f t="shared" si="577"/>
        <v>3.0350993659420902</v>
      </c>
      <c r="W1690" s="143"/>
      <c r="X1690" s="143"/>
      <c r="Y1690" s="143"/>
      <c r="Z1690" s="30">
        <f t="shared" si="619"/>
        <v>0</v>
      </c>
      <c r="AA1690" s="31">
        <f t="shared" si="548"/>
        <v>34</v>
      </c>
      <c r="AB1690" s="32">
        <v>3.2500000000000001E-2</v>
      </c>
      <c r="AC1690" s="32">
        <v>5.0500000000000003E-2</v>
      </c>
      <c r="AD1690" s="33">
        <f t="shared" si="602"/>
        <v>0.26288335835277454</v>
      </c>
      <c r="AE1690" s="34">
        <f t="shared" si="603"/>
        <v>0.14314325511195525</v>
      </c>
      <c r="AF1690" s="33">
        <f t="shared" si="604"/>
        <v>0.80384118958021111</v>
      </c>
      <c r="AG1690" s="33">
        <f t="shared" si="605"/>
        <v>0</v>
      </c>
      <c r="AH1690" s="35">
        <f t="shared" si="606"/>
        <v>3.2527697097695731</v>
      </c>
      <c r="AI1690" s="36">
        <f t="shared" si="582"/>
        <v>6.4213062225643363</v>
      </c>
      <c r="AJ1690" s="23"/>
      <c r="AK1690" s="173">
        <v>854</v>
      </c>
      <c r="AL1690" s="44"/>
      <c r="AM1690" s="44"/>
      <c r="AN1690" s="44"/>
      <c r="AO1690" s="44"/>
      <c r="AP1690" s="44"/>
      <c r="AQ1690" s="44"/>
      <c r="AR1690" s="44"/>
    </row>
    <row r="1691" spans="1:44" ht="16.8">
      <c r="A1691" s="78" t="s">
        <v>3318</v>
      </c>
      <c r="B1691" s="79">
        <v>651</v>
      </c>
      <c r="C1691" s="79" t="s">
        <v>3319</v>
      </c>
      <c r="D1691" s="19" t="s">
        <v>3320</v>
      </c>
      <c r="E1691" s="20" t="s">
        <v>414</v>
      </c>
      <c r="F1691" s="21">
        <v>2004</v>
      </c>
      <c r="G1691" s="40">
        <v>2021</v>
      </c>
      <c r="H1691" s="23">
        <v>15337063138490</v>
      </c>
      <c r="I1691" s="23">
        <v>20551878969983</v>
      </c>
      <c r="J1691" s="23">
        <v>12407367762866</v>
      </c>
      <c r="K1691" s="23">
        <v>11415289910439</v>
      </c>
      <c r="L1691" s="23">
        <v>8731172971194</v>
      </c>
      <c r="M1691" s="23">
        <v>8144511207117</v>
      </c>
      <c r="N1691" s="23">
        <v>3620224205834</v>
      </c>
      <c r="O1691" s="25">
        <f t="shared" si="572"/>
        <v>6605890167296</v>
      </c>
      <c r="P1691" s="23">
        <v>1860606785879</v>
      </c>
      <c r="Q1691" s="23">
        <v>238933670059</v>
      </c>
      <c r="R1691" s="25">
        <f t="shared" si="573"/>
        <v>3381290535775</v>
      </c>
      <c r="S1691" s="26">
        <f t="shared" si="574"/>
        <v>0.60370965501439322</v>
      </c>
      <c r="T1691" s="27">
        <f t="shared" si="575"/>
        <v>1.7565867941329578</v>
      </c>
      <c r="U1691" s="26">
        <f t="shared" si="576"/>
        <v>30.653973486753387</v>
      </c>
      <c r="V1691" s="26">
        <f t="shared" si="577"/>
        <v>0.31713817469702582</v>
      </c>
      <c r="W1691" s="143"/>
      <c r="X1691" s="143"/>
      <c r="Y1691" s="143"/>
      <c r="Z1691" s="30">
        <f t="shared" si="619"/>
        <v>0</v>
      </c>
      <c r="AA1691" s="31">
        <f t="shared" si="548"/>
        <v>17</v>
      </c>
      <c r="AB1691" s="32">
        <v>1.84E-2</v>
      </c>
      <c r="AC1691" s="32">
        <v>2.58E-2</v>
      </c>
      <c r="AD1691" s="33">
        <f t="shared" si="602"/>
        <v>0.32142512015296598</v>
      </c>
      <c r="AE1691" s="34">
        <f t="shared" si="603"/>
        <v>9.0532198471804215E-2</v>
      </c>
      <c r="AF1691" s="33">
        <f t="shared" si="604"/>
        <v>0.16452464228275848</v>
      </c>
      <c r="AG1691" s="33">
        <f t="shared" si="605"/>
        <v>0</v>
      </c>
      <c r="AH1691" s="35">
        <f t="shared" si="606"/>
        <v>0.29178019665613247</v>
      </c>
      <c r="AI1691" s="36">
        <f t="shared" si="582"/>
        <v>1.3471667382333203</v>
      </c>
      <c r="AJ1691" s="23"/>
      <c r="AK1691" s="173">
        <v>855</v>
      </c>
      <c r="AL1691" s="44"/>
      <c r="AM1691" s="44"/>
      <c r="AN1691" s="44"/>
      <c r="AO1691" s="44"/>
      <c r="AP1691" s="44"/>
      <c r="AQ1691" s="44"/>
      <c r="AR1691" s="44"/>
    </row>
    <row r="1692" spans="1:44" ht="16.8">
      <c r="A1692" s="78" t="s">
        <v>3321</v>
      </c>
      <c r="B1692" s="79"/>
      <c r="C1692" s="79" t="s">
        <v>3319</v>
      </c>
      <c r="D1692" s="19" t="s">
        <v>3320</v>
      </c>
      <c r="E1692" s="20" t="s">
        <v>414</v>
      </c>
      <c r="F1692" s="21">
        <v>2004</v>
      </c>
      <c r="G1692" s="40">
        <v>2022</v>
      </c>
      <c r="H1692" s="23">
        <v>18216542992545</v>
      </c>
      <c r="I1692" s="23">
        <v>22843295507162</v>
      </c>
      <c r="J1692" s="23">
        <v>13582765739708</v>
      </c>
      <c r="K1692" s="23">
        <v>12995066751287</v>
      </c>
      <c r="L1692" s="23">
        <v>11028794139708</v>
      </c>
      <c r="M1692" s="23">
        <v>9260529767454</v>
      </c>
      <c r="N1692" s="23">
        <v>1504574748971</v>
      </c>
      <c r="O1692" s="25">
        <f t="shared" si="572"/>
        <v>7187748852837</v>
      </c>
      <c r="P1692" s="23">
        <v>1160632130494</v>
      </c>
      <c r="Q1692" s="23">
        <v>300754305716</v>
      </c>
      <c r="R1692" s="25">
        <f t="shared" si="573"/>
        <v>1203820443255</v>
      </c>
      <c r="S1692" s="26">
        <f t="shared" si="574"/>
        <v>0.59460622638486771</v>
      </c>
      <c r="T1692" s="27">
        <f t="shared" si="575"/>
        <v>1.6517257246608925</v>
      </c>
      <c r="U1692" s="26">
        <f t="shared" si="576"/>
        <v>30.759678776961366</v>
      </c>
      <c r="V1692" s="26">
        <f t="shared" si="577"/>
        <v>0.11578045559650477</v>
      </c>
      <c r="W1692" s="143"/>
      <c r="X1692" s="143"/>
      <c r="Y1692" s="143"/>
      <c r="Z1692" s="30">
        <f t="shared" si="619"/>
        <v>0</v>
      </c>
      <c r="AA1692" s="31">
        <f t="shared" si="548"/>
        <v>18</v>
      </c>
      <c r="AB1692" s="32">
        <v>3.15E-2</v>
      </c>
      <c r="AC1692" s="32">
        <v>8.0199999999999994E-2</v>
      </c>
      <c r="AD1692" s="33">
        <f t="shared" si="602"/>
        <v>0.3146546368751148</v>
      </c>
      <c r="AE1692" s="34">
        <f t="shared" si="603"/>
        <v>5.0808436555492179E-2</v>
      </c>
      <c r="AF1692" s="33">
        <f t="shared" si="604"/>
        <v>5.2699070625670856E-2</v>
      </c>
      <c r="AG1692" s="33">
        <f t="shared" si="605"/>
        <v>0</v>
      </c>
      <c r="AH1692" s="35">
        <f t="shared" si="606"/>
        <v>0.110770867863274</v>
      </c>
      <c r="AI1692" s="36">
        <f t="shared" si="582"/>
        <v>0.73339517635581464</v>
      </c>
      <c r="AJ1692" s="23"/>
      <c r="AK1692" s="173">
        <v>856</v>
      </c>
      <c r="AL1692" s="44"/>
      <c r="AM1692" s="44"/>
      <c r="AN1692" s="44"/>
      <c r="AO1692" s="44"/>
      <c r="AP1692" s="44"/>
      <c r="AQ1692" s="44"/>
      <c r="AR1692" s="44"/>
    </row>
    <row r="1693" spans="1:44" ht="16.8">
      <c r="A1693" s="78" t="s">
        <v>3322</v>
      </c>
      <c r="B1693" s="79"/>
      <c r="C1693" s="79" t="s">
        <v>3319</v>
      </c>
      <c r="D1693" s="19" t="s">
        <v>3320</v>
      </c>
      <c r="E1693" s="20" t="s">
        <v>414</v>
      </c>
      <c r="F1693" s="21">
        <v>2004</v>
      </c>
      <c r="G1693" s="40">
        <v>2023</v>
      </c>
      <c r="H1693" s="23">
        <v>16916369227862</v>
      </c>
      <c r="I1693" s="23">
        <v>21067822665509</v>
      </c>
      <c r="J1693" s="23">
        <v>11488430754796</v>
      </c>
      <c r="K1693" s="23">
        <v>12535598247252</v>
      </c>
      <c r="L1693" s="23">
        <v>9176987250177</v>
      </c>
      <c r="M1693" s="23">
        <v>9579391910713</v>
      </c>
      <c r="N1693" s="23">
        <v>617515216109</v>
      </c>
      <c r="O1693" s="25">
        <f t="shared" si="572"/>
        <v>7739381977685</v>
      </c>
      <c r="P1693" s="23">
        <v>684058609709</v>
      </c>
      <c r="Q1693" s="23">
        <v>213912736886</v>
      </c>
      <c r="R1693" s="25">
        <f t="shared" si="573"/>
        <v>403602479223</v>
      </c>
      <c r="S1693" s="26">
        <f t="shared" si="574"/>
        <v>0.54530698008979273</v>
      </c>
      <c r="T1693" s="27">
        <f t="shared" si="575"/>
        <v>1.8433467070073273</v>
      </c>
      <c r="U1693" s="26">
        <f t="shared" si="576"/>
        <v>30.67876800027053</v>
      </c>
      <c r="V1693" s="26">
        <f t="shared" si="577"/>
        <v>4.9260929070087979E-2</v>
      </c>
      <c r="W1693" s="143"/>
      <c r="X1693" s="143"/>
      <c r="Y1693" s="143"/>
      <c r="Z1693" s="30">
        <f t="shared" si="619"/>
        <v>0</v>
      </c>
      <c r="AA1693" s="31">
        <f t="shared" si="548"/>
        <v>19</v>
      </c>
      <c r="AB1693" s="32">
        <v>3.2500000000000001E-2</v>
      </c>
      <c r="AC1693" s="32">
        <v>5.0500000000000003E-2</v>
      </c>
      <c r="AD1693" s="33">
        <f t="shared" si="602"/>
        <v>0.36735556875345554</v>
      </c>
      <c r="AE1693" s="34">
        <f t="shared" si="603"/>
        <v>3.2469354834132935E-2</v>
      </c>
      <c r="AF1693" s="33">
        <f t="shared" si="604"/>
        <v>1.9157294307577129E-2</v>
      </c>
      <c r="AG1693" s="33">
        <f t="shared" si="605"/>
        <v>0</v>
      </c>
      <c r="AH1693" s="35">
        <f t="shared" si="606"/>
        <v>5.3751050016226973E-2</v>
      </c>
      <c r="AI1693" s="36">
        <f t="shared" si="582"/>
        <v>0.60325390050316419</v>
      </c>
      <c r="AJ1693" s="23"/>
      <c r="AK1693" s="173">
        <v>857</v>
      </c>
      <c r="AL1693" s="44"/>
      <c r="AM1693" s="44"/>
      <c r="AN1693" s="44"/>
      <c r="AO1693" s="44"/>
      <c r="AP1693" s="44"/>
      <c r="AQ1693" s="44"/>
      <c r="AR1693" s="44"/>
    </row>
    <row r="1694" spans="1:44" ht="16.8">
      <c r="A1694" s="259" t="s">
        <v>3323</v>
      </c>
      <c r="B1694" s="79">
        <v>652</v>
      </c>
      <c r="C1694" s="79" t="s">
        <v>3324</v>
      </c>
      <c r="D1694" s="19" t="s">
        <v>3325</v>
      </c>
      <c r="E1694" s="20" t="s">
        <v>414</v>
      </c>
      <c r="F1694" s="21">
        <v>1996</v>
      </c>
      <c r="G1694" s="40">
        <v>2021</v>
      </c>
      <c r="H1694" s="23">
        <v>7164336982000</v>
      </c>
      <c r="I1694" s="23">
        <v>8493140366000</v>
      </c>
      <c r="J1694" s="23">
        <v>6553412395000</v>
      </c>
      <c r="K1694" s="23">
        <v>29841365115430</v>
      </c>
      <c r="L1694" s="23">
        <v>6382140765000</v>
      </c>
      <c r="M1694" s="23">
        <v>1939727971000</v>
      </c>
      <c r="N1694" s="23">
        <v>17920843437814</v>
      </c>
      <c r="O1694" s="25">
        <f t="shared" si="572"/>
        <v>782196217000</v>
      </c>
      <c r="P1694" s="23">
        <v>311458745048</v>
      </c>
      <c r="Q1694" s="23">
        <v>556317198693</v>
      </c>
      <c r="R1694" s="25">
        <f t="shared" si="573"/>
        <v>17364526239121</v>
      </c>
      <c r="S1694" s="26">
        <f t="shared" si="574"/>
        <v>0.77161239689795091</v>
      </c>
      <c r="T1694" s="27">
        <f t="shared" si="575"/>
        <v>1.1225601637133429</v>
      </c>
      <c r="U1694" s="26">
        <f t="shared" si="576"/>
        <v>29.77027993784759</v>
      </c>
      <c r="V1694" s="26">
        <f t="shared" si="577"/>
        <v>0.60053698510420073</v>
      </c>
      <c r="W1694" s="143"/>
      <c r="X1694" s="143"/>
      <c r="Y1694" s="143"/>
      <c r="Z1694" s="30">
        <f t="shared" si="619"/>
        <v>0</v>
      </c>
      <c r="AA1694" s="31">
        <f t="shared" si="548"/>
        <v>25</v>
      </c>
      <c r="AB1694" s="32">
        <v>1.84E-2</v>
      </c>
      <c r="AC1694" s="32">
        <v>2.58E-2</v>
      </c>
      <c r="AD1694" s="33">
        <f t="shared" si="602"/>
        <v>9.209740841341936E-2</v>
      </c>
      <c r="AE1694" s="34">
        <f t="shared" si="603"/>
        <v>3.667180002050139E-2</v>
      </c>
      <c r="AF1694" s="33">
        <f t="shared" si="604"/>
        <v>2.0445354122057378</v>
      </c>
      <c r="AG1694" s="33">
        <f t="shared" si="605"/>
        <v>0</v>
      </c>
      <c r="AH1694" s="35">
        <f t="shared" si="606"/>
        <v>2.7345819792276327</v>
      </c>
      <c r="AI1694" s="36">
        <f t="shared" si="582"/>
        <v>9.6434062496313722</v>
      </c>
      <c r="AJ1694" s="23"/>
      <c r="AK1694" s="173">
        <v>858</v>
      </c>
      <c r="AL1694" s="44"/>
      <c r="AM1694" s="44"/>
      <c r="AN1694" s="44"/>
      <c r="AO1694" s="44"/>
      <c r="AP1694" s="44"/>
      <c r="AQ1694" s="44"/>
      <c r="AR1694" s="44"/>
    </row>
    <row r="1695" spans="1:44" ht="16.8">
      <c r="A1695" s="257"/>
      <c r="B1695" s="79"/>
      <c r="C1695" s="79" t="s">
        <v>3324</v>
      </c>
      <c r="D1695" s="19" t="s">
        <v>3325</v>
      </c>
      <c r="E1695" s="20" t="s">
        <v>414</v>
      </c>
      <c r="F1695" s="21">
        <v>1996</v>
      </c>
      <c r="G1695" s="40">
        <v>2022</v>
      </c>
      <c r="H1695" s="23">
        <v>7756288699000</v>
      </c>
      <c r="I1695" s="23">
        <v>9039495579000</v>
      </c>
      <c r="J1695" s="23">
        <v>6977084342000</v>
      </c>
      <c r="K1695" s="23">
        <v>6765248368500</v>
      </c>
      <c r="L1695" s="23">
        <v>6860575272000</v>
      </c>
      <c r="M1695" s="23">
        <v>2062411237000</v>
      </c>
      <c r="N1695" s="23">
        <v>17773883971911</v>
      </c>
      <c r="O1695" s="25">
        <f t="shared" si="572"/>
        <v>895713427000</v>
      </c>
      <c r="P1695" s="23">
        <v>167418483745</v>
      </c>
      <c r="Q1695" s="23">
        <v>359748410418</v>
      </c>
      <c r="R1695" s="25">
        <f t="shared" si="573"/>
        <v>17414135561493</v>
      </c>
      <c r="S1695" s="26">
        <f t="shared" si="574"/>
        <v>0.77184443324567065</v>
      </c>
      <c r="T1695" s="27">
        <f t="shared" si="575"/>
        <v>1.1305595218313056</v>
      </c>
      <c r="U1695" s="26">
        <f t="shared" si="576"/>
        <v>29.832624489992636</v>
      </c>
      <c r="V1695" s="26">
        <f t="shared" si="577"/>
        <v>2.6272330303006819</v>
      </c>
      <c r="W1695" s="143"/>
      <c r="X1695" s="143"/>
      <c r="Y1695" s="143"/>
      <c r="Z1695" s="30">
        <f t="shared" si="619"/>
        <v>0</v>
      </c>
      <c r="AA1695" s="31">
        <f t="shared" si="548"/>
        <v>26</v>
      </c>
      <c r="AB1695" s="32">
        <v>3.15E-2</v>
      </c>
      <c r="AC1695" s="32">
        <v>8.0199999999999994E-2</v>
      </c>
      <c r="AD1695" s="33">
        <f t="shared" si="602"/>
        <v>9.9088872733216038E-2</v>
      </c>
      <c r="AE1695" s="34">
        <f t="shared" si="603"/>
        <v>1.8520777213933963E-2</v>
      </c>
      <c r="AF1695" s="33">
        <f t="shared" si="604"/>
        <v>1.9264499229302627</v>
      </c>
      <c r="AG1695" s="33">
        <f t="shared" si="605"/>
        <v>0</v>
      </c>
      <c r="AH1695" s="35">
        <f t="shared" si="606"/>
        <v>2.5474658325279851</v>
      </c>
      <c r="AI1695" s="36">
        <f t="shared" si="582"/>
        <v>9.049586313577219</v>
      </c>
      <c r="AJ1695" s="23"/>
      <c r="AK1695" s="173">
        <v>859</v>
      </c>
      <c r="AL1695" s="44"/>
      <c r="AM1695" s="44"/>
      <c r="AN1695" s="44"/>
      <c r="AO1695" s="44"/>
      <c r="AP1695" s="44"/>
      <c r="AQ1695" s="44"/>
      <c r="AR1695" s="44"/>
    </row>
    <row r="1696" spans="1:44" ht="16.8">
      <c r="A1696" s="257"/>
      <c r="B1696" s="79"/>
      <c r="C1696" s="79" t="s">
        <v>3324</v>
      </c>
      <c r="D1696" s="19" t="s">
        <v>3325</v>
      </c>
      <c r="E1696" s="20" t="s">
        <v>414</v>
      </c>
      <c r="F1696" s="21">
        <v>1996</v>
      </c>
      <c r="G1696" s="40">
        <v>2023</v>
      </c>
      <c r="H1696" s="23">
        <v>8259191973000</v>
      </c>
      <c r="I1696" s="23">
        <v>9479475648000</v>
      </c>
      <c r="J1696" s="23">
        <v>7293215880000</v>
      </c>
      <c r="K1696" s="23">
        <v>7135150111000</v>
      </c>
      <c r="L1696" s="23">
        <v>7240736850000</v>
      </c>
      <c r="M1696" s="23">
        <v>2186259768000</v>
      </c>
      <c r="N1696" s="23">
        <v>17482769422773</v>
      </c>
      <c r="O1696" s="25">
        <f t="shared" si="572"/>
        <v>1018455123000</v>
      </c>
      <c r="P1696" s="23">
        <v>138997251319</v>
      </c>
      <c r="Q1696" s="23">
        <v>362766136662</v>
      </c>
      <c r="R1696" s="25">
        <f t="shared" si="573"/>
        <v>17120003286111</v>
      </c>
      <c r="S1696" s="26">
        <f t="shared" si="574"/>
        <v>0.76936912449780259</v>
      </c>
      <c r="T1696" s="27">
        <f t="shared" si="575"/>
        <v>1.1406562818257924</v>
      </c>
      <c r="U1696" s="26">
        <f t="shared" si="576"/>
        <v>29.880150119273342</v>
      </c>
      <c r="V1696" s="26">
        <f t="shared" si="577"/>
        <v>2.4502314808794918</v>
      </c>
      <c r="W1696" s="143"/>
      <c r="X1696" s="143"/>
      <c r="Y1696" s="143"/>
      <c r="Z1696" s="30">
        <f t="shared" si="619"/>
        <v>0</v>
      </c>
      <c r="AA1696" s="31">
        <f t="shared" si="548"/>
        <v>27</v>
      </c>
      <c r="AB1696" s="32">
        <v>3.2500000000000001E-2</v>
      </c>
      <c r="AC1696" s="32">
        <v>5.0500000000000003E-2</v>
      </c>
      <c r="AD1696" s="33">
        <f t="shared" si="602"/>
        <v>0.10743791754081629</v>
      </c>
      <c r="AE1696" s="34">
        <f t="shared" si="603"/>
        <v>1.4662968341326552E-2</v>
      </c>
      <c r="AF1696" s="33">
        <f t="shared" si="604"/>
        <v>1.8060074124166368</v>
      </c>
      <c r="AG1696" s="33">
        <f t="shared" si="605"/>
        <v>0</v>
      </c>
      <c r="AH1696" s="35">
        <f t="shared" si="606"/>
        <v>2.3971276471762688</v>
      </c>
      <c r="AI1696" s="36">
        <f t="shared" si="582"/>
        <v>8.5064057648780071</v>
      </c>
      <c r="AJ1696" s="23"/>
      <c r="AK1696" s="173">
        <v>860</v>
      </c>
      <c r="AL1696" s="44"/>
      <c r="AM1696" s="44"/>
      <c r="AN1696" s="44"/>
      <c r="AO1696" s="44"/>
      <c r="AP1696" s="44"/>
      <c r="AQ1696" s="44"/>
      <c r="AR1696" s="44"/>
    </row>
    <row r="1697" spans="1:44" ht="16.8">
      <c r="A1697" s="259" t="s">
        <v>3326</v>
      </c>
      <c r="B1697" s="79">
        <v>653</v>
      </c>
      <c r="C1697" s="79" t="s">
        <v>3327</v>
      </c>
      <c r="D1697" s="19" t="s">
        <v>3328</v>
      </c>
      <c r="E1697" s="20" t="s">
        <v>414</v>
      </c>
      <c r="F1697" s="21">
        <v>2003</v>
      </c>
      <c r="G1697" s="40">
        <v>2021</v>
      </c>
      <c r="H1697" s="23">
        <v>1841734000000</v>
      </c>
      <c r="I1697" s="23">
        <v>2427626000000</v>
      </c>
      <c r="J1697" s="23">
        <v>1558874000000</v>
      </c>
      <c r="K1697" s="23">
        <v>779437000001</v>
      </c>
      <c r="L1697" s="23">
        <v>1485213000000</v>
      </c>
      <c r="M1697" s="23">
        <v>868752000000</v>
      </c>
      <c r="N1697" s="23">
        <v>3419698259428</v>
      </c>
      <c r="O1697" s="25">
        <f t="shared" si="572"/>
        <v>356521000000</v>
      </c>
      <c r="P1697" s="23">
        <v>125817844370</v>
      </c>
      <c r="Q1697" s="23">
        <v>442241922973</v>
      </c>
      <c r="R1697" s="25">
        <f t="shared" si="573"/>
        <v>2977456336455</v>
      </c>
      <c r="S1697" s="26">
        <f t="shared" si="574"/>
        <v>0.6421392751601771</v>
      </c>
      <c r="T1697" s="27">
        <f t="shared" si="575"/>
        <v>1.2400470504904011</v>
      </c>
      <c r="U1697" s="26">
        <f t="shared" si="576"/>
        <v>28.517934941017177</v>
      </c>
      <c r="V1697" s="26">
        <f t="shared" si="577"/>
        <v>4.3873953371774919</v>
      </c>
      <c r="W1697" s="143"/>
      <c r="X1697" s="143"/>
      <c r="Y1697" s="143"/>
      <c r="Z1697" s="30">
        <f t="shared" si="619"/>
        <v>0</v>
      </c>
      <c r="AA1697" s="31">
        <f t="shared" si="548"/>
        <v>18</v>
      </c>
      <c r="AB1697" s="32">
        <v>1.84E-2</v>
      </c>
      <c r="AC1697" s="32">
        <v>2.58E-2</v>
      </c>
      <c r="AD1697" s="33">
        <f t="shared" si="602"/>
        <v>0.14685993641524683</v>
      </c>
      <c r="AE1697" s="34">
        <f t="shared" si="603"/>
        <v>5.1827523831924689E-2</v>
      </c>
      <c r="AF1697" s="33">
        <f t="shared" si="604"/>
        <v>1.226488897571125</v>
      </c>
      <c r="AG1697" s="33">
        <f t="shared" si="605"/>
        <v>0</v>
      </c>
      <c r="AH1697" s="35">
        <f t="shared" si="606"/>
        <v>2.1936976685915601</v>
      </c>
      <c r="AI1697" s="36">
        <f t="shared" si="582"/>
        <v>6.4899014876392629</v>
      </c>
      <c r="AJ1697" s="23"/>
      <c r="AK1697" s="173">
        <v>861</v>
      </c>
      <c r="AL1697" s="44"/>
      <c r="AM1697" s="44"/>
      <c r="AN1697" s="44"/>
      <c r="AO1697" s="44"/>
      <c r="AP1697" s="44"/>
      <c r="AQ1697" s="44"/>
      <c r="AR1697" s="44"/>
    </row>
    <row r="1698" spans="1:44" ht="16.8">
      <c r="A1698" s="257"/>
      <c r="B1698" s="79"/>
      <c r="C1698" s="79" t="s">
        <v>3327</v>
      </c>
      <c r="D1698" s="19" t="s">
        <v>3328</v>
      </c>
      <c r="E1698" s="20" t="s">
        <v>414</v>
      </c>
      <c r="F1698" s="21">
        <v>2003</v>
      </c>
      <c r="G1698" s="40">
        <v>2022</v>
      </c>
      <c r="H1698" s="23">
        <v>1912555000000</v>
      </c>
      <c r="I1698" s="23">
        <v>2521592000000</v>
      </c>
      <c r="J1698" s="23">
        <v>1714306000000</v>
      </c>
      <c r="K1698" s="23">
        <v>1636590000000</v>
      </c>
      <c r="L1698" s="23">
        <v>1660459000000</v>
      </c>
      <c r="M1698" s="23">
        <v>807286000000</v>
      </c>
      <c r="N1698" s="23">
        <v>4088763575002</v>
      </c>
      <c r="O1698" s="25">
        <f t="shared" si="572"/>
        <v>252096000000</v>
      </c>
      <c r="P1698" s="23">
        <v>126617796809</v>
      </c>
      <c r="Q1698" s="23">
        <v>474374094224</v>
      </c>
      <c r="R1698" s="25">
        <f t="shared" si="573"/>
        <v>3614389480778</v>
      </c>
      <c r="S1698" s="26">
        <f t="shared" si="574"/>
        <v>0.67985066576987874</v>
      </c>
      <c r="T1698" s="27">
        <f t="shared" si="575"/>
        <v>1.1518230802446794</v>
      </c>
      <c r="U1698" s="26">
        <f t="shared" si="576"/>
        <v>28.555911564016107</v>
      </c>
      <c r="V1698" s="26">
        <f t="shared" si="577"/>
        <v>2.4983432472409093</v>
      </c>
      <c r="W1698" s="143"/>
      <c r="X1698" s="143"/>
      <c r="Y1698" s="143"/>
      <c r="Z1698" s="30">
        <f t="shared" si="619"/>
        <v>0</v>
      </c>
      <c r="AA1698" s="31">
        <f t="shared" si="548"/>
        <v>19</v>
      </c>
      <c r="AB1698" s="32">
        <v>3.15E-2</v>
      </c>
      <c r="AC1698" s="32">
        <v>8.0199999999999994E-2</v>
      </c>
      <c r="AD1698" s="33">
        <f t="shared" si="602"/>
        <v>9.9974936468707074E-2</v>
      </c>
      <c r="AE1698" s="34">
        <f t="shared" si="603"/>
        <v>5.0213435325381743E-2</v>
      </c>
      <c r="AF1698" s="33">
        <f t="shared" si="604"/>
        <v>1.4333760103847093</v>
      </c>
      <c r="AG1698" s="33">
        <f t="shared" si="605"/>
        <v>0</v>
      </c>
      <c r="AH1698" s="35">
        <f t="shared" si="606"/>
        <v>2.3850838619254673</v>
      </c>
      <c r="AI1698" s="36">
        <f t="shared" si="582"/>
        <v>7.3054934294129907</v>
      </c>
      <c r="AJ1698" s="23"/>
      <c r="AK1698" s="173">
        <v>862</v>
      </c>
      <c r="AL1698" s="44"/>
      <c r="AM1698" s="44"/>
      <c r="AN1698" s="44"/>
      <c r="AO1698" s="44"/>
      <c r="AP1698" s="44"/>
      <c r="AQ1698" s="44"/>
      <c r="AR1698" s="44"/>
    </row>
    <row r="1699" spans="1:44" ht="16.8">
      <c r="A1699" s="78" t="s">
        <v>3329</v>
      </c>
      <c r="B1699" s="79"/>
      <c r="C1699" s="79" t="s">
        <v>3327</v>
      </c>
      <c r="D1699" s="19" t="s">
        <v>3328</v>
      </c>
      <c r="E1699" s="20" t="s">
        <v>414</v>
      </c>
      <c r="F1699" s="21">
        <v>2003</v>
      </c>
      <c r="G1699" s="40">
        <v>2023</v>
      </c>
      <c r="H1699" s="23">
        <v>1895537000000</v>
      </c>
      <c r="I1699" s="23">
        <v>2535919000000</v>
      </c>
      <c r="J1699" s="23">
        <v>1666954000000</v>
      </c>
      <c r="K1699" s="23">
        <v>1690630000000</v>
      </c>
      <c r="L1699" s="23">
        <v>1601286000000</v>
      </c>
      <c r="M1699" s="23">
        <v>868965000000</v>
      </c>
      <c r="N1699" s="23">
        <v>3623660090524</v>
      </c>
      <c r="O1699" s="25">
        <f t="shared" si="572"/>
        <v>294251000000</v>
      </c>
      <c r="P1699" s="23">
        <v>10190885555</v>
      </c>
      <c r="Q1699" s="23">
        <v>543916135580</v>
      </c>
      <c r="R1699" s="25">
        <f t="shared" si="573"/>
        <v>3079743954944</v>
      </c>
      <c r="S1699" s="26">
        <f t="shared" si="574"/>
        <v>0.65733724144974659</v>
      </c>
      <c r="T1699" s="27">
        <f t="shared" si="575"/>
        <v>1.1837591785602322</v>
      </c>
      <c r="U1699" s="26">
        <f t="shared" si="576"/>
        <v>28.561577211930341</v>
      </c>
      <c r="V1699" s="26">
        <f t="shared" si="577"/>
        <v>2.1433785574158746</v>
      </c>
      <c r="W1699" s="143"/>
      <c r="X1699" s="143"/>
      <c r="Y1699" s="143"/>
      <c r="Z1699" s="30">
        <f t="shared" si="619"/>
        <v>0</v>
      </c>
      <c r="AA1699" s="31">
        <f t="shared" si="548"/>
        <v>20</v>
      </c>
      <c r="AB1699" s="32">
        <v>3.2500000000000001E-2</v>
      </c>
      <c r="AC1699" s="32">
        <v>5.0500000000000003E-2</v>
      </c>
      <c r="AD1699" s="33">
        <f t="shared" si="602"/>
        <v>0.11603328024278378</v>
      </c>
      <c r="AE1699" s="34">
        <f t="shared" si="603"/>
        <v>4.0186163497335677E-3</v>
      </c>
      <c r="AF1699" s="33">
        <f t="shared" si="604"/>
        <v>1.214448866444078</v>
      </c>
      <c r="AG1699" s="33">
        <f t="shared" si="605"/>
        <v>0</v>
      </c>
      <c r="AH1699" s="35">
        <f t="shared" si="606"/>
        <v>2.1738212875244307</v>
      </c>
      <c r="AI1699" s="36">
        <f t="shared" si="582"/>
        <v>6.3263685459708547</v>
      </c>
      <c r="AJ1699" s="23"/>
      <c r="AK1699" s="173">
        <v>863</v>
      </c>
      <c r="AL1699" s="44"/>
      <c r="AM1699" s="44"/>
      <c r="AN1699" s="44"/>
      <c r="AO1699" s="44"/>
      <c r="AP1699" s="44"/>
      <c r="AQ1699" s="44"/>
      <c r="AR1699" s="44"/>
    </row>
    <row r="1700" spans="1:44" ht="16.8">
      <c r="A1700" s="259" t="s">
        <v>3330</v>
      </c>
      <c r="B1700" s="79">
        <v>654</v>
      </c>
      <c r="C1700" s="79" t="s">
        <v>3331</v>
      </c>
      <c r="D1700" s="19" t="s">
        <v>3332</v>
      </c>
      <c r="E1700" s="20" t="s">
        <v>414</v>
      </c>
      <c r="F1700" s="21">
        <v>2002</v>
      </c>
      <c r="G1700" s="40">
        <v>2021</v>
      </c>
      <c r="H1700" s="23">
        <v>2892991081000</v>
      </c>
      <c r="I1700" s="23">
        <v>3343109974000</v>
      </c>
      <c r="J1700" s="23">
        <v>1959702036000</v>
      </c>
      <c r="K1700" s="23">
        <v>1951213016667</v>
      </c>
      <c r="L1700" s="23">
        <v>1959614036000</v>
      </c>
      <c r="M1700" s="23">
        <v>1383407938000</v>
      </c>
      <c r="N1700" s="23">
        <v>8996079897300</v>
      </c>
      <c r="O1700" s="25">
        <f t="shared" si="572"/>
        <v>933377045000</v>
      </c>
      <c r="P1700" s="23">
        <v>254019783513</v>
      </c>
      <c r="Q1700" s="23">
        <v>374974715873</v>
      </c>
      <c r="R1700" s="25">
        <f t="shared" si="573"/>
        <v>8621105181427</v>
      </c>
      <c r="S1700" s="26">
        <f t="shared" si="574"/>
        <v>0.58619131624175524</v>
      </c>
      <c r="T1700" s="27">
        <f t="shared" si="575"/>
        <v>1.476306572545901</v>
      </c>
      <c r="U1700" s="26">
        <f t="shared" si="576"/>
        <v>28.837922619624702</v>
      </c>
      <c r="V1700" s="26">
        <f t="shared" si="577"/>
        <v>4.6105062955488156</v>
      </c>
      <c r="W1700" s="143"/>
      <c r="X1700" s="143"/>
      <c r="Y1700" s="143"/>
      <c r="Z1700" s="30">
        <f t="shared" si="619"/>
        <v>0</v>
      </c>
      <c r="AA1700" s="31">
        <f t="shared" si="548"/>
        <v>19</v>
      </c>
      <c r="AB1700" s="32">
        <v>1.84E-2</v>
      </c>
      <c r="AC1700" s="32">
        <v>2.58E-2</v>
      </c>
      <c r="AD1700" s="33">
        <f t="shared" si="602"/>
        <v>0.27919423897480194</v>
      </c>
      <c r="AE1700" s="34">
        <f t="shared" si="603"/>
        <v>7.5983077280903116E-2</v>
      </c>
      <c r="AF1700" s="33">
        <f t="shared" si="604"/>
        <v>2.578768047858123</v>
      </c>
      <c r="AG1700" s="33">
        <f t="shared" si="605"/>
        <v>0</v>
      </c>
      <c r="AH1700" s="35">
        <f t="shared" si="606"/>
        <v>4.5905345465998177</v>
      </c>
      <c r="AI1700" s="36">
        <f t="shared" si="582"/>
        <v>13.541878499494649</v>
      </c>
      <c r="AJ1700" s="23"/>
      <c r="AK1700" s="173">
        <v>864</v>
      </c>
      <c r="AL1700" s="44"/>
      <c r="AM1700" s="44"/>
      <c r="AN1700" s="44"/>
      <c r="AO1700" s="44"/>
      <c r="AP1700" s="44"/>
      <c r="AQ1700" s="44"/>
      <c r="AR1700" s="44"/>
    </row>
    <row r="1701" spans="1:44" ht="16.8">
      <c r="A1701" s="257"/>
      <c r="B1701" s="79"/>
      <c r="C1701" s="79" t="s">
        <v>3331</v>
      </c>
      <c r="D1701" s="19" t="s">
        <v>3332</v>
      </c>
      <c r="E1701" s="20" t="s">
        <v>414</v>
      </c>
      <c r="F1701" s="21">
        <v>2002</v>
      </c>
      <c r="G1701" s="40">
        <v>2022</v>
      </c>
      <c r="H1701" s="23">
        <v>3191206173000</v>
      </c>
      <c r="I1701" s="23">
        <v>3611776725047</v>
      </c>
      <c r="J1701" s="23">
        <v>2056560096000</v>
      </c>
      <c r="K1701" s="23">
        <v>2008131066000</v>
      </c>
      <c r="L1701" s="23">
        <v>2056472096000</v>
      </c>
      <c r="M1701" s="23">
        <v>1555216629047</v>
      </c>
      <c r="N1701" s="23">
        <v>11274428298139</v>
      </c>
      <c r="O1701" s="25">
        <f t="shared" si="572"/>
        <v>1134734077000</v>
      </c>
      <c r="P1701" s="23">
        <v>412712909288</v>
      </c>
      <c r="Q1701" s="23">
        <v>448081908443</v>
      </c>
      <c r="R1701" s="25">
        <f t="shared" si="573"/>
        <v>10826346389696</v>
      </c>
      <c r="S1701" s="26">
        <f t="shared" si="574"/>
        <v>0.56940399491976845</v>
      </c>
      <c r="T1701" s="27">
        <f t="shared" si="575"/>
        <v>1.5517867610297982</v>
      </c>
      <c r="U1701" s="26">
        <f t="shared" si="576"/>
        <v>28.915220934801635</v>
      </c>
      <c r="V1701" s="26">
        <f t="shared" si="577"/>
        <v>5.614388666670326</v>
      </c>
      <c r="W1701" s="143"/>
      <c r="X1701" s="143"/>
      <c r="Y1701" s="143"/>
      <c r="Z1701" s="30">
        <f t="shared" si="619"/>
        <v>0</v>
      </c>
      <c r="AA1701" s="31">
        <f t="shared" si="548"/>
        <v>20</v>
      </c>
      <c r="AB1701" s="32">
        <v>3.15E-2</v>
      </c>
      <c r="AC1701" s="32">
        <v>8.0199999999999994E-2</v>
      </c>
      <c r="AD1701" s="33">
        <f t="shared" si="602"/>
        <v>0.31417614193336763</v>
      </c>
      <c r="AE1701" s="34">
        <f t="shared" si="603"/>
        <v>0.11426866628435604</v>
      </c>
      <c r="AF1701" s="33">
        <f t="shared" si="604"/>
        <v>2.9975126409717689</v>
      </c>
      <c r="AG1701" s="33">
        <f t="shared" si="605"/>
        <v>0</v>
      </c>
      <c r="AH1701" s="35">
        <f t="shared" si="606"/>
        <v>5.4821778950528657</v>
      </c>
      <c r="AI1701" s="36">
        <f t="shared" si="582"/>
        <v>15.910957113377842</v>
      </c>
      <c r="AJ1701" s="23"/>
      <c r="AK1701" s="173">
        <v>865</v>
      </c>
      <c r="AL1701" s="44"/>
      <c r="AM1701" s="44"/>
      <c r="AN1701" s="44"/>
      <c r="AO1701" s="44"/>
      <c r="AP1701" s="44"/>
      <c r="AQ1701" s="44"/>
      <c r="AR1701" s="44"/>
    </row>
    <row r="1702" spans="1:44" ht="16.8">
      <c r="A1702" s="257"/>
      <c r="B1702" s="79"/>
      <c r="C1702" s="79" t="s">
        <v>3331</v>
      </c>
      <c r="D1702" s="19" t="s">
        <v>3332</v>
      </c>
      <c r="E1702" s="20" t="s">
        <v>414</v>
      </c>
      <c r="F1702" s="21">
        <v>2002</v>
      </c>
      <c r="G1702" s="40">
        <v>2023</v>
      </c>
      <c r="H1702" s="23">
        <v>2955146118000</v>
      </c>
      <c r="I1702" s="23">
        <v>3362928366000</v>
      </c>
      <c r="J1702" s="23">
        <v>1961409306000</v>
      </c>
      <c r="K1702" s="23">
        <v>2008984701000</v>
      </c>
      <c r="L1702" s="23">
        <v>1961321306000</v>
      </c>
      <c r="M1702" s="23">
        <v>1401519060000</v>
      </c>
      <c r="N1702" s="23">
        <v>9890691872367</v>
      </c>
      <c r="O1702" s="25">
        <f t="shared" si="572"/>
        <v>993824812000</v>
      </c>
      <c r="P1702" s="23">
        <v>265787886267</v>
      </c>
      <c r="Q1702" s="23">
        <v>473741428258</v>
      </c>
      <c r="R1702" s="25">
        <f t="shared" si="573"/>
        <v>9416950444109</v>
      </c>
      <c r="S1702" s="26">
        <f t="shared" si="574"/>
        <v>0.58324445023281235</v>
      </c>
      <c r="T1702" s="27">
        <f t="shared" si="575"/>
        <v>1.5067118829330659</v>
      </c>
      <c r="U1702" s="26">
        <f t="shared" si="576"/>
        <v>28.843833247835377</v>
      </c>
      <c r="V1702" s="26">
        <f t="shared" si="577"/>
        <v>4.9232290656289077</v>
      </c>
      <c r="W1702" s="143"/>
      <c r="X1702" s="143"/>
      <c r="Y1702" s="143"/>
      <c r="Z1702" s="30">
        <f t="shared" si="619"/>
        <v>0</v>
      </c>
      <c r="AA1702" s="31">
        <f t="shared" si="548"/>
        <v>21</v>
      </c>
      <c r="AB1702" s="32">
        <v>3.2500000000000001E-2</v>
      </c>
      <c r="AC1702" s="32">
        <v>5.0500000000000003E-2</v>
      </c>
      <c r="AD1702" s="33">
        <f t="shared" si="602"/>
        <v>0.29552363411834864</v>
      </c>
      <c r="AE1702" s="34">
        <f t="shared" si="603"/>
        <v>7.9034655913036475E-2</v>
      </c>
      <c r="AF1702" s="33">
        <f t="shared" si="604"/>
        <v>2.8002233230171041</v>
      </c>
      <c r="AG1702" s="33">
        <f t="shared" si="605"/>
        <v>0</v>
      </c>
      <c r="AH1702" s="35">
        <f t="shared" si="606"/>
        <v>5.042645531512024</v>
      </c>
      <c r="AI1702" s="36">
        <f t="shared" si="582"/>
        <v>14.748659376688737</v>
      </c>
      <c r="AJ1702" s="23"/>
      <c r="AK1702" s="173">
        <v>866</v>
      </c>
      <c r="AL1702" s="44"/>
      <c r="AM1702" s="44"/>
      <c r="AN1702" s="44"/>
      <c r="AO1702" s="44"/>
      <c r="AP1702" s="44"/>
      <c r="AQ1702" s="44"/>
      <c r="AR1702" s="44"/>
    </row>
    <row r="1703" spans="1:44" ht="16.8">
      <c r="A1703" s="78" t="s">
        <v>3333</v>
      </c>
      <c r="B1703" s="79">
        <v>655</v>
      </c>
      <c r="C1703" s="79" t="s">
        <v>3334</v>
      </c>
      <c r="D1703" s="19" t="s">
        <v>3335</v>
      </c>
      <c r="E1703" s="20" t="s">
        <v>414</v>
      </c>
      <c r="F1703" s="21">
        <v>1995</v>
      </c>
      <c r="G1703" s="40">
        <v>2021</v>
      </c>
      <c r="H1703" s="23">
        <v>5157580357593</v>
      </c>
      <c r="I1703" s="23">
        <v>6366530363786</v>
      </c>
      <c r="J1703" s="23">
        <v>4588596018880</v>
      </c>
      <c r="K1703" s="23">
        <v>4613694084775</v>
      </c>
      <c r="L1703" s="23">
        <v>4557294858809</v>
      </c>
      <c r="M1703" s="23">
        <v>1777934344906</v>
      </c>
      <c r="N1703" s="23">
        <v>3037019233726</v>
      </c>
      <c r="O1703" s="25">
        <f t="shared" si="572"/>
        <v>600285498784</v>
      </c>
      <c r="P1703" s="23">
        <v>352038763632</v>
      </c>
      <c r="Q1703" s="23">
        <v>436740498410</v>
      </c>
      <c r="R1703" s="25">
        <f t="shared" si="573"/>
        <v>2600278735316</v>
      </c>
      <c r="S1703" s="26">
        <f t="shared" si="574"/>
        <v>0.72073731792449802</v>
      </c>
      <c r="T1703" s="27">
        <f t="shared" si="575"/>
        <v>1.1317196971847632</v>
      </c>
      <c r="U1703" s="26">
        <f t="shared" si="576"/>
        <v>29.482075753254428</v>
      </c>
      <c r="V1703" s="26">
        <f t="shared" si="577"/>
        <v>0.65826194323287235</v>
      </c>
      <c r="W1703" s="143"/>
      <c r="X1703" s="143"/>
      <c r="Y1703" s="143"/>
      <c r="Z1703" s="30">
        <f t="shared" si="619"/>
        <v>0</v>
      </c>
      <c r="AA1703" s="31">
        <f t="shared" si="548"/>
        <v>26</v>
      </c>
      <c r="AB1703" s="32">
        <v>1.84E-2</v>
      </c>
      <c r="AC1703" s="32">
        <v>2.58E-2</v>
      </c>
      <c r="AD1703" s="33">
        <f t="shared" si="602"/>
        <v>9.4287699026542729E-2</v>
      </c>
      <c r="AE1703" s="34">
        <f t="shared" si="603"/>
        <v>5.5295230449926298E-2</v>
      </c>
      <c r="AF1703" s="33">
        <f t="shared" si="604"/>
        <v>0.40842948776414628</v>
      </c>
      <c r="AG1703" s="33">
        <f t="shared" si="605"/>
        <v>0</v>
      </c>
      <c r="AH1703" s="35">
        <f t="shared" si="606"/>
        <v>0.66186241308453342</v>
      </c>
      <c r="AI1703" s="36">
        <f t="shared" si="582"/>
        <v>2.200238284167964</v>
      </c>
      <c r="AJ1703" s="23"/>
      <c r="AK1703" s="173">
        <v>867</v>
      </c>
      <c r="AL1703" s="44"/>
      <c r="AM1703" s="44"/>
      <c r="AN1703" s="44"/>
      <c r="AO1703" s="44"/>
      <c r="AP1703" s="44"/>
      <c r="AQ1703" s="44"/>
      <c r="AR1703" s="44"/>
    </row>
    <row r="1704" spans="1:44" ht="16.8">
      <c r="A1704" s="78" t="s">
        <v>3336</v>
      </c>
      <c r="B1704" s="79"/>
      <c r="C1704" s="79" t="s">
        <v>3334</v>
      </c>
      <c r="D1704" s="19" t="s">
        <v>3335</v>
      </c>
      <c r="E1704" s="20" t="s">
        <v>414</v>
      </c>
      <c r="F1704" s="21">
        <v>1995</v>
      </c>
      <c r="G1704" s="40">
        <v>2022</v>
      </c>
      <c r="H1704" s="23">
        <v>5602065097578</v>
      </c>
      <c r="I1704" s="23">
        <v>6761973416591</v>
      </c>
      <c r="J1704" s="23">
        <v>5081498198714</v>
      </c>
      <c r="K1704" s="23">
        <v>4835047108797</v>
      </c>
      <c r="L1704" s="23">
        <v>5043586995356</v>
      </c>
      <c r="M1704" s="23">
        <v>1680475217877</v>
      </c>
      <c r="N1704" s="23">
        <v>3070862700994</v>
      </c>
      <c r="O1704" s="25">
        <f t="shared" si="572"/>
        <v>558478102222</v>
      </c>
      <c r="P1704" s="23">
        <v>203736232244</v>
      </c>
      <c r="Q1704" s="23">
        <v>484437485547</v>
      </c>
      <c r="R1704" s="25">
        <f t="shared" si="573"/>
        <v>2586425215447</v>
      </c>
      <c r="S1704" s="26">
        <f t="shared" si="574"/>
        <v>0.75148154032167147</v>
      </c>
      <c r="T1704" s="27">
        <f t="shared" si="575"/>
        <v>1.1107303398823558</v>
      </c>
      <c r="U1704" s="26">
        <f t="shared" si="576"/>
        <v>29.542335888912667</v>
      </c>
      <c r="V1704" s="26">
        <f t="shared" si="577"/>
        <v>0.63512570444387173</v>
      </c>
      <c r="W1704" s="143"/>
      <c r="X1704" s="143"/>
      <c r="Y1704" s="143"/>
      <c r="Z1704" s="30">
        <f t="shared" si="619"/>
        <v>0</v>
      </c>
      <c r="AA1704" s="31">
        <f t="shared" si="548"/>
        <v>27</v>
      </c>
      <c r="AB1704" s="32">
        <v>3.15E-2</v>
      </c>
      <c r="AC1704" s="32">
        <v>8.0199999999999994E-2</v>
      </c>
      <c r="AD1704" s="33">
        <f t="shared" si="602"/>
        <v>8.2590993459355055E-2</v>
      </c>
      <c r="AE1704" s="34">
        <f t="shared" si="603"/>
        <v>3.0129700265327596E-2</v>
      </c>
      <c r="AF1704" s="33">
        <f t="shared" si="604"/>
        <v>0.38249562015446781</v>
      </c>
      <c r="AG1704" s="33">
        <f t="shared" si="605"/>
        <v>0</v>
      </c>
      <c r="AH1704" s="35">
        <f t="shared" si="606"/>
        <v>0.60432230434936662</v>
      </c>
      <c r="AI1704" s="36">
        <f t="shared" si="582"/>
        <v>2.0078486233817952</v>
      </c>
      <c r="AJ1704" s="23"/>
      <c r="AK1704" s="173">
        <v>868</v>
      </c>
      <c r="AL1704" s="44"/>
      <c r="AM1704" s="44"/>
      <c r="AN1704" s="44"/>
      <c r="AO1704" s="44"/>
      <c r="AP1704" s="44"/>
      <c r="AQ1704" s="44"/>
      <c r="AR1704" s="44"/>
    </row>
    <row r="1705" spans="1:44" ht="16.8">
      <c r="A1705" s="78" t="s">
        <v>3337</v>
      </c>
      <c r="B1705" s="79"/>
      <c r="C1705" s="79" t="s">
        <v>3334</v>
      </c>
      <c r="D1705" s="19" t="s">
        <v>3335</v>
      </c>
      <c r="E1705" s="20" t="s">
        <v>414</v>
      </c>
      <c r="F1705" s="21">
        <v>1995</v>
      </c>
      <c r="G1705" s="40">
        <v>2023</v>
      </c>
      <c r="H1705" s="23">
        <v>6210119368339</v>
      </c>
      <c r="I1705" s="23">
        <v>7448720197305</v>
      </c>
      <c r="J1705" s="23">
        <v>5584097985883</v>
      </c>
      <c r="K1705" s="23">
        <v>5332798092299</v>
      </c>
      <c r="L1705" s="23">
        <v>5532379449811</v>
      </c>
      <c r="M1705" s="23">
        <v>1864622211422</v>
      </c>
      <c r="N1705" s="23">
        <v>3226157789901</v>
      </c>
      <c r="O1705" s="25">
        <f t="shared" si="572"/>
        <v>677739918528</v>
      </c>
      <c r="P1705" s="23">
        <v>229086495867</v>
      </c>
      <c r="Q1705" s="23">
        <v>566968247980</v>
      </c>
      <c r="R1705" s="25">
        <f t="shared" si="573"/>
        <v>2659189541921</v>
      </c>
      <c r="S1705" s="26">
        <f t="shared" si="574"/>
        <v>0.7496721366850867</v>
      </c>
      <c r="T1705" s="27">
        <f t="shared" si="575"/>
        <v>1.1225042361386028</v>
      </c>
      <c r="U1705" s="26">
        <f t="shared" si="576"/>
        <v>29.639063347966538</v>
      </c>
      <c r="V1705" s="26">
        <f t="shared" si="577"/>
        <v>0.60496529852871006</v>
      </c>
      <c r="W1705" s="143"/>
      <c r="X1705" s="143"/>
      <c r="Y1705" s="143"/>
      <c r="Z1705" s="30">
        <f t="shared" si="619"/>
        <v>0</v>
      </c>
      <c r="AA1705" s="31">
        <f t="shared" si="548"/>
        <v>28</v>
      </c>
      <c r="AB1705" s="32">
        <v>3.2500000000000001E-2</v>
      </c>
      <c r="AC1705" s="32">
        <v>5.0500000000000003E-2</v>
      </c>
      <c r="AD1705" s="33">
        <f t="shared" si="602"/>
        <v>9.0987431474901029E-2</v>
      </c>
      <c r="AE1705" s="34">
        <f t="shared" si="603"/>
        <v>3.0755148508583411E-2</v>
      </c>
      <c r="AF1705" s="33">
        <f t="shared" si="604"/>
        <v>0.35699952092214632</v>
      </c>
      <c r="AG1705" s="33">
        <f t="shared" si="605"/>
        <v>0</v>
      </c>
      <c r="AH1705" s="35">
        <f t="shared" si="606"/>
        <v>0.57774018257862925</v>
      </c>
      <c r="AI1705" s="36">
        <f t="shared" si="582"/>
        <v>1.90808072730361</v>
      </c>
      <c r="AJ1705" s="23"/>
      <c r="AK1705" s="173">
        <v>869</v>
      </c>
      <c r="AL1705" s="44"/>
      <c r="AM1705" s="44"/>
      <c r="AN1705" s="44"/>
      <c r="AO1705" s="44"/>
      <c r="AP1705" s="44"/>
      <c r="AQ1705" s="44"/>
      <c r="AR1705" s="44"/>
    </row>
    <row r="1706" spans="1:44" ht="16.8">
      <c r="A1706" s="78" t="s">
        <v>3338</v>
      </c>
      <c r="B1706" s="79">
        <v>656</v>
      </c>
      <c r="C1706" s="79" t="s">
        <v>3339</v>
      </c>
      <c r="D1706" s="19" t="s">
        <v>3340</v>
      </c>
      <c r="E1706" s="20" t="s">
        <v>414</v>
      </c>
      <c r="F1706" s="21">
        <v>1982</v>
      </c>
      <c r="G1706" s="40">
        <v>2021</v>
      </c>
      <c r="H1706" s="23">
        <v>2738366419370</v>
      </c>
      <c r="I1706" s="23">
        <v>6027084467664</v>
      </c>
      <c r="J1706" s="23">
        <v>2917913811841</v>
      </c>
      <c r="K1706" s="23">
        <v>3072773800362</v>
      </c>
      <c r="L1706" s="23">
        <v>1191719829396</v>
      </c>
      <c r="M1706" s="23">
        <v>3109170655823</v>
      </c>
      <c r="N1706" s="23">
        <v>1950253482733</v>
      </c>
      <c r="O1706" s="25">
        <f t="shared" si="572"/>
        <v>1546646589974</v>
      </c>
      <c r="P1706" s="23">
        <v>513380267771</v>
      </c>
      <c r="Q1706" s="23">
        <v>146930440009</v>
      </c>
      <c r="R1706" s="25">
        <f t="shared" si="573"/>
        <v>1803323042724</v>
      </c>
      <c r="S1706" s="26">
        <f t="shared" si="574"/>
        <v>0.4841335520509033</v>
      </c>
      <c r="T1706" s="27">
        <f t="shared" si="575"/>
        <v>2.2978273515494725</v>
      </c>
      <c r="U1706" s="26">
        <f t="shared" si="576"/>
        <v>29.427284505208302</v>
      </c>
      <c r="V1706" s="26">
        <f t="shared" si="577"/>
        <v>0.63468826846390147</v>
      </c>
      <c r="W1706" s="143"/>
      <c r="X1706" s="143"/>
      <c r="Y1706" s="143"/>
      <c r="Z1706" s="30">
        <f t="shared" si="619"/>
        <v>0</v>
      </c>
      <c r="AA1706" s="31">
        <f t="shared" si="548"/>
        <v>39</v>
      </c>
      <c r="AB1706" s="32">
        <v>1.84E-2</v>
      </c>
      <c r="AC1706" s="32">
        <v>2.58E-2</v>
      </c>
      <c r="AD1706" s="33">
        <f t="shared" si="602"/>
        <v>0.25661604682528283</v>
      </c>
      <c r="AE1706" s="34">
        <f t="shared" si="603"/>
        <v>8.5178873885930095E-2</v>
      </c>
      <c r="AF1706" s="33">
        <f t="shared" si="604"/>
        <v>0.29920321382569554</v>
      </c>
      <c r="AG1706" s="33">
        <f t="shared" si="605"/>
        <v>0</v>
      </c>
      <c r="AH1706" s="35">
        <f t="shared" si="606"/>
        <v>0.66837254576156457</v>
      </c>
      <c r="AI1706" s="36">
        <f t="shared" si="582"/>
        <v>2.0829328310170014</v>
      </c>
      <c r="AJ1706" s="23"/>
      <c r="AK1706" s="173">
        <v>870</v>
      </c>
      <c r="AL1706" s="44"/>
      <c r="AM1706" s="44"/>
      <c r="AN1706" s="44"/>
      <c r="AO1706" s="44"/>
      <c r="AP1706" s="44"/>
      <c r="AQ1706" s="44"/>
      <c r="AR1706" s="44"/>
    </row>
    <row r="1707" spans="1:44" ht="16.8">
      <c r="A1707" s="78" t="s">
        <v>3341</v>
      </c>
      <c r="B1707" s="79"/>
      <c r="C1707" s="79" t="s">
        <v>3339</v>
      </c>
      <c r="D1707" s="19" t="s">
        <v>3340</v>
      </c>
      <c r="E1707" s="20" t="s">
        <v>414</v>
      </c>
      <c r="F1707" s="21">
        <v>1982</v>
      </c>
      <c r="G1707" s="40">
        <v>2022</v>
      </c>
      <c r="H1707" s="23">
        <v>3057893898601</v>
      </c>
      <c r="I1707" s="23">
        <v>6333298694846</v>
      </c>
      <c r="J1707" s="23">
        <v>2894076961129</v>
      </c>
      <c r="K1707" s="23">
        <v>2905995386485</v>
      </c>
      <c r="L1707" s="23">
        <v>1294645330601</v>
      </c>
      <c r="M1707" s="23">
        <v>3439221733717</v>
      </c>
      <c r="N1707" s="23">
        <v>1711767583061</v>
      </c>
      <c r="O1707" s="25">
        <f t="shared" si="572"/>
        <v>1763248568000</v>
      </c>
      <c r="P1707" s="23">
        <v>929728158872</v>
      </c>
      <c r="Q1707" s="23">
        <v>156699105621</v>
      </c>
      <c r="R1707" s="25">
        <f t="shared" si="573"/>
        <v>1555068477440</v>
      </c>
      <c r="S1707" s="26">
        <f t="shared" si="574"/>
        <v>0.45696201941086123</v>
      </c>
      <c r="T1707" s="27">
        <f t="shared" si="575"/>
        <v>2.361954912533045</v>
      </c>
      <c r="U1707" s="26">
        <f t="shared" si="576"/>
        <v>29.476842337177082</v>
      </c>
      <c r="V1707" s="26">
        <f t="shared" si="577"/>
        <v>0.589046903178845</v>
      </c>
      <c r="W1707" s="143"/>
      <c r="X1707" s="143"/>
      <c r="Y1707" s="143"/>
      <c r="Z1707" s="30">
        <f t="shared" si="619"/>
        <v>0</v>
      </c>
      <c r="AA1707" s="31">
        <f t="shared" si="548"/>
        <v>40</v>
      </c>
      <c r="AB1707" s="32">
        <v>3.15E-2</v>
      </c>
      <c r="AC1707" s="32">
        <v>8.0199999999999994E-2</v>
      </c>
      <c r="AD1707" s="33">
        <f t="shared" si="602"/>
        <v>0.27840919131682845</v>
      </c>
      <c r="AE1707" s="34">
        <f t="shared" si="603"/>
        <v>0.14679998586338697</v>
      </c>
      <c r="AF1707" s="33">
        <f t="shared" si="604"/>
        <v>0.24553847092440237</v>
      </c>
      <c r="AG1707" s="33">
        <f t="shared" si="605"/>
        <v>0</v>
      </c>
      <c r="AH1707" s="35">
        <f t="shared" si="606"/>
        <v>0.59147272379143201</v>
      </c>
      <c r="AI1707" s="36">
        <f t="shared" si="582"/>
        <v>1.9413606876308958</v>
      </c>
      <c r="AJ1707" s="23"/>
      <c r="AK1707" s="173">
        <v>871</v>
      </c>
      <c r="AL1707" s="44"/>
      <c r="AM1707" s="44"/>
      <c r="AN1707" s="44"/>
      <c r="AO1707" s="44"/>
      <c r="AP1707" s="44"/>
      <c r="AQ1707" s="44"/>
      <c r="AR1707" s="44"/>
    </row>
    <row r="1708" spans="1:44" ht="16.8">
      <c r="A1708" s="78" t="s">
        <v>3342</v>
      </c>
      <c r="B1708" s="79"/>
      <c r="C1708" s="79" t="s">
        <v>3339</v>
      </c>
      <c r="D1708" s="19" t="s">
        <v>3340</v>
      </c>
      <c r="E1708" s="20" t="s">
        <v>414</v>
      </c>
      <c r="F1708" s="21">
        <v>1982</v>
      </c>
      <c r="G1708" s="40">
        <v>2023</v>
      </c>
      <c r="H1708" s="23">
        <v>2761558839599</v>
      </c>
      <c r="I1708" s="23">
        <v>6160532490687</v>
      </c>
      <c r="J1708" s="23">
        <v>2346294739345</v>
      </c>
      <c r="K1708" s="23">
        <v>2620185850237</v>
      </c>
      <c r="L1708" s="23">
        <v>882868362279</v>
      </c>
      <c r="M1708" s="23">
        <v>3814237751342</v>
      </c>
      <c r="N1708" s="23">
        <v>1353609068304</v>
      </c>
      <c r="O1708" s="25">
        <f t="shared" si="572"/>
        <v>1878690477320</v>
      </c>
      <c r="P1708" s="23">
        <v>661288002217</v>
      </c>
      <c r="Q1708" s="23">
        <v>133665652914</v>
      </c>
      <c r="R1708" s="25">
        <f t="shared" si="573"/>
        <v>1219943415390</v>
      </c>
      <c r="S1708" s="26">
        <f t="shared" si="574"/>
        <v>0.38085908042720995</v>
      </c>
      <c r="T1708" s="27">
        <f t="shared" si="575"/>
        <v>3.1279395180391627</v>
      </c>
      <c r="U1708" s="26">
        <f t="shared" si="576"/>
        <v>29.449184333031315</v>
      </c>
      <c r="V1708" s="26">
        <f t="shared" si="577"/>
        <v>0.5166080368617989</v>
      </c>
      <c r="W1708" s="143"/>
      <c r="X1708" s="143"/>
      <c r="Y1708" s="143"/>
      <c r="Z1708" s="30">
        <f t="shared" si="619"/>
        <v>0</v>
      </c>
      <c r="AA1708" s="31">
        <f t="shared" si="548"/>
        <v>41</v>
      </c>
      <c r="AB1708" s="32">
        <v>3.2500000000000001E-2</v>
      </c>
      <c r="AC1708" s="32">
        <v>5.0500000000000003E-2</v>
      </c>
      <c r="AD1708" s="33">
        <f t="shared" si="602"/>
        <v>0.30495585895538313</v>
      </c>
      <c r="AE1708" s="34">
        <f t="shared" si="603"/>
        <v>0.107342669357995</v>
      </c>
      <c r="AF1708" s="33">
        <f t="shared" si="604"/>
        <v>0.19802564424978081</v>
      </c>
      <c r="AG1708" s="33">
        <f t="shared" si="605"/>
        <v>0</v>
      </c>
      <c r="AH1708" s="35">
        <f t="shared" si="606"/>
        <v>0.57691348218335026</v>
      </c>
      <c r="AI1708" s="36">
        <f t="shared" si="582"/>
        <v>1.7466248760552796</v>
      </c>
      <c r="AJ1708" s="23"/>
      <c r="AK1708" s="173">
        <v>872</v>
      </c>
      <c r="AL1708" s="44"/>
      <c r="AM1708" s="44"/>
      <c r="AN1708" s="44"/>
      <c r="AO1708" s="44"/>
      <c r="AP1708" s="44"/>
      <c r="AQ1708" s="44"/>
      <c r="AR1708" s="44"/>
    </row>
    <row r="1709" spans="1:44" ht="16.8">
      <c r="A1709" s="45"/>
      <c r="B1709" s="45">
        <v>657</v>
      </c>
      <c r="C1709" s="45" t="s">
        <v>3343</v>
      </c>
      <c r="D1709" s="46" t="s">
        <v>3344</v>
      </c>
      <c r="E1709" s="47"/>
      <c r="F1709" s="48"/>
      <c r="G1709" s="48"/>
      <c r="H1709" s="49"/>
      <c r="I1709" s="49"/>
      <c r="J1709" s="49"/>
      <c r="K1709" s="49"/>
      <c r="L1709" s="49"/>
      <c r="M1709" s="49">
        <f>I1709-J1709</f>
        <v>0</v>
      </c>
      <c r="N1709" s="49"/>
      <c r="O1709" s="49">
        <f t="shared" si="572"/>
        <v>0</v>
      </c>
      <c r="P1709" s="49"/>
      <c r="Q1709" s="49"/>
      <c r="R1709" s="49">
        <f t="shared" si="573"/>
        <v>0</v>
      </c>
      <c r="S1709" s="50" t="e">
        <f t="shared" si="574"/>
        <v>#DIV/0!</v>
      </c>
      <c r="T1709" s="51" t="e">
        <f t="shared" si="575"/>
        <v>#DIV/0!</v>
      </c>
      <c r="U1709" s="50" t="e">
        <f t="shared" si="576"/>
        <v>#NUM!</v>
      </c>
      <c r="V1709" s="50" t="e">
        <f t="shared" si="577"/>
        <v>#DIV/0!</v>
      </c>
      <c r="W1709" s="52"/>
      <c r="X1709" s="52"/>
      <c r="Y1709" s="52"/>
      <c r="Z1709" s="55">
        <f t="shared" si="619"/>
        <v>0</v>
      </c>
      <c r="AA1709" s="48">
        <f t="shared" si="548"/>
        <v>0</v>
      </c>
      <c r="AB1709" s="49"/>
      <c r="AC1709" s="49"/>
      <c r="AD1709" s="50" t="e">
        <f t="shared" si="602"/>
        <v>#DIV/0!</v>
      </c>
      <c r="AE1709" s="56" t="e">
        <f t="shared" si="603"/>
        <v>#DIV/0!</v>
      </c>
      <c r="AF1709" s="50" t="e">
        <f t="shared" si="604"/>
        <v>#DIV/0!</v>
      </c>
      <c r="AG1709" s="50" t="e">
        <f t="shared" si="605"/>
        <v>#DIV/0!</v>
      </c>
      <c r="AH1709" s="57" t="e">
        <f t="shared" si="606"/>
        <v>#DIV/0!</v>
      </c>
      <c r="AI1709" s="58" t="e">
        <f t="shared" si="582"/>
        <v>#DIV/0!</v>
      </c>
      <c r="AJ1709" s="49" t="s">
        <v>3345</v>
      </c>
      <c r="AK1709" s="49">
        <v>873</v>
      </c>
      <c r="AL1709" s="59"/>
      <c r="AM1709" s="59"/>
      <c r="AN1709" s="59"/>
      <c r="AO1709" s="59"/>
      <c r="AP1709" s="59"/>
      <c r="AQ1709" s="59"/>
      <c r="AR1709" s="59"/>
    </row>
    <row r="1710" spans="1:44" ht="16.8">
      <c r="A1710" s="78" t="s">
        <v>3346</v>
      </c>
      <c r="B1710" s="79">
        <v>658</v>
      </c>
      <c r="C1710" s="79" t="s">
        <v>3347</v>
      </c>
      <c r="D1710" s="19" t="s">
        <v>3348</v>
      </c>
      <c r="E1710" s="20" t="s">
        <v>414</v>
      </c>
      <c r="F1710" s="21">
        <v>2002</v>
      </c>
      <c r="G1710" s="40">
        <v>2021</v>
      </c>
      <c r="H1710" s="23">
        <v>243036852530</v>
      </c>
      <c r="I1710" s="23">
        <v>329595165601</v>
      </c>
      <c r="J1710" s="23">
        <v>214431410998</v>
      </c>
      <c r="K1710" s="23">
        <v>213465981305</v>
      </c>
      <c r="L1710" s="23">
        <v>211482301146</v>
      </c>
      <c r="M1710" s="23">
        <v>115163754603</v>
      </c>
      <c r="N1710" s="23">
        <v>874063223262</v>
      </c>
      <c r="O1710" s="25">
        <f t="shared" si="572"/>
        <v>31554551384</v>
      </c>
      <c r="P1710" s="23">
        <v>-5673007686</v>
      </c>
      <c r="Q1710" s="23">
        <v>85411052384</v>
      </c>
      <c r="R1710" s="25">
        <f t="shared" si="573"/>
        <v>788652170878</v>
      </c>
      <c r="S1710" s="26">
        <f t="shared" si="574"/>
        <v>0.65059027976637718</v>
      </c>
      <c r="T1710" s="27">
        <f t="shared" si="575"/>
        <v>1.1492065823617827</v>
      </c>
      <c r="U1710" s="26">
        <f t="shared" si="576"/>
        <v>26.521130967401465</v>
      </c>
      <c r="V1710" s="26">
        <f t="shared" si="577"/>
        <v>4.0946253727105084</v>
      </c>
      <c r="W1710" s="143"/>
      <c r="X1710" s="143"/>
      <c r="Y1710" s="143"/>
      <c r="Z1710" s="30">
        <f t="shared" si="619"/>
        <v>0</v>
      </c>
      <c r="AA1710" s="31">
        <f t="shared" si="548"/>
        <v>19</v>
      </c>
      <c r="AB1710" s="32">
        <v>1.84E-2</v>
      </c>
      <c r="AC1710" s="32">
        <v>2.58E-2</v>
      </c>
      <c r="AD1710" s="33">
        <f t="shared" si="602"/>
        <v>9.5737300413560017E-2</v>
      </c>
      <c r="AE1710" s="34">
        <f t="shared" si="603"/>
        <v>-1.7212047621073444E-2</v>
      </c>
      <c r="AF1710" s="33">
        <f t="shared" si="604"/>
        <v>2.3927904689983328</v>
      </c>
      <c r="AG1710" s="33">
        <f t="shared" si="605"/>
        <v>0</v>
      </c>
      <c r="AH1710" s="35">
        <f t="shared" si="606"/>
        <v>4.0761902334828752</v>
      </c>
      <c r="AI1710" s="36">
        <f t="shared" si="582"/>
        <v>12.063186675004141</v>
      </c>
      <c r="AJ1710" s="23"/>
      <c r="AK1710" s="173">
        <v>874</v>
      </c>
      <c r="AL1710" s="44"/>
      <c r="AM1710" s="44"/>
      <c r="AN1710" s="44"/>
      <c r="AO1710" s="44"/>
      <c r="AP1710" s="44"/>
      <c r="AQ1710" s="44"/>
      <c r="AR1710" s="44"/>
    </row>
    <row r="1711" spans="1:44" ht="16.8">
      <c r="A1711" s="78" t="s">
        <v>3349</v>
      </c>
      <c r="B1711" s="79"/>
      <c r="C1711" s="79" t="s">
        <v>3347</v>
      </c>
      <c r="D1711" s="19" t="s">
        <v>3348</v>
      </c>
      <c r="E1711" s="20" t="s">
        <v>414</v>
      </c>
      <c r="F1711" s="21">
        <v>2002</v>
      </c>
      <c r="G1711" s="40">
        <v>2022</v>
      </c>
      <c r="H1711" s="23">
        <v>195124947109</v>
      </c>
      <c r="I1711" s="23">
        <v>272449745684</v>
      </c>
      <c r="J1711" s="23">
        <v>154118273398</v>
      </c>
      <c r="K1711" s="23">
        <v>184274842198</v>
      </c>
      <c r="L1711" s="23">
        <v>151492065732</v>
      </c>
      <c r="M1711" s="23">
        <v>118331472286</v>
      </c>
      <c r="N1711" s="23">
        <v>792306508517</v>
      </c>
      <c r="O1711" s="25">
        <f t="shared" si="572"/>
        <v>43632881377</v>
      </c>
      <c r="P1711" s="23">
        <v>3167717683</v>
      </c>
      <c r="Q1711" s="23">
        <v>77652858836</v>
      </c>
      <c r="R1711" s="25">
        <f t="shared" si="573"/>
        <v>714653649681</v>
      </c>
      <c r="S1711" s="26">
        <f t="shared" si="574"/>
        <v>0.56567596718094793</v>
      </c>
      <c r="T1711" s="27">
        <f t="shared" si="575"/>
        <v>1.2880209017295308</v>
      </c>
      <c r="U1711" s="26">
        <f t="shared" si="576"/>
        <v>26.330720014534084</v>
      </c>
      <c r="V1711" s="26">
        <f t="shared" si="577"/>
        <v>4.299591301050639</v>
      </c>
      <c r="W1711" s="143"/>
      <c r="X1711" s="143"/>
      <c r="Y1711" s="143"/>
      <c r="Z1711" s="30">
        <f t="shared" si="619"/>
        <v>0</v>
      </c>
      <c r="AA1711" s="31">
        <f t="shared" si="548"/>
        <v>20</v>
      </c>
      <c r="AB1711" s="32">
        <v>3.15E-2</v>
      </c>
      <c r="AC1711" s="32">
        <v>8.0199999999999994E-2</v>
      </c>
      <c r="AD1711" s="33">
        <f t="shared" si="602"/>
        <v>0.16015020042487932</v>
      </c>
      <c r="AE1711" s="34">
        <f t="shared" si="603"/>
        <v>1.1626796255754511E-2</v>
      </c>
      <c r="AF1711" s="33">
        <f t="shared" si="604"/>
        <v>2.6230659451959584</v>
      </c>
      <c r="AG1711" s="33">
        <f t="shared" si="605"/>
        <v>0</v>
      </c>
      <c r="AH1711" s="35">
        <f t="shared" si="606"/>
        <v>5.1408992006478176</v>
      </c>
      <c r="AI1711" s="36">
        <f t="shared" si="582"/>
        <v>14.005474575062392</v>
      </c>
      <c r="AJ1711" s="23"/>
      <c r="AK1711" s="173">
        <v>875</v>
      </c>
      <c r="AL1711" s="44"/>
      <c r="AM1711" s="44"/>
      <c r="AN1711" s="44"/>
      <c r="AO1711" s="44"/>
      <c r="AP1711" s="44"/>
      <c r="AQ1711" s="44"/>
      <c r="AR1711" s="44"/>
    </row>
    <row r="1712" spans="1:44" ht="16.8">
      <c r="A1712" s="78" t="s">
        <v>3350</v>
      </c>
      <c r="B1712" s="79"/>
      <c r="C1712" s="79" t="s">
        <v>3347</v>
      </c>
      <c r="D1712" s="19" t="s">
        <v>3348</v>
      </c>
      <c r="E1712" s="20" t="s">
        <v>414</v>
      </c>
      <c r="F1712" s="21">
        <v>2002</v>
      </c>
      <c r="G1712" s="40">
        <v>2023</v>
      </c>
      <c r="H1712" s="23">
        <v>217163309720</v>
      </c>
      <c r="I1712" s="23">
        <v>285929063442</v>
      </c>
      <c r="J1712" s="23">
        <v>176548698413</v>
      </c>
      <c r="K1712" s="23">
        <v>165333485906</v>
      </c>
      <c r="L1712" s="23">
        <v>173922490747</v>
      </c>
      <c r="M1712" s="23">
        <v>109380365029</v>
      </c>
      <c r="N1712" s="23">
        <v>709130404945</v>
      </c>
      <c r="O1712" s="25">
        <f t="shared" si="572"/>
        <v>43240818973</v>
      </c>
      <c r="P1712" s="23">
        <v>-8951107257</v>
      </c>
      <c r="Q1712" s="23">
        <v>69689746983</v>
      </c>
      <c r="R1712" s="25">
        <f t="shared" si="573"/>
        <v>639440657962</v>
      </c>
      <c r="S1712" s="26">
        <f t="shared" si="574"/>
        <v>0.61745628894004501</v>
      </c>
      <c r="T1712" s="27">
        <f t="shared" si="575"/>
        <v>1.2486212035446362</v>
      </c>
      <c r="U1712" s="26">
        <f t="shared" si="576"/>
        <v>26.379009587078677</v>
      </c>
      <c r="V1712" s="26">
        <f t="shared" si="577"/>
        <v>4.2890912331466513</v>
      </c>
      <c r="W1712" s="143"/>
      <c r="X1712" s="143"/>
      <c r="Y1712" s="143"/>
      <c r="Z1712" s="30">
        <f t="shared" si="619"/>
        <v>0</v>
      </c>
      <c r="AA1712" s="31">
        <f t="shared" si="548"/>
        <v>21</v>
      </c>
      <c r="AB1712" s="32">
        <v>3.2500000000000001E-2</v>
      </c>
      <c r="AC1712" s="32">
        <v>5.0500000000000003E-2</v>
      </c>
      <c r="AD1712" s="33">
        <f t="shared" si="602"/>
        <v>0.15122918409366698</v>
      </c>
      <c r="AE1712" s="34">
        <f t="shared" si="603"/>
        <v>-3.1305342483366368E-2</v>
      </c>
      <c r="AF1712" s="33">
        <f t="shared" si="604"/>
        <v>2.236361180862291</v>
      </c>
      <c r="AG1712" s="33">
        <f t="shared" si="605"/>
        <v>0</v>
      </c>
      <c r="AH1712" s="35">
        <f t="shared" si="606"/>
        <v>4.0166277708042495</v>
      </c>
      <c r="AI1712" s="36">
        <f t="shared" si="582"/>
        <v>11.534267209085497</v>
      </c>
      <c r="AJ1712" s="23"/>
      <c r="AK1712" s="173">
        <v>876</v>
      </c>
      <c r="AL1712" s="44"/>
      <c r="AM1712" s="44"/>
      <c r="AN1712" s="44"/>
      <c r="AO1712" s="44"/>
      <c r="AP1712" s="44"/>
      <c r="AQ1712" s="44"/>
      <c r="AR1712" s="44"/>
    </row>
    <row r="1713" spans="1:44" ht="16.8">
      <c r="A1713" s="78" t="s">
        <v>3346</v>
      </c>
      <c r="B1713" s="79">
        <v>659</v>
      </c>
      <c r="C1713" s="79" t="s">
        <v>3351</v>
      </c>
      <c r="D1713" s="19" t="s">
        <v>3352</v>
      </c>
      <c r="E1713" s="20" t="s">
        <v>414</v>
      </c>
      <c r="F1713" s="21">
        <v>1999</v>
      </c>
      <c r="G1713" s="40">
        <v>2021</v>
      </c>
      <c r="H1713" s="23">
        <v>82646748000</v>
      </c>
      <c r="I1713" s="23">
        <v>533198586000</v>
      </c>
      <c r="J1713" s="23">
        <v>231998107000</v>
      </c>
      <c r="K1713" s="23">
        <v>252317307553</v>
      </c>
      <c r="L1713" s="23">
        <v>101136914000</v>
      </c>
      <c r="M1713" s="23">
        <v>301200479000</v>
      </c>
      <c r="N1713" s="23">
        <v>626994018638</v>
      </c>
      <c r="O1713" s="25">
        <f t="shared" si="572"/>
        <v>-18490166000</v>
      </c>
      <c r="P1713" s="23">
        <v>22073747255</v>
      </c>
      <c r="Q1713" s="23">
        <v>25739543267</v>
      </c>
      <c r="R1713" s="25">
        <f t="shared" si="573"/>
        <v>601254475371</v>
      </c>
      <c r="S1713" s="26">
        <f t="shared" si="574"/>
        <v>0.43510638079599107</v>
      </c>
      <c r="T1713" s="27">
        <f t="shared" si="575"/>
        <v>0.81717688162800772</v>
      </c>
      <c r="U1713" s="26">
        <f t="shared" si="576"/>
        <v>27.002159773334469</v>
      </c>
      <c r="V1713" s="26">
        <f t="shared" si="577"/>
        <v>2.484942569808843</v>
      </c>
      <c r="W1713" s="143"/>
      <c r="X1713" s="143"/>
      <c r="Y1713" s="143"/>
      <c r="Z1713" s="30">
        <f t="shared" si="619"/>
        <v>0</v>
      </c>
      <c r="AA1713" s="31">
        <f t="shared" si="548"/>
        <v>22</v>
      </c>
      <c r="AB1713" s="32">
        <v>1.84E-2</v>
      </c>
      <c r="AC1713" s="32">
        <v>2.58E-2</v>
      </c>
      <c r="AD1713" s="33">
        <f t="shared" si="602"/>
        <v>-3.4677822645238596E-2</v>
      </c>
      <c r="AE1713" s="34">
        <f t="shared" si="603"/>
        <v>4.1398735545408967E-2</v>
      </c>
      <c r="AF1713" s="33">
        <f t="shared" si="604"/>
        <v>1.1276370402283851</v>
      </c>
      <c r="AG1713" s="33">
        <f t="shared" si="605"/>
        <v>0</v>
      </c>
      <c r="AH1713" s="35">
        <f t="shared" si="606"/>
        <v>2.7025824768389168</v>
      </c>
      <c r="AI1713" s="36">
        <f t="shared" si="582"/>
        <v>6.4401295521818733</v>
      </c>
      <c r="AJ1713" s="23"/>
      <c r="AK1713" s="173">
        <v>877</v>
      </c>
      <c r="AL1713" s="44"/>
      <c r="AM1713" s="44"/>
      <c r="AN1713" s="44"/>
      <c r="AO1713" s="44"/>
      <c r="AP1713" s="44"/>
      <c r="AQ1713" s="44"/>
      <c r="AR1713" s="44"/>
    </row>
    <row r="1714" spans="1:44" ht="16.8">
      <c r="A1714" s="78" t="s">
        <v>3349</v>
      </c>
      <c r="B1714" s="79"/>
      <c r="C1714" s="79" t="s">
        <v>3351</v>
      </c>
      <c r="D1714" s="19" t="s">
        <v>3352</v>
      </c>
      <c r="E1714" s="20" t="s">
        <v>414</v>
      </c>
      <c r="F1714" s="21">
        <v>1999</v>
      </c>
      <c r="G1714" s="40">
        <v>2022</v>
      </c>
      <c r="H1714" s="23">
        <v>106812588000</v>
      </c>
      <c r="I1714" s="23">
        <v>492683120000</v>
      </c>
      <c r="J1714" s="23">
        <v>190100075000</v>
      </c>
      <c r="K1714" s="23">
        <v>211049091000</v>
      </c>
      <c r="L1714" s="23">
        <v>107490282000</v>
      </c>
      <c r="M1714" s="23">
        <v>302583045000</v>
      </c>
      <c r="N1714" s="23">
        <v>821620707997</v>
      </c>
      <c r="O1714" s="25">
        <f t="shared" si="572"/>
        <v>-677694000</v>
      </c>
      <c r="P1714" s="23">
        <v>22956313142</v>
      </c>
      <c r="Q1714" s="23">
        <v>30988608486</v>
      </c>
      <c r="R1714" s="25">
        <f t="shared" si="573"/>
        <v>790632099511</v>
      </c>
      <c r="S1714" s="26">
        <f t="shared" si="574"/>
        <v>0.38584653559878407</v>
      </c>
      <c r="T1714" s="27">
        <f t="shared" si="575"/>
        <v>0.99369529982254579</v>
      </c>
      <c r="U1714" s="26">
        <f t="shared" si="576"/>
        <v>26.923132045710531</v>
      </c>
      <c r="V1714" s="26">
        <f t="shared" si="577"/>
        <v>3.8930312568699952</v>
      </c>
      <c r="W1714" s="143"/>
      <c r="X1714" s="143"/>
      <c r="Y1714" s="143"/>
      <c r="Z1714" s="30">
        <f t="shared" si="619"/>
        <v>0</v>
      </c>
      <c r="AA1714" s="31">
        <f t="shared" si="548"/>
        <v>23</v>
      </c>
      <c r="AB1714" s="32">
        <v>3.15E-2</v>
      </c>
      <c r="AC1714" s="32">
        <v>8.0199999999999994E-2</v>
      </c>
      <c r="AD1714" s="33">
        <f t="shared" si="602"/>
        <v>-1.3755169854408652E-3</v>
      </c>
      <c r="AE1714" s="34">
        <f t="shared" si="603"/>
        <v>4.6594478702659835E-2</v>
      </c>
      <c r="AF1714" s="33">
        <f t="shared" si="604"/>
        <v>1.6047476916014496</v>
      </c>
      <c r="AG1714" s="33">
        <f t="shared" si="605"/>
        <v>0</v>
      </c>
      <c r="AH1714" s="35">
        <f t="shared" si="606"/>
        <v>4.322043050203952</v>
      </c>
      <c r="AI1714" s="36">
        <f t="shared" si="582"/>
        <v>9.6812920822899287</v>
      </c>
      <c r="AJ1714" s="23"/>
      <c r="AK1714" s="173">
        <v>878</v>
      </c>
      <c r="AL1714" s="44"/>
      <c r="AM1714" s="44"/>
      <c r="AN1714" s="44"/>
      <c r="AO1714" s="44"/>
      <c r="AP1714" s="44"/>
      <c r="AQ1714" s="44"/>
      <c r="AR1714" s="44"/>
    </row>
    <row r="1715" spans="1:44" ht="16.8">
      <c r="A1715" s="78" t="s">
        <v>3350</v>
      </c>
      <c r="B1715" s="79"/>
      <c r="C1715" s="79" t="s">
        <v>3351</v>
      </c>
      <c r="D1715" s="19" t="s">
        <v>3352</v>
      </c>
      <c r="E1715" s="20" t="s">
        <v>414</v>
      </c>
      <c r="F1715" s="21">
        <v>1999</v>
      </c>
      <c r="G1715" s="40">
        <v>2023</v>
      </c>
      <c r="H1715" s="23">
        <v>111352224000</v>
      </c>
      <c r="I1715" s="23">
        <v>429631047000</v>
      </c>
      <c r="J1715" s="23">
        <v>130701684000</v>
      </c>
      <c r="K1715" s="23">
        <v>160400879500</v>
      </c>
      <c r="L1715" s="23">
        <v>82864741000</v>
      </c>
      <c r="M1715" s="23">
        <v>298929363000</v>
      </c>
      <c r="N1715" s="23">
        <v>706909818957</v>
      </c>
      <c r="O1715" s="25">
        <f t="shared" si="572"/>
        <v>28487483000</v>
      </c>
      <c r="P1715" s="23">
        <v>18502630760</v>
      </c>
      <c r="Q1715" s="23">
        <v>32396383781</v>
      </c>
      <c r="R1715" s="25">
        <f t="shared" si="573"/>
        <v>674513435176</v>
      </c>
      <c r="S1715" s="26">
        <f t="shared" si="574"/>
        <v>0.30421843326420495</v>
      </c>
      <c r="T1715" s="27">
        <f t="shared" si="575"/>
        <v>1.343782924513093</v>
      </c>
      <c r="U1715" s="26">
        <f t="shared" si="576"/>
        <v>26.786192647082821</v>
      </c>
      <c r="V1715" s="26">
        <f t="shared" si="577"/>
        <v>4.4071442822543876</v>
      </c>
      <c r="W1715" s="143"/>
      <c r="X1715" s="143"/>
      <c r="Y1715" s="143"/>
      <c r="Z1715" s="30">
        <f t="shared" si="619"/>
        <v>0</v>
      </c>
      <c r="AA1715" s="31">
        <f t="shared" si="548"/>
        <v>24</v>
      </c>
      <c r="AB1715" s="32">
        <v>3.2500000000000001E-2</v>
      </c>
      <c r="AC1715" s="32">
        <v>5.0500000000000003E-2</v>
      </c>
      <c r="AD1715" s="33">
        <f t="shared" si="602"/>
        <v>6.6306853750259812E-2</v>
      </c>
      <c r="AE1715" s="34">
        <f t="shared" si="603"/>
        <v>4.3066326070238588E-2</v>
      </c>
      <c r="AF1715" s="33">
        <f t="shared" si="604"/>
        <v>1.5699829886269834</v>
      </c>
      <c r="AG1715" s="33">
        <f t="shared" si="605"/>
        <v>0</v>
      </c>
      <c r="AH1715" s="35">
        <f t="shared" si="606"/>
        <v>5.408574681845721</v>
      </c>
      <c r="AI1715" s="36">
        <f t="shared" si="582"/>
        <v>10.729379625313411</v>
      </c>
      <c r="AJ1715" s="23"/>
      <c r="AK1715" s="173">
        <v>879</v>
      </c>
      <c r="AL1715" s="44"/>
      <c r="AM1715" s="44"/>
      <c r="AN1715" s="44"/>
      <c r="AO1715" s="44"/>
      <c r="AP1715" s="44"/>
      <c r="AQ1715" s="44"/>
      <c r="AR1715" s="44"/>
    </row>
    <row r="1716" spans="1:44" ht="16.8">
      <c r="A1716" s="79"/>
      <c r="B1716" s="79">
        <v>660</v>
      </c>
      <c r="C1716" s="79" t="s">
        <v>3353</v>
      </c>
      <c r="D1716" s="19" t="s">
        <v>3354</v>
      </c>
      <c r="E1716" s="20" t="s">
        <v>414</v>
      </c>
      <c r="F1716" s="21">
        <v>1982</v>
      </c>
      <c r="G1716" s="40">
        <v>2021</v>
      </c>
      <c r="H1716" s="23">
        <v>464556324620</v>
      </c>
      <c r="I1716" s="23">
        <v>511257431230</v>
      </c>
      <c r="J1716" s="23">
        <v>359051103902</v>
      </c>
      <c r="K1716" s="23">
        <v>348822825614</v>
      </c>
      <c r="L1716" s="23">
        <v>354738710926</v>
      </c>
      <c r="M1716" s="23">
        <v>152206327328</v>
      </c>
      <c r="N1716" s="23">
        <v>422247380986</v>
      </c>
      <c r="O1716" s="25">
        <f t="shared" si="572"/>
        <v>109817613694</v>
      </c>
      <c r="P1716" s="23">
        <v>-15059532573</v>
      </c>
      <c r="Q1716" s="23">
        <v>185432407603</v>
      </c>
      <c r="R1716" s="25">
        <f t="shared" si="573"/>
        <v>236814973383</v>
      </c>
      <c r="S1716" s="26">
        <f t="shared" si="574"/>
        <v>0.70229023965125159</v>
      </c>
      <c r="T1716" s="27">
        <f t="shared" si="575"/>
        <v>1.3095732445081485</v>
      </c>
      <c r="U1716" s="26">
        <f t="shared" si="576"/>
        <v>26.960139079610986</v>
      </c>
      <c r="V1716" s="26">
        <f t="shared" si="577"/>
        <v>1.2104924046835457</v>
      </c>
      <c r="W1716" s="143"/>
      <c r="X1716" s="143"/>
      <c r="Y1716" s="143"/>
      <c r="Z1716" s="30">
        <f t="shared" si="619"/>
        <v>0</v>
      </c>
      <c r="AA1716" s="31">
        <f t="shared" si="548"/>
        <v>39</v>
      </c>
      <c r="AB1716" s="32">
        <v>1.84E-2</v>
      </c>
      <c r="AC1716" s="32">
        <v>2.58E-2</v>
      </c>
      <c r="AD1716" s="33">
        <f t="shared" si="602"/>
        <v>0.21479905618153494</v>
      </c>
      <c r="AE1716" s="34">
        <f t="shared" si="603"/>
        <v>-2.9455870278050099E-2</v>
      </c>
      <c r="AF1716" s="33">
        <f t="shared" si="604"/>
        <v>0.46320103907978943</v>
      </c>
      <c r="AG1716" s="33">
        <f t="shared" si="605"/>
        <v>0</v>
      </c>
      <c r="AH1716" s="35">
        <f t="shared" si="606"/>
        <v>1.1760091429805182</v>
      </c>
      <c r="AI1716" s="36">
        <f t="shared" si="582"/>
        <v>2.921093220972395</v>
      </c>
      <c r="AJ1716" s="23"/>
      <c r="AK1716" s="173">
        <v>880</v>
      </c>
      <c r="AL1716" s="44"/>
      <c r="AM1716" s="44"/>
      <c r="AN1716" s="44"/>
      <c r="AO1716" s="44"/>
      <c r="AP1716" s="44"/>
      <c r="AQ1716" s="44"/>
      <c r="AR1716" s="44"/>
    </row>
    <row r="1717" spans="1:44" ht="16.8">
      <c r="A1717" s="79"/>
      <c r="B1717" s="79"/>
      <c r="C1717" s="79" t="s">
        <v>3353</v>
      </c>
      <c r="D1717" s="19" t="s">
        <v>3354</v>
      </c>
      <c r="E1717" s="20" t="s">
        <v>414</v>
      </c>
      <c r="F1717" s="21">
        <v>1982</v>
      </c>
      <c r="G1717" s="40">
        <v>2022</v>
      </c>
      <c r="H1717" s="23">
        <v>504564949125</v>
      </c>
      <c r="I1717" s="23">
        <v>537822665037</v>
      </c>
      <c r="J1717" s="23">
        <v>372358839758</v>
      </c>
      <c r="K1717" s="23">
        <v>365704971830</v>
      </c>
      <c r="L1717" s="23">
        <v>368163234382</v>
      </c>
      <c r="M1717" s="23">
        <v>165463825279</v>
      </c>
      <c r="N1717" s="23">
        <v>717692008889</v>
      </c>
      <c r="O1717" s="25">
        <f t="shared" si="572"/>
        <v>136401714743</v>
      </c>
      <c r="P1717" s="23">
        <v>13257497951</v>
      </c>
      <c r="Q1717" s="23">
        <v>245499132369</v>
      </c>
      <c r="R1717" s="25">
        <f t="shared" si="573"/>
        <v>472192876520</v>
      </c>
      <c r="S1717" s="26">
        <f t="shared" si="574"/>
        <v>0.69234501251891878</v>
      </c>
      <c r="T1717" s="27">
        <f t="shared" si="575"/>
        <v>1.37049249355918</v>
      </c>
      <c r="U1717" s="26">
        <f t="shared" si="576"/>
        <v>27.010794723881613</v>
      </c>
      <c r="V1717" s="26">
        <f t="shared" si="577"/>
        <v>1.9624890667951409</v>
      </c>
      <c r="W1717" s="143"/>
      <c r="X1717" s="143"/>
      <c r="Y1717" s="143"/>
      <c r="Z1717" s="30">
        <f t="shared" si="619"/>
        <v>0</v>
      </c>
      <c r="AA1717" s="31">
        <f t="shared" si="548"/>
        <v>40</v>
      </c>
      <c r="AB1717" s="32">
        <v>3.15E-2</v>
      </c>
      <c r="AC1717" s="32">
        <v>8.0199999999999994E-2</v>
      </c>
      <c r="AD1717" s="33">
        <f t="shared" si="602"/>
        <v>0.25361838317768948</v>
      </c>
      <c r="AE1717" s="34">
        <f t="shared" si="603"/>
        <v>2.4650314709380904E-2</v>
      </c>
      <c r="AF1717" s="33">
        <f t="shared" si="604"/>
        <v>0.87797132255018495</v>
      </c>
      <c r="AG1717" s="33">
        <f t="shared" si="605"/>
        <v>0</v>
      </c>
      <c r="AH1717" s="35">
        <f t="shared" si="606"/>
        <v>1.9274203597675719</v>
      </c>
      <c r="AI1717" s="36">
        <f t="shared" si="582"/>
        <v>5.1635782245895427</v>
      </c>
      <c r="AJ1717" s="23"/>
      <c r="AK1717" s="173">
        <v>881</v>
      </c>
      <c r="AL1717" s="44"/>
      <c r="AM1717" s="44"/>
      <c r="AN1717" s="44"/>
      <c r="AO1717" s="44"/>
      <c r="AP1717" s="44"/>
      <c r="AQ1717" s="44"/>
      <c r="AR1717" s="44"/>
    </row>
    <row r="1718" spans="1:44" ht="16.8">
      <c r="A1718" s="79"/>
      <c r="B1718" s="79"/>
      <c r="C1718" s="79" t="s">
        <v>3353</v>
      </c>
      <c r="D1718" s="19" t="s">
        <v>3354</v>
      </c>
      <c r="E1718" s="20" t="s">
        <v>414</v>
      </c>
      <c r="F1718" s="21">
        <v>1982</v>
      </c>
      <c r="G1718" s="40">
        <v>2023</v>
      </c>
      <c r="H1718" s="23">
        <v>494537492478</v>
      </c>
      <c r="I1718" s="23">
        <v>527721953738</v>
      </c>
      <c r="J1718" s="23">
        <v>345478228067</v>
      </c>
      <c r="K1718" s="23">
        <v>358918533913</v>
      </c>
      <c r="L1718" s="23">
        <v>344715996567</v>
      </c>
      <c r="M1718" s="23">
        <v>182243725671</v>
      </c>
      <c r="N1718" s="23">
        <v>660738726398</v>
      </c>
      <c r="O1718" s="25">
        <f t="shared" si="572"/>
        <v>149821495911</v>
      </c>
      <c r="P1718" s="23">
        <v>16779900393</v>
      </c>
      <c r="Q1718" s="23">
        <v>252935290042</v>
      </c>
      <c r="R1718" s="25">
        <f t="shared" si="573"/>
        <v>407803436356</v>
      </c>
      <c r="S1718" s="26">
        <f t="shared" si="574"/>
        <v>0.65465957142749609</v>
      </c>
      <c r="T1718" s="27">
        <f t="shared" si="575"/>
        <v>1.4346229864672968</v>
      </c>
      <c r="U1718" s="26">
        <f t="shared" si="576"/>
        <v>26.991835379179797</v>
      </c>
      <c r="V1718" s="26">
        <f t="shared" si="577"/>
        <v>1.8409155949526965</v>
      </c>
      <c r="W1718" s="143"/>
      <c r="X1718" s="143"/>
      <c r="Y1718" s="143"/>
      <c r="Z1718" s="30">
        <f t="shared" si="619"/>
        <v>0</v>
      </c>
      <c r="AA1718" s="31">
        <f t="shared" si="548"/>
        <v>41</v>
      </c>
      <c r="AB1718" s="32">
        <v>3.2500000000000001E-2</v>
      </c>
      <c r="AC1718" s="32">
        <v>5.0500000000000003E-2</v>
      </c>
      <c r="AD1718" s="33">
        <f t="shared" si="602"/>
        <v>0.28390233692150396</v>
      </c>
      <c r="AE1718" s="34">
        <f t="shared" si="603"/>
        <v>3.1796858694513923E-2</v>
      </c>
      <c r="AF1718" s="33">
        <f t="shared" si="604"/>
        <v>0.77276193167143403</v>
      </c>
      <c r="AG1718" s="33">
        <f t="shared" si="605"/>
        <v>0</v>
      </c>
      <c r="AH1718" s="35">
        <f t="shared" si="606"/>
        <v>1.9125336207000003</v>
      </c>
      <c r="AI1718" s="36">
        <f t="shared" si="582"/>
        <v>4.8478464016938565</v>
      </c>
      <c r="AJ1718" s="23"/>
      <c r="AK1718" s="173">
        <v>882</v>
      </c>
      <c r="AL1718" s="44"/>
      <c r="AM1718" s="44"/>
      <c r="AN1718" s="44"/>
      <c r="AO1718" s="44"/>
      <c r="AP1718" s="44"/>
      <c r="AQ1718" s="44"/>
      <c r="AR1718" s="44"/>
    </row>
    <row r="1719" spans="1:44" ht="16.8">
      <c r="A1719" s="78" t="s">
        <v>3355</v>
      </c>
      <c r="B1719" s="79">
        <v>661</v>
      </c>
      <c r="C1719" s="79" t="s">
        <v>3356</v>
      </c>
      <c r="D1719" s="19" t="s">
        <v>3357</v>
      </c>
      <c r="E1719" s="20" t="s">
        <v>414</v>
      </c>
      <c r="F1719" s="21">
        <v>1988</v>
      </c>
      <c r="G1719" s="40">
        <v>2021</v>
      </c>
      <c r="H1719" s="23">
        <v>9292192238421</v>
      </c>
      <c r="I1719" s="23">
        <v>10619016547122</v>
      </c>
      <c r="J1719" s="23">
        <v>4606382566869</v>
      </c>
      <c r="K1719" s="23">
        <v>3923833400156</v>
      </c>
      <c r="L1719" s="23">
        <v>4563002409508</v>
      </c>
      <c r="M1719" s="23">
        <v>6012633980253</v>
      </c>
      <c r="N1719" s="23">
        <v>19735646137250</v>
      </c>
      <c r="O1719" s="25">
        <f t="shared" si="572"/>
        <v>4729189828913</v>
      </c>
      <c r="P1719" s="23">
        <v>1029042165645</v>
      </c>
      <c r="Q1719" s="23">
        <v>2180474256422</v>
      </c>
      <c r="R1719" s="25">
        <f t="shared" si="573"/>
        <v>17555171880828</v>
      </c>
      <c r="S1719" s="26">
        <f t="shared" si="574"/>
        <v>0.43378617468276159</v>
      </c>
      <c r="T1719" s="27">
        <f t="shared" si="575"/>
        <v>2.0364206293335969</v>
      </c>
      <c r="U1719" s="26">
        <f t="shared" si="576"/>
        <v>29.993667523605186</v>
      </c>
      <c r="V1719" s="26">
        <f t="shared" si="577"/>
        <v>5.0296850361856267</v>
      </c>
      <c r="W1719" s="143"/>
      <c r="X1719" s="143"/>
      <c r="Y1719" s="143"/>
      <c r="Z1719" s="30">
        <f t="shared" si="619"/>
        <v>0</v>
      </c>
      <c r="AA1719" s="31">
        <f t="shared" si="548"/>
        <v>33</v>
      </c>
      <c r="AB1719" s="32">
        <v>1.84E-2</v>
      </c>
      <c r="AC1719" s="32">
        <v>2.58E-2</v>
      </c>
      <c r="AD1719" s="33">
        <f t="shared" si="602"/>
        <v>0.44535101795229054</v>
      </c>
      <c r="AE1719" s="34">
        <f t="shared" si="603"/>
        <v>9.6905599598476402E-2</v>
      </c>
      <c r="AF1719" s="33">
        <f t="shared" si="604"/>
        <v>1.653182458368601</v>
      </c>
      <c r="AG1719" s="33">
        <f t="shared" si="605"/>
        <v>0</v>
      </c>
      <c r="AH1719" s="35">
        <f t="shared" si="606"/>
        <v>4.2844131703686301</v>
      </c>
      <c r="AI1719" s="36">
        <f t="shared" si="582"/>
        <v>10.410004343965628</v>
      </c>
      <c r="AJ1719" s="23"/>
      <c r="AK1719" s="173">
        <v>883</v>
      </c>
      <c r="AL1719" s="44"/>
      <c r="AM1719" s="44"/>
      <c r="AN1719" s="44"/>
      <c r="AO1719" s="44"/>
      <c r="AP1719" s="44"/>
      <c r="AQ1719" s="44"/>
      <c r="AR1719" s="44"/>
    </row>
    <row r="1720" spans="1:44" ht="16.8">
      <c r="A1720" s="78" t="s">
        <v>3358</v>
      </c>
      <c r="B1720" s="79"/>
      <c r="C1720" s="79" t="s">
        <v>3356</v>
      </c>
      <c r="D1720" s="19" t="s">
        <v>3357</v>
      </c>
      <c r="E1720" s="20" t="s">
        <v>414</v>
      </c>
      <c r="F1720" s="21">
        <v>1988</v>
      </c>
      <c r="G1720" s="40">
        <v>2022</v>
      </c>
      <c r="H1720" s="23">
        <v>11966357761798</v>
      </c>
      <c r="I1720" s="23">
        <v>13337124649246</v>
      </c>
      <c r="J1720" s="23">
        <v>4893029994396</v>
      </c>
      <c r="K1720" s="23">
        <v>4749706280633</v>
      </c>
      <c r="L1720" s="23">
        <v>4883064421396</v>
      </c>
      <c r="M1720" s="23">
        <v>8444094654850</v>
      </c>
      <c r="N1720" s="23">
        <v>34211128942240</v>
      </c>
      <c r="O1720" s="25">
        <f t="shared" si="572"/>
        <v>7083293340402</v>
      </c>
      <c r="P1720" s="23">
        <v>1810691843397</v>
      </c>
      <c r="Q1720" s="23">
        <v>3502205641060</v>
      </c>
      <c r="R1720" s="25">
        <f t="shared" si="573"/>
        <v>30708923301180</v>
      </c>
      <c r="S1720" s="26">
        <f t="shared" si="574"/>
        <v>0.36687292974146585</v>
      </c>
      <c r="T1720" s="27">
        <f t="shared" si="575"/>
        <v>2.4505836354247781</v>
      </c>
      <c r="U1720" s="26">
        <f t="shared" si="576"/>
        <v>30.221572589648396</v>
      </c>
      <c r="V1720" s="26">
        <f t="shared" si="577"/>
        <v>7.2027883243510029</v>
      </c>
      <c r="W1720" s="143"/>
      <c r="X1720" s="143"/>
      <c r="Y1720" s="143"/>
      <c r="Z1720" s="30">
        <f t="shared" si="619"/>
        <v>0</v>
      </c>
      <c r="AA1720" s="31">
        <f t="shared" ref="AA1720:AA1929" si="620">G1720-F1720</f>
        <v>34</v>
      </c>
      <c r="AB1720" s="32">
        <v>3.15E-2</v>
      </c>
      <c r="AC1720" s="32">
        <v>8.0199999999999994E-2</v>
      </c>
      <c r="AD1720" s="33">
        <f t="shared" si="602"/>
        <v>0.53109598408098002</v>
      </c>
      <c r="AE1720" s="34">
        <f t="shared" si="603"/>
        <v>0.13576328414231065</v>
      </c>
      <c r="AF1720" s="33">
        <f t="shared" si="604"/>
        <v>2.3025145305900772</v>
      </c>
      <c r="AG1720" s="33">
        <f t="shared" si="605"/>
        <v>0</v>
      </c>
      <c r="AH1720" s="35">
        <f t="shared" si="606"/>
        <v>6.9918085483682084</v>
      </c>
      <c r="AI1720" s="36">
        <f t="shared" si="582"/>
        <v>15.417490278011874</v>
      </c>
      <c r="AJ1720" s="23"/>
      <c r="AK1720" s="173">
        <v>884</v>
      </c>
      <c r="AL1720" s="44"/>
      <c r="AM1720" s="44"/>
      <c r="AN1720" s="44"/>
      <c r="AO1720" s="44"/>
      <c r="AP1720" s="44"/>
      <c r="AQ1720" s="44"/>
      <c r="AR1720" s="44"/>
    </row>
    <row r="1721" spans="1:44" ht="16.8">
      <c r="A1721" s="78" t="s">
        <v>3355</v>
      </c>
      <c r="B1721" s="79"/>
      <c r="C1721" s="79" t="s">
        <v>3356</v>
      </c>
      <c r="D1721" s="19" t="s">
        <v>3357</v>
      </c>
      <c r="E1721" s="20" t="s">
        <v>414</v>
      </c>
      <c r="F1721" s="21">
        <v>1988</v>
      </c>
      <c r="G1721" s="40">
        <v>2023</v>
      </c>
      <c r="H1721" s="23">
        <v>12958118192260</v>
      </c>
      <c r="I1721" s="23">
        <v>14427558015356</v>
      </c>
      <c r="J1721" s="23">
        <v>4621377351380</v>
      </c>
      <c r="K1721" s="23">
        <v>4757203672888</v>
      </c>
      <c r="L1721" s="23">
        <v>4611956609380</v>
      </c>
      <c r="M1721" s="23">
        <v>9806180663976</v>
      </c>
      <c r="N1721" s="23">
        <v>33481608954953</v>
      </c>
      <c r="O1721" s="25">
        <f t="shared" si="572"/>
        <v>8346161582880</v>
      </c>
      <c r="P1721" s="23">
        <v>1971099177135</v>
      </c>
      <c r="Q1721" s="23">
        <v>3529704404520</v>
      </c>
      <c r="R1721" s="25">
        <f t="shared" si="573"/>
        <v>29951904550433</v>
      </c>
      <c r="S1721" s="26">
        <f t="shared" si="574"/>
        <v>0.32031597769083497</v>
      </c>
      <c r="T1721" s="27">
        <f t="shared" si="575"/>
        <v>2.8096791209841849</v>
      </c>
      <c r="U1721" s="26">
        <f t="shared" si="576"/>
        <v>30.300161244688308</v>
      </c>
      <c r="V1721" s="26">
        <f t="shared" si="577"/>
        <v>7.0380860810668233</v>
      </c>
      <c r="W1721" s="143"/>
      <c r="X1721" s="143"/>
      <c r="Y1721" s="143"/>
      <c r="Z1721" s="30">
        <f t="shared" si="619"/>
        <v>0</v>
      </c>
      <c r="AA1721" s="31">
        <f t="shared" si="620"/>
        <v>35</v>
      </c>
      <c r="AB1721" s="32">
        <v>3.2500000000000001E-2</v>
      </c>
      <c r="AC1721" s="32">
        <v>5.0500000000000003E-2</v>
      </c>
      <c r="AD1721" s="33">
        <f t="shared" si="602"/>
        <v>0.57848747334765493</v>
      </c>
      <c r="AE1721" s="34">
        <f t="shared" si="603"/>
        <v>0.13662042980780648</v>
      </c>
      <c r="AF1721" s="33">
        <f t="shared" si="604"/>
        <v>2.076020385331574</v>
      </c>
      <c r="AG1721" s="33">
        <f t="shared" si="605"/>
        <v>0</v>
      </c>
      <c r="AH1721" s="35">
        <f t="shared" si="606"/>
        <v>7.2449415854247396</v>
      </c>
      <c r="AI1721" s="36">
        <f t="shared" si="582"/>
        <v>14.981262426767049</v>
      </c>
      <c r="AJ1721" s="23"/>
      <c r="AK1721" s="173">
        <v>885</v>
      </c>
      <c r="AL1721" s="44"/>
      <c r="AM1721" s="44"/>
      <c r="AN1721" s="44"/>
      <c r="AO1721" s="44"/>
      <c r="AP1721" s="44"/>
      <c r="AQ1721" s="44"/>
      <c r="AR1721" s="44"/>
    </row>
    <row r="1722" spans="1:44" ht="16.8">
      <c r="A1722" s="45"/>
      <c r="B1722" s="45">
        <v>662</v>
      </c>
      <c r="C1722" s="45" t="s">
        <v>3359</v>
      </c>
      <c r="D1722" s="46" t="s">
        <v>3360</v>
      </c>
      <c r="E1722" s="47"/>
      <c r="F1722" s="48"/>
      <c r="G1722" s="48">
        <v>2021</v>
      </c>
      <c r="H1722" s="49"/>
      <c r="I1722" s="49"/>
      <c r="J1722" s="49"/>
      <c r="K1722" s="49"/>
      <c r="L1722" s="49"/>
      <c r="M1722" s="49">
        <f>I1722-J1722</f>
        <v>0</v>
      </c>
      <c r="N1722" s="49"/>
      <c r="O1722" s="49">
        <f t="shared" si="572"/>
        <v>0</v>
      </c>
      <c r="P1722" s="49"/>
      <c r="Q1722" s="49"/>
      <c r="R1722" s="49">
        <f t="shared" si="573"/>
        <v>0</v>
      </c>
      <c r="S1722" s="50" t="e">
        <f t="shared" si="574"/>
        <v>#DIV/0!</v>
      </c>
      <c r="T1722" s="51" t="e">
        <f t="shared" si="575"/>
        <v>#DIV/0!</v>
      </c>
      <c r="U1722" s="50" t="e">
        <f t="shared" si="576"/>
        <v>#NUM!</v>
      </c>
      <c r="V1722" s="50" t="e">
        <f t="shared" si="577"/>
        <v>#DIV/0!</v>
      </c>
      <c r="W1722" s="52"/>
      <c r="X1722" s="52"/>
      <c r="Y1722" s="52"/>
      <c r="Z1722" s="55">
        <f t="shared" si="619"/>
        <v>0</v>
      </c>
      <c r="AA1722" s="48">
        <f t="shared" si="620"/>
        <v>2021</v>
      </c>
      <c r="AB1722" s="49"/>
      <c r="AC1722" s="49"/>
      <c r="AD1722" s="50" t="e">
        <f t="shared" si="602"/>
        <v>#DIV/0!</v>
      </c>
      <c r="AE1722" s="56" t="e">
        <f t="shared" si="603"/>
        <v>#DIV/0!</v>
      </c>
      <c r="AF1722" s="50" t="e">
        <f t="shared" si="604"/>
        <v>#DIV/0!</v>
      </c>
      <c r="AG1722" s="50" t="e">
        <f t="shared" si="605"/>
        <v>#DIV/0!</v>
      </c>
      <c r="AH1722" s="57" t="e">
        <f t="shared" si="606"/>
        <v>#DIV/0!</v>
      </c>
      <c r="AI1722" s="58" t="e">
        <f t="shared" si="582"/>
        <v>#DIV/0!</v>
      </c>
      <c r="AJ1722" s="49"/>
      <c r="AK1722" s="49">
        <v>886</v>
      </c>
      <c r="AL1722" s="59"/>
      <c r="AM1722" s="59"/>
      <c r="AN1722" s="59"/>
      <c r="AO1722" s="59"/>
      <c r="AP1722" s="59"/>
      <c r="AQ1722" s="59"/>
      <c r="AR1722" s="59"/>
    </row>
    <row r="1723" spans="1:44" ht="16.8">
      <c r="A1723" s="259" t="s">
        <v>3361</v>
      </c>
      <c r="B1723" s="79">
        <v>663</v>
      </c>
      <c r="C1723" s="79" t="s">
        <v>3362</v>
      </c>
      <c r="D1723" s="19" t="s">
        <v>3363</v>
      </c>
      <c r="E1723" s="20" t="s">
        <v>414</v>
      </c>
      <c r="F1723" s="21">
        <v>1980</v>
      </c>
      <c r="G1723" s="40">
        <v>2021</v>
      </c>
      <c r="H1723" s="23">
        <v>2489095641000</v>
      </c>
      <c r="I1723" s="23">
        <v>5448566167000</v>
      </c>
      <c r="J1723" s="23">
        <v>767100345000</v>
      </c>
      <c r="K1723" s="23">
        <v>680708931401</v>
      </c>
      <c r="L1723" s="23">
        <v>594317518000</v>
      </c>
      <c r="M1723" s="23">
        <v>4681465822000</v>
      </c>
      <c r="N1723" s="23">
        <v>3868169547310</v>
      </c>
      <c r="O1723" s="25">
        <f t="shared" si="572"/>
        <v>1894778123000</v>
      </c>
      <c r="P1723" s="23">
        <v>216187739296</v>
      </c>
      <c r="Q1723" s="23">
        <v>86738774829</v>
      </c>
      <c r="R1723" s="25">
        <f t="shared" si="573"/>
        <v>3781430772481</v>
      </c>
      <c r="S1723" s="26">
        <f t="shared" si="574"/>
        <v>0.14078939696943576</v>
      </c>
      <c r="T1723" s="27">
        <f t="shared" si="575"/>
        <v>4.1881579553238071</v>
      </c>
      <c r="U1723" s="26">
        <f t="shared" si="576"/>
        <v>29.326373601365965</v>
      </c>
      <c r="V1723" s="26">
        <f t="shared" si="577"/>
        <v>5.682560296878628</v>
      </c>
      <c r="W1723" s="143"/>
      <c r="X1723" s="143"/>
      <c r="Y1723" s="143"/>
      <c r="Z1723" s="30">
        <f t="shared" si="619"/>
        <v>0</v>
      </c>
      <c r="AA1723" s="31">
        <f t="shared" si="620"/>
        <v>41</v>
      </c>
      <c r="AB1723" s="32">
        <v>1.84E-2</v>
      </c>
      <c r="AC1723" s="32">
        <v>2.58E-2</v>
      </c>
      <c r="AD1723" s="33">
        <f t="shared" si="602"/>
        <v>0.34775720160580736</v>
      </c>
      <c r="AE1723" s="34">
        <f t="shared" si="603"/>
        <v>3.9677913907950897E-2</v>
      </c>
      <c r="AF1723" s="33">
        <f t="shared" si="604"/>
        <v>0.69402309829396258</v>
      </c>
      <c r="AG1723" s="33">
        <f t="shared" si="605"/>
        <v>0</v>
      </c>
      <c r="AH1723" s="35">
        <f t="shared" si="606"/>
        <v>5.0425861134373493</v>
      </c>
      <c r="AI1723" s="36">
        <f t="shared" si="582"/>
        <v>7.8057200592055258</v>
      </c>
      <c r="AJ1723" s="23"/>
      <c r="AK1723" s="173">
        <v>887</v>
      </c>
      <c r="AL1723" s="44"/>
      <c r="AM1723" s="44"/>
      <c r="AN1723" s="44"/>
      <c r="AO1723" s="44"/>
      <c r="AP1723" s="44"/>
      <c r="AQ1723" s="44"/>
      <c r="AR1723" s="44"/>
    </row>
    <row r="1724" spans="1:44" ht="16.8">
      <c r="A1724" s="257"/>
      <c r="B1724" s="79"/>
      <c r="C1724" s="79" t="s">
        <v>3362</v>
      </c>
      <c r="D1724" s="19" t="s">
        <v>3363</v>
      </c>
      <c r="E1724" s="20" t="s">
        <v>414</v>
      </c>
      <c r="F1724" s="21">
        <v>1980</v>
      </c>
      <c r="G1724" s="40">
        <v>2022</v>
      </c>
      <c r="H1724" s="23">
        <v>2889884078000</v>
      </c>
      <c r="I1724" s="23">
        <v>5779442940000</v>
      </c>
      <c r="J1724" s="23">
        <v>614322977000</v>
      </c>
      <c r="K1724" s="23">
        <v>690711661000</v>
      </c>
      <c r="L1724" s="23">
        <v>614322977000</v>
      </c>
      <c r="M1724" s="23">
        <v>5165119963000</v>
      </c>
      <c r="N1724" s="23">
        <v>5277791567042</v>
      </c>
      <c r="O1724" s="25">
        <f t="shared" si="572"/>
        <v>2275561101000</v>
      </c>
      <c r="P1724" s="23">
        <v>497202717339</v>
      </c>
      <c r="Q1724" s="23">
        <v>119483288880</v>
      </c>
      <c r="R1724" s="25">
        <f t="shared" si="573"/>
        <v>5158308278162</v>
      </c>
      <c r="S1724" s="26">
        <f t="shared" si="574"/>
        <v>0.10629449643809442</v>
      </c>
      <c r="T1724" s="27">
        <f t="shared" si="575"/>
        <v>4.7041770960814961</v>
      </c>
      <c r="U1724" s="26">
        <f t="shared" si="576"/>
        <v>29.385328416805628</v>
      </c>
      <c r="V1724" s="26">
        <f t="shared" si="577"/>
        <v>7.6410923183212338</v>
      </c>
      <c r="W1724" s="143"/>
      <c r="X1724" s="143"/>
      <c r="Y1724" s="143"/>
      <c r="Z1724" s="30">
        <f t="shared" si="619"/>
        <v>0</v>
      </c>
      <c r="AA1724" s="31">
        <f t="shared" si="620"/>
        <v>42</v>
      </c>
      <c r="AB1724" s="32">
        <v>3.15E-2</v>
      </c>
      <c r="AC1724" s="32">
        <v>8.0199999999999994E-2</v>
      </c>
      <c r="AD1724" s="33">
        <f t="shared" si="602"/>
        <v>0.39373363914550563</v>
      </c>
      <c r="AE1724" s="34">
        <f t="shared" si="603"/>
        <v>8.6029522654825274E-2</v>
      </c>
      <c r="AF1724" s="33">
        <f t="shared" si="604"/>
        <v>0.89252689778471972</v>
      </c>
      <c r="AG1724" s="33">
        <f t="shared" si="605"/>
        <v>0</v>
      </c>
      <c r="AH1724" s="35">
        <f t="shared" si="606"/>
        <v>8.5912325676237895</v>
      </c>
      <c r="AI1724" s="36">
        <f t="shared" si="582"/>
        <v>12.129493029004728</v>
      </c>
      <c r="AJ1724" s="23"/>
      <c r="AK1724" s="173">
        <v>888</v>
      </c>
      <c r="AL1724" s="44"/>
      <c r="AM1724" s="44"/>
      <c r="AN1724" s="44"/>
      <c r="AO1724" s="44"/>
      <c r="AP1724" s="44"/>
      <c r="AQ1724" s="44"/>
      <c r="AR1724" s="44"/>
    </row>
    <row r="1725" spans="1:44" ht="16.8">
      <c r="A1725" s="257"/>
      <c r="B1725" s="79"/>
      <c r="C1725" s="79" t="s">
        <v>3362</v>
      </c>
      <c r="D1725" s="19" t="s">
        <v>3363</v>
      </c>
      <c r="E1725" s="20" t="s">
        <v>414</v>
      </c>
      <c r="F1725" s="21">
        <v>1980</v>
      </c>
      <c r="G1725" s="40">
        <v>2023</v>
      </c>
      <c r="H1725" s="23">
        <v>2929235432000</v>
      </c>
      <c r="I1725" s="23">
        <v>5777917929000</v>
      </c>
      <c r="J1725" s="23">
        <v>594317518000</v>
      </c>
      <c r="K1725" s="23">
        <v>604320247500</v>
      </c>
      <c r="L1725" s="23">
        <v>767100345000</v>
      </c>
      <c r="M1725" s="23">
        <v>5183600411000</v>
      </c>
      <c r="N1725" s="23">
        <v>5813760220061</v>
      </c>
      <c r="O1725" s="25">
        <f t="shared" si="572"/>
        <v>2162135087000</v>
      </c>
      <c r="P1725" s="23">
        <v>380102277161</v>
      </c>
      <c r="Q1725" s="23">
        <v>116842404736</v>
      </c>
      <c r="R1725" s="25">
        <f t="shared" si="573"/>
        <v>5696917815325</v>
      </c>
      <c r="S1725" s="26">
        <f t="shared" si="574"/>
        <v>0.10286015227337439</v>
      </c>
      <c r="T1725" s="27">
        <f t="shared" si="575"/>
        <v>3.8185818206091406</v>
      </c>
      <c r="U1725" s="26">
        <f t="shared" si="576"/>
        <v>29.38506451382187</v>
      </c>
      <c r="V1725" s="26">
        <f t="shared" si="577"/>
        <v>9.6203300222222001</v>
      </c>
      <c r="W1725" s="143"/>
      <c r="X1725" s="143"/>
      <c r="Y1725" s="143"/>
      <c r="Z1725" s="30">
        <f t="shared" si="619"/>
        <v>0</v>
      </c>
      <c r="AA1725" s="31">
        <f t="shared" si="620"/>
        <v>43</v>
      </c>
      <c r="AB1725" s="32">
        <v>3.2500000000000001E-2</v>
      </c>
      <c r="AC1725" s="32">
        <v>5.0500000000000003E-2</v>
      </c>
      <c r="AD1725" s="33">
        <f t="shared" si="602"/>
        <v>0.37420661102644054</v>
      </c>
      <c r="AE1725" s="34">
        <f t="shared" si="603"/>
        <v>6.5785336834437408E-2</v>
      </c>
      <c r="AF1725" s="33">
        <f t="shared" si="604"/>
        <v>0.98598108961215047</v>
      </c>
      <c r="AG1725" s="33">
        <f t="shared" si="605"/>
        <v>0</v>
      </c>
      <c r="AH1725" s="35">
        <f t="shared" si="606"/>
        <v>9.7822460956989659</v>
      </c>
      <c r="AI1725" s="36">
        <f t="shared" si="582"/>
        <v>13.577131096219004</v>
      </c>
      <c r="AJ1725" s="23"/>
      <c r="AK1725" s="173">
        <v>889</v>
      </c>
      <c r="AL1725" s="44"/>
      <c r="AM1725" s="44"/>
      <c r="AN1725" s="44"/>
      <c r="AO1725" s="44"/>
      <c r="AP1725" s="44"/>
      <c r="AQ1725" s="44"/>
      <c r="AR1725" s="44"/>
    </row>
    <row r="1726" spans="1:44" ht="16.8">
      <c r="A1726" s="45"/>
      <c r="B1726" s="45">
        <v>664</v>
      </c>
      <c r="C1726" s="45" t="s">
        <v>3364</v>
      </c>
      <c r="D1726" s="46" t="s">
        <v>3365</v>
      </c>
      <c r="E1726" s="47"/>
      <c r="F1726" s="48"/>
      <c r="G1726" s="48"/>
      <c r="H1726" s="49"/>
      <c r="I1726" s="49"/>
      <c r="J1726" s="49"/>
      <c r="K1726" s="49"/>
      <c r="L1726" s="49"/>
      <c r="M1726" s="49">
        <f>I1726-J1726</f>
        <v>0</v>
      </c>
      <c r="N1726" s="49"/>
      <c r="O1726" s="49">
        <f t="shared" si="572"/>
        <v>0</v>
      </c>
      <c r="P1726" s="49"/>
      <c r="Q1726" s="49"/>
      <c r="R1726" s="49">
        <f t="shared" si="573"/>
        <v>0</v>
      </c>
      <c r="S1726" s="50" t="e">
        <f t="shared" si="574"/>
        <v>#DIV/0!</v>
      </c>
      <c r="T1726" s="51" t="e">
        <f t="shared" si="575"/>
        <v>#DIV/0!</v>
      </c>
      <c r="U1726" s="50" t="e">
        <f t="shared" si="576"/>
        <v>#NUM!</v>
      </c>
      <c r="V1726" s="50" t="e">
        <f t="shared" si="577"/>
        <v>#DIV/0!</v>
      </c>
      <c r="W1726" s="52"/>
      <c r="X1726" s="52"/>
      <c r="Y1726" s="52"/>
      <c r="Z1726" s="55">
        <f t="shared" si="619"/>
        <v>0</v>
      </c>
      <c r="AA1726" s="48">
        <f t="shared" si="620"/>
        <v>0</v>
      </c>
      <c r="AB1726" s="49"/>
      <c r="AC1726" s="49"/>
      <c r="AD1726" s="50" t="e">
        <f t="shared" si="602"/>
        <v>#DIV/0!</v>
      </c>
      <c r="AE1726" s="56" t="e">
        <f t="shared" si="603"/>
        <v>#DIV/0!</v>
      </c>
      <c r="AF1726" s="50" t="e">
        <f t="shared" si="604"/>
        <v>#DIV/0!</v>
      </c>
      <c r="AG1726" s="50" t="e">
        <f t="shared" si="605"/>
        <v>#DIV/0!</v>
      </c>
      <c r="AH1726" s="57" t="e">
        <f t="shared" si="606"/>
        <v>#DIV/0!</v>
      </c>
      <c r="AI1726" s="58" t="e">
        <f t="shared" si="582"/>
        <v>#DIV/0!</v>
      </c>
      <c r="AJ1726" s="49" t="s">
        <v>3366</v>
      </c>
      <c r="AK1726" s="49">
        <v>890</v>
      </c>
      <c r="AL1726" s="59"/>
      <c r="AM1726" s="59"/>
      <c r="AN1726" s="59"/>
      <c r="AO1726" s="59"/>
      <c r="AP1726" s="59"/>
      <c r="AQ1726" s="59"/>
      <c r="AR1726" s="59"/>
    </row>
    <row r="1727" spans="1:44" ht="16.8">
      <c r="A1727" s="78" t="s">
        <v>3367</v>
      </c>
      <c r="B1727" s="79">
        <v>665</v>
      </c>
      <c r="C1727" s="79" t="s">
        <v>3368</v>
      </c>
      <c r="D1727" s="19" t="s">
        <v>3369</v>
      </c>
      <c r="E1727" s="20" t="s">
        <v>414</v>
      </c>
      <c r="F1727" s="21">
        <v>1994</v>
      </c>
      <c r="G1727" s="40">
        <v>2021</v>
      </c>
      <c r="H1727" s="23">
        <v>3179837356156</v>
      </c>
      <c r="I1727" s="23">
        <v>5430878287077</v>
      </c>
      <c r="J1727" s="23">
        <v>3040144336070</v>
      </c>
      <c r="K1727" s="23">
        <v>2911638174773</v>
      </c>
      <c r="L1727" s="23">
        <v>2664558119123</v>
      </c>
      <c r="M1727" s="23">
        <v>2390733951007</v>
      </c>
      <c r="N1727" s="23">
        <v>6494977231279</v>
      </c>
      <c r="O1727" s="25">
        <f t="shared" si="572"/>
        <v>515279237033</v>
      </c>
      <c r="P1727" s="23">
        <v>525894613782</v>
      </c>
      <c r="Q1727" s="23">
        <v>755618835769</v>
      </c>
      <c r="R1727" s="25">
        <f t="shared" si="573"/>
        <v>5739358395510</v>
      </c>
      <c r="S1727" s="26">
        <f t="shared" si="574"/>
        <v>0.55978870734484132</v>
      </c>
      <c r="T1727" s="27">
        <f t="shared" si="575"/>
        <v>1.193382622557543</v>
      </c>
      <c r="U1727" s="26">
        <f t="shared" si="576"/>
        <v>29.323121983954401</v>
      </c>
      <c r="V1727" s="26">
        <f t="shared" si="577"/>
        <v>2.2306951761907601</v>
      </c>
      <c r="W1727" s="143"/>
      <c r="X1727" s="143"/>
      <c r="Y1727" s="143"/>
      <c r="Z1727" s="30">
        <f t="shared" si="619"/>
        <v>0</v>
      </c>
      <c r="AA1727" s="31">
        <f t="shared" si="620"/>
        <v>27</v>
      </c>
      <c r="AB1727" s="32">
        <v>1.84E-2</v>
      </c>
      <c r="AC1727" s="32">
        <v>2.58E-2</v>
      </c>
      <c r="AD1727" s="33">
        <f t="shared" si="602"/>
        <v>9.4879540618527269E-2</v>
      </c>
      <c r="AE1727" s="34">
        <f t="shared" si="603"/>
        <v>9.6834174139639267E-2</v>
      </c>
      <c r="AF1727" s="33">
        <f t="shared" si="604"/>
        <v>1.0568011456207813</v>
      </c>
      <c r="AG1727" s="33">
        <f t="shared" si="605"/>
        <v>0</v>
      </c>
      <c r="AH1727" s="35">
        <f t="shared" si="606"/>
        <v>2.1364042339105085</v>
      </c>
      <c r="AI1727" s="36">
        <f t="shared" si="582"/>
        <v>5.8732713069968145</v>
      </c>
      <c r="AJ1727" s="23"/>
      <c r="AK1727" s="173">
        <v>891</v>
      </c>
      <c r="AL1727" s="44"/>
      <c r="AM1727" s="44"/>
      <c r="AN1727" s="44"/>
      <c r="AO1727" s="44"/>
      <c r="AP1727" s="44"/>
      <c r="AQ1727" s="44"/>
      <c r="AR1727" s="44"/>
    </row>
    <row r="1728" spans="1:44" ht="16.8">
      <c r="A1728" s="78" t="s">
        <v>3370</v>
      </c>
      <c r="B1728" s="79"/>
      <c r="C1728" s="79" t="s">
        <v>3368</v>
      </c>
      <c r="D1728" s="19" t="s">
        <v>3369</v>
      </c>
      <c r="E1728" s="20" t="s">
        <v>414</v>
      </c>
      <c r="F1728" s="21">
        <v>1994</v>
      </c>
      <c r="G1728" s="40">
        <v>2022</v>
      </c>
      <c r="H1728" s="23">
        <v>3055259243612</v>
      </c>
      <c r="I1728" s="23">
        <v>5238297875783</v>
      </c>
      <c r="J1728" s="23">
        <v>2477037314658</v>
      </c>
      <c r="K1728" s="23">
        <v>2758590825364</v>
      </c>
      <c r="L1728" s="23">
        <v>2310100111327</v>
      </c>
      <c r="M1728" s="23">
        <v>2761260561125</v>
      </c>
      <c r="N1728" s="23">
        <v>6889208895361</v>
      </c>
      <c r="O1728" s="25">
        <f t="shared" si="572"/>
        <v>745159132285</v>
      </c>
      <c r="P1728" s="23">
        <v>502438563190</v>
      </c>
      <c r="Q1728" s="23">
        <v>795372123512</v>
      </c>
      <c r="R1728" s="25">
        <f t="shared" si="573"/>
        <v>6093836771849</v>
      </c>
      <c r="S1728" s="26">
        <f t="shared" si="574"/>
        <v>0.47287064871005302</v>
      </c>
      <c r="T1728" s="27">
        <f t="shared" si="575"/>
        <v>1.3225657315158326</v>
      </c>
      <c r="U1728" s="26">
        <f t="shared" si="576"/>
        <v>29.287017728626036</v>
      </c>
      <c r="V1728" s="26">
        <f t="shared" si="577"/>
        <v>2.4973652605590608</v>
      </c>
      <c r="W1728" s="143"/>
      <c r="X1728" s="143"/>
      <c r="Y1728" s="143"/>
      <c r="Z1728" s="30">
        <f t="shared" si="619"/>
        <v>0</v>
      </c>
      <c r="AA1728" s="31">
        <f t="shared" si="620"/>
        <v>28</v>
      </c>
      <c r="AB1728" s="32">
        <v>3.15E-2</v>
      </c>
      <c r="AC1728" s="32">
        <v>8.0199999999999994E-2</v>
      </c>
      <c r="AD1728" s="33">
        <f t="shared" si="602"/>
        <v>0.14225214944914077</v>
      </c>
      <c r="AE1728" s="34">
        <f t="shared" si="603"/>
        <v>9.591637877502289E-2</v>
      </c>
      <c r="AF1728" s="33">
        <f t="shared" si="604"/>
        <v>1.1633238346412511</v>
      </c>
      <c r="AG1728" s="33">
        <f t="shared" si="605"/>
        <v>0</v>
      </c>
      <c r="AH1728" s="35">
        <f t="shared" si="606"/>
        <v>2.7812293559704329</v>
      </c>
      <c r="AI1728" s="36">
        <f t="shared" si="582"/>
        <v>6.9251835199105614</v>
      </c>
      <c r="AJ1728" s="23"/>
      <c r="AK1728" s="173">
        <v>892</v>
      </c>
      <c r="AL1728" s="44"/>
      <c r="AM1728" s="44"/>
      <c r="AN1728" s="44"/>
      <c r="AO1728" s="44"/>
      <c r="AP1728" s="44"/>
      <c r="AQ1728" s="44"/>
      <c r="AR1728" s="44"/>
    </row>
    <row r="1729" spans="1:44" ht="16.8">
      <c r="A1729" s="78" t="s">
        <v>3371</v>
      </c>
      <c r="B1729" s="79"/>
      <c r="C1729" s="79" t="s">
        <v>3368</v>
      </c>
      <c r="D1729" s="19" t="s">
        <v>3369</v>
      </c>
      <c r="E1729" s="20" t="s">
        <v>414</v>
      </c>
      <c r="F1729" s="21">
        <v>1994</v>
      </c>
      <c r="G1729" s="40">
        <v>2023</v>
      </c>
      <c r="H1729" s="23">
        <v>2941337603384</v>
      </c>
      <c r="I1729" s="23">
        <v>5263776311415</v>
      </c>
      <c r="J1729" s="23">
        <v>2487058359709</v>
      </c>
      <c r="K1729" s="23">
        <v>2482047837184</v>
      </c>
      <c r="L1729" s="23">
        <v>2352427924624</v>
      </c>
      <c r="M1729" s="23">
        <v>2776717951706</v>
      </c>
      <c r="N1729" s="23">
        <v>5618812230602</v>
      </c>
      <c r="O1729" s="25">
        <f t="shared" si="572"/>
        <v>588909678760</v>
      </c>
      <c r="P1729" s="23">
        <v>259467307665</v>
      </c>
      <c r="Q1729" s="23">
        <v>687984813880</v>
      </c>
      <c r="R1729" s="25">
        <f t="shared" si="573"/>
        <v>4930827416722</v>
      </c>
      <c r="S1729" s="26">
        <f t="shared" si="574"/>
        <v>0.47248557168274369</v>
      </c>
      <c r="T1729" s="27">
        <f t="shared" si="575"/>
        <v>1.2503412209129121</v>
      </c>
      <c r="U1729" s="26">
        <f t="shared" si="576"/>
        <v>29.291869815016561</v>
      </c>
      <c r="V1729" s="26">
        <f t="shared" si="577"/>
        <v>2.2637807968184878</v>
      </c>
      <c r="W1729" s="143"/>
      <c r="X1729" s="143"/>
      <c r="Y1729" s="143"/>
      <c r="Z1729" s="30">
        <f t="shared" si="619"/>
        <v>0</v>
      </c>
      <c r="AA1729" s="31">
        <f t="shared" si="620"/>
        <v>29</v>
      </c>
      <c r="AB1729" s="32">
        <v>3.2500000000000001E-2</v>
      </c>
      <c r="AC1729" s="32">
        <v>5.0500000000000003E-2</v>
      </c>
      <c r="AD1729" s="33">
        <f t="shared" si="602"/>
        <v>0.11187969319343857</v>
      </c>
      <c r="AE1729" s="34">
        <f t="shared" si="603"/>
        <v>4.9292996570222875E-2</v>
      </c>
      <c r="AF1729" s="33">
        <f t="shared" si="604"/>
        <v>0.93674714216655286</v>
      </c>
      <c r="AG1729" s="33">
        <f t="shared" si="605"/>
        <v>0</v>
      </c>
      <c r="AH1729" s="35">
        <f t="shared" si="606"/>
        <v>2.2592200977782575</v>
      </c>
      <c r="AI1729" s="36">
        <f t="shared" si="582"/>
        <v>5.5537514939583197</v>
      </c>
      <c r="AJ1729" s="23"/>
      <c r="AK1729" s="173">
        <v>893</v>
      </c>
      <c r="AL1729" s="44"/>
      <c r="AM1729" s="44"/>
      <c r="AN1729" s="44"/>
      <c r="AO1729" s="44"/>
      <c r="AP1729" s="44"/>
      <c r="AQ1729" s="44"/>
      <c r="AR1729" s="44"/>
    </row>
    <row r="1730" spans="1:44" ht="16.8">
      <c r="A1730" s="78" t="s">
        <v>3372</v>
      </c>
      <c r="B1730" s="79">
        <v>666</v>
      </c>
      <c r="C1730" s="79" t="s">
        <v>3373</v>
      </c>
      <c r="D1730" s="19" t="s">
        <v>3374</v>
      </c>
      <c r="E1730" s="20" t="s">
        <v>414</v>
      </c>
      <c r="F1730" s="21">
        <v>2004</v>
      </c>
      <c r="G1730" s="40">
        <v>2021</v>
      </c>
      <c r="H1730" s="23">
        <v>224005942142</v>
      </c>
      <c r="I1730" s="23">
        <v>557540141482</v>
      </c>
      <c r="J1730" s="23">
        <v>210509168998</v>
      </c>
      <c r="K1730" s="23">
        <v>126107450517</v>
      </c>
      <c r="L1730" s="23">
        <v>210509168998</v>
      </c>
      <c r="M1730" s="23">
        <v>347030972484</v>
      </c>
      <c r="N1730" s="23">
        <v>0</v>
      </c>
      <c r="O1730" s="25">
        <f t="shared" si="572"/>
        <v>13496773144</v>
      </c>
      <c r="P1730" s="23">
        <v>57048832784</v>
      </c>
      <c r="Q1730" s="23">
        <v>3874818126</v>
      </c>
      <c r="R1730" s="25">
        <f t="shared" si="573"/>
        <v>-3874818126</v>
      </c>
      <c r="S1730" s="26">
        <f t="shared" si="574"/>
        <v>0.37756773608882155</v>
      </c>
      <c r="T1730" s="27">
        <f t="shared" si="575"/>
        <v>1.0641148944164434</v>
      </c>
      <c r="U1730" s="26">
        <f t="shared" si="576"/>
        <v>27.046800340346913</v>
      </c>
      <c r="V1730" s="26">
        <f t="shared" si="577"/>
        <v>0</v>
      </c>
      <c r="W1730" s="143"/>
      <c r="X1730" s="143"/>
      <c r="Y1730" s="143"/>
      <c r="Z1730" s="30">
        <f t="shared" si="619"/>
        <v>0</v>
      </c>
      <c r="AA1730" s="31">
        <f t="shared" si="620"/>
        <v>17</v>
      </c>
      <c r="AB1730" s="32">
        <v>1.84E-2</v>
      </c>
      <c r="AC1730" s="32">
        <v>2.58E-2</v>
      </c>
      <c r="AD1730" s="33">
        <f t="shared" si="602"/>
        <v>2.4207715534390342E-2</v>
      </c>
      <c r="AE1730" s="34">
        <f t="shared" si="603"/>
        <v>0.10232237742085841</v>
      </c>
      <c r="AF1730" s="33">
        <f t="shared" si="604"/>
        <v>-6.9498460069625269E-3</v>
      </c>
      <c r="AG1730" s="33">
        <f t="shared" si="605"/>
        <v>0</v>
      </c>
      <c r="AH1730" s="35">
        <f t="shared" si="606"/>
        <v>0</v>
      </c>
      <c r="AI1730" s="36">
        <f t="shared" si="582"/>
        <v>0.14936609520749386</v>
      </c>
      <c r="AJ1730" s="23"/>
      <c r="AK1730" s="173">
        <v>894</v>
      </c>
      <c r="AL1730" s="44"/>
      <c r="AM1730" s="44"/>
      <c r="AN1730" s="44"/>
      <c r="AO1730" s="44"/>
      <c r="AP1730" s="44"/>
      <c r="AQ1730" s="44"/>
      <c r="AR1730" s="44"/>
    </row>
    <row r="1731" spans="1:44" ht="16.8">
      <c r="A1731" s="78" t="s">
        <v>3375</v>
      </c>
      <c r="B1731" s="79"/>
      <c r="C1731" s="79" t="s">
        <v>3373</v>
      </c>
      <c r="D1731" s="19" t="s">
        <v>3374</v>
      </c>
      <c r="E1731" s="20" t="s">
        <v>414</v>
      </c>
      <c r="F1731" s="21">
        <v>2004</v>
      </c>
      <c r="G1731" s="40">
        <v>2022</v>
      </c>
      <c r="H1731" s="23">
        <v>171747930818</v>
      </c>
      <c r="I1731" s="23">
        <v>1211656018906</v>
      </c>
      <c r="J1731" s="23">
        <v>703779381039</v>
      </c>
      <c r="K1731" s="23">
        <v>457144275019</v>
      </c>
      <c r="L1731" s="23">
        <v>120328563374</v>
      </c>
      <c r="M1731" s="23">
        <v>507876637867</v>
      </c>
      <c r="N1731" s="23">
        <v>69249089173</v>
      </c>
      <c r="O1731" s="25">
        <f t="shared" si="572"/>
        <v>51419367444</v>
      </c>
      <c r="P1731" s="23">
        <v>-60553075792</v>
      </c>
      <c r="Q1731" s="23">
        <v>13636925257</v>
      </c>
      <c r="R1731" s="25">
        <f t="shared" si="573"/>
        <v>55612163916</v>
      </c>
      <c r="S1731" s="26">
        <f t="shared" si="574"/>
        <v>0.580840907037659</v>
      </c>
      <c r="T1731" s="27">
        <f t="shared" si="575"/>
        <v>1.4273247016519308</v>
      </c>
      <c r="U1731" s="26">
        <f t="shared" si="576"/>
        <v>27.823009150509371</v>
      </c>
      <c r="V1731" s="26">
        <f t="shared" si="577"/>
        <v>0.15148191272902159</v>
      </c>
      <c r="W1731" s="143"/>
      <c r="X1731" s="143"/>
      <c r="Y1731" s="143"/>
      <c r="Z1731" s="30">
        <f t="shared" si="619"/>
        <v>0</v>
      </c>
      <c r="AA1731" s="31">
        <f t="shared" si="620"/>
        <v>18</v>
      </c>
      <c r="AB1731" s="32">
        <v>3.15E-2</v>
      </c>
      <c r="AC1731" s="32">
        <v>8.0199999999999994E-2</v>
      </c>
      <c r="AD1731" s="33">
        <f t="shared" si="602"/>
        <v>4.2437264901656141E-2</v>
      </c>
      <c r="AE1731" s="34">
        <f t="shared" si="603"/>
        <v>-4.9975467333272655E-2</v>
      </c>
      <c r="AF1731" s="33">
        <f t="shared" si="604"/>
        <v>4.5897650032896323E-2</v>
      </c>
      <c r="AG1731" s="33">
        <f t="shared" si="605"/>
        <v>0</v>
      </c>
      <c r="AH1731" s="35">
        <f t="shared" si="606"/>
        <v>9.8396018750601263E-2</v>
      </c>
      <c r="AI1731" s="36">
        <f t="shared" si="582"/>
        <v>0.23081732747456479</v>
      </c>
      <c r="AJ1731" s="23"/>
      <c r="AK1731" s="173">
        <v>895</v>
      </c>
      <c r="AL1731" s="44"/>
      <c r="AM1731" s="44"/>
      <c r="AN1731" s="44"/>
      <c r="AO1731" s="44"/>
      <c r="AP1731" s="44"/>
      <c r="AQ1731" s="44"/>
      <c r="AR1731" s="44"/>
    </row>
    <row r="1732" spans="1:44" ht="16.8">
      <c r="A1732" s="78" t="s">
        <v>3376</v>
      </c>
      <c r="B1732" s="79"/>
      <c r="C1732" s="79" t="s">
        <v>3373</v>
      </c>
      <c r="D1732" s="19" t="s">
        <v>3374</v>
      </c>
      <c r="E1732" s="20" t="s">
        <v>414</v>
      </c>
      <c r="F1732" s="21">
        <v>2004</v>
      </c>
      <c r="G1732" s="40">
        <v>2023</v>
      </c>
      <c r="H1732" s="23">
        <v>173302310613</v>
      </c>
      <c r="I1732" s="23">
        <v>1156208051962</v>
      </c>
      <c r="J1732" s="23">
        <v>634310284392</v>
      </c>
      <c r="K1732" s="23">
        <v>669044832716</v>
      </c>
      <c r="L1732" s="23">
        <v>192136493143</v>
      </c>
      <c r="M1732" s="23">
        <v>521897767570</v>
      </c>
      <c r="N1732" s="23">
        <v>107718308611</v>
      </c>
      <c r="O1732" s="25">
        <f t="shared" si="572"/>
        <v>-18834182530</v>
      </c>
      <c r="P1732" s="23">
        <v>14021129703</v>
      </c>
      <c r="Q1732" s="23">
        <v>16270669977</v>
      </c>
      <c r="R1732" s="25">
        <f t="shared" si="573"/>
        <v>91447638634</v>
      </c>
      <c r="S1732" s="26">
        <f t="shared" si="574"/>
        <v>0.54861258171971916</v>
      </c>
      <c r="T1732" s="27">
        <f t="shared" si="575"/>
        <v>0.90197498548085597</v>
      </c>
      <c r="U1732" s="26">
        <f t="shared" si="576"/>
        <v>27.776166845730717</v>
      </c>
      <c r="V1732" s="26">
        <f t="shared" si="577"/>
        <v>0.16100312466911301</v>
      </c>
      <c r="W1732" s="143"/>
      <c r="X1732" s="143"/>
      <c r="Y1732" s="143"/>
      <c r="Z1732" s="30">
        <f t="shared" si="619"/>
        <v>0</v>
      </c>
      <c r="AA1732" s="31">
        <f t="shared" si="620"/>
        <v>19</v>
      </c>
      <c r="AB1732" s="32">
        <v>3.2500000000000001E-2</v>
      </c>
      <c r="AC1732" s="32">
        <v>5.0500000000000003E-2</v>
      </c>
      <c r="AD1732" s="33">
        <f t="shared" si="602"/>
        <v>-1.6289613705803015E-2</v>
      </c>
      <c r="AE1732" s="34">
        <f t="shared" si="603"/>
        <v>1.2126822399486991E-2</v>
      </c>
      <c r="AF1732" s="33">
        <f t="shared" si="604"/>
        <v>7.9092719064549052E-2</v>
      </c>
      <c r="AG1732" s="33">
        <f t="shared" si="605"/>
        <v>0</v>
      </c>
      <c r="AH1732" s="35">
        <f t="shared" si="606"/>
        <v>0.16981958398207322</v>
      </c>
      <c r="AI1732" s="36">
        <f t="shared" si="582"/>
        <v>0.42825557180740326</v>
      </c>
      <c r="AJ1732" s="23"/>
      <c r="AK1732" s="173">
        <v>896</v>
      </c>
      <c r="AL1732" s="44"/>
      <c r="AM1732" s="44"/>
      <c r="AN1732" s="44"/>
      <c r="AO1732" s="44"/>
      <c r="AP1732" s="44"/>
      <c r="AQ1732" s="44"/>
      <c r="AR1732" s="44"/>
    </row>
    <row r="1733" spans="1:44" ht="16.8">
      <c r="A1733" s="17" t="s">
        <v>3377</v>
      </c>
      <c r="B1733" s="18">
        <v>667</v>
      </c>
      <c r="C1733" s="18" t="s">
        <v>3378</v>
      </c>
      <c r="D1733" s="19" t="s">
        <v>3379</v>
      </c>
      <c r="E1733" s="20" t="s">
        <v>414</v>
      </c>
      <c r="F1733" s="21">
        <v>2007</v>
      </c>
      <c r="G1733" s="40">
        <v>2021</v>
      </c>
      <c r="H1733" s="23">
        <v>675087779714</v>
      </c>
      <c r="I1733" s="23">
        <v>918242231431</v>
      </c>
      <c r="J1733" s="23">
        <v>318258596255</v>
      </c>
      <c r="K1733" s="23">
        <f>(J1733+323930691218)/2</f>
        <v>321094643736.5</v>
      </c>
      <c r="L1733" s="23">
        <v>300683928638</v>
      </c>
      <c r="M1733" s="23">
        <f t="shared" ref="M1733:M1974" si="621">I1733-J1733</f>
        <v>599983635176</v>
      </c>
      <c r="N1733" s="23">
        <v>83262319876</v>
      </c>
      <c r="O1733" s="25">
        <f t="shared" si="572"/>
        <v>374403851076</v>
      </c>
      <c r="P1733" s="23">
        <v>15417009728</v>
      </c>
      <c r="Q1733" s="23">
        <f>213834891+25402771818</f>
        <v>25616606709</v>
      </c>
      <c r="R1733" s="25">
        <f t="shared" si="573"/>
        <v>57645713167</v>
      </c>
      <c r="S1733" s="26">
        <f t="shared" si="574"/>
        <v>0.34659546834283789</v>
      </c>
      <c r="T1733" s="27">
        <f t="shared" si="575"/>
        <v>2.2451741360834521</v>
      </c>
      <c r="U1733" s="26">
        <f t="shared" si="576"/>
        <v>27.545727061420909</v>
      </c>
      <c r="V1733" s="26">
        <f t="shared" si="577"/>
        <v>0.25930771970250488</v>
      </c>
      <c r="W1733" s="143"/>
      <c r="X1733" s="143"/>
      <c r="Y1733" s="143"/>
      <c r="Z1733" s="30">
        <f t="shared" si="619"/>
        <v>0</v>
      </c>
      <c r="AA1733" s="31">
        <f t="shared" si="620"/>
        <v>14</v>
      </c>
      <c r="AB1733" s="32">
        <v>1.84E-2</v>
      </c>
      <c r="AC1733" s="32">
        <v>2.58E-2</v>
      </c>
      <c r="AD1733" s="33">
        <f t="shared" si="602"/>
        <v>0.4077397425867948</v>
      </c>
      <c r="AE1733" s="34">
        <f t="shared" si="603"/>
        <v>1.6789697968883376E-2</v>
      </c>
      <c r="AF1733" s="33">
        <f t="shared" si="604"/>
        <v>6.2778329283727466E-2</v>
      </c>
      <c r="AG1733" s="33">
        <f t="shared" si="605"/>
        <v>0</v>
      </c>
      <c r="AH1733" s="35">
        <f t="shared" si="606"/>
        <v>0.26161844756358849</v>
      </c>
      <c r="AI1733" s="36">
        <f t="shared" si="582"/>
        <v>0.98158020246047961</v>
      </c>
      <c r="AJ1733" s="23"/>
      <c r="AK1733" s="173">
        <v>897</v>
      </c>
      <c r="AL1733" s="44"/>
      <c r="AM1733" s="44"/>
      <c r="AN1733" s="44"/>
      <c r="AO1733" s="44"/>
      <c r="AP1733" s="44"/>
      <c r="AQ1733" s="44"/>
      <c r="AR1733" s="44"/>
    </row>
    <row r="1734" spans="1:44" ht="16.8">
      <c r="A1734" s="17" t="s">
        <v>3380</v>
      </c>
      <c r="B1734" s="18"/>
      <c r="C1734" s="18" t="s">
        <v>3378</v>
      </c>
      <c r="D1734" s="19" t="s">
        <v>3379</v>
      </c>
      <c r="E1734" s="20" t="s">
        <v>414</v>
      </c>
      <c r="F1734" s="21">
        <v>2007</v>
      </c>
      <c r="G1734" s="40">
        <v>2022</v>
      </c>
      <c r="H1734" s="23">
        <v>394603477985</v>
      </c>
      <c r="I1734" s="23">
        <v>638572005772</v>
      </c>
      <c r="J1734" s="23">
        <v>155727800567</v>
      </c>
      <c r="K1734" s="23">
        <f t="shared" ref="K1734:K1735" si="622">(J1734+J1733)/2</f>
        <v>236993198411</v>
      </c>
      <c r="L1734" s="23">
        <v>137575553242</v>
      </c>
      <c r="M1734" s="23">
        <f t="shared" si="621"/>
        <v>482844205205</v>
      </c>
      <c r="N1734" s="23">
        <v>61667876265</v>
      </c>
      <c r="O1734" s="25">
        <f t="shared" si="572"/>
        <v>257027924743</v>
      </c>
      <c r="P1734" s="23">
        <v>-117145729971</v>
      </c>
      <c r="Q1734" s="23">
        <f>539630823+94125749571</f>
        <v>94665380394</v>
      </c>
      <c r="R1734" s="25">
        <f t="shared" si="573"/>
        <v>-32997504129</v>
      </c>
      <c r="S1734" s="26">
        <f t="shared" si="574"/>
        <v>0.24386881848779648</v>
      </c>
      <c r="T1734" s="27">
        <f t="shared" si="575"/>
        <v>2.8682674260511916</v>
      </c>
      <c r="U1734" s="26">
        <f t="shared" si="576"/>
        <v>27.182500279391817</v>
      </c>
      <c r="V1734" s="26">
        <f t="shared" si="577"/>
        <v>0.26020947722750215</v>
      </c>
      <c r="W1734" s="143"/>
      <c r="X1734" s="143"/>
      <c r="Y1734" s="143"/>
      <c r="Z1734" s="30">
        <f t="shared" si="619"/>
        <v>0</v>
      </c>
      <c r="AA1734" s="31">
        <f t="shared" si="620"/>
        <v>15</v>
      </c>
      <c r="AB1734" s="32">
        <v>3.15E-2</v>
      </c>
      <c r="AC1734" s="32">
        <v>8.0199999999999994E-2</v>
      </c>
      <c r="AD1734" s="33">
        <f t="shared" si="602"/>
        <v>0.40250421631350208</v>
      </c>
      <c r="AE1734" s="34">
        <f t="shared" si="603"/>
        <v>-0.18344952317378363</v>
      </c>
      <c r="AF1734" s="33">
        <f t="shared" si="604"/>
        <v>-5.1673897118474137E-2</v>
      </c>
      <c r="AG1734" s="33">
        <f t="shared" si="605"/>
        <v>0</v>
      </c>
      <c r="AH1734" s="35">
        <f t="shared" si="606"/>
        <v>0.39599786319763852</v>
      </c>
      <c r="AI1734" s="36">
        <f t="shared" si="582"/>
        <v>0.45164972983957929</v>
      </c>
      <c r="AJ1734" s="23"/>
      <c r="AK1734" s="173">
        <v>898</v>
      </c>
      <c r="AL1734" s="44"/>
      <c r="AM1734" s="44"/>
      <c r="AN1734" s="44"/>
      <c r="AO1734" s="44"/>
      <c r="AP1734" s="44"/>
      <c r="AQ1734" s="44"/>
      <c r="AR1734" s="44"/>
    </row>
    <row r="1735" spans="1:44" ht="16.8">
      <c r="A1735" s="17" t="s">
        <v>3381</v>
      </c>
      <c r="B1735" s="18"/>
      <c r="C1735" s="18" t="s">
        <v>3378</v>
      </c>
      <c r="D1735" s="19" t="s">
        <v>3379</v>
      </c>
      <c r="E1735" s="20" t="s">
        <v>414</v>
      </c>
      <c r="F1735" s="21">
        <v>2007</v>
      </c>
      <c r="G1735" s="40">
        <v>2023</v>
      </c>
      <c r="H1735" s="23">
        <v>403551156687</v>
      </c>
      <c r="I1735" s="23">
        <v>644866620487</v>
      </c>
      <c r="J1735" s="23">
        <v>158143202905</v>
      </c>
      <c r="K1735" s="23">
        <f t="shared" si="622"/>
        <v>156935501736</v>
      </c>
      <c r="L1735" s="23">
        <v>140281598495</v>
      </c>
      <c r="M1735" s="23">
        <f t="shared" si="621"/>
        <v>486723417582</v>
      </c>
      <c r="N1735" s="23">
        <v>20096294018</v>
      </c>
      <c r="O1735" s="25">
        <f t="shared" si="572"/>
        <v>263269558192</v>
      </c>
      <c r="P1735" s="23">
        <v>2385512377</v>
      </c>
      <c r="Q1735" s="23">
        <f>350530181+12614291510</f>
        <v>12964821691</v>
      </c>
      <c r="R1735" s="25">
        <f t="shared" si="573"/>
        <v>7131472327</v>
      </c>
      <c r="S1735" s="26">
        <f t="shared" si="574"/>
        <v>0.24523397223688065</v>
      </c>
      <c r="T1735" s="27">
        <f t="shared" si="575"/>
        <v>2.8767219722078061</v>
      </c>
      <c r="U1735" s="26">
        <f t="shared" si="576"/>
        <v>27.192309342415559</v>
      </c>
      <c r="V1735" s="26">
        <f t="shared" si="577"/>
        <v>0.12805447967921485</v>
      </c>
      <c r="W1735" s="143"/>
      <c r="X1735" s="143"/>
      <c r="Y1735" s="143"/>
      <c r="Z1735" s="30">
        <f t="shared" si="619"/>
        <v>0</v>
      </c>
      <c r="AA1735" s="31">
        <f t="shared" si="620"/>
        <v>16</v>
      </c>
      <c r="AB1735" s="32">
        <v>3.2500000000000001E-2</v>
      </c>
      <c r="AC1735" s="32">
        <v>5.0500000000000003E-2</v>
      </c>
      <c r="AD1735" s="33">
        <f t="shared" si="602"/>
        <v>0.40825428054126939</v>
      </c>
      <c r="AE1735" s="34">
        <f t="shared" si="603"/>
        <v>3.6992337658886317E-3</v>
      </c>
      <c r="AF1735" s="33">
        <f t="shared" si="604"/>
        <v>1.1058833098872987E-2</v>
      </c>
      <c r="AG1735" s="33">
        <f t="shared" si="605"/>
        <v>0</v>
      </c>
      <c r="AH1735" s="35">
        <f t="shared" si="606"/>
        <v>0.12707655876978963</v>
      </c>
      <c r="AI1735" s="36">
        <f t="shared" si="582"/>
        <v>0.65865477191783772</v>
      </c>
      <c r="AJ1735" s="23"/>
      <c r="AK1735" s="173">
        <v>899</v>
      </c>
      <c r="AL1735" s="44"/>
      <c r="AM1735" s="44"/>
      <c r="AN1735" s="44"/>
      <c r="AO1735" s="44"/>
      <c r="AP1735" s="44"/>
      <c r="AQ1735" s="44"/>
      <c r="AR1735" s="44"/>
    </row>
    <row r="1736" spans="1:44" ht="16.8">
      <c r="A1736" s="17" t="s">
        <v>3382</v>
      </c>
      <c r="B1736" s="18">
        <v>668</v>
      </c>
      <c r="C1736" s="18" t="s">
        <v>3383</v>
      </c>
      <c r="D1736" s="19" t="s">
        <v>3384</v>
      </c>
      <c r="E1736" s="20" t="s">
        <v>414</v>
      </c>
      <c r="F1736" s="21">
        <v>2001</v>
      </c>
      <c r="G1736" s="40">
        <v>2021</v>
      </c>
      <c r="H1736" s="23">
        <v>5428797240960</v>
      </c>
      <c r="I1736" s="23">
        <v>20761202484160</v>
      </c>
      <c r="J1736" s="23">
        <v>6929622017040</v>
      </c>
      <c r="K1736" s="23">
        <f>(J1736+6814172858945)/2</f>
        <v>6871897437992.5</v>
      </c>
      <c r="L1736" s="23">
        <v>3030445254960</v>
      </c>
      <c r="M1736" s="23">
        <f t="shared" si="621"/>
        <v>13831580467120</v>
      </c>
      <c r="N1736" s="23">
        <v>3995471964670</v>
      </c>
      <c r="O1736" s="25">
        <f t="shared" si="572"/>
        <v>2398351986000</v>
      </c>
      <c r="P1736" s="23">
        <v>36769967410</v>
      </c>
      <c r="Q1736" s="23">
        <f>12925934430+385609141765</f>
        <v>398535076195</v>
      </c>
      <c r="R1736" s="25">
        <f t="shared" si="573"/>
        <v>3596936888475</v>
      </c>
      <c r="S1736" s="26">
        <f t="shared" si="574"/>
        <v>0.33377748819352038</v>
      </c>
      <c r="T1736" s="27">
        <f t="shared" si="575"/>
        <v>1.7914190108118804</v>
      </c>
      <c r="U1736" s="26">
        <f t="shared" si="576"/>
        <v>30.664107095677849</v>
      </c>
      <c r="V1736" s="26">
        <f t="shared" si="577"/>
        <v>0.58142194360764565</v>
      </c>
      <c r="W1736" s="143"/>
      <c r="X1736" s="143"/>
      <c r="Y1736" s="143"/>
      <c r="Z1736" s="30">
        <f t="shared" si="619"/>
        <v>0</v>
      </c>
      <c r="AA1736" s="31">
        <f t="shared" si="620"/>
        <v>20</v>
      </c>
      <c r="AB1736" s="32">
        <v>1.84E-2</v>
      </c>
      <c r="AC1736" s="32">
        <v>2.58E-2</v>
      </c>
      <c r="AD1736" s="33">
        <f t="shared" si="602"/>
        <v>0.11552086098239495</v>
      </c>
      <c r="AE1736" s="34">
        <f t="shared" si="603"/>
        <v>1.7710904480631154E-3</v>
      </c>
      <c r="AF1736" s="33">
        <f t="shared" si="604"/>
        <v>0.17325282055407554</v>
      </c>
      <c r="AG1736" s="33">
        <f t="shared" si="605"/>
        <v>0</v>
      </c>
      <c r="AH1736" s="35">
        <f t="shared" si="606"/>
        <v>0.57657862937474802</v>
      </c>
      <c r="AI1736" s="36">
        <f t="shared" si="582"/>
        <v>1.2894174970093597</v>
      </c>
      <c r="AJ1736" s="23"/>
      <c r="AK1736" s="173">
        <v>900</v>
      </c>
      <c r="AL1736" s="44"/>
      <c r="AM1736" s="44"/>
      <c r="AN1736" s="44"/>
      <c r="AO1736" s="44"/>
      <c r="AP1736" s="44"/>
      <c r="AQ1736" s="44"/>
      <c r="AR1736" s="44"/>
    </row>
    <row r="1737" spans="1:44" ht="16.8">
      <c r="A1737" s="17" t="s">
        <v>3385</v>
      </c>
      <c r="B1737" s="18"/>
      <c r="C1737" s="18" t="s">
        <v>3383</v>
      </c>
      <c r="D1737" s="19" t="s">
        <v>3384</v>
      </c>
      <c r="E1737" s="20" t="s">
        <v>414</v>
      </c>
      <c r="F1737" s="21">
        <v>2001</v>
      </c>
      <c r="G1737" s="40">
        <v>2022</v>
      </c>
      <c r="H1737" s="23">
        <v>5645895372740</v>
      </c>
      <c r="I1737" s="23">
        <v>20704046691470</v>
      </c>
      <c r="J1737" s="23">
        <v>6625537388340</v>
      </c>
      <c r="K1737" s="23">
        <f t="shared" ref="K1737:K1738" si="623">(J1737+J1736)/2</f>
        <v>6777579702690</v>
      </c>
      <c r="L1737" s="23">
        <v>2868228338410</v>
      </c>
      <c r="M1737" s="23">
        <f t="shared" si="621"/>
        <v>14078509303130</v>
      </c>
      <c r="N1737" s="23">
        <v>5431604613820</v>
      </c>
      <c r="O1737" s="25">
        <f t="shared" si="572"/>
        <v>2777667034330</v>
      </c>
      <c r="P1737" s="23">
        <v>-154856438352</v>
      </c>
      <c r="Q1737" s="23">
        <f>17630778616+492791232296</f>
        <v>510422010912</v>
      </c>
      <c r="R1737" s="25">
        <f t="shared" si="573"/>
        <v>4921182602908</v>
      </c>
      <c r="S1737" s="26">
        <f t="shared" si="574"/>
        <v>0.32001171012958063</v>
      </c>
      <c r="T1737" s="27">
        <f t="shared" si="575"/>
        <v>1.9684260479309668</v>
      </c>
      <c r="U1737" s="26">
        <f t="shared" si="576"/>
        <v>30.66135028943528</v>
      </c>
      <c r="V1737" s="26">
        <f t="shared" si="577"/>
        <v>0.80140770777866521</v>
      </c>
      <c r="W1737" s="143"/>
      <c r="X1737" s="143"/>
      <c r="Y1737" s="143"/>
      <c r="Z1737" s="30">
        <f t="shared" si="619"/>
        <v>0</v>
      </c>
      <c r="AA1737" s="31">
        <f t="shared" si="620"/>
        <v>21</v>
      </c>
      <c r="AB1737" s="32">
        <v>3.15E-2</v>
      </c>
      <c r="AC1737" s="32">
        <v>8.0199999999999994E-2</v>
      </c>
      <c r="AD1737" s="33">
        <f t="shared" si="602"/>
        <v>0.13416058588557905</v>
      </c>
      <c r="AE1737" s="34">
        <f t="shared" si="603"/>
        <v>-7.4795251701108437E-3</v>
      </c>
      <c r="AF1737" s="33">
        <f t="shared" si="604"/>
        <v>0.23769182306449838</v>
      </c>
      <c r="AG1737" s="33">
        <f t="shared" si="605"/>
        <v>0</v>
      </c>
      <c r="AH1737" s="35">
        <f t="shared" si="606"/>
        <v>0.81979834924467387</v>
      </c>
      <c r="AI1737" s="36">
        <f t="shared" si="582"/>
        <v>1.7547027331820582</v>
      </c>
      <c r="AJ1737" s="23"/>
      <c r="AK1737" s="173">
        <v>901</v>
      </c>
      <c r="AL1737" s="44"/>
      <c r="AM1737" s="44"/>
      <c r="AN1737" s="44"/>
      <c r="AO1737" s="44"/>
      <c r="AP1737" s="44"/>
      <c r="AQ1737" s="44"/>
      <c r="AR1737" s="44"/>
    </row>
    <row r="1738" spans="1:44" ht="16.8">
      <c r="A1738" s="17" t="s">
        <v>3386</v>
      </c>
      <c r="B1738" s="18"/>
      <c r="C1738" s="18" t="s">
        <v>3383</v>
      </c>
      <c r="D1738" s="19" t="s">
        <v>3384</v>
      </c>
      <c r="E1738" s="20" t="s">
        <v>414</v>
      </c>
      <c r="F1738" s="21">
        <v>2001</v>
      </c>
      <c r="G1738" s="40">
        <v>2023</v>
      </c>
      <c r="H1738" s="23">
        <v>6927879980560</v>
      </c>
      <c r="I1738" s="23">
        <v>21632848207600</v>
      </c>
      <c r="J1738" s="23">
        <v>6734690667600</v>
      </c>
      <c r="K1738" s="23">
        <f t="shared" si="623"/>
        <v>6680114027970</v>
      </c>
      <c r="L1738" s="23">
        <v>3146135991040</v>
      </c>
      <c r="M1738" s="23">
        <f t="shared" si="621"/>
        <v>14898157540000</v>
      </c>
      <c r="N1738" s="23">
        <v>5804412484923</v>
      </c>
      <c r="O1738" s="25">
        <f t="shared" si="572"/>
        <v>3781743989520</v>
      </c>
      <c r="P1738" s="23">
        <v>545942180784</v>
      </c>
      <c r="Q1738" s="23">
        <f>24149035575+522515095908</f>
        <v>546664131483</v>
      </c>
      <c r="R1738" s="25">
        <f t="shared" si="573"/>
        <v>5257748353440</v>
      </c>
      <c r="S1738" s="26">
        <f t="shared" si="574"/>
        <v>0.31131779796032522</v>
      </c>
      <c r="T1738" s="27">
        <f t="shared" si="575"/>
        <v>2.2020281387359515</v>
      </c>
      <c r="U1738" s="26">
        <f t="shared" si="576"/>
        <v>30.705234025800706</v>
      </c>
      <c r="V1738" s="26">
        <f t="shared" si="577"/>
        <v>0.86890919236103004</v>
      </c>
      <c r="W1738" s="143"/>
      <c r="X1738" s="143"/>
      <c r="Y1738" s="143"/>
      <c r="Z1738" s="30">
        <f t="shared" si="619"/>
        <v>0</v>
      </c>
      <c r="AA1738" s="31">
        <f t="shared" si="620"/>
        <v>22</v>
      </c>
      <c r="AB1738" s="32">
        <v>3.2500000000000001E-2</v>
      </c>
      <c r="AC1738" s="32">
        <v>5.0500000000000003E-2</v>
      </c>
      <c r="AD1738" s="33">
        <f t="shared" si="602"/>
        <v>0.17481489044939569</v>
      </c>
      <c r="AE1738" s="34">
        <f t="shared" si="603"/>
        <v>2.5236722208044751E-2</v>
      </c>
      <c r="AF1738" s="33">
        <f t="shared" si="604"/>
        <v>0.24304466536185745</v>
      </c>
      <c r="AG1738" s="33">
        <f t="shared" si="605"/>
        <v>0</v>
      </c>
      <c r="AH1738" s="35">
        <f t="shared" si="606"/>
        <v>0.86186771915858196</v>
      </c>
      <c r="AI1738" s="36">
        <f t="shared" si="582"/>
        <v>1.909024394483249</v>
      </c>
      <c r="AJ1738" s="23"/>
      <c r="AK1738" s="173">
        <v>902</v>
      </c>
      <c r="AL1738" s="44"/>
      <c r="AM1738" s="44"/>
      <c r="AN1738" s="44"/>
      <c r="AO1738" s="44"/>
      <c r="AP1738" s="44"/>
      <c r="AQ1738" s="44"/>
      <c r="AR1738" s="44"/>
    </row>
    <row r="1739" spans="1:44" ht="16.8">
      <c r="A1739" s="45"/>
      <c r="B1739" s="45">
        <v>669</v>
      </c>
      <c r="C1739" s="45" t="s">
        <v>3387</v>
      </c>
      <c r="D1739" s="46" t="s">
        <v>3388</v>
      </c>
      <c r="E1739" s="47" t="s">
        <v>949</v>
      </c>
      <c r="F1739" s="48"/>
      <c r="G1739" s="48"/>
      <c r="H1739" s="49"/>
      <c r="I1739" s="49"/>
      <c r="J1739" s="49"/>
      <c r="K1739" s="49"/>
      <c r="L1739" s="49"/>
      <c r="M1739" s="49">
        <f t="shared" si="621"/>
        <v>0</v>
      </c>
      <c r="N1739" s="49"/>
      <c r="O1739" s="49">
        <f t="shared" si="572"/>
        <v>0</v>
      </c>
      <c r="P1739" s="49"/>
      <c r="Q1739" s="49"/>
      <c r="R1739" s="49">
        <f t="shared" si="573"/>
        <v>0</v>
      </c>
      <c r="S1739" s="50" t="e">
        <f t="shared" si="574"/>
        <v>#DIV/0!</v>
      </c>
      <c r="T1739" s="51" t="e">
        <f t="shared" si="575"/>
        <v>#DIV/0!</v>
      </c>
      <c r="U1739" s="50" t="e">
        <f t="shared" si="576"/>
        <v>#NUM!</v>
      </c>
      <c r="V1739" s="50" t="e">
        <f t="shared" si="577"/>
        <v>#DIV/0!</v>
      </c>
      <c r="W1739" s="52"/>
      <c r="X1739" s="52"/>
      <c r="Y1739" s="52"/>
      <c r="Z1739" s="55">
        <f>W1739*Y1739</f>
        <v>0</v>
      </c>
      <c r="AA1739" s="48">
        <f t="shared" si="620"/>
        <v>0</v>
      </c>
      <c r="AB1739" s="49"/>
      <c r="AC1739" s="49"/>
      <c r="AD1739" s="50" t="e">
        <f t="shared" si="602"/>
        <v>#DIV/0!</v>
      </c>
      <c r="AE1739" s="56" t="e">
        <f t="shared" si="603"/>
        <v>#DIV/0!</v>
      </c>
      <c r="AF1739" s="50" t="e">
        <f t="shared" si="604"/>
        <v>#DIV/0!</v>
      </c>
      <c r="AG1739" s="50" t="e">
        <f t="shared" si="605"/>
        <v>#DIV/0!</v>
      </c>
      <c r="AH1739" s="57" t="e">
        <f t="shared" si="606"/>
        <v>#DIV/0!</v>
      </c>
      <c r="AI1739" s="58" t="e">
        <f t="shared" si="582"/>
        <v>#DIV/0!</v>
      </c>
      <c r="AJ1739" s="49"/>
      <c r="AK1739" s="49"/>
      <c r="AL1739" s="59"/>
      <c r="AM1739" s="59"/>
      <c r="AN1739" s="59"/>
      <c r="AO1739" s="59"/>
      <c r="AP1739" s="59"/>
      <c r="AQ1739" s="59"/>
      <c r="AR1739" s="59"/>
    </row>
    <row r="1740" spans="1:44" ht="16.8">
      <c r="A1740" s="17" t="s">
        <v>3389</v>
      </c>
      <c r="B1740" s="18">
        <v>670</v>
      </c>
      <c r="C1740" s="18" t="s">
        <v>3390</v>
      </c>
      <c r="D1740" s="19" t="s">
        <v>3391</v>
      </c>
      <c r="E1740" s="20" t="s">
        <v>414</v>
      </c>
      <c r="F1740" s="21">
        <v>2002</v>
      </c>
      <c r="G1740" s="40">
        <v>2021</v>
      </c>
      <c r="H1740" s="23">
        <v>4849728123623</v>
      </c>
      <c r="I1740" s="23">
        <v>12493219801571</v>
      </c>
      <c r="J1740" s="23">
        <v>5530022086393</v>
      </c>
      <c r="K1740" s="23">
        <f>(J1740+4776996251435)/2</f>
        <v>5153509168914</v>
      </c>
      <c r="L1740" s="23">
        <v>2449919250097</v>
      </c>
      <c r="M1740" s="23">
        <f t="shared" si="621"/>
        <v>6963197715178</v>
      </c>
      <c r="N1740" s="23">
        <v>7460234126265</v>
      </c>
      <c r="O1740" s="25">
        <f t="shared" si="572"/>
        <v>2399808873526</v>
      </c>
      <c r="P1740" s="23">
        <v>834514740028</v>
      </c>
      <c r="Q1740" s="23">
        <f>10492585874+277486387570</f>
        <v>287978973444</v>
      </c>
      <c r="R1740" s="25">
        <f t="shared" si="573"/>
        <v>7172255152821</v>
      </c>
      <c r="S1740" s="26">
        <f t="shared" si="574"/>
        <v>0.44264186288450713</v>
      </c>
      <c r="T1740" s="27">
        <f t="shared" si="575"/>
        <v>1.9795461109303842</v>
      </c>
      <c r="U1740" s="26">
        <f t="shared" si="576"/>
        <v>30.156207197201777</v>
      </c>
      <c r="V1740" s="26">
        <f t="shared" si="577"/>
        <v>1.4476027657552604</v>
      </c>
      <c r="W1740" s="143"/>
      <c r="X1740" s="143"/>
      <c r="Y1740" s="143"/>
      <c r="Z1740" s="30">
        <f t="shared" ref="Z1740:Z1742" si="624">X1740*Y1740</f>
        <v>0</v>
      </c>
      <c r="AA1740" s="31">
        <f t="shared" si="620"/>
        <v>19</v>
      </c>
      <c r="AB1740" s="32">
        <v>1.84E-2</v>
      </c>
      <c r="AC1740" s="32">
        <v>2.58E-2</v>
      </c>
      <c r="AD1740" s="33">
        <f t="shared" si="602"/>
        <v>0.19208890195177936</v>
      </c>
      <c r="AE1740" s="34">
        <f t="shared" si="603"/>
        <v>6.6797411178426663E-2</v>
      </c>
      <c r="AF1740" s="33">
        <f t="shared" si="604"/>
        <v>0.57409180873605548</v>
      </c>
      <c r="AG1740" s="33">
        <f t="shared" si="605"/>
        <v>0</v>
      </c>
      <c r="AH1740" s="35">
        <f t="shared" si="606"/>
        <v>1.3490423744638236</v>
      </c>
      <c r="AI1740" s="36">
        <f t="shared" si="582"/>
        <v>3.5675684012847393</v>
      </c>
      <c r="AJ1740" s="23"/>
      <c r="AK1740" s="173">
        <v>903</v>
      </c>
      <c r="AL1740" s="44"/>
      <c r="AM1740" s="44"/>
      <c r="AN1740" s="44"/>
      <c r="AO1740" s="44"/>
      <c r="AP1740" s="44"/>
      <c r="AQ1740" s="44"/>
      <c r="AR1740" s="44"/>
    </row>
    <row r="1741" spans="1:44" ht="16.8">
      <c r="A1741" s="17" t="s">
        <v>3392</v>
      </c>
      <c r="B1741" s="18"/>
      <c r="C1741" s="18" t="s">
        <v>3390</v>
      </c>
      <c r="D1741" s="19" t="s">
        <v>3391</v>
      </c>
      <c r="E1741" s="20" t="s">
        <v>414</v>
      </c>
      <c r="F1741" s="21">
        <v>2002</v>
      </c>
      <c r="G1741" s="40">
        <v>2022</v>
      </c>
      <c r="H1741" s="23">
        <v>6282266493364</v>
      </c>
      <c r="I1741" s="23">
        <v>14251652954694</v>
      </c>
      <c r="J1741" s="23">
        <v>6237594180724</v>
      </c>
      <c r="K1741" s="23">
        <f t="shared" ref="K1741:K1742" si="625">(J1741+J1740)/2</f>
        <v>5883808133558.5</v>
      </c>
      <c r="L1741" s="23">
        <v>3055301138729</v>
      </c>
      <c r="M1741" s="23">
        <f t="shared" si="621"/>
        <v>8014058773970</v>
      </c>
      <c r="N1741" s="23">
        <v>9047363208116</v>
      </c>
      <c r="O1741" s="25">
        <f t="shared" si="572"/>
        <v>3226965354635</v>
      </c>
      <c r="P1741" s="23">
        <v>1155847083742</v>
      </c>
      <c r="Q1741" s="23">
        <f>12873930300+407652508769</f>
        <v>420526439069</v>
      </c>
      <c r="R1741" s="25">
        <f t="shared" si="573"/>
        <v>8626836769047</v>
      </c>
      <c r="S1741" s="26">
        <f t="shared" si="574"/>
        <v>0.43767513849469319</v>
      </c>
      <c r="T1741" s="27">
        <f t="shared" si="575"/>
        <v>2.0561856943428536</v>
      </c>
      <c r="U1741" s="26">
        <f t="shared" si="576"/>
        <v>30.287894012736729</v>
      </c>
      <c r="V1741" s="26">
        <f t="shared" si="577"/>
        <v>1.5376713520813257</v>
      </c>
      <c r="W1741" s="143"/>
      <c r="X1741" s="143"/>
      <c r="Y1741" s="143"/>
      <c r="Z1741" s="30">
        <f t="shared" si="624"/>
        <v>0</v>
      </c>
      <c r="AA1741" s="31">
        <f t="shared" si="620"/>
        <v>20</v>
      </c>
      <c r="AB1741" s="32">
        <v>3.15E-2</v>
      </c>
      <c r="AC1741" s="32">
        <v>8.0199999999999994E-2</v>
      </c>
      <c r="AD1741" s="33">
        <f t="shared" si="602"/>
        <v>0.22642744423355815</v>
      </c>
      <c r="AE1741" s="34">
        <f t="shared" si="603"/>
        <v>8.1102668400390987E-2</v>
      </c>
      <c r="AF1741" s="33">
        <f t="shared" si="604"/>
        <v>0.60532183855947874</v>
      </c>
      <c r="AG1741" s="33">
        <f t="shared" si="605"/>
        <v>0</v>
      </c>
      <c r="AH1741" s="35">
        <f t="shared" si="606"/>
        <v>1.4504571708231697</v>
      </c>
      <c r="AI1741" s="36">
        <f t="shared" si="582"/>
        <v>3.8332759069102664</v>
      </c>
      <c r="AJ1741" s="23"/>
      <c r="AK1741" s="173">
        <v>904</v>
      </c>
      <c r="AL1741" s="44"/>
      <c r="AM1741" s="44"/>
      <c r="AN1741" s="44"/>
      <c r="AO1741" s="44"/>
      <c r="AP1741" s="44"/>
      <c r="AQ1741" s="44"/>
      <c r="AR1741" s="44"/>
    </row>
    <row r="1742" spans="1:44" ht="16.8">
      <c r="A1742" s="17" t="s">
        <v>3393</v>
      </c>
      <c r="B1742" s="18"/>
      <c r="C1742" s="18" t="s">
        <v>3390</v>
      </c>
      <c r="D1742" s="19" t="s">
        <v>3391</v>
      </c>
      <c r="E1742" s="20" t="s">
        <v>414</v>
      </c>
      <c r="F1742" s="21">
        <v>2002</v>
      </c>
      <c r="G1742" s="40">
        <v>2023</v>
      </c>
      <c r="H1742" s="23">
        <v>6297471017134</v>
      </c>
      <c r="I1742" s="23">
        <v>17489953434753</v>
      </c>
      <c r="J1742" s="23">
        <v>8459558642690</v>
      </c>
      <c r="K1742" s="23">
        <f t="shared" si="625"/>
        <v>7348576411707</v>
      </c>
      <c r="L1742" s="23">
        <v>3392213586806</v>
      </c>
      <c r="M1742" s="23">
        <f t="shared" si="621"/>
        <v>9030394792063</v>
      </c>
      <c r="N1742" s="23">
        <v>9555979392223</v>
      </c>
      <c r="O1742" s="25">
        <f t="shared" si="572"/>
        <v>2905257430328</v>
      </c>
      <c r="P1742" s="23">
        <v>1221500695571</v>
      </c>
      <c r="Q1742" s="23">
        <f>13386162080+410025680845</f>
        <v>423411842925</v>
      </c>
      <c r="R1742" s="25">
        <f t="shared" si="573"/>
        <v>9132567549298</v>
      </c>
      <c r="S1742" s="26">
        <f t="shared" si="574"/>
        <v>0.4836810271821898</v>
      </c>
      <c r="T1742" s="27">
        <f t="shared" si="575"/>
        <v>1.856448851460293</v>
      </c>
      <c r="U1742" s="26">
        <f t="shared" si="576"/>
        <v>30.492647742562891</v>
      </c>
      <c r="V1742" s="26">
        <f t="shared" si="577"/>
        <v>1.3003851163606861</v>
      </c>
      <c r="W1742" s="143"/>
      <c r="X1742" s="143"/>
      <c r="Y1742" s="143"/>
      <c r="Z1742" s="30">
        <f t="shared" si="624"/>
        <v>0</v>
      </c>
      <c r="AA1742" s="31">
        <f t="shared" si="620"/>
        <v>21</v>
      </c>
      <c r="AB1742" s="32">
        <v>3.2500000000000001E-2</v>
      </c>
      <c r="AC1742" s="32">
        <v>5.0500000000000003E-2</v>
      </c>
      <c r="AD1742" s="33">
        <f t="shared" si="602"/>
        <v>0.16611007234331321</v>
      </c>
      <c r="AE1742" s="34">
        <f t="shared" si="603"/>
        <v>6.9840134230651857E-2</v>
      </c>
      <c r="AF1742" s="33">
        <f t="shared" si="604"/>
        <v>0.52216076980235671</v>
      </c>
      <c r="AG1742" s="33">
        <f t="shared" si="605"/>
        <v>0</v>
      </c>
      <c r="AH1742" s="35">
        <f t="shared" si="606"/>
        <v>1.1296073230109267</v>
      </c>
      <c r="AI1742" s="36">
        <f t="shared" si="582"/>
        <v>3.1498461380935918</v>
      </c>
      <c r="AJ1742" s="23"/>
      <c r="AK1742" s="173">
        <v>905</v>
      </c>
      <c r="AL1742" s="44"/>
      <c r="AM1742" s="44"/>
      <c r="AN1742" s="44"/>
      <c r="AO1742" s="44"/>
      <c r="AP1742" s="44"/>
      <c r="AQ1742" s="44"/>
      <c r="AR1742" s="44"/>
    </row>
    <row r="1743" spans="1:44" ht="16.8">
      <c r="A1743" s="145"/>
      <c r="B1743" s="145">
        <v>671</v>
      </c>
      <c r="C1743" s="145" t="s">
        <v>3394</v>
      </c>
      <c r="D1743" s="146" t="s">
        <v>3395</v>
      </c>
      <c r="E1743" s="147" t="s">
        <v>178</v>
      </c>
      <c r="F1743" s="148"/>
      <c r="G1743" s="148"/>
      <c r="H1743" s="149"/>
      <c r="I1743" s="149"/>
      <c r="J1743" s="149"/>
      <c r="K1743" s="149"/>
      <c r="L1743" s="149"/>
      <c r="M1743" s="149">
        <f t="shared" si="621"/>
        <v>0</v>
      </c>
      <c r="N1743" s="149"/>
      <c r="O1743" s="149">
        <f t="shared" si="572"/>
        <v>0</v>
      </c>
      <c r="P1743" s="149"/>
      <c r="Q1743" s="149"/>
      <c r="R1743" s="149">
        <f t="shared" si="573"/>
        <v>0</v>
      </c>
      <c r="S1743" s="150" t="e">
        <f t="shared" si="574"/>
        <v>#DIV/0!</v>
      </c>
      <c r="T1743" s="151" t="e">
        <f t="shared" si="575"/>
        <v>#DIV/0!</v>
      </c>
      <c r="U1743" s="150" t="e">
        <f t="shared" si="576"/>
        <v>#NUM!</v>
      </c>
      <c r="V1743" s="150" t="e">
        <f t="shared" si="577"/>
        <v>#DIV/0!</v>
      </c>
      <c r="W1743" s="152"/>
      <c r="X1743" s="152"/>
      <c r="Y1743" s="152"/>
      <c r="Z1743" s="153">
        <f t="shared" ref="Z1743:Z1746" si="626">W1743*Y1743</f>
        <v>0</v>
      </c>
      <c r="AA1743" s="148">
        <f t="shared" si="620"/>
        <v>0</v>
      </c>
      <c r="AB1743" s="149"/>
      <c r="AC1743" s="149"/>
      <c r="AD1743" s="150" t="e">
        <f t="shared" si="602"/>
        <v>#DIV/0!</v>
      </c>
      <c r="AE1743" s="154" t="e">
        <f t="shared" si="603"/>
        <v>#DIV/0!</v>
      </c>
      <c r="AF1743" s="150" t="e">
        <f t="shared" si="604"/>
        <v>#DIV/0!</v>
      </c>
      <c r="AG1743" s="150" t="e">
        <f t="shared" si="605"/>
        <v>#DIV/0!</v>
      </c>
      <c r="AH1743" s="155" t="e">
        <f t="shared" si="606"/>
        <v>#DIV/0!</v>
      </c>
      <c r="AI1743" s="156" t="e">
        <f t="shared" si="582"/>
        <v>#DIV/0!</v>
      </c>
      <c r="AJ1743" s="149"/>
      <c r="AK1743" s="149"/>
      <c r="AL1743" s="157"/>
      <c r="AM1743" s="157"/>
      <c r="AN1743" s="157"/>
      <c r="AO1743" s="157"/>
      <c r="AP1743" s="157"/>
      <c r="AQ1743" s="157"/>
      <c r="AR1743" s="157"/>
    </row>
    <row r="1744" spans="1:44" ht="16.8">
      <c r="A1744" s="145"/>
      <c r="B1744" s="145">
        <v>672</v>
      </c>
      <c r="C1744" s="145" t="s">
        <v>3396</v>
      </c>
      <c r="D1744" s="146" t="s">
        <v>3397</v>
      </c>
      <c r="E1744" s="147" t="s">
        <v>178</v>
      </c>
      <c r="F1744" s="148"/>
      <c r="G1744" s="148"/>
      <c r="H1744" s="149"/>
      <c r="I1744" s="149"/>
      <c r="J1744" s="149"/>
      <c r="K1744" s="149"/>
      <c r="L1744" s="149"/>
      <c r="M1744" s="149">
        <f t="shared" si="621"/>
        <v>0</v>
      </c>
      <c r="N1744" s="149"/>
      <c r="O1744" s="149">
        <f t="shared" si="572"/>
        <v>0</v>
      </c>
      <c r="P1744" s="149"/>
      <c r="Q1744" s="149"/>
      <c r="R1744" s="149">
        <f t="shared" si="573"/>
        <v>0</v>
      </c>
      <c r="S1744" s="150" t="e">
        <f t="shared" si="574"/>
        <v>#DIV/0!</v>
      </c>
      <c r="T1744" s="151" t="e">
        <f t="shared" si="575"/>
        <v>#DIV/0!</v>
      </c>
      <c r="U1744" s="150" t="e">
        <f t="shared" si="576"/>
        <v>#NUM!</v>
      </c>
      <c r="V1744" s="150" t="e">
        <f t="shared" si="577"/>
        <v>#DIV/0!</v>
      </c>
      <c r="W1744" s="152"/>
      <c r="X1744" s="152"/>
      <c r="Y1744" s="152"/>
      <c r="Z1744" s="153">
        <f t="shared" si="626"/>
        <v>0</v>
      </c>
      <c r="AA1744" s="148">
        <f t="shared" si="620"/>
        <v>0</v>
      </c>
      <c r="AB1744" s="149"/>
      <c r="AC1744" s="149"/>
      <c r="AD1744" s="150" t="e">
        <f t="shared" si="602"/>
        <v>#DIV/0!</v>
      </c>
      <c r="AE1744" s="154" t="e">
        <f t="shared" si="603"/>
        <v>#DIV/0!</v>
      </c>
      <c r="AF1744" s="150" t="e">
        <f t="shared" si="604"/>
        <v>#DIV/0!</v>
      </c>
      <c r="AG1744" s="150" t="e">
        <f t="shared" si="605"/>
        <v>#DIV/0!</v>
      </c>
      <c r="AH1744" s="155" t="e">
        <f t="shared" si="606"/>
        <v>#DIV/0!</v>
      </c>
      <c r="AI1744" s="156" t="e">
        <f t="shared" si="582"/>
        <v>#DIV/0!</v>
      </c>
      <c r="AJ1744" s="149"/>
      <c r="AK1744" s="149"/>
      <c r="AL1744" s="157"/>
      <c r="AM1744" s="157"/>
      <c r="AN1744" s="157"/>
      <c r="AO1744" s="157"/>
      <c r="AP1744" s="157"/>
      <c r="AQ1744" s="157"/>
      <c r="AR1744" s="157"/>
    </row>
    <row r="1745" spans="1:44" ht="16.8">
      <c r="A1745" s="145"/>
      <c r="B1745" s="145">
        <v>673</v>
      </c>
      <c r="C1745" s="145" t="s">
        <v>3398</v>
      </c>
      <c r="D1745" s="146" t="s">
        <v>3399</v>
      </c>
      <c r="E1745" s="147" t="s">
        <v>178</v>
      </c>
      <c r="F1745" s="148"/>
      <c r="G1745" s="148"/>
      <c r="H1745" s="149"/>
      <c r="I1745" s="149"/>
      <c r="J1745" s="149"/>
      <c r="K1745" s="149"/>
      <c r="L1745" s="149"/>
      <c r="M1745" s="149">
        <f t="shared" si="621"/>
        <v>0</v>
      </c>
      <c r="N1745" s="149"/>
      <c r="O1745" s="149">
        <f t="shared" si="572"/>
        <v>0</v>
      </c>
      <c r="P1745" s="149"/>
      <c r="Q1745" s="149"/>
      <c r="R1745" s="149">
        <f t="shared" si="573"/>
        <v>0</v>
      </c>
      <c r="S1745" s="150" t="e">
        <f t="shared" si="574"/>
        <v>#DIV/0!</v>
      </c>
      <c r="T1745" s="151" t="e">
        <f t="shared" si="575"/>
        <v>#DIV/0!</v>
      </c>
      <c r="U1745" s="150" t="e">
        <f t="shared" si="576"/>
        <v>#NUM!</v>
      </c>
      <c r="V1745" s="150" t="e">
        <f t="shared" si="577"/>
        <v>#DIV/0!</v>
      </c>
      <c r="W1745" s="152"/>
      <c r="X1745" s="152"/>
      <c r="Y1745" s="152"/>
      <c r="Z1745" s="153">
        <f t="shared" si="626"/>
        <v>0</v>
      </c>
      <c r="AA1745" s="148">
        <f t="shared" si="620"/>
        <v>0</v>
      </c>
      <c r="AB1745" s="149"/>
      <c r="AC1745" s="149"/>
      <c r="AD1745" s="150" t="e">
        <f t="shared" si="602"/>
        <v>#DIV/0!</v>
      </c>
      <c r="AE1745" s="154" t="e">
        <f t="shared" si="603"/>
        <v>#DIV/0!</v>
      </c>
      <c r="AF1745" s="150" t="e">
        <f t="shared" si="604"/>
        <v>#DIV/0!</v>
      </c>
      <c r="AG1745" s="150" t="e">
        <f t="shared" si="605"/>
        <v>#DIV/0!</v>
      </c>
      <c r="AH1745" s="155" t="e">
        <f t="shared" si="606"/>
        <v>#DIV/0!</v>
      </c>
      <c r="AI1745" s="156" t="e">
        <f t="shared" si="582"/>
        <v>#DIV/0!</v>
      </c>
      <c r="AJ1745" s="149"/>
      <c r="AK1745" s="149"/>
      <c r="AL1745" s="157"/>
      <c r="AM1745" s="157"/>
      <c r="AN1745" s="157"/>
      <c r="AO1745" s="157"/>
      <c r="AP1745" s="157"/>
      <c r="AQ1745" s="157"/>
      <c r="AR1745" s="157"/>
    </row>
    <row r="1746" spans="1:44" ht="16.8">
      <c r="A1746" s="145"/>
      <c r="B1746" s="145">
        <v>674</v>
      </c>
      <c r="C1746" s="145" t="s">
        <v>3400</v>
      </c>
      <c r="D1746" s="146" t="s">
        <v>3401</v>
      </c>
      <c r="E1746" s="147" t="s">
        <v>178</v>
      </c>
      <c r="F1746" s="148"/>
      <c r="G1746" s="148"/>
      <c r="H1746" s="149"/>
      <c r="I1746" s="149"/>
      <c r="J1746" s="149"/>
      <c r="K1746" s="149"/>
      <c r="L1746" s="149"/>
      <c r="M1746" s="149">
        <f t="shared" si="621"/>
        <v>0</v>
      </c>
      <c r="N1746" s="149"/>
      <c r="O1746" s="149">
        <f t="shared" si="572"/>
        <v>0</v>
      </c>
      <c r="P1746" s="149"/>
      <c r="Q1746" s="149"/>
      <c r="R1746" s="149">
        <f t="shared" si="573"/>
        <v>0</v>
      </c>
      <c r="S1746" s="150" t="e">
        <f t="shared" si="574"/>
        <v>#DIV/0!</v>
      </c>
      <c r="T1746" s="151" t="e">
        <f t="shared" si="575"/>
        <v>#DIV/0!</v>
      </c>
      <c r="U1746" s="150" t="e">
        <f t="shared" si="576"/>
        <v>#NUM!</v>
      </c>
      <c r="V1746" s="150" t="e">
        <f t="shared" si="577"/>
        <v>#DIV/0!</v>
      </c>
      <c r="W1746" s="152"/>
      <c r="X1746" s="152"/>
      <c r="Y1746" s="152"/>
      <c r="Z1746" s="153">
        <f t="shared" si="626"/>
        <v>0</v>
      </c>
      <c r="AA1746" s="148">
        <f t="shared" si="620"/>
        <v>0</v>
      </c>
      <c r="AB1746" s="149"/>
      <c r="AC1746" s="149"/>
      <c r="AD1746" s="150" t="e">
        <f t="shared" si="602"/>
        <v>#DIV/0!</v>
      </c>
      <c r="AE1746" s="154" t="e">
        <f t="shared" si="603"/>
        <v>#DIV/0!</v>
      </c>
      <c r="AF1746" s="150" t="e">
        <f t="shared" si="604"/>
        <v>#DIV/0!</v>
      </c>
      <c r="AG1746" s="150" t="e">
        <f t="shared" si="605"/>
        <v>#DIV/0!</v>
      </c>
      <c r="AH1746" s="155" t="e">
        <f t="shared" si="606"/>
        <v>#DIV/0!</v>
      </c>
      <c r="AI1746" s="156" t="e">
        <f t="shared" si="582"/>
        <v>#DIV/0!</v>
      </c>
      <c r="AJ1746" s="149"/>
      <c r="AK1746" s="149"/>
      <c r="AL1746" s="157"/>
      <c r="AM1746" s="157"/>
      <c r="AN1746" s="157"/>
      <c r="AO1746" s="157"/>
      <c r="AP1746" s="157"/>
      <c r="AQ1746" s="157"/>
      <c r="AR1746" s="157"/>
    </row>
    <row r="1747" spans="1:44" ht="16.8">
      <c r="A1747" s="17" t="s">
        <v>3402</v>
      </c>
      <c r="B1747" s="18">
        <v>675</v>
      </c>
      <c r="C1747" s="18" t="s">
        <v>3403</v>
      </c>
      <c r="D1747" s="19" t="s">
        <v>3404</v>
      </c>
      <c r="E1747" s="20" t="s">
        <v>414</v>
      </c>
      <c r="F1747" s="21">
        <v>1994</v>
      </c>
      <c r="G1747" s="40">
        <v>2021</v>
      </c>
      <c r="H1747" s="23">
        <v>7640306807971</v>
      </c>
      <c r="I1747" s="23">
        <v>9817180413587</v>
      </c>
      <c r="J1747" s="23">
        <v>5509825893395</v>
      </c>
      <c r="K1747" s="23">
        <f>(J1747+6094459379043)/2</f>
        <v>5802142636219</v>
      </c>
      <c r="L1747" s="23">
        <v>5169444443536</v>
      </c>
      <c r="M1747" s="23">
        <f t="shared" si="621"/>
        <v>4307354520192</v>
      </c>
      <c r="N1747" s="23">
        <v>1049897566427</v>
      </c>
      <c r="O1747" s="25">
        <f t="shared" si="572"/>
        <v>2470862364435</v>
      </c>
      <c r="P1747" s="23">
        <v>70304024394</v>
      </c>
      <c r="Q1747" s="23">
        <f>54473151143+31403766379</f>
        <v>85876917522</v>
      </c>
      <c r="R1747" s="25">
        <f t="shared" si="573"/>
        <v>964020648905</v>
      </c>
      <c r="S1747" s="26">
        <f t="shared" si="574"/>
        <v>0.56124321457609039</v>
      </c>
      <c r="T1747" s="27">
        <f t="shared" si="575"/>
        <v>1.4779744499478327</v>
      </c>
      <c r="U1747" s="26">
        <f t="shared" si="576"/>
        <v>29.915155070140127</v>
      </c>
      <c r="V1747" s="26">
        <f t="shared" si="577"/>
        <v>0.18094997525106896</v>
      </c>
      <c r="W1747" s="143"/>
      <c r="X1747" s="143"/>
      <c r="Y1747" s="143"/>
      <c r="Z1747" s="30">
        <f t="shared" ref="Z1747:Z1758" si="627">X1747*Y1747</f>
        <v>0</v>
      </c>
      <c r="AA1747" s="31">
        <f t="shared" si="620"/>
        <v>27</v>
      </c>
      <c r="AB1747" s="32">
        <v>1.84E-2</v>
      </c>
      <c r="AC1747" s="32">
        <v>2.58E-2</v>
      </c>
      <c r="AD1747" s="33">
        <f t="shared" si="602"/>
        <v>0.25168757834126393</v>
      </c>
      <c r="AE1747" s="34">
        <f t="shared" si="603"/>
        <v>7.1613254959335439E-3</v>
      </c>
      <c r="AF1747" s="33">
        <f t="shared" si="604"/>
        <v>9.8197303939814864E-2</v>
      </c>
      <c r="AG1747" s="33">
        <f t="shared" si="605"/>
        <v>0</v>
      </c>
      <c r="AH1747" s="35">
        <f t="shared" si="606"/>
        <v>0.19055004400149614</v>
      </c>
      <c r="AI1747" s="36">
        <f t="shared" si="582"/>
        <v>0.82665209670670892</v>
      </c>
      <c r="AJ1747" s="23"/>
      <c r="AK1747" s="173">
        <v>906</v>
      </c>
      <c r="AL1747" s="44"/>
      <c r="AM1747" s="44"/>
      <c r="AN1747" s="44"/>
      <c r="AO1747" s="44"/>
      <c r="AP1747" s="44"/>
      <c r="AQ1747" s="44"/>
      <c r="AR1747" s="44"/>
    </row>
    <row r="1748" spans="1:44" ht="16.8">
      <c r="A1748" s="17" t="s">
        <v>3405</v>
      </c>
      <c r="B1748" s="18"/>
      <c r="C1748" s="18" t="s">
        <v>3403</v>
      </c>
      <c r="D1748" s="19" t="s">
        <v>3404</v>
      </c>
      <c r="E1748" s="20" t="s">
        <v>414</v>
      </c>
      <c r="F1748" s="21">
        <v>1994</v>
      </c>
      <c r="G1748" s="40">
        <v>2022</v>
      </c>
      <c r="H1748" s="23">
        <v>7835459051598</v>
      </c>
      <c r="I1748" s="23">
        <v>9948686949531</v>
      </c>
      <c r="J1748" s="23">
        <v>5610067687882</v>
      </c>
      <c r="K1748" s="23">
        <f t="shared" ref="K1748:K1749" si="628">(J1748+J1747)/2</f>
        <v>5559946790638.5</v>
      </c>
      <c r="L1748" s="23">
        <v>5301241869253</v>
      </c>
      <c r="M1748" s="23">
        <f t="shared" si="621"/>
        <v>4338619261649</v>
      </c>
      <c r="N1748" s="23">
        <v>1265783111229</v>
      </c>
      <c r="O1748" s="25">
        <f t="shared" si="572"/>
        <v>2534217182345</v>
      </c>
      <c r="P1748" s="23">
        <v>31896514664</v>
      </c>
      <c r="Q1748" s="23">
        <f>18065654797+24958865237</f>
        <v>43024520034</v>
      </c>
      <c r="R1748" s="25">
        <f t="shared" si="573"/>
        <v>1222758591195</v>
      </c>
      <c r="S1748" s="26">
        <f t="shared" si="574"/>
        <v>0.56390031331184554</v>
      </c>
      <c r="T1748" s="27">
        <f t="shared" si="575"/>
        <v>1.4780421729186444</v>
      </c>
      <c r="U1748" s="26">
        <f t="shared" si="576"/>
        <v>29.928461693519665</v>
      </c>
      <c r="V1748" s="26">
        <f t="shared" si="577"/>
        <v>0.22766101167735067</v>
      </c>
      <c r="W1748" s="143"/>
      <c r="X1748" s="143"/>
      <c r="Y1748" s="143"/>
      <c r="Z1748" s="30">
        <f t="shared" si="627"/>
        <v>0</v>
      </c>
      <c r="AA1748" s="31">
        <f t="shared" si="620"/>
        <v>28</v>
      </c>
      <c r="AB1748" s="32">
        <v>3.15E-2</v>
      </c>
      <c r="AC1748" s="32">
        <v>8.0199999999999994E-2</v>
      </c>
      <c r="AD1748" s="33">
        <f t="shared" si="602"/>
        <v>0.25472880946007331</v>
      </c>
      <c r="AE1748" s="34">
        <f t="shared" si="603"/>
        <v>3.2061029586928215E-3</v>
      </c>
      <c r="AF1748" s="33">
        <f t="shared" si="604"/>
        <v>0.12290653001727461</v>
      </c>
      <c r="AG1748" s="33">
        <f t="shared" si="605"/>
        <v>0</v>
      </c>
      <c r="AH1748" s="35">
        <f t="shared" si="606"/>
        <v>0.22562706577732544</v>
      </c>
      <c r="AI1748" s="36">
        <f t="shared" si="582"/>
        <v>0.94138173032858941</v>
      </c>
      <c r="AJ1748" s="23"/>
      <c r="AK1748" s="173">
        <v>907</v>
      </c>
      <c r="AL1748" s="44"/>
      <c r="AM1748" s="44"/>
      <c r="AN1748" s="44"/>
      <c r="AO1748" s="44"/>
      <c r="AP1748" s="44"/>
      <c r="AQ1748" s="44"/>
      <c r="AR1748" s="44"/>
    </row>
    <row r="1749" spans="1:44" ht="16.8">
      <c r="A1749" s="17" t="s">
        <v>3406</v>
      </c>
      <c r="B1749" s="18"/>
      <c r="C1749" s="18" t="s">
        <v>3403</v>
      </c>
      <c r="D1749" s="19" t="s">
        <v>3404</v>
      </c>
      <c r="E1749" s="20" t="s">
        <v>414</v>
      </c>
      <c r="F1749" s="21">
        <v>1994</v>
      </c>
      <c r="G1749" s="40">
        <v>2023</v>
      </c>
      <c r="H1749" s="23">
        <v>7530765425228</v>
      </c>
      <c r="I1749" s="23">
        <v>9567136211709</v>
      </c>
      <c r="J1749" s="23">
        <v>5225329422667</v>
      </c>
      <c r="K1749" s="23">
        <f t="shared" si="628"/>
        <v>5417698555274.5</v>
      </c>
      <c r="L1749" s="23">
        <v>4956569692976</v>
      </c>
      <c r="M1749" s="23">
        <f t="shared" si="621"/>
        <v>4341806789042</v>
      </c>
      <c r="N1749" s="23">
        <v>432487596439</v>
      </c>
      <c r="O1749" s="25">
        <f t="shared" si="572"/>
        <v>2574195732252</v>
      </c>
      <c r="P1749" s="23">
        <v>3187818561</v>
      </c>
      <c r="Q1749" s="23">
        <f>2372277518+25525278738</f>
        <v>27897556256</v>
      </c>
      <c r="R1749" s="25">
        <f t="shared" si="573"/>
        <v>404590040183</v>
      </c>
      <c r="S1749" s="26">
        <f t="shared" si="574"/>
        <v>0.5461748748044204</v>
      </c>
      <c r="T1749" s="27">
        <f t="shared" si="575"/>
        <v>1.5193502546529136</v>
      </c>
      <c r="U1749" s="26">
        <f t="shared" si="576"/>
        <v>29.889355030184873</v>
      </c>
      <c r="V1749" s="26">
        <f t="shared" si="577"/>
        <v>7.9828656398378564E-2</v>
      </c>
      <c r="W1749" s="143"/>
      <c r="X1749" s="143"/>
      <c r="Y1749" s="143"/>
      <c r="Z1749" s="30">
        <f t="shared" si="627"/>
        <v>0</v>
      </c>
      <c r="AA1749" s="31">
        <f t="shared" si="620"/>
        <v>29</v>
      </c>
      <c r="AB1749" s="32">
        <v>3.2500000000000001E-2</v>
      </c>
      <c r="AC1749" s="32">
        <v>5.0500000000000003E-2</v>
      </c>
      <c r="AD1749" s="33">
        <f t="shared" si="602"/>
        <v>0.26906648711675085</v>
      </c>
      <c r="AE1749" s="34">
        <f t="shared" si="603"/>
        <v>3.3320509820885602E-4</v>
      </c>
      <c r="AF1749" s="33">
        <f t="shared" si="604"/>
        <v>4.2289566201412651E-2</v>
      </c>
      <c r="AG1749" s="33">
        <f t="shared" si="605"/>
        <v>0</v>
      </c>
      <c r="AH1749" s="35">
        <f t="shared" si="606"/>
        <v>8.2767527452510162E-2</v>
      </c>
      <c r="AI1749" s="36">
        <f t="shared" si="582"/>
        <v>0.54566936759476536</v>
      </c>
      <c r="AJ1749" s="23"/>
      <c r="AK1749" s="173">
        <v>908</v>
      </c>
      <c r="AL1749" s="44"/>
      <c r="AM1749" s="44"/>
      <c r="AN1749" s="44"/>
      <c r="AO1749" s="44"/>
      <c r="AP1749" s="44"/>
      <c r="AQ1749" s="44"/>
      <c r="AR1749" s="44"/>
    </row>
    <row r="1750" spans="1:44" ht="16.8">
      <c r="A1750" s="17" t="s">
        <v>3407</v>
      </c>
      <c r="B1750" s="18">
        <v>676</v>
      </c>
      <c r="C1750" s="18" t="s">
        <v>3408</v>
      </c>
      <c r="D1750" s="19" t="s">
        <v>3409</v>
      </c>
      <c r="E1750" s="20" t="s">
        <v>414</v>
      </c>
      <c r="F1750" s="21">
        <v>1958</v>
      </c>
      <c r="G1750" s="40">
        <v>2021</v>
      </c>
      <c r="H1750" s="23">
        <v>4977553982474</v>
      </c>
      <c r="I1750" s="23">
        <v>5392296916367</v>
      </c>
      <c r="J1750" s="23">
        <v>4023205494532</v>
      </c>
      <c r="K1750" s="23">
        <f>(J1750+2946703834449)/2</f>
        <v>3484954664490.5</v>
      </c>
      <c r="L1750" s="23">
        <v>4022368008138</v>
      </c>
      <c r="M1750" s="23">
        <f t="shared" si="621"/>
        <v>1369091421835</v>
      </c>
      <c r="N1750" s="23">
        <v>5719831842957</v>
      </c>
      <c r="O1750" s="25">
        <f t="shared" si="572"/>
        <v>955185974336</v>
      </c>
      <c r="P1750" s="23">
        <v>398241654270</v>
      </c>
      <c r="Q1750" s="23">
        <f>920549799183+210050518780</f>
        <v>1130600317963</v>
      </c>
      <c r="R1750" s="25">
        <f t="shared" si="573"/>
        <v>4589231524994</v>
      </c>
      <c r="S1750" s="26">
        <f t="shared" si="574"/>
        <v>0.74610236730854762</v>
      </c>
      <c r="T1750" s="27">
        <f t="shared" si="575"/>
        <v>1.2374685688637839</v>
      </c>
      <c r="U1750" s="26">
        <f t="shared" si="576"/>
        <v>29.315992554114274</v>
      </c>
      <c r="V1750" s="26">
        <f t="shared" si="577"/>
        <v>1.6412930421272034</v>
      </c>
      <c r="W1750" s="143"/>
      <c r="X1750" s="143"/>
      <c r="Y1750" s="143"/>
      <c r="Z1750" s="30">
        <f t="shared" si="627"/>
        <v>0</v>
      </c>
      <c r="AA1750" s="31">
        <f t="shared" si="620"/>
        <v>63</v>
      </c>
      <c r="AB1750" s="32">
        <v>1.84E-2</v>
      </c>
      <c r="AC1750" s="32">
        <v>2.58E-2</v>
      </c>
      <c r="AD1750" s="33">
        <f t="shared" si="602"/>
        <v>0.17713897976143828</v>
      </c>
      <c r="AE1750" s="34">
        <f t="shared" si="603"/>
        <v>7.385380672589352E-2</v>
      </c>
      <c r="AF1750" s="33">
        <f t="shared" si="604"/>
        <v>0.8510717410728087</v>
      </c>
      <c r="AG1750" s="33">
        <f t="shared" si="605"/>
        <v>0</v>
      </c>
      <c r="AH1750" s="35">
        <f t="shared" si="606"/>
        <v>1.4217100893133374</v>
      </c>
      <c r="AI1750" s="36">
        <f t="shared" si="582"/>
        <v>4.5462089399835826</v>
      </c>
      <c r="AJ1750" s="23"/>
      <c r="AK1750" s="173">
        <v>909</v>
      </c>
      <c r="AL1750" s="44"/>
      <c r="AM1750" s="44"/>
      <c r="AN1750" s="44"/>
      <c r="AO1750" s="44"/>
      <c r="AP1750" s="44"/>
      <c r="AQ1750" s="44"/>
      <c r="AR1750" s="44"/>
    </row>
    <row r="1751" spans="1:44" ht="16.8">
      <c r="A1751" s="17" t="s">
        <v>3410</v>
      </c>
      <c r="B1751" s="18"/>
      <c r="C1751" s="18" t="s">
        <v>3408</v>
      </c>
      <c r="D1751" s="19" t="s">
        <v>3409</v>
      </c>
      <c r="E1751" s="20" t="s">
        <v>414</v>
      </c>
      <c r="F1751" s="21">
        <v>1958</v>
      </c>
      <c r="G1751" s="40">
        <v>2022</v>
      </c>
      <c r="H1751" s="23">
        <v>6287008310624</v>
      </c>
      <c r="I1751" s="23">
        <v>6716483094288</v>
      </c>
      <c r="J1751" s="23">
        <v>4094788300608</v>
      </c>
      <c r="K1751" s="23">
        <f t="shared" ref="K1751:K1752" si="629">(J1751+J1750)/2</f>
        <v>4058996897570</v>
      </c>
      <c r="L1751" s="23">
        <v>4093950814214</v>
      </c>
      <c r="M1751" s="23">
        <f t="shared" si="621"/>
        <v>2621694793680</v>
      </c>
      <c r="N1751" s="23">
        <v>6927563526355</v>
      </c>
      <c r="O1751" s="25">
        <f t="shared" si="572"/>
        <v>2193057496410</v>
      </c>
      <c r="P1751" s="23">
        <v>485827389583</v>
      </c>
      <c r="Q1751" s="23">
        <f>996655907796+147105664049</f>
        <v>1143761571845</v>
      </c>
      <c r="R1751" s="25">
        <f t="shared" si="573"/>
        <v>5783801954510</v>
      </c>
      <c r="S1751" s="26">
        <f t="shared" si="574"/>
        <v>0.60966256344639547</v>
      </c>
      <c r="T1751" s="27">
        <f t="shared" si="575"/>
        <v>1.5356824241258127</v>
      </c>
      <c r="U1751" s="26">
        <f t="shared" si="576"/>
        <v>29.5355857844044</v>
      </c>
      <c r="V1751" s="26">
        <f t="shared" si="577"/>
        <v>1.7067181131629652</v>
      </c>
      <c r="W1751" s="143"/>
      <c r="X1751" s="143"/>
      <c r="Y1751" s="143"/>
      <c r="Z1751" s="30">
        <f t="shared" si="627"/>
        <v>0</v>
      </c>
      <c r="AA1751" s="31">
        <f t="shared" si="620"/>
        <v>64</v>
      </c>
      <c r="AB1751" s="32">
        <v>3.15E-2</v>
      </c>
      <c r="AC1751" s="32">
        <v>8.0199999999999994E-2</v>
      </c>
      <c r="AD1751" s="33">
        <f t="shared" si="602"/>
        <v>0.32651872499687745</v>
      </c>
      <c r="AE1751" s="34">
        <f t="shared" si="603"/>
        <v>7.2333598218414258E-2</v>
      </c>
      <c r="AF1751" s="33">
        <f t="shared" si="604"/>
        <v>0.86113548911167603</v>
      </c>
      <c r="AG1751" s="33">
        <f t="shared" si="605"/>
        <v>0</v>
      </c>
      <c r="AH1751" s="35">
        <f t="shared" si="606"/>
        <v>1.6918001659148987</v>
      </c>
      <c r="AI1751" s="36">
        <f t="shared" si="582"/>
        <v>5.0266367874854625</v>
      </c>
      <c r="AJ1751" s="23"/>
      <c r="AK1751" s="173">
        <v>910</v>
      </c>
      <c r="AL1751" s="44"/>
      <c r="AM1751" s="44"/>
      <c r="AN1751" s="44"/>
      <c r="AO1751" s="44"/>
      <c r="AP1751" s="44"/>
      <c r="AQ1751" s="44"/>
      <c r="AR1751" s="44"/>
    </row>
    <row r="1752" spans="1:44" ht="16.8">
      <c r="A1752" s="17" t="s">
        <v>3411</v>
      </c>
      <c r="B1752" s="18"/>
      <c r="C1752" s="18" t="s">
        <v>3408</v>
      </c>
      <c r="D1752" s="19" t="s">
        <v>3409</v>
      </c>
      <c r="E1752" s="20" t="s">
        <v>414</v>
      </c>
      <c r="F1752" s="21">
        <v>1958</v>
      </c>
      <c r="G1752" s="40">
        <v>2023</v>
      </c>
      <c r="H1752" s="23">
        <v>7310900417572</v>
      </c>
      <c r="I1752" s="23">
        <v>7751688239828</v>
      </c>
      <c r="J1752" s="23">
        <v>4777415780068</v>
      </c>
      <c r="K1752" s="23">
        <f t="shared" si="629"/>
        <v>4436102040338</v>
      </c>
      <c r="L1752" s="23">
        <v>4776578293674</v>
      </c>
      <c r="M1752" s="23">
        <f t="shared" si="621"/>
        <v>2974272459760</v>
      </c>
      <c r="N1752" s="23">
        <v>8330265110752</v>
      </c>
      <c r="O1752" s="25">
        <f t="shared" si="572"/>
        <v>2534322123898</v>
      </c>
      <c r="P1752" s="23">
        <v>584271608477</v>
      </c>
      <c r="Q1752" s="23">
        <f>1125976090607+159005437013</f>
        <v>1284981527620</v>
      </c>
      <c r="R1752" s="25">
        <f t="shared" si="573"/>
        <v>7045283583132</v>
      </c>
      <c r="S1752" s="26">
        <f t="shared" si="574"/>
        <v>0.61630649121332626</v>
      </c>
      <c r="T1752" s="27">
        <f t="shared" si="575"/>
        <v>1.5305727171382082</v>
      </c>
      <c r="U1752" s="26">
        <f t="shared" si="576"/>
        <v>29.678931772967843</v>
      </c>
      <c r="V1752" s="26">
        <f t="shared" si="577"/>
        <v>1.8778344219776542</v>
      </c>
      <c r="W1752" s="143"/>
      <c r="X1752" s="143"/>
      <c r="Y1752" s="143"/>
      <c r="Z1752" s="30">
        <f t="shared" si="627"/>
        <v>0</v>
      </c>
      <c r="AA1752" s="31">
        <f t="shared" si="620"/>
        <v>65</v>
      </c>
      <c r="AB1752" s="32">
        <v>3.2500000000000001E-2</v>
      </c>
      <c r="AC1752" s="32">
        <v>5.0500000000000003E-2</v>
      </c>
      <c r="AD1752" s="33">
        <f t="shared" si="602"/>
        <v>0.32693808696752147</v>
      </c>
      <c r="AE1752" s="34">
        <f t="shared" si="603"/>
        <v>7.5373465805168169E-2</v>
      </c>
      <c r="AF1752" s="33">
        <f t="shared" si="604"/>
        <v>0.90887086337315415</v>
      </c>
      <c r="AG1752" s="33">
        <f t="shared" si="605"/>
        <v>0</v>
      </c>
      <c r="AH1752" s="35">
        <f t="shared" si="606"/>
        <v>1.7436759734220642</v>
      </c>
      <c r="AI1752" s="36">
        <f t="shared" si="582"/>
        <v>5.2407983790417338</v>
      </c>
      <c r="AJ1752" s="23"/>
      <c r="AK1752" s="173">
        <v>911</v>
      </c>
      <c r="AL1752" s="44"/>
      <c r="AM1752" s="44"/>
      <c r="AN1752" s="44"/>
      <c r="AO1752" s="44"/>
      <c r="AP1752" s="44"/>
      <c r="AQ1752" s="44"/>
      <c r="AR1752" s="44"/>
    </row>
    <row r="1753" spans="1:44" ht="16.8">
      <c r="A1753" s="17" t="s">
        <v>3412</v>
      </c>
      <c r="B1753" s="18">
        <v>677</v>
      </c>
      <c r="C1753" s="18" t="s">
        <v>3413</v>
      </c>
      <c r="D1753" s="19" t="s">
        <v>3414</v>
      </c>
      <c r="E1753" s="20" t="s">
        <v>414</v>
      </c>
      <c r="F1753" s="21">
        <v>1960</v>
      </c>
      <c r="G1753" s="40">
        <v>2021</v>
      </c>
      <c r="H1753" s="23">
        <v>1316724272293</v>
      </c>
      <c r="I1753" s="23">
        <v>2222429385004</v>
      </c>
      <c r="J1753" s="23">
        <v>1717056189189</v>
      </c>
      <c r="K1753" s="23">
        <f>(J1753+1716025228534)/2</f>
        <v>1716540708861.5</v>
      </c>
      <c r="L1753" s="23">
        <v>1180785498058</v>
      </c>
      <c r="M1753" s="23">
        <f t="shared" si="621"/>
        <v>505373195815</v>
      </c>
      <c r="N1753" s="23">
        <v>2721143077946</v>
      </c>
      <c r="O1753" s="25">
        <f t="shared" si="572"/>
        <v>135938774235</v>
      </c>
      <c r="P1753" s="23">
        <v>37728816004</v>
      </c>
      <c r="Q1753" s="23">
        <f>28085190818+66733930378</f>
        <v>94819121196</v>
      </c>
      <c r="R1753" s="25">
        <f t="shared" si="573"/>
        <v>2626323956750</v>
      </c>
      <c r="S1753" s="26">
        <f t="shared" si="574"/>
        <v>0.77260326054675055</v>
      </c>
      <c r="T1753" s="27">
        <f t="shared" si="575"/>
        <v>1.1151257145845492</v>
      </c>
      <c r="U1753" s="26">
        <f t="shared" si="576"/>
        <v>28.429622031053103</v>
      </c>
      <c r="V1753" s="26">
        <f t="shared" si="577"/>
        <v>1.5852482052411125</v>
      </c>
      <c r="W1753" s="143"/>
      <c r="X1753" s="143"/>
      <c r="Y1753" s="143"/>
      <c r="Z1753" s="30">
        <f t="shared" si="627"/>
        <v>0</v>
      </c>
      <c r="AA1753" s="31">
        <f t="shared" si="620"/>
        <v>61</v>
      </c>
      <c r="AB1753" s="32">
        <v>1.84E-2</v>
      </c>
      <c r="AC1753" s="32">
        <v>2.58E-2</v>
      </c>
      <c r="AD1753" s="33">
        <f t="shared" si="602"/>
        <v>6.1166746242763227E-2</v>
      </c>
      <c r="AE1753" s="34">
        <f t="shared" si="603"/>
        <v>1.6976384608023032E-2</v>
      </c>
      <c r="AF1753" s="33">
        <f t="shared" si="604"/>
        <v>1.1817356153006737</v>
      </c>
      <c r="AG1753" s="33">
        <f t="shared" si="605"/>
        <v>0</v>
      </c>
      <c r="AH1753" s="35">
        <f t="shared" si="606"/>
        <v>1.5847722952102403</v>
      </c>
      <c r="AI1753" s="36">
        <f t="shared" si="582"/>
        <v>5.5816668596450114</v>
      </c>
      <c r="AJ1753" s="23"/>
      <c r="AK1753" s="173">
        <v>912</v>
      </c>
      <c r="AL1753" s="44"/>
      <c r="AM1753" s="44"/>
      <c r="AN1753" s="44"/>
      <c r="AO1753" s="44"/>
      <c r="AP1753" s="44"/>
      <c r="AQ1753" s="44"/>
      <c r="AR1753" s="44"/>
    </row>
    <row r="1754" spans="1:44" ht="16.8">
      <c r="A1754" s="17" t="s">
        <v>3415</v>
      </c>
      <c r="B1754" s="18"/>
      <c r="C1754" s="18" t="s">
        <v>3413</v>
      </c>
      <c r="D1754" s="19" t="s">
        <v>3414</v>
      </c>
      <c r="E1754" s="20" t="s">
        <v>414</v>
      </c>
      <c r="F1754" s="21">
        <v>1960</v>
      </c>
      <c r="G1754" s="40">
        <v>2022</v>
      </c>
      <c r="H1754" s="23">
        <v>1600057066338</v>
      </c>
      <c r="I1754" s="23">
        <v>2461293854219</v>
      </c>
      <c r="J1754" s="23">
        <v>1780828746652</v>
      </c>
      <c r="K1754" s="23">
        <f t="shared" ref="K1754:K1755" si="630">(J1754+J1753)/2</f>
        <v>1748942467920.5</v>
      </c>
      <c r="L1754" s="23">
        <v>1312128086601</v>
      </c>
      <c r="M1754" s="23">
        <f t="shared" si="621"/>
        <v>680465107567</v>
      </c>
      <c r="N1754" s="23">
        <v>2862075156591</v>
      </c>
      <c r="O1754" s="25">
        <f t="shared" si="572"/>
        <v>287928979737</v>
      </c>
      <c r="P1754" s="23">
        <v>12537941751</v>
      </c>
      <c r="Q1754" s="23">
        <f>36850746473+77705031472</f>
        <v>114555777945</v>
      </c>
      <c r="R1754" s="25">
        <f t="shared" si="573"/>
        <v>2747519378646</v>
      </c>
      <c r="S1754" s="26">
        <f t="shared" si="574"/>
        <v>0.72353357710596478</v>
      </c>
      <c r="T1754" s="27">
        <f t="shared" si="575"/>
        <v>1.21943664088684</v>
      </c>
      <c r="U1754" s="26">
        <f t="shared" si="576"/>
        <v>28.531708284605511</v>
      </c>
      <c r="V1754" s="26">
        <f t="shared" si="577"/>
        <v>1.6364604377146947</v>
      </c>
      <c r="W1754" s="143"/>
      <c r="X1754" s="143"/>
      <c r="Y1754" s="143"/>
      <c r="Z1754" s="30">
        <f t="shared" si="627"/>
        <v>0</v>
      </c>
      <c r="AA1754" s="31">
        <f t="shared" si="620"/>
        <v>62</v>
      </c>
      <c r="AB1754" s="32">
        <v>3.15E-2</v>
      </c>
      <c r="AC1754" s="32">
        <v>8.0199999999999994E-2</v>
      </c>
      <c r="AD1754" s="33">
        <f t="shared" si="602"/>
        <v>0.11698277279791264</v>
      </c>
      <c r="AE1754" s="34">
        <f t="shared" si="603"/>
        <v>5.0940450403791585E-3</v>
      </c>
      <c r="AF1754" s="33">
        <f t="shared" si="604"/>
        <v>1.1162906753033042</v>
      </c>
      <c r="AG1754" s="33">
        <f t="shared" si="605"/>
        <v>0</v>
      </c>
      <c r="AH1754" s="35">
        <f t="shared" si="606"/>
        <v>1.6071591173333026</v>
      </c>
      <c r="AI1754" s="36">
        <f t="shared" si="582"/>
        <v>5.4384293362482321</v>
      </c>
      <c r="AJ1754" s="23"/>
      <c r="AK1754" s="173">
        <v>913</v>
      </c>
      <c r="AL1754" s="44"/>
      <c r="AM1754" s="44"/>
      <c r="AN1754" s="44"/>
      <c r="AO1754" s="44"/>
      <c r="AP1754" s="44"/>
      <c r="AQ1754" s="44"/>
      <c r="AR1754" s="44"/>
    </row>
    <row r="1755" spans="1:44" ht="16.8">
      <c r="A1755" s="17" t="s">
        <v>3416</v>
      </c>
      <c r="B1755" s="18"/>
      <c r="C1755" s="18" t="s">
        <v>3413</v>
      </c>
      <c r="D1755" s="19" t="s">
        <v>3414</v>
      </c>
      <c r="E1755" s="20" t="s">
        <v>414</v>
      </c>
      <c r="F1755" s="21">
        <v>1960</v>
      </c>
      <c r="G1755" s="40">
        <v>2023</v>
      </c>
      <c r="H1755" s="23">
        <v>1594579348492</v>
      </c>
      <c r="I1755" s="23">
        <v>2298783322870</v>
      </c>
      <c r="J1755" s="23">
        <v>1782181488412</v>
      </c>
      <c r="K1755" s="23">
        <f t="shared" si="630"/>
        <v>1781505117532</v>
      </c>
      <c r="L1755" s="23">
        <v>1309979758388</v>
      </c>
      <c r="M1755" s="23">
        <f t="shared" si="621"/>
        <v>516601834458</v>
      </c>
      <c r="N1755" s="23">
        <v>2611735142318</v>
      </c>
      <c r="O1755" s="25">
        <f t="shared" si="572"/>
        <v>284599590104</v>
      </c>
      <c r="P1755" s="23">
        <v>26044226891</v>
      </c>
      <c r="Q1755" s="23">
        <f>35631112872+88549801182</f>
        <v>124180914054</v>
      </c>
      <c r="R1755" s="25">
        <f t="shared" si="573"/>
        <v>2487554228264</v>
      </c>
      <c r="S1755" s="26">
        <f t="shared" si="574"/>
        <v>0.77527162768301727</v>
      </c>
      <c r="T1755" s="27">
        <f t="shared" si="575"/>
        <v>1.2172549524385132</v>
      </c>
      <c r="U1755" s="26">
        <f t="shared" si="576"/>
        <v>28.463401108842529</v>
      </c>
      <c r="V1755" s="26">
        <f t="shared" si="577"/>
        <v>1.4660273027652906</v>
      </c>
      <c r="W1755" s="143"/>
      <c r="X1755" s="143"/>
      <c r="Y1755" s="143"/>
      <c r="Z1755" s="30">
        <f t="shared" si="627"/>
        <v>0</v>
      </c>
      <c r="AA1755" s="31">
        <f t="shared" si="620"/>
        <v>63</v>
      </c>
      <c r="AB1755" s="32">
        <v>3.2500000000000001E-2</v>
      </c>
      <c r="AC1755" s="32">
        <v>5.0500000000000003E-2</v>
      </c>
      <c r="AD1755" s="33">
        <f t="shared" si="602"/>
        <v>0.12380444353871563</v>
      </c>
      <c r="AE1755" s="34">
        <f t="shared" si="603"/>
        <v>1.1329570139078673E-2</v>
      </c>
      <c r="AF1755" s="33">
        <f t="shared" si="604"/>
        <v>1.0821177461642284</v>
      </c>
      <c r="AG1755" s="33">
        <f t="shared" si="605"/>
        <v>0</v>
      </c>
      <c r="AH1755" s="35">
        <f t="shared" si="606"/>
        <v>1.4654709182537677</v>
      </c>
      <c r="AI1755" s="36">
        <f t="shared" si="582"/>
        <v>5.2008862110368907</v>
      </c>
      <c r="AJ1755" s="23"/>
      <c r="AK1755" s="173">
        <v>914</v>
      </c>
      <c r="AL1755" s="44"/>
      <c r="AM1755" s="44"/>
      <c r="AN1755" s="44"/>
      <c r="AO1755" s="44"/>
      <c r="AP1755" s="44"/>
      <c r="AQ1755" s="44"/>
      <c r="AR1755" s="44"/>
    </row>
    <row r="1756" spans="1:44" ht="16.8">
      <c r="A1756" s="17" t="s">
        <v>3417</v>
      </c>
      <c r="B1756" s="18">
        <v>678</v>
      </c>
      <c r="C1756" s="18" t="s">
        <v>3418</v>
      </c>
      <c r="D1756" s="19" t="s">
        <v>3419</v>
      </c>
      <c r="E1756" s="20" t="s">
        <v>414</v>
      </c>
      <c r="F1756" s="21">
        <v>1977</v>
      </c>
      <c r="G1756" s="40">
        <v>2021</v>
      </c>
      <c r="H1756" s="23">
        <v>6805972262128</v>
      </c>
      <c r="I1756" s="23">
        <v>31827003374458</v>
      </c>
      <c r="J1756" s="23">
        <v>15469126320834</v>
      </c>
      <c r="K1756" s="23">
        <f>(J1756+8317804815307)/2</f>
        <v>11893465568070.5</v>
      </c>
      <c r="L1756" s="23">
        <v>4062369793461</v>
      </c>
      <c r="M1756" s="23">
        <f t="shared" si="621"/>
        <v>16357877053624</v>
      </c>
      <c r="N1756" s="23">
        <v>5815207697974</v>
      </c>
      <c r="O1756" s="25">
        <f t="shared" si="572"/>
        <v>2743602468667</v>
      </c>
      <c r="P1756" s="23">
        <v>2135410247248</v>
      </c>
      <c r="Q1756" s="23">
        <f>85073572183+370461124107</f>
        <v>455534696290</v>
      </c>
      <c r="R1756" s="25">
        <f t="shared" si="573"/>
        <v>5359673001684</v>
      </c>
      <c r="S1756" s="26">
        <f t="shared" si="574"/>
        <v>0.48603778806421899</v>
      </c>
      <c r="T1756" s="27">
        <f t="shared" si="575"/>
        <v>1.6753699461539036</v>
      </c>
      <c r="U1756" s="26">
        <f t="shared" si="576"/>
        <v>31.091336208098799</v>
      </c>
      <c r="V1756" s="26">
        <f t="shared" si="577"/>
        <v>0.48894139935004766</v>
      </c>
      <c r="W1756" s="143"/>
      <c r="X1756" s="143"/>
      <c r="Y1756" s="143"/>
      <c r="Z1756" s="30">
        <f t="shared" si="627"/>
        <v>0</v>
      </c>
      <c r="AA1756" s="31">
        <f t="shared" si="620"/>
        <v>44</v>
      </c>
      <c r="AB1756" s="32">
        <v>1.84E-2</v>
      </c>
      <c r="AC1756" s="32">
        <v>2.58E-2</v>
      </c>
      <c r="AD1756" s="33">
        <f t="shared" si="602"/>
        <v>8.6203606302087885E-2</v>
      </c>
      <c r="AE1756" s="34">
        <f t="shared" si="603"/>
        <v>6.7094291665602504E-2</v>
      </c>
      <c r="AF1756" s="33">
        <f t="shared" si="604"/>
        <v>0.16840017700143511</v>
      </c>
      <c r="AG1756" s="33">
        <f t="shared" si="605"/>
        <v>0</v>
      </c>
      <c r="AH1756" s="35">
        <f t="shared" si="606"/>
        <v>0.37592347346352784</v>
      </c>
      <c r="AI1756" s="36">
        <f t="shared" si="582"/>
        <v>1.1290203934626124</v>
      </c>
      <c r="AJ1756" s="23"/>
      <c r="AK1756" s="173">
        <v>915</v>
      </c>
      <c r="AL1756" s="44"/>
      <c r="AM1756" s="44"/>
      <c r="AN1756" s="44"/>
      <c r="AO1756" s="44"/>
      <c r="AP1756" s="44"/>
      <c r="AQ1756" s="44"/>
      <c r="AR1756" s="44"/>
    </row>
    <row r="1757" spans="1:44" ht="16.8">
      <c r="A1757" s="17" t="s">
        <v>3420</v>
      </c>
      <c r="B1757" s="18"/>
      <c r="C1757" s="18" t="s">
        <v>3418</v>
      </c>
      <c r="D1757" s="19" t="s">
        <v>3419</v>
      </c>
      <c r="E1757" s="20" t="s">
        <v>414</v>
      </c>
      <c r="F1757" s="21">
        <v>1977</v>
      </c>
      <c r="G1757" s="40">
        <v>2022</v>
      </c>
      <c r="H1757" s="23">
        <v>8573479385227</v>
      </c>
      <c r="I1757" s="23">
        <v>33914556733508</v>
      </c>
      <c r="J1757" s="23">
        <v>14710864120770</v>
      </c>
      <c r="K1757" s="23">
        <f t="shared" ref="K1757:K1758" si="631">(J1757+J1756)/2</f>
        <v>15089995220802</v>
      </c>
      <c r="L1757" s="23">
        <v>4086212882813</v>
      </c>
      <c r="M1757" s="23">
        <f t="shared" si="621"/>
        <v>19203692612738</v>
      </c>
      <c r="N1757" s="23">
        <v>9377949892489</v>
      </c>
      <c r="O1757" s="25">
        <f t="shared" si="572"/>
        <v>4487266502414</v>
      </c>
      <c r="P1757" s="23">
        <v>3515376975165</v>
      </c>
      <c r="Q1757" s="23">
        <f>88908329412+577624360997</f>
        <v>666532690409</v>
      </c>
      <c r="R1757" s="25">
        <f t="shared" si="573"/>
        <v>8711417202080</v>
      </c>
      <c r="S1757" s="26">
        <f t="shared" si="574"/>
        <v>0.43376253554968286</v>
      </c>
      <c r="T1757" s="27">
        <f t="shared" si="575"/>
        <v>2.098147999407439</v>
      </c>
      <c r="U1757" s="26">
        <f t="shared" si="576"/>
        <v>31.154865440316602</v>
      </c>
      <c r="V1757" s="26">
        <f t="shared" si="577"/>
        <v>0.621468049211919</v>
      </c>
      <c r="W1757" s="143"/>
      <c r="X1757" s="143"/>
      <c r="Y1757" s="143"/>
      <c r="Z1757" s="30">
        <f t="shared" si="627"/>
        <v>0</v>
      </c>
      <c r="AA1757" s="31">
        <f t="shared" si="620"/>
        <v>45</v>
      </c>
      <c r="AB1757" s="32">
        <v>3.15E-2</v>
      </c>
      <c r="AC1757" s="32">
        <v>8.0199999999999994E-2</v>
      </c>
      <c r="AD1757" s="33">
        <f t="shared" si="602"/>
        <v>0.13231092883429979</v>
      </c>
      <c r="AE1757" s="34">
        <f t="shared" si="603"/>
        <v>0.10365392662472171</v>
      </c>
      <c r="AF1757" s="33">
        <f t="shared" si="604"/>
        <v>0.25686366095043228</v>
      </c>
      <c r="AG1757" s="33">
        <f t="shared" si="605"/>
        <v>0</v>
      </c>
      <c r="AH1757" s="35">
        <f t="shared" si="606"/>
        <v>0.63748463825781954</v>
      </c>
      <c r="AI1757" s="36">
        <f t="shared" si="582"/>
        <v>1.7890233312700161</v>
      </c>
      <c r="AJ1757" s="23"/>
      <c r="AK1757" s="173">
        <v>916</v>
      </c>
      <c r="AL1757" s="44"/>
      <c r="AM1757" s="44"/>
      <c r="AN1757" s="44"/>
      <c r="AO1757" s="44"/>
      <c r="AP1757" s="44"/>
      <c r="AQ1757" s="44"/>
      <c r="AR1757" s="44"/>
    </row>
    <row r="1758" spans="1:44" ht="16.8">
      <c r="A1758" s="17" t="s">
        <v>3421</v>
      </c>
      <c r="B1758" s="18"/>
      <c r="C1758" s="18" t="s">
        <v>3418</v>
      </c>
      <c r="D1758" s="19" t="s">
        <v>3419</v>
      </c>
      <c r="E1758" s="20" t="s">
        <v>414</v>
      </c>
      <c r="F1758" s="21">
        <v>1977</v>
      </c>
      <c r="G1758" s="40">
        <v>2023</v>
      </c>
      <c r="H1758" s="23">
        <v>9524178397527</v>
      </c>
      <c r="I1758" s="23">
        <v>34912272846093</v>
      </c>
      <c r="J1758" s="23">
        <v>14142171608105</v>
      </c>
      <c r="K1758" s="23">
        <f t="shared" si="631"/>
        <v>14426517864437.5</v>
      </c>
      <c r="L1758" s="23">
        <v>3944551522493</v>
      </c>
      <c r="M1758" s="23">
        <f t="shared" si="621"/>
        <v>20770101237988</v>
      </c>
      <c r="N1758" s="23">
        <v>8579347840237</v>
      </c>
      <c r="O1758" s="25">
        <f t="shared" si="572"/>
        <v>5579626875034</v>
      </c>
      <c r="P1758" s="23">
        <v>2786658064221</v>
      </c>
      <c r="Q1758" s="23">
        <f>92540436139+663075670866</f>
        <v>755616107005</v>
      </c>
      <c r="R1758" s="25">
        <f t="shared" si="573"/>
        <v>7823731733232</v>
      </c>
      <c r="S1758" s="26">
        <f t="shared" si="574"/>
        <v>0.40507736836410629</v>
      </c>
      <c r="T1758" s="27">
        <f t="shared" si="575"/>
        <v>2.4145148930663769</v>
      </c>
      <c r="U1758" s="26">
        <f t="shared" si="576"/>
        <v>31.183859540801105</v>
      </c>
      <c r="V1758" s="26">
        <f t="shared" si="577"/>
        <v>0.59469290655271478</v>
      </c>
      <c r="W1758" s="143"/>
      <c r="X1758" s="143"/>
      <c r="Y1758" s="143"/>
      <c r="Z1758" s="30">
        <f t="shared" si="627"/>
        <v>0</v>
      </c>
      <c r="AA1758" s="31">
        <f t="shared" si="620"/>
        <v>46</v>
      </c>
      <c r="AB1758" s="32">
        <v>3.2500000000000001E-2</v>
      </c>
      <c r="AC1758" s="32">
        <v>5.0500000000000003E-2</v>
      </c>
      <c r="AD1758" s="33">
        <f t="shared" si="602"/>
        <v>0.15981849419060126</v>
      </c>
      <c r="AE1758" s="34">
        <f t="shared" si="603"/>
        <v>7.9818867035832422E-2</v>
      </c>
      <c r="AF1758" s="33">
        <f t="shared" si="604"/>
        <v>0.22409688901441852</v>
      </c>
      <c r="AG1758" s="33">
        <f t="shared" si="605"/>
        <v>0</v>
      </c>
      <c r="AH1758" s="35">
        <f t="shared" si="606"/>
        <v>0.60664995999059312</v>
      </c>
      <c r="AI1758" s="36">
        <f t="shared" si="582"/>
        <v>1.6496983006170609</v>
      </c>
      <c r="AJ1758" s="23"/>
      <c r="AK1758" s="173">
        <v>917</v>
      </c>
      <c r="AL1758" s="44"/>
      <c r="AM1758" s="44"/>
      <c r="AN1758" s="44"/>
      <c r="AO1758" s="44"/>
      <c r="AP1758" s="44"/>
      <c r="AQ1758" s="44"/>
      <c r="AR1758" s="44"/>
    </row>
    <row r="1759" spans="1:44" ht="16.8">
      <c r="A1759" s="145"/>
      <c r="B1759" s="145">
        <v>679</v>
      </c>
      <c r="C1759" s="145" t="s">
        <v>3422</v>
      </c>
      <c r="D1759" s="146" t="s">
        <v>3423</v>
      </c>
      <c r="E1759" s="147" t="s">
        <v>178</v>
      </c>
      <c r="F1759" s="148"/>
      <c r="G1759" s="148">
        <v>2021</v>
      </c>
      <c r="H1759" s="149"/>
      <c r="I1759" s="149"/>
      <c r="J1759" s="149"/>
      <c r="K1759" s="149"/>
      <c r="L1759" s="149"/>
      <c r="M1759" s="149">
        <f t="shared" si="621"/>
        <v>0</v>
      </c>
      <c r="N1759" s="149"/>
      <c r="O1759" s="149">
        <f t="shared" si="572"/>
        <v>0</v>
      </c>
      <c r="P1759" s="149"/>
      <c r="Q1759" s="149"/>
      <c r="R1759" s="149">
        <f t="shared" si="573"/>
        <v>0</v>
      </c>
      <c r="S1759" s="150" t="e">
        <f t="shared" si="574"/>
        <v>#DIV/0!</v>
      </c>
      <c r="T1759" s="151" t="e">
        <f t="shared" si="575"/>
        <v>#DIV/0!</v>
      </c>
      <c r="U1759" s="150" t="e">
        <f t="shared" si="576"/>
        <v>#NUM!</v>
      </c>
      <c r="V1759" s="150" t="e">
        <f t="shared" si="577"/>
        <v>#DIV/0!</v>
      </c>
      <c r="W1759" s="152"/>
      <c r="X1759" s="152"/>
      <c r="Y1759" s="152"/>
      <c r="Z1759" s="153">
        <f t="shared" ref="Z1759:Z1760" si="632">W1759*Y1759</f>
        <v>0</v>
      </c>
      <c r="AA1759" s="148">
        <f t="shared" si="620"/>
        <v>2021</v>
      </c>
      <c r="AB1759" s="149"/>
      <c r="AC1759" s="149"/>
      <c r="AD1759" s="150" t="e">
        <f t="shared" si="602"/>
        <v>#DIV/0!</v>
      </c>
      <c r="AE1759" s="154" t="e">
        <f t="shared" si="603"/>
        <v>#DIV/0!</v>
      </c>
      <c r="AF1759" s="150" t="e">
        <f t="shared" si="604"/>
        <v>#DIV/0!</v>
      </c>
      <c r="AG1759" s="150" t="e">
        <f t="shared" si="605"/>
        <v>#DIV/0!</v>
      </c>
      <c r="AH1759" s="155" t="e">
        <f t="shared" si="606"/>
        <v>#DIV/0!</v>
      </c>
      <c r="AI1759" s="156" t="e">
        <f t="shared" si="582"/>
        <v>#DIV/0!</v>
      </c>
      <c r="AJ1759" s="149"/>
      <c r="AK1759" s="149"/>
      <c r="AL1759" s="157"/>
      <c r="AM1759" s="157"/>
      <c r="AN1759" s="157"/>
      <c r="AO1759" s="157"/>
      <c r="AP1759" s="157"/>
      <c r="AQ1759" s="157"/>
      <c r="AR1759" s="157"/>
    </row>
    <row r="1760" spans="1:44" ht="16.8">
      <c r="A1760" s="145"/>
      <c r="B1760" s="145">
        <v>680</v>
      </c>
      <c r="C1760" s="145" t="s">
        <v>3424</v>
      </c>
      <c r="D1760" s="146" t="s">
        <v>3425</v>
      </c>
      <c r="E1760" s="147" t="s">
        <v>1371</v>
      </c>
      <c r="F1760" s="148"/>
      <c r="G1760" s="148"/>
      <c r="H1760" s="149"/>
      <c r="I1760" s="149"/>
      <c r="J1760" s="149"/>
      <c r="K1760" s="149"/>
      <c r="L1760" s="149"/>
      <c r="M1760" s="149">
        <f t="shared" si="621"/>
        <v>0</v>
      </c>
      <c r="N1760" s="149"/>
      <c r="O1760" s="149">
        <f t="shared" si="572"/>
        <v>0</v>
      </c>
      <c r="P1760" s="149"/>
      <c r="Q1760" s="149"/>
      <c r="R1760" s="149">
        <f t="shared" si="573"/>
        <v>0</v>
      </c>
      <c r="S1760" s="150" t="e">
        <f t="shared" si="574"/>
        <v>#DIV/0!</v>
      </c>
      <c r="T1760" s="151" t="e">
        <f t="shared" si="575"/>
        <v>#DIV/0!</v>
      </c>
      <c r="U1760" s="150" t="e">
        <f t="shared" si="576"/>
        <v>#NUM!</v>
      </c>
      <c r="V1760" s="150" t="e">
        <f t="shared" si="577"/>
        <v>#DIV/0!</v>
      </c>
      <c r="W1760" s="152"/>
      <c r="X1760" s="152"/>
      <c r="Y1760" s="152"/>
      <c r="Z1760" s="153">
        <f t="shared" si="632"/>
        <v>0</v>
      </c>
      <c r="AA1760" s="148">
        <f t="shared" si="620"/>
        <v>0</v>
      </c>
      <c r="AB1760" s="149"/>
      <c r="AC1760" s="149"/>
      <c r="AD1760" s="150" t="e">
        <f t="shared" si="602"/>
        <v>#DIV/0!</v>
      </c>
      <c r="AE1760" s="154" t="e">
        <f t="shared" si="603"/>
        <v>#DIV/0!</v>
      </c>
      <c r="AF1760" s="150" t="e">
        <f t="shared" si="604"/>
        <v>#DIV/0!</v>
      </c>
      <c r="AG1760" s="150" t="e">
        <f t="shared" si="605"/>
        <v>#DIV/0!</v>
      </c>
      <c r="AH1760" s="155" t="e">
        <f t="shared" si="606"/>
        <v>#DIV/0!</v>
      </c>
      <c r="AI1760" s="156" t="e">
        <f t="shared" si="582"/>
        <v>#DIV/0!</v>
      </c>
      <c r="AJ1760" s="149"/>
      <c r="AK1760" s="149"/>
      <c r="AL1760" s="157"/>
      <c r="AM1760" s="157"/>
      <c r="AN1760" s="157"/>
      <c r="AO1760" s="157"/>
      <c r="AP1760" s="157"/>
      <c r="AQ1760" s="157"/>
      <c r="AR1760" s="157"/>
    </row>
    <row r="1761" spans="1:44" ht="16.8">
      <c r="A1761" s="17" t="s">
        <v>3426</v>
      </c>
      <c r="B1761" s="18">
        <v>681</v>
      </c>
      <c r="C1761" s="18" t="s">
        <v>3427</v>
      </c>
      <c r="D1761" s="19" t="s">
        <v>3428</v>
      </c>
      <c r="E1761" s="20" t="s">
        <v>414</v>
      </c>
      <c r="F1761" s="21">
        <v>2008</v>
      </c>
      <c r="G1761" s="40">
        <v>2021</v>
      </c>
      <c r="H1761" s="23">
        <v>99304185853</v>
      </c>
      <c r="I1761" s="23">
        <v>992026049132</v>
      </c>
      <c r="J1761" s="23">
        <v>411385705522</v>
      </c>
      <c r="K1761" s="23">
        <f>(J1761+492166949348)/2</f>
        <v>451776327435</v>
      </c>
      <c r="L1761" s="23">
        <v>182847335522</v>
      </c>
      <c r="M1761" s="23">
        <f t="shared" si="621"/>
        <v>580640343610</v>
      </c>
      <c r="N1761" s="23">
        <v>285017048311</v>
      </c>
      <c r="O1761" s="25">
        <f t="shared" si="572"/>
        <v>-83543149669</v>
      </c>
      <c r="P1761" s="23">
        <v>140613975671</v>
      </c>
      <c r="Q1761" s="23">
        <v>7440352909</v>
      </c>
      <c r="R1761" s="25">
        <f t="shared" si="573"/>
        <v>277576695402</v>
      </c>
      <c r="S1761" s="26">
        <f t="shared" si="574"/>
        <v>0.41469244268530353</v>
      </c>
      <c r="T1761" s="27">
        <f t="shared" si="575"/>
        <v>0.54309889487589402</v>
      </c>
      <c r="U1761" s="26">
        <f t="shared" si="576"/>
        <v>27.623015203092162</v>
      </c>
      <c r="V1761" s="26">
        <f t="shared" si="577"/>
        <v>0.63088088286787725</v>
      </c>
      <c r="W1761" s="143"/>
      <c r="X1761" s="143"/>
      <c r="Y1761" s="143"/>
      <c r="Z1761" s="30">
        <f t="shared" ref="Z1761:Z1775" si="633">X1761*Y1761</f>
        <v>0</v>
      </c>
      <c r="AA1761" s="31">
        <f t="shared" si="620"/>
        <v>13</v>
      </c>
      <c r="AB1761" s="32">
        <v>1.84E-2</v>
      </c>
      <c r="AC1761" s="32">
        <v>2.58E-2</v>
      </c>
      <c r="AD1761" s="33">
        <f t="shared" si="602"/>
        <v>-8.4214673336550319E-2</v>
      </c>
      <c r="AE1761" s="34">
        <f t="shared" si="603"/>
        <v>0.14174423725469104</v>
      </c>
      <c r="AF1761" s="33">
        <f t="shared" si="604"/>
        <v>0.27980786960672377</v>
      </c>
      <c r="AG1761" s="33">
        <f t="shared" si="605"/>
        <v>0</v>
      </c>
      <c r="AH1761" s="35">
        <f t="shared" si="606"/>
        <v>0.69282195391146839</v>
      </c>
      <c r="AI1761" s="36">
        <f t="shared" si="582"/>
        <v>1.713572247766364</v>
      </c>
      <c r="AJ1761" s="23" t="s">
        <v>85</v>
      </c>
      <c r="AK1761" s="173">
        <v>918</v>
      </c>
      <c r="AL1761" s="44"/>
      <c r="AM1761" s="44"/>
      <c r="AN1761" s="44"/>
      <c r="AO1761" s="44"/>
      <c r="AP1761" s="44"/>
      <c r="AQ1761" s="44"/>
      <c r="AR1761" s="44"/>
    </row>
    <row r="1762" spans="1:44" ht="16.8">
      <c r="A1762" s="17" t="s">
        <v>3429</v>
      </c>
      <c r="B1762" s="18"/>
      <c r="C1762" s="18" t="s">
        <v>3427</v>
      </c>
      <c r="D1762" s="19" t="s">
        <v>3428</v>
      </c>
      <c r="E1762" s="20" t="s">
        <v>414</v>
      </c>
      <c r="F1762" s="21">
        <v>2008</v>
      </c>
      <c r="G1762" s="40">
        <v>2022</v>
      </c>
      <c r="H1762" s="23">
        <v>168322506598</v>
      </c>
      <c r="I1762" s="23">
        <v>1010948843939</v>
      </c>
      <c r="J1762" s="23">
        <v>372228699076</v>
      </c>
      <c r="K1762" s="23">
        <f t="shared" ref="K1762:K1763" si="634">(J1762+J1761)/2</f>
        <v>391807202299</v>
      </c>
      <c r="L1762" s="23">
        <v>229606667476</v>
      </c>
      <c r="M1762" s="23">
        <f t="shared" si="621"/>
        <v>638720144863</v>
      </c>
      <c r="N1762" s="23">
        <v>308144781114</v>
      </c>
      <c r="O1762" s="25">
        <f t="shared" si="572"/>
        <v>-61284160878</v>
      </c>
      <c r="P1762" s="23">
        <v>173373776921</v>
      </c>
      <c r="Q1762" s="23">
        <v>8893965329</v>
      </c>
      <c r="R1762" s="25">
        <f t="shared" si="573"/>
        <v>299250815785</v>
      </c>
      <c r="S1762" s="26">
        <f t="shared" si="574"/>
        <v>0.3681973636031578</v>
      </c>
      <c r="T1762" s="27">
        <f t="shared" si="575"/>
        <v>0.73309067392650595</v>
      </c>
      <c r="U1762" s="26">
        <f t="shared" si="576"/>
        <v>27.641910455219822</v>
      </c>
      <c r="V1762" s="26">
        <f t="shared" si="577"/>
        <v>0.78647043572937014</v>
      </c>
      <c r="W1762" s="143"/>
      <c r="X1762" s="143"/>
      <c r="Y1762" s="143"/>
      <c r="Z1762" s="30">
        <f t="shared" si="633"/>
        <v>0</v>
      </c>
      <c r="AA1762" s="31">
        <f t="shared" si="620"/>
        <v>14</v>
      </c>
      <c r="AB1762" s="32">
        <v>3.15E-2</v>
      </c>
      <c r="AC1762" s="32">
        <v>8.0199999999999994E-2</v>
      </c>
      <c r="AD1762" s="33">
        <f t="shared" si="602"/>
        <v>-6.0620437171891008E-2</v>
      </c>
      <c r="AE1762" s="34">
        <f t="shared" si="603"/>
        <v>0.17149609296299989</v>
      </c>
      <c r="AF1762" s="33">
        <f t="shared" si="604"/>
        <v>0.29600985013150338</v>
      </c>
      <c r="AG1762" s="33">
        <f t="shared" si="605"/>
        <v>0</v>
      </c>
      <c r="AH1762" s="35">
        <f t="shared" si="606"/>
        <v>0.82783724596980734</v>
      </c>
      <c r="AI1762" s="36">
        <f t="shared" si="582"/>
        <v>1.9720197569456992</v>
      </c>
      <c r="AJ1762" s="23" t="s">
        <v>85</v>
      </c>
      <c r="AK1762" s="173">
        <v>919</v>
      </c>
      <c r="AL1762" s="44"/>
      <c r="AM1762" s="44"/>
      <c r="AN1762" s="44"/>
      <c r="AO1762" s="44"/>
      <c r="AP1762" s="44"/>
      <c r="AQ1762" s="44"/>
      <c r="AR1762" s="44"/>
    </row>
    <row r="1763" spans="1:44" ht="16.8">
      <c r="A1763" s="17" t="s">
        <v>3430</v>
      </c>
      <c r="B1763" s="18"/>
      <c r="C1763" s="18" t="s">
        <v>3427</v>
      </c>
      <c r="D1763" s="19" t="s">
        <v>3428</v>
      </c>
      <c r="E1763" s="20" t="s">
        <v>414</v>
      </c>
      <c r="F1763" s="21">
        <v>2008</v>
      </c>
      <c r="G1763" s="40">
        <v>2023</v>
      </c>
      <c r="H1763" s="23">
        <v>195334212287</v>
      </c>
      <c r="I1763" s="23">
        <v>1000461847091</v>
      </c>
      <c r="J1763" s="23">
        <v>410016411113</v>
      </c>
      <c r="K1763" s="23">
        <f t="shared" si="634"/>
        <v>391122555094.5</v>
      </c>
      <c r="L1763" s="23">
        <v>191555438913</v>
      </c>
      <c r="M1763" s="23">
        <f t="shared" si="621"/>
        <v>590445435978</v>
      </c>
      <c r="N1763" s="23">
        <v>286396916910</v>
      </c>
      <c r="O1763" s="25">
        <f t="shared" si="572"/>
        <v>3778773374</v>
      </c>
      <c r="P1763" s="23">
        <v>137405291118</v>
      </c>
      <c r="Q1763" s="23">
        <v>8187809444</v>
      </c>
      <c r="R1763" s="25">
        <f t="shared" si="573"/>
        <v>278209107466</v>
      </c>
      <c r="S1763" s="26">
        <f t="shared" si="574"/>
        <v>0.40982713364351386</v>
      </c>
      <c r="T1763" s="27">
        <f t="shared" si="575"/>
        <v>1.019726787166384</v>
      </c>
      <c r="U1763" s="26">
        <f t="shared" si="576"/>
        <v>27.631482856401007</v>
      </c>
      <c r="V1763" s="26">
        <f t="shared" si="577"/>
        <v>0.7322434187944058</v>
      </c>
      <c r="W1763" s="143"/>
      <c r="X1763" s="143"/>
      <c r="Y1763" s="143"/>
      <c r="Z1763" s="30">
        <f t="shared" si="633"/>
        <v>0</v>
      </c>
      <c r="AA1763" s="31">
        <f t="shared" si="620"/>
        <v>15</v>
      </c>
      <c r="AB1763" s="32">
        <v>3.2500000000000001E-2</v>
      </c>
      <c r="AC1763" s="32">
        <v>5.0500000000000003E-2</v>
      </c>
      <c r="AD1763" s="33">
        <f t="shared" si="602"/>
        <v>3.7770289641602798E-3</v>
      </c>
      <c r="AE1763" s="34">
        <f t="shared" si="603"/>
        <v>0.13734186017940361</v>
      </c>
      <c r="AF1763" s="33">
        <f t="shared" si="604"/>
        <v>0.27808067671439612</v>
      </c>
      <c r="AG1763" s="33">
        <f t="shared" si="605"/>
        <v>0</v>
      </c>
      <c r="AH1763" s="35">
        <f t="shared" si="606"/>
        <v>0.69850110665709275</v>
      </c>
      <c r="AI1763" s="36">
        <f t="shared" si="582"/>
        <v>1.8129783788227574</v>
      </c>
      <c r="AJ1763" s="23" t="s">
        <v>85</v>
      </c>
      <c r="AK1763" s="173">
        <v>920</v>
      </c>
      <c r="AL1763" s="44"/>
      <c r="AM1763" s="44"/>
      <c r="AN1763" s="44"/>
      <c r="AO1763" s="44"/>
      <c r="AP1763" s="44"/>
      <c r="AQ1763" s="44"/>
      <c r="AR1763" s="44"/>
    </row>
    <row r="1764" spans="1:44" ht="16.8">
      <c r="A1764" s="17" t="s">
        <v>3431</v>
      </c>
      <c r="B1764" s="18">
        <v>682</v>
      </c>
      <c r="C1764" s="18" t="s">
        <v>3432</v>
      </c>
      <c r="D1764" s="19" t="s">
        <v>3433</v>
      </c>
      <c r="E1764" s="20" t="s">
        <v>414</v>
      </c>
      <c r="F1764" s="21">
        <v>1875</v>
      </c>
      <c r="G1764" s="40">
        <v>2021</v>
      </c>
      <c r="H1764" s="23">
        <v>22877033322264</v>
      </c>
      <c r="I1764" s="23">
        <v>30487024372425</v>
      </c>
      <c r="J1764" s="23">
        <v>7892238669264</v>
      </c>
      <c r="K1764" s="23">
        <f>(J1764+6159696384430)</f>
        <v>14051935053694</v>
      </c>
      <c r="L1764" s="23">
        <v>7258020535153</v>
      </c>
      <c r="M1764" s="23">
        <f t="shared" si="621"/>
        <v>22594785703161</v>
      </c>
      <c r="N1764" s="23">
        <v>26578007393513</v>
      </c>
      <c r="O1764" s="25">
        <f t="shared" si="572"/>
        <v>15619012787111</v>
      </c>
      <c r="P1764" s="23">
        <v>3929305547238</v>
      </c>
      <c r="Q1764" s="23">
        <f>3500368629369+597716255412</f>
        <v>4098084884781</v>
      </c>
      <c r="R1764" s="25">
        <f t="shared" si="573"/>
        <v>22479922508732</v>
      </c>
      <c r="S1764" s="26">
        <f t="shared" si="574"/>
        <v>0.25887205562778365</v>
      </c>
      <c r="T1764" s="27">
        <f t="shared" si="575"/>
        <v>3.1519659129459532</v>
      </c>
      <c r="U1764" s="26">
        <f t="shared" si="576"/>
        <v>31.048322278608428</v>
      </c>
      <c r="V1764" s="26">
        <f t="shared" si="577"/>
        <v>1.8914126269410931</v>
      </c>
      <c r="W1764" s="143"/>
      <c r="X1764" s="143"/>
      <c r="Y1764" s="143"/>
      <c r="Z1764" s="30">
        <f t="shared" si="633"/>
        <v>0</v>
      </c>
      <c r="AA1764" s="31">
        <f t="shared" si="620"/>
        <v>146</v>
      </c>
      <c r="AB1764" s="32">
        <v>1.84E-2</v>
      </c>
      <c r="AC1764" s="32">
        <v>2.58E-2</v>
      </c>
      <c r="AD1764" s="33">
        <f t="shared" si="602"/>
        <v>0.51231673502508612</v>
      </c>
      <c r="AE1764" s="34">
        <f t="shared" si="603"/>
        <v>0.12888452146848384</v>
      </c>
      <c r="AF1764" s="33">
        <f t="shared" si="604"/>
        <v>0.73736033514194688</v>
      </c>
      <c r="AG1764" s="33">
        <f t="shared" si="605"/>
        <v>0</v>
      </c>
      <c r="AH1764" s="35">
        <f t="shared" si="606"/>
        <v>3.3676132346351815</v>
      </c>
      <c r="AI1764" s="36">
        <f t="shared" si="582"/>
        <v>6.5961207526895862</v>
      </c>
      <c r="AJ1764" s="23"/>
      <c r="AK1764" s="173">
        <v>921</v>
      </c>
      <c r="AL1764" s="44"/>
      <c r="AM1764" s="44"/>
      <c r="AN1764" s="44"/>
      <c r="AO1764" s="44"/>
      <c r="AP1764" s="44"/>
      <c r="AQ1764" s="44"/>
      <c r="AR1764" s="44"/>
    </row>
    <row r="1765" spans="1:44" ht="16.8">
      <c r="A1765" s="17" t="s">
        <v>3434</v>
      </c>
      <c r="B1765" s="18"/>
      <c r="C1765" s="18" t="s">
        <v>3432</v>
      </c>
      <c r="D1765" s="19" t="s">
        <v>3433</v>
      </c>
      <c r="E1765" s="20" t="s">
        <v>414</v>
      </c>
      <c r="F1765" s="21">
        <v>1875</v>
      </c>
      <c r="G1765" s="40">
        <v>2022</v>
      </c>
      <c r="H1765" s="23">
        <v>26860224573663</v>
      </c>
      <c r="I1765" s="23">
        <v>34465075315756</v>
      </c>
      <c r="J1765" s="23">
        <v>9874229696363</v>
      </c>
      <c r="K1765" s="23">
        <f t="shared" ref="K1765:K1766" si="635">(J1765+J1764)/2</f>
        <v>8883234182813.5</v>
      </c>
      <c r="L1765" s="23">
        <v>9213862412096</v>
      </c>
      <c r="M1765" s="23">
        <f t="shared" si="621"/>
        <v>24590845619393</v>
      </c>
      <c r="N1765" s="23">
        <v>35235899123781</v>
      </c>
      <c r="O1765" s="25">
        <f t="shared" si="572"/>
        <v>17646362161567</v>
      </c>
      <c r="P1765" s="23">
        <v>5499797977284</v>
      </c>
      <c r="Q1765" s="23">
        <f>4532068273139+740665660469</f>
        <v>5272733933608</v>
      </c>
      <c r="R1765" s="25">
        <f t="shared" si="573"/>
        <v>29963165190173</v>
      </c>
      <c r="S1765" s="26">
        <f t="shared" si="574"/>
        <v>0.28649958271958026</v>
      </c>
      <c r="T1765" s="27">
        <f t="shared" si="575"/>
        <v>2.9151970555150442</v>
      </c>
      <c r="U1765" s="26">
        <f t="shared" si="576"/>
        <v>31.170967617546118</v>
      </c>
      <c r="V1765" s="26">
        <f t="shared" si="577"/>
        <v>3.9665619974257029</v>
      </c>
      <c r="W1765" s="143"/>
      <c r="X1765" s="143"/>
      <c r="Y1765" s="143"/>
      <c r="Z1765" s="30">
        <f t="shared" si="633"/>
        <v>0</v>
      </c>
      <c r="AA1765" s="31">
        <f t="shared" si="620"/>
        <v>147</v>
      </c>
      <c r="AB1765" s="32">
        <v>3.15E-2</v>
      </c>
      <c r="AC1765" s="32">
        <v>8.0199999999999994E-2</v>
      </c>
      <c r="AD1765" s="33">
        <f t="shared" si="602"/>
        <v>0.51200706802169138</v>
      </c>
      <c r="AE1765" s="34">
        <f t="shared" si="603"/>
        <v>0.15957597442909754</v>
      </c>
      <c r="AF1765" s="33">
        <f t="shared" si="604"/>
        <v>0.86937762113274963</v>
      </c>
      <c r="AG1765" s="33">
        <f t="shared" si="605"/>
        <v>0</v>
      </c>
      <c r="AH1765" s="35">
        <f t="shared" si="606"/>
        <v>3.5684706764275016</v>
      </c>
      <c r="AI1765" s="36">
        <f t="shared" si="582"/>
        <v>7.2752316719923416</v>
      </c>
      <c r="AJ1765" s="23"/>
      <c r="AK1765" s="173">
        <v>922</v>
      </c>
      <c r="AL1765" s="44"/>
      <c r="AM1765" s="44"/>
      <c r="AN1765" s="44"/>
      <c r="AO1765" s="44"/>
      <c r="AP1765" s="44"/>
      <c r="AQ1765" s="44"/>
      <c r="AR1765" s="44"/>
    </row>
    <row r="1766" spans="1:44" ht="16.8">
      <c r="A1766" s="17" t="s">
        <v>3435</v>
      </c>
      <c r="B1766" s="18"/>
      <c r="C1766" s="18" t="s">
        <v>3432</v>
      </c>
      <c r="D1766" s="19" t="s">
        <v>3433</v>
      </c>
      <c r="E1766" s="20" t="s">
        <v>414</v>
      </c>
      <c r="F1766" s="21">
        <v>1875</v>
      </c>
      <c r="G1766" s="40">
        <v>2023</v>
      </c>
      <c r="H1766" s="23">
        <v>26553405591714</v>
      </c>
      <c r="I1766" s="23">
        <v>34056624839705</v>
      </c>
      <c r="J1766" s="23">
        <v>8571466944838</v>
      </c>
      <c r="K1766" s="23">
        <f t="shared" si="635"/>
        <v>9222848320600.5</v>
      </c>
      <c r="L1766" s="23">
        <v>8224608450196</v>
      </c>
      <c r="M1766" s="23">
        <f t="shared" si="621"/>
        <v>25485157894867</v>
      </c>
      <c r="N1766" s="23">
        <v>30706760090689</v>
      </c>
      <c r="O1766" s="25">
        <f t="shared" si="572"/>
        <v>18328797141518</v>
      </c>
      <c r="P1766" s="23">
        <v>4255052995709</v>
      </c>
      <c r="Q1766" s="23">
        <f>4479227839581+800691619935</f>
        <v>5279919459516</v>
      </c>
      <c r="R1766" s="25">
        <f t="shared" si="573"/>
        <v>25426840631173</v>
      </c>
      <c r="S1766" s="26">
        <f t="shared" si="574"/>
        <v>0.25168280724180669</v>
      </c>
      <c r="T1766" s="27">
        <f t="shared" si="575"/>
        <v>3.2285312732524316</v>
      </c>
      <c r="U1766" s="26">
        <f t="shared" si="576"/>
        <v>31.159045691705192</v>
      </c>
      <c r="V1766" s="26">
        <f t="shared" si="577"/>
        <v>3.3294226494109447</v>
      </c>
      <c r="W1766" s="143"/>
      <c r="X1766" s="143"/>
      <c r="Y1766" s="143"/>
      <c r="Z1766" s="30">
        <f t="shared" si="633"/>
        <v>0</v>
      </c>
      <c r="AA1766" s="31">
        <f t="shared" si="620"/>
        <v>148</v>
      </c>
      <c r="AB1766" s="32">
        <v>3.2500000000000001E-2</v>
      </c>
      <c r="AC1766" s="32">
        <v>5.0500000000000003E-2</v>
      </c>
      <c r="AD1766" s="33">
        <f t="shared" si="602"/>
        <v>0.53818595435650241</v>
      </c>
      <c r="AE1766" s="34">
        <f t="shared" si="603"/>
        <v>0.12494053699497068</v>
      </c>
      <c r="AF1766" s="33">
        <f t="shared" si="604"/>
        <v>0.74660483094992591</v>
      </c>
      <c r="AG1766" s="33">
        <f t="shared" si="605"/>
        <v>0</v>
      </c>
      <c r="AH1766" s="35">
        <f t="shared" si="606"/>
        <v>3.5824393056991899</v>
      </c>
      <c r="AI1766" s="36">
        <f t="shared" si="582"/>
        <v>6.8669751448547069</v>
      </c>
      <c r="AJ1766" s="23"/>
      <c r="AK1766" s="173">
        <v>923</v>
      </c>
      <c r="AL1766" s="44"/>
      <c r="AM1766" s="44"/>
      <c r="AN1766" s="44"/>
      <c r="AO1766" s="44"/>
      <c r="AP1766" s="44"/>
      <c r="AQ1766" s="44"/>
      <c r="AR1766" s="44"/>
    </row>
    <row r="1767" spans="1:44" ht="16.8">
      <c r="A1767" s="17" t="s">
        <v>3436</v>
      </c>
      <c r="B1767" s="18">
        <v>683</v>
      </c>
      <c r="C1767" s="18" t="s">
        <v>3437</v>
      </c>
      <c r="D1767" s="19" t="s">
        <v>3438</v>
      </c>
      <c r="E1767" s="20" t="s">
        <v>414</v>
      </c>
      <c r="F1767" s="21">
        <v>1986</v>
      </c>
      <c r="G1767" s="40">
        <v>2021</v>
      </c>
      <c r="H1767" s="23">
        <v>3460860298823</v>
      </c>
      <c r="I1767" s="23">
        <v>7544296538786</v>
      </c>
      <c r="J1767" s="23">
        <v>2947792015788</v>
      </c>
      <c r="K1767" s="23">
        <f>(J1767+2201198342100)/2</f>
        <v>2574495178944</v>
      </c>
      <c r="L1767" s="23">
        <v>2167544192892</v>
      </c>
      <c r="M1767" s="23">
        <f t="shared" si="621"/>
        <v>4596504522998</v>
      </c>
      <c r="N1767" s="23">
        <v>1907465386694</v>
      </c>
      <c r="O1767" s="25">
        <f t="shared" si="572"/>
        <v>1293316105931</v>
      </c>
      <c r="P1767" s="23">
        <v>159921949037</v>
      </c>
      <c r="Q1767" s="23">
        <f>35277163426+91451146132</f>
        <v>126728309558</v>
      </c>
      <c r="R1767" s="25">
        <f t="shared" si="573"/>
        <v>1780737077136</v>
      </c>
      <c r="S1767" s="26">
        <f t="shared" si="574"/>
        <v>0.39073119682307023</v>
      </c>
      <c r="T1767" s="27">
        <f t="shared" si="575"/>
        <v>1.5966734658385076</v>
      </c>
      <c r="U1767" s="26">
        <f t="shared" si="576"/>
        <v>29.651812968385631</v>
      </c>
      <c r="V1767" s="26">
        <f t="shared" si="577"/>
        <v>0.74090850986809742</v>
      </c>
      <c r="W1767" s="143"/>
      <c r="X1767" s="143"/>
      <c r="Y1767" s="143"/>
      <c r="Z1767" s="30">
        <f t="shared" si="633"/>
        <v>0</v>
      </c>
      <c r="AA1767" s="31">
        <f t="shared" si="620"/>
        <v>35</v>
      </c>
      <c r="AB1767" s="32">
        <v>1.84E-2</v>
      </c>
      <c r="AC1767" s="32">
        <v>2.58E-2</v>
      </c>
      <c r="AD1767" s="33">
        <f t="shared" si="602"/>
        <v>0.17142964877930364</v>
      </c>
      <c r="AE1767" s="34">
        <f t="shared" si="603"/>
        <v>2.1197728405136902E-2</v>
      </c>
      <c r="AF1767" s="33">
        <f t="shared" si="604"/>
        <v>0.23603752423848248</v>
      </c>
      <c r="AG1767" s="33">
        <f t="shared" si="605"/>
        <v>0</v>
      </c>
      <c r="AH1767" s="35">
        <f t="shared" si="606"/>
        <v>0.64708275769723833</v>
      </c>
      <c r="AI1767" s="36">
        <f t="shared" si="582"/>
        <v>1.6613989859865868</v>
      </c>
      <c r="AJ1767" s="23"/>
      <c r="AK1767" s="173">
        <v>924</v>
      </c>
      <c r="AL1767" s="44"/>
      <c r="AM1767" s="44"/>
      <c r="AN1767" s="44"/>
      <c r="AO1767" s="44"/>
      <c r="AP1767" s="44"/>
      <c r="AQ1767" s="44"/>
      <c r="AR1767" s="44"/>
    </row>
    <row r="1768" spans="1:44" ht="16.8">
      <c r="A1768" s="17" t="s">
        <v>3439</v>
      </c>
      <c r="B1768" s="18"/>
      <c r="C1768" s="18" t="s">
        <v>3437</v>
      </c>
      <c r="D1768" s="19" t="s">
        <v>3438</v>
      </c>
      <c r="E1768" s="20" t="s">
        <v>414</v>
      </c>
      <c r="F1768" s="21">
        <v>1986</v>
      </c>
      <c r="G1768" s="40">
        <v>2022</v>
      </c>
      <c r="H1768" s="23">
        <v>2852384184578</v>
      </c>
      <c r="I1768" s="23">
        <v>7237333687088</v>
      </c>
      <c r="J1768" s="23">
        <v>2633964634288</v>
      </c>
      <c r="K1768" s="23">
        <f t="shared" ref="K1768:K1769" si="636">(J1768+J1767)/2</f>
        <v>2790878325038</v>
      </c>
      <c r="L1768" s="23">
        <v>2093379367236</v>
      </c>
      <c r="M1768" s="23">
        <f t="shared" si="621"/>
        <v>4603369052800</v>
      </c>
      <c r="N1768" s="23">
        <v>2124387044361</v>
      </c>
      <c r="O1768" s="25">
        <f t="shared" si="572"/>
        <v>759004817342</v>
      </c>
      <c r="P1768" s="23">
        <v>7147462518</v>
      </c>
      <c r="Q1768" s="23">
        <f>47466190754+120118512192</f>
        <v>167584702946</v>
      </c>
      <c r="R1768" s="25">
        <f t="shared" si="573"/>
        <v>1956802341415</v>
      </c>
      <c r="S1768" s="26">
        <f t="shared" si="574"/>
        <v>0.36394130050783896</v>
      </c>
      <c r="T1768" s="27">
        <f t="shared" si="575"/>
        <v>1.362573945851083</v>
      </c>
      <c r="U1768" s="26">
        <f t="shared" si="576"/>
        <v>29.610273979232097</v>
      </c>
      <c r="V1768" s="26">
        <f t="shared" si="577"/>
        <v>0.76118941671599916</v>
      </c>
      <c r="W1768" s="143"/>
      <c r="X1768" s="143"/>
      <c r="Y1768" s="143"/>
      <c r="Z1768" s="30">
        <f t="shared" si="633"/>
        <v>0</v>
      </c>
      <c r="AA1768" s="31">
        <f t="shared" si="620"/>
        <v>36</v>
      </c>
      <c r="AB1768" s="32">
        <v>3.15E-2</v>
      </c>
      <c r="AC1768" s="32">
        <v>8.0199999999999994E-2</v>
      </c>
      <c r="AD1768" s="33">
        <f t="shared" si="602"/>
        <v>0.10487354185369775</v>
      </c>
      <c r="AE1768" s="34">
        <f t="shared" si="603"/>
        <v>9.87582281959952E-4</v>
      </c>
      <c r="AF1768" s="33">
        <f t="shared" si="604"/>
        <v>0.27037613933790239</v>
      </c>
      <c r="AG1768" s="33">
        <f t="shared" si="605"/>
        <v>0</v>
      </c>
      <c r="AH1768" s="35">
        <f t="shared" si="606"/>
        <v>0.80653590283882215</v>
      </c>
      <c r="AI1768" s="36">
        <f t="shared" si="582"/>
        <v>1.8260080280730813</v>
      </c>
      <c r="AJ1768" s="23"/>
      <c r="AK1768" s="173">
        <v>925</v>
      </c>
      <c r="AL1768" s="44"/>
      <c r="AM1768" s="44"/>
      <c r="AN1768" s="44"/>
      <c r="AO1768" s="44"/>
      <c r="AP1768" s="44"/>
      <c r="AQ1768" s="44"/>
      <c r="AR1768" s="44"/>
    </row>
    <row r="1769" spans="1:44" ht="16.8">
      <c r="A1769" s="17" t="s">
        <v>3440</v>
      </c>
      <c r="B1769" s="18"/>
      <c r="C1769" s="18" t="s">
        <v>3437</v>
      </c>
      <c r="D1769" s="19" t="s">
        <v>3438</v>
      </c>
      <c r="E1769" s="20" t="s">
        <v>414</v>
      </c>
      <c r="F1769" s="21">
        <v>1986</v>
      </c>
      <c r="G1769" s="40">
        <v>2023</v>
      </c>
      <c r="H1769" s="23">
        <v>2283692109389</v>
      </c>
      <c r="I1769" s="23">
        <v>6591891798964</v>
      </c>
      <c r="J1769" s="23">
        <v>1985823553060</v>
      </c>
      <c r="K1769" s="23">
        <f t="shared" si="636"/>
        <v>2309894093674</v>
      </c>
      <c r="L1769" s="23">
        <v>1723049165892</v>
      </c>
      <c r="M1769" s="23">
        <f t="shared" si="621"/>
        <v>4606068245904</v>
      </c>
      <c r="N1769" s="23">
        <v>2204487661762</v>
      </c>
      <c r="O1769" s="25">
        <f t="shared" si="572"/>
        <v>560642943497</v>
      </c>
      <c r="P1769" s="23">
        <v>33239920007</v>
      </c>
      <c r="Q1769" s="23">
        <f>45691576181+96180724698</f>
        <v>141872300879</v>
      </c>
      <c r="R1769" s="25">
        <f t="shared" si="573"/>
        <v>2062615360883</v>
      </c>
      <c r="S1769" s="26">
        <f t="shared" si="574"/>
        <v>0.30125244977050403</v>
      </c>
      <c r="T1769" s="27">
        <f t="shared" si="575"/>
        <v>1.3253783783974398</v>
      </c>
      <c r="U1769" s="26">
        <f t="shared" si="576"/>
        <v>29.516861494408897</v>
      </c>
      <c r="V1769" s="26">
        <f t="shared" si="577"/>
        <v>0.95436741788263291</v>
      </c>
      <c r="W1769" s="143"/>
      <c r="X1769" s="143"/>
      <c r="Y1769" s="143"/>
      <c r="Z1769" s="30">
        <f t="shared" si="633"/>
        <v>0</v>
      </c>
      <c r="AA1769" s="31">
        <f t="shared" si="620"/>
        <v>37</v>
      </c>
      <c r="AB1769" s="32">
        <v>3.2500000000000001E-2</v>
      </c>
      <c r="AC1769" s="32">
        <v>5.0500000000000003E-2</v>
      </c>
      <c r="AD1769" s="33">
        <f t="shared" si="602"/>
        <v>8.5050386231326214E-2</v>
      </c>
      <c r="AE1769" s="34">
        <f t="shared" si="603"/>
        <v>5.042546361611105E-3</v>
      </c>
      <c r="AF1769" s="33">
        <f t="shared" si="604"/>
        <v>0.31290188367581617</v>
      </c>
      <c r="AG1769" s="33">
        <f t="shared" si="605"/>
        <v>0</v>
      </c>
      <c r="AH1769" s="35">
        <f t="shared" si="606"/>
        <v>1.1101125567601691</v>
      </c>
      <c r="AI1769" s="36">
        <f t="shared" si="582"/>
        <v>2.2518088012742092</v>
      </c>
      <c r="AJ1769" s="23"/>
      <c r="AK1769" s="173">
        <v>926</v>
      </c>
      <c r="AL1769" s="44"/>
      <c r="AM1769" s="44"/>
      <c r="AN1769" s="44"/>
      <c r="AO1769" s="44"/>
      <c r="AP1769" s="44"/>
      <c r="AQ1769" s="44"/>
      <c r="AR1769" s="44"/>
    </row>
    <row r="1770" spans="1:44" ht="16.8">
      <c r="A1770" s="17" t="s">
        <v>3441</v>
      </c>
      <c r="B1770" s="18">
        <v>684</v>
      </c>
      <c r="C1770" s="18" t="s">
        <v>3442</v>
      </c>
      <c r="D1770" s="19" t="s">
        <v>3443</v>
      </c>
      <c r="E1770" s="20" t="s">
        <v>414</v>
      </c>
      <c r="F1770" s="21">
        <v>1985</v>
      </c>
      <c r="G1770" s="40">
        <v>2021</v>
      </c>
      <c r="H1770" s="23">
        <v>462554860677</v>
      </c>
      <c r="I1770" s="23">
        <v>594731531152</v>
      </c>
      <c r="J1770" s="23">
        <v>263647757011</v>
      </c>
      <c r="K1770" s="23">
        <f>(J1770+249118326222)/2</f>
        <v>256383041616.5</v>
      </c>
      <c r="L1770" s="23">
        <v>257970898643</v>
      </c>
      <c r="M1770" s="23">
        <f t="shared" si="621"/>
        <v>331083774141</v>
      </c>
      <c r="N1770" s="23">
        <v>1010446473631</v>
      </c>
      <c r="O1770" s="25">
        <f t="shared" si="572"/>
        <v>204583962034</v>
      </c>
      <c r="P1770" s="23">
        <v>43073297919</v>
      </c>
      <c r="Q1770" s="23">
        <f>36895666728+50208593141</f>
        <v>87104259869</v>
      </c>
      <c r="R1770" s="25">
        <f t="shared" si="573"/>
        <v>923342213762</v>
      </c>
      <c r="S1770" s="26">
        <f t="shared" si="574"/>
        <v>0.44330549702033129</v>
      </c>
      <c r="T1770" s="27">
        <f t="shared" si="575"/>
        <v>1.7930505460506188</v>
      </c>
      <c r="U1770" s="26">
        <f t="shared" si="576"/>
        <v>27.111375932519113</v>
      </c>
      <c r="V1770" s="26">
        <f t="shared" si="577"/>
        <v>3.9411595527540184</v>
      </c>
      <c r="W1770" s="143"/>
      <c r="X1770" s="143"/>
      <c r="Y1770" s="143"/>
      <c r="Z1770" s="30">
        <f t="shared" si="633"/>
        <v>0</v>
      </c>
      <c r="AA1770" s="31">
        <f t="shared" si="620"/>
        <v>36</v>
      </c>
      <c r="AB1770" s="32">
        <v>1.84E-2</v>
      </c>
      <c r="AC1770" s="32">
        <v>2.58E-2</v>
      </c>
      <c r="AD1770" s="33">
        <f t="shared" si="602"/>
        <v>0.34399380446118122</v>
      </c>
      <c r="AE1770" s="34">
        <f t="shared" si="603"/>
        <v>7.2424775991894452E-2</v>
      </c>
      <c r="AF1770" s="33">
        <f t="shared" si="604"/>
        <v>1.5525361703514833</v>
      </c>
      <c r="AG1770" s="33">
        <f t="shared" si="605"/>
        <v>0</v>
      </c>
      <c r="AH1770" s="35">
        <f t="shared" si="606"/>
        <v>3.8325623744595019</v>
      </c>
      <c r="AI1770" s="36">
        <f t="shared" si="582"/>
        <v>9.4701189883614667</v>
      </c>
      <c r="AJ1770" s="23"/>
      <c r="AK1770" s="173">
        <v>927</v>
      </c>
      <c r="AL1770" s="44"/>
      <c r="AM1770" s="44"/>
      <c r="AN1770" s="44"/>
      <c r="AO1770" s="44"/>
      <c r="AP1770" s="44"/>
      <c r="AQ1770" s="44"/>
      <c r="AR1770" s="44"/>
    </row>
    <row r="1771" spans="1:44" ht="16.8">
      <c r="A1771" s="17" t="s">
        <v>3444</v>
      </c>
      <c r="B1771" s="18"/>
      <c r="C1771" s="18" t="s">
        <v>3442</v>
      </c>
      <c r="D1771" s="19" t="s">
        <v>3443</v>
      </c>
      <c r="E1771" s="20" t="s">
        <v>414</v>
      </c>
      <c r="F1771" s="21">
        <v>1985</v>
      </c>
      <c r="G1771" s="40">
        <v>2022</v>
      </c>
      <c r="H1771" s="23">
        <v>430595265071</v>
      </c>
      <c r="I1771" s="23">
        <v>557877862204</v>
      </c>
      <c r="J1771" s="23">
        <v>188566633839</v>
      </c>
      <c r="K1771" s="23">
        <f t="shared" ref="K1771:K1772" si="637">(J1771+J1770)/2</f>
        <v>226107195425</v>
      </c>
      <c r="L1771" s="23">
        <v>183050098743</v>
      </c>
      <c r="M1771" s="23">
        <f t="shared" si="621"/>
        <v>369311228365</v>
      </c>
      <c r="N1771" s="23">
        <v>994319339842</v>
      </c>
      <c r="O1771" s="25">
        <f t="shared" si="572"/>
        <v>247545166328</v>
      </c>
      <c r="P1771" s="23">
        <v>54654212308</v>
      </c>
      <c r="Q1771" s="23">
        <f>49392772800+55806413479</f>
        <v>105199186279</v>
      </c>
      <c r="R1771" s="25">
        <f t="shared" si="573"/>
        <v>889120153563</v>
      </c>
      <c r="S1771" s="26">
        <f t="shared" si="574"/>
        <v>0.33800702019978446</v>
      </c>
      <c r="T1771" s="27">
        <f t="shared" si="575"/>
        <v>2.3523356066338441</v>
      </c>
      <c r="U1771" s="26">
        <f t="shared" si="576"/>
        <v>27.04740589042985</v>
      </c>
      <c r="V1771" s="26">
        <f t="shared" si="577"/>
        <v>4.3975572646993308</v>
      </c>
      <c r="W1771" s="143"/>
      <c r="X1771" s="143"/>
      <c r="Y1771" s="143"/>
      <c r="Z1771" s="30">
        <f t="shared" si="633"/>
        <v>0</v>
      </c>
      <c r="AA1771" s="31">
        <f t="shared" si="620"/>
        <v>37</v>
      </c>
      <c r="AB1771" s="32">
        <v>3.15E-2</v>
      </c>
      <c r="AC1771" s="32">
        <v>8.0199999999999994E-2</v>
      </c>
      <c r="AD1771" s="33">
        <f t="shared" si="602"/>
        <v>0.44372645537506522</v>
      </c>
      <c r="AE1771" s="34">
        <f t="shared" si="603"/>
        <v>9.7968060772439317E-2</v>
      </c>
      <c r="AF1771" s="33">
        <f t="shared" si="604"/>
        <v>1.5937541419018957</v>
      </c>
      <c r="AG1771" s="33">
        <f t="shared" si="605"/>
        <v>0</v>
      </c>
      <c r="AH1771" s="35">
        <f t="shared" si="606"/>
        <v>5.2730396656014946</v>
      </c>
      <c r="AI1771" s="36">
        <f t="shared" si="582"/>
        <v>11.202055365409244</v>
      </c>
      <c r="AJ1771" s="23"/>
      <c r="AK1771" s="173">
        <v>928</v>
      </c>
      <c r="AL1771" s="44"/>
      <c r="AM1771" s="44"/>
      <c r="AN1771" s="44"/>
      <c r="AO1771" s="44"/>
      <c r="AP1771" s="44"/>
      <c r="AQ1771" s="44"/>
      <c r="AR1771" s="44"/>
    </row>
    <row r="1772" spans="1:44" ht="16.8">
      <c r="A1772" s="17" t="s">
        <v>3444</v>
      </c>
      <c r="B1772" s="18"/>
      <c r="C1772" s="18" t="s">
        <v>3442</v>
      </c>
      <c r="D1772" s="19" t="s">
        <v>3443</v>
      </c>
      <c r="E1772" s="20" t="s">
        <v>414</v>
      </c>
      <c r="F1772" s="21">
        <v>1985</v>
      </c>
      <c r="G1772" s="40">
        <v>2023</v>
      </c>
      <c r="H1772" s="23">
        <v>344948055151</v>
      </c>
      <c r="I1772" s="23">
        <v>615012878679</v>
      </c>
      <c r="J1772" s="23">
        <v>281265598500</v>
      </c>
      <c r="K1772" s="23">
        <f t="shared" si="637"/>
        <v>234916116169.5</v>
      </c>
      <c r="L1772" s="23">
        <v>275341427040</v>
      </c>
      <c r="M1772" s="23">
        <f t="shared" si="621"/>
        <v>333747280179</v>
      </c>
      <c r="N1772" s="23">
        <v>797652400527</v>
      </c>
      <c r="O1772" s="25">
        <f t="shared" si="572"/>
        <v>69606628111</v>
      </c>
      <c r="P1772" s="23">
        <v>-10183981994</v>
      </c>
      <c r="Q1772" s="23">
        <f>53719767775+48394592260</f>
        <v>102114360035</v>
      </c>
      <c r="R1772" s="25">
        <f t="shared" si="573"/>
        <v>695538040492</v>
      </c>
      <c r="S1772" s="26">
        <f t="shared" si="574"/>
        <v>0.45733285960472359</v>
      </c>
      <c r="T1772" s="27">
        <f t="shared" si="575"/>
        <v>1.2528011453245209</v>
      </c>
      <c r="U1772" s="26">
        <f t="shared" si="576"/>
        <v>27.144909045475135</v>
      </c>
      <c r="V1772" s="26">
        <f t="shared" si="577"/>
        <v>3.3954775582594197</v>
      </c>
      <c r="W1772" s="143"/>
      <c r="X1772" s="143"/>
      <c r="Y1772" s="143"/>
      <c r="Z1772" s="30">
        <f t="shared" si="633"/>
        <v>0</v>
      </c>
      <c r="AA1772" s="31">
        <f t="shared" si="620"/>
        <v>38</v>
      </c>
      <c r="AB1772" s="32">
        <v>3.2500000000000001E-2</v>
      </c>
      <c r="AC1772" s="32">
        <v>5.0500000000000003E-2</v>
      </c>
      <c r="AD1772" s="33">
        <f t="shared" si="602"/>
        <v>0.1131791390458516</v>
      </c>
      <c r="AE1772" s="34">
        <f t="shared" si="603"/>
        <v>-1.6558973554951246E-2</v>
      </c>
      <c r="AF1772" s="33">
        <f t="shared" si="604"/>
        <v>1.1309324806107506</v>
      </c>
      <c r="AG1772" s="33">
        <f t="shared" si="605"/>
        <v>0</v>
      </c>
      <c r="AH1772" s="35">
        <f t="shared" si="606"/>
        <v>2.8359401390746335</v>
      </c>
      <c r="AI1772" s="36">
        <f t="shared" si="582"/>
        <v>6.6806497289682003</v>
      </c>
      <c r="AJ1772" s="23"/>
      <c r="AK1772" s="173">
        <v>929</v>
      </c>
      <c r="AL1772" s="44"/>
      <c r="AM1772" s="44"/>
      <c r="AN1772" s="44"/>
      <c r="AO1772" s="44"/>
      <c r="AP1772" s="44"/>
      <c r="AQ1772" s="44"/>
      <c r="AR1772" s="44"/>
    </row>
    <row r="1773" spans="1:44" ht="16.8">
      <c r="A1773" s="17" t="s">
        <v>3445</v>
      </c>
      <c r="B1773" s="18">
        <v>685</v>
      </c>
      <c r="C1773" s="18" t="s">
        <v>3446</v>
      </c>
      <c r="D1773" s="19" t="s">
        <v>3447</v>
      </c>
      <c r="E1773" s="20" t="s">
        <v>414</v>
      </c>
      <c r="F1773" s="21">
        <v>2003</v>
      </c>
      <c r="G1773" s="40">
        <v>2021</v>
      </c>
      <c r="H1773" s="23">
        <v>142541282461</v>
      </c>
      <c r="I1773" s="23">
        <v>1295680236205</v>
      </c>
      <c r="J1773" s="23">
        <v>440258319127</v>
      </c>
      <c r="K1773" s="23">
        <f>(J1773+513080977264)/2</f>
        <v>476669648195.5</v>
      </c>
      <c r="L1773" s="23">
        <v>176684059846</v>
      </c>
      <c r="M1773" s="23">
        <f t="shared" si="621"/>
        <v>855421917078</v>
      </c>
      <c r="N1773" s="23">
        <v>314881037813</v>
      </c>
      <c r="O1773" s="25">
        <f t="shared" si="572"/>
        <v>-34142777385</v>
      </c>
      <c r="P1773" s="23">
        <v>117159016258</v>
      </c>
      <c r="Q1773" s="23">
        <v>17858007752</v>
      </c>
      <c r="R1773" s="25">
        <f t="shared" si="573"/>
        <v>297023030061</v>
      </c>
      <c r="S1773" s="26">
        <f t="shared" si="574"/>
        <v>0.33978932982454108</v>
      </c>
      <c r="T1773" s="27">
        <f t="shared" si="575"/>
        <v>0.80675802098525884</v>
      </c>
      <c r="U1773" s="26">
        <f t="shared" si="576"/>
        <v>27.890056952092149</v>
      </c>
      <c r="V1773" s="26">
        <f t="shared" si="577"/>
        <v>0.66058545788477718</v>
      </c>
      <c r="W1773" s="143"/>
      <c r="X1773" s="143"/>
      <c r="Y1773" s="143"/>
      <c r="Z1773" s="30">
        <f t="shared" si="633"/>
        <v>0</v>
      </c>
      <c r="AA1773" s="31">
        <f t="shared" si="620"/>
        <v>18</v>
      </c>
      <c r="AB1773" s="32">
        <v>1.84E-2</v>
      </c>
      <c r="AC1773" s="32">
        <v>2.58E-2</v>
      </c>
      <c r="AD1773" s="33">
        <f t="shared" si="602"/>
        <v>-2.6351237312226779E-2</v>
      </c>
      <c r="AE1773" s="34">
        <f t="shared" si="603"/>
        <v>9.0422785641274012E-2</v>
      </c>
      <c r="AF1773" s="33">
        <f t="shared" si="604"/>
        <v>0.22924099771018316</v>
      </c>
      <c r="AG1773" s="33">
        <f t="shared" si="605"/>
        <v>0</v>
      </c>
      <c r="AH1773" s="35">
        <f t="shared" si="606"/>
        <v>0.71521882525101632</v>
      </c>
      <c r="AI1773" s="36">
        <f t="shared" si="582"/>
        <v>1.5666845328177321</v>
      </c>
      <c r="AJ1773" s="23" t="s">
        <v>85</v>
      </c>
      <c r="AK1773" s="173">
        <v>930</v>
      </c>
      <c r="AL1773" s="44"/>
      <c r="AM1773" s="44"/>
      <c r="AN1773" s="44"/>
      <c r="AO1773" s="44"/>
      <c r="AP1773" s="44"/>
      <c r="AQ1773" s="44"/>
      <c r="AR1773" s="44"/>
    </row>
    <row r="1774" spans="1:44" ht="16.8">
      <c r="A1774" s="17" t="s">
        <v>3448</v>
      </c>
      <c r="B1774" s="18"/>
      <c r="C1774" s="18" t="s">
        <v>3446</v>
      </c>
      <c r="D1774" s="19" t="s">
        <v>3447</v>
      </c>
      <c r="E1774" s="20" t="s">
        <v>414</v>
      </c>
      <c r="F1774" s="21">
        <v>2003</v>
      </c>
      <c r="G1774" s="40">
        <v>2022</v>
      </c>
      <c r="H1774" s="23">
        <v>243097061591</v>
      </c>
      <c r="I1774" s="23">
        <v>1326229191857</v>
      </c>
      <c r="J1774" s="23">
        <v>376439749420</v>
      </c>
      <c r="K1774" s="23">
        <f t="shared" ref="K1774:K1775" si="638">(J1774+J1773)/2</f>
        <v>408349034273.5</v>
      </c>
      <c r="L1774" s="23">
        <v>201228808935</v>
      </c>
      <c r="M1774" s="23">
        <f t="shared" si="621"/>
        <v>949789442437</v>
      </c>
      <c r="N1774" s="23">
        <v>495630568017</v>
      </c>
      <c r="O1774" s="25">
        <f t="shared" si="572"/>
        <v>41868252656</v>
      </c>
      <c r="P1774" s="23">
        <v>244548056764</v>
      </c>
      <c r="Q1774" s="23">
        <v>25670115521</v>
      </c>
      <c r="R1774" s="25">
        <f t="shared" si="573"/>
        <v>469960452496</v>
      </c>
      <c r="S1774" s="26">
        <f t="shared" si="574"/>
        <v>0.28384215317482581</v>
      </c>
      <c r="T1774" s="27">
        <f t="shared" si="575"/>
        <v>1.2080629154323728</v>
      </c>
      <c r="U1774" s="26">
        <f t="shared" si="576"/>
        <v>27.913360837294029</v>
      </c>
      <c r="V1774" s="26">
        <f t="shared" si="577"/>
        <v>1.2137424762098039</v>
      </c>
      <c r="W1774" s="143"/>
      <c r="X1774" s="143"/>
      <c r="Y1774" s="143"/>
      <c r="Z1774" s="30">
        <f t="shared" si="633"/>
        <v>0</v>
      </c>
      <c r="AA1774" s="31">
        <f t="shared" si="620"/>
        <v>19</v>
      </c>
      <c r="AB1774" s="32">
        <v>3.15E-2</v>
      </c>
      <c r="AC1774" s="32">
        <v>8.0199999999999994E-2</v>
      </c>
      <c r="AD1774" s="33">
        <f t="shared" si="602"/>
        <v>3.1569394576042797E-2</v>
      </c>
      <c r="AE1774" s="34">
        <f t="shared" si="603"/>
        <v>0.18439351076383809</v>
      </c>
      <c r="AF1774" s="33">
        <f t="shared" si="604"/>
        <v>0.35435839851930606</v>
      </c>
      <c r="AG1774" s="33">
        <f t="shared" si="605"/>
        <v>0</v>
      </c>
      <c r="AH1774" s="35">
        <f t="shared" si="606"/>
        <v>1.3166265485529713</v>
      </c>
      <c r="AI1774" s="36">
        <f t="shared" si="582"/>
        <v>2.7820434522273061</v>
      </c>
      <c r="AJ1774" s="23" t="s">
        <v>85</v>
      </c>
      <c r="AK1774" s="173">
        <v>931</v>
      </c>
      <c r="AL1774" s="44"/>
      <c r="AM1774" s="44"/>
      <c r="AN1774" s="44"/>
      <c r="AO1774" s="44"/>
      <c r="AP1774" s="44"/>
      <c r="AQ1774" s="44"/>
      <c r="AR1774" s="44"/>
    </row>
    <row r="1775" spans="1:44" ht="16.8">
      <c r="A1775" s="17" t="s">
        <v>3449</v>
      </c>
      <c r="B1775" s="18"/>
      <c r="C1775" s="18" t="s">
        <v>3446</v>
      </c>
      <c r="D1775" s="19" t="s">
        <v>3447</v>
      </c>
      <c r="E1775" s="20" t="s">
        <v>414</v>
      </c>
      <c r="F1775" s="21">
        <v>2003</v>
      </c>
      <c r="G1775" s="40">
        <v>2023</v>
      </c>
      <c r="H1775" s="23">
        <v>196828572250</v>
      </c>
      <c r="I1775" s="23">
        <v>1233056104434</v>
      </c>
      <c r="J1775" s="23">
        <v>226172068476</v>
      </c>
      <c r="K1775" s="23">
        <f t="shared" si="638"/>
        <v>301305908948</v>
      </c>
      <c r="L1775" s="23">
        <v>133023520322</v>
      </c>
      <c r="M1775" s="23">
        <f t="shared" si="621"/>
        <v>1006884035958</v>
      </c>
      <c r="N1775" s="23">
        <v>375994952103</v>
      </c>
      <c r="O1775" s="25">
        <f t="shared" si="572"/>
        <v>63805051928</v>
      </c>
      <c r="P1775" s="23">
        <v>175330608797</v>
      </c>
      <c r="Q1775" s="23">
        <v>21840017026</v>
      </c>
      <c r="R1775" s="25">
        <f t="shared" si="573"/>
        <v>354154935077</v>
      </c>
      <c r="S1775" s="26">
        <f t="shared" si="574"/>
        <v>0.18342398830247711</v>
      </c>
      <c r="T1775" s="27">
        <f t="shared" si="575"/>
        <v>1.4796524086383516</v>
      </c>
      <c r="U1775" s="26">
        <f t="shared" si="576"/>
        <v>27.840516841455116</v>
      </c>
      <c r="V1775" s="26">
        <f t="shared" si="577"/>
        <v>1.2478844288708921</v>
      </c>
      <c r="W1775" s="143"/>
      <c r="X1775" s="143"/>
      <c r="Y1775" s="143"/>
      <c r="Z1775" s="30">
        <f t="shared" si="633"/>
        <v>0</v>
      </c>
      <c r="AA1775" s="31">
        <f t="shared" si="620"/>
        <v>20</v>
      </c>
      <c r="AB1775" s="32">
        <v>3.2500000000000001E-2</v>
      </c>
      <c r="AC1775" s="32">
        <v>5.0500000000000003E-2</v>
      </c>
      <c r="AD1775" s="33">
        <f t="shared" si="602"/>
        <v>5.1745457241207958E-2</v>
      </c>
      <c r="AE1775" s="34">
        <f t="shared" si="603"/>
        <v>0.14219191500412759</v>
      </c>
      <c r="AF1775" s="33">
        <f t="shared" si="604"/>
        <v>0.2872172108012595</v>
      </c>
      <c r="AG1775" s="33">
        <f t="shared" si="605"/>
        <v>0</v>
      </c>
      <c r="AH1775" s="35">
        <f t="shared" si="606"/>
        <v>1.6624287633594255</v>
      </c>
      <c r="AI1775" s="36">
        <f t="shared" si="582"/>
        <v>2.87140878869881</v>
      </c>
      <c r="AJ1775" s="23" t="s">
        <v>85</v>
      </c>
      <c r="AK1775" s="173">
        <v>932</v>
      </c>
      <c r="AL1775" s="44"/>
      <c r="AM1775" s="44"/>
      <c r="AN1775" s="44"/>
      <c r="AO1775" s="44"/>
      <c r="AP1775" s="44"/>
      <c r="AQ1775" s="44"/>
      <c r="AR1775" s="44"/>
    </row>
    <row r="1776" spans="1:44" ht="16.8">
      <c r="A1776" s="145"/>
      <c r="B1776" s="145">
        <v>686</v>
      </c>
      <c r="C1776" s="145" t="s">
        <v>3450</v>
      </c>
      <c r="D1776" s="146" t="s">
        <v>3451</v>
      </c>
      <c r="E1776" s="147" t="s">
        <v>1371</v>
      </c>
      <c r="F1776" s="148"/>
      <c r="G1776" s="148"/>
      <c r="H1776" s="149"/>
      <c r="I1776" s="149"/>
      <c r="J1776" s="149"/>
      <c r="K1776" s="149"/>
      <c r="L1776" s="149"/>
      <c r="M1776" s="149">
        <f t="shared" si="621"/>
        <v>0</v>
      </c>
      <c r="N1776" s="149"/>
      <c r="O1776" s="149">
        <f t="shared" si="572"/>
        <v>0</v>
      </c>
      <c r="P1776" s="149"/>
      <c r="Q1776" s="149"/>
      <c r="R1776" s="149">
        <f t="shared" si="573"/>
        <v>0</v>
      </c>
      <c r="S1776" s="150" t="e">
        <f t="shared" si="574"/>
        <v>#DIV/0!</v>
      </c>
      <c r="T1776" s="151" t="e">
        <f t="shared" si="575"/>
        <v>#DIV/0!</v>
      </c>
      <c r="U1776" s="150" t="e">
        <f t="shared" si="576"/>
        <v>#NUM!</v>
      </c>
      <c r="V1776" s="150" t="e">
        <f t="shared" si="577"/>
        <v>#DIV/0!</v>
      </c>
      <c r="W1776" s="152"/>
      <c r="X1776" s="152"/>
      <c r="Y1776" s="152"/>
      <c r="Z1776" s="153">
        <f>W1776*Y1776</f>
        <v>0</v>
      </c>
      <c r="AA1776" s="148">
        <f t="shared" si="620"/>
        <v>0</v>
      </c>
      <c r="AB1776" s="149"/>
      <c r="AC1776" s="149"/>
      <c r="AD1776" s="150" t="e">
        <f t="shared" si="602"/>
        <v>#DIV/0!</v>
      </c>
      <c r="AE1776" s="154" t="e">
        <f t="shared" si="603"/>
        <v>#DIV/0!</v>
      </c>
      <c r="AF1776" s="150" t="e">
        <f t="shared" si="604"/>
        <v>#DIV/0!</v>
      </c>
      <c r="AG1776" s="150" t="e">
        <f t="shared" si="605"/>
        <v>#DIV/0!</v>
      </c>
      <c r="AH1776" s="155" t="e">
        <f t="shared" si="606"/>
        <v>#DIV/0!</v>
      </c>
      <c r="AI1776" s="156" t="e">
        <f t="shared" si="582"/>
        <v>#DIV/0!</v>
      </c>
      <c r="AJ1776" s="149"/>
      <c r="AK1776" s="149"/>
      <c r="AL1776" s="157"/>
      <c r="AM1776" s="157"/>
      <c r="AN1776" s="157"/>
      <c r="AO1776" s="157"/>
      <c r="AP1776" s="157"/>
      <c r="AQ1776" s="157"/>
      <c r="AR1776" s="157"/>
    </row>
    <row r="1777" spans="1:44" ht="16.8">
      <c r="A1777" s="114" t="s">
        <v>3452</v>
      </c>
      <c r="B1777" s="115">
        <v>687</v>
      </c>
      <c r="C1777" s="115" t="s">
        <v>3453</v>
      </c>
      <c r="D1777" s="116" t="s">
        <v>3454</v>
      </c>
      <c r="E1777" s="117" t="s">
        <v>414</v>
      </c>
      <c r="F1777" s="118">
        <v>1995</v>
      </c>
      <c r="G1777" s="118">
        <v>2021</v>
      </c>
      <c r="H1777" s="120">
        <v>18026635002596</v>
      </c>
      <c r="I1777" s="120">
        <v>27730368032587</v>
      </c>
      <c r="J1777" s="120">
        <v>18061488986946</v>
      </c>
      <c r="K1777" s="120">
        <f>(J1777+12232594239837)/2</f>
        <v>15147041613391.5</v>
      </c>
      <c r="L1777" s="120">
        <v>15294959798595</v>
      </c>
      <c r="M1777" s="120">
        <f t="shared" si="621"/>
        <v>9668879045641</v>
      </c>
      <c r="N1777" s="120">
        <v>18367176407725</v>
      </c>
      <c r="O1777" s="120">
        <f t="shared" si="572"/>
        <v>2731675204001</v>
      </c>
      <c r="P1777" s="120">
        <v>873458753885</v>
      </c>
      <c r="Q1777" s="120">
        <f>656994972781+644385963131</f>
        <v>1301380935912</v>
      </c>
      <c r="R1777" s="120">
        <f t="shared" si="573"/>
        <v>17065795471813</v>
      </c>
      <c r="S1777" s="121">
        <f t="shared" si="574"/>
        <v>0.65132525344493319</v>
      </c>
      <c r="T1777" s="122">
        <f t="shared" si="575"/>
        <v>1.1785996981993985</v>
      </c>
      <c r="U1777" s="121">
        <f t="shared" si="576"/>
        <v>30.953549247469137</v>
      </c>
      <c r="V1777" s="121">
        <f t="shared" si="577"/>
        <v>1.2125916648625681</v>
      </c>
      <c r="W1777" s="123"/>
      <c r="X1777" s="123"/>
      <c r="Y1777" s="123"/>
      <c r="Z1777" s="125">
        <f t="shared" ref="Z1777:Z1785" si="639">X1777*Y1777</f>
        <v>0</v>
      </c>
      <c r="AA1777" s="118">
        <f t="shared" si="620"/>
        <v>26</v>
      </c>
      <c r="AB1777" s="120"/>
      <c r="AC1777" s="120"/>
      <c r="AD1777" s="121">
        <f t="shared" si="602"/>
        <v>9.850843669982691E-2</v>
      </c>
      <c r="AE1777" s="127">
        <f t="shared" si="603"/>
        <v>3.1498274846499176E-2</v>
      </c>
      <c r="AF1777" s="121">
        <f t="shared" si="604"/>
        <v>0.61541900387900883</v>
      </c>
      <c r="AG1777" s="121">
        <f t="shared" si="605"/>
        <v>0</v>
      </c>
      <c r="AH1777" s="128">
        <f t="shared" si="606"/>
        <v>1.0169248183801423</v>
      </c>
      <c r="AI1777" s="129">
        <f t="shared" si="582"/>
        <v>3.2101152400057624</v>
      </c>
      <c r="AJ1777" s="120" t="s">
        <v>3455</v>
      </c>
      <c r="AK1777" s="120">
        <v>933</v>
      </c>
      <c r="AL1777" s="130"/>
      <c r="AM1777" s="130"/>
      <c r="AN1777" s="130"/>
      <c r="AO1777" s="130"/>
      <c r="AP1777" s="130"/>
      <c r="AQ1777" s="130"/>
      <c r="AR1777" s="130"/>
    </row>
    <row r="1778" spans="1:44" ht="16.8">
      <c r="A1778" s="114" t="s">
        <v>3456</v>
      </c>
      <c r="B1778" s="115"/>
      <c r="C1778" s="115" t="s">
        <v>3453</v>
      </c>
      <c r="D1778" s="116" t="s">
        <v>3454</v>
      </c>
      <c r="E1778" s="117" t="s">
        <v>414</v>
      </c>
      <c r="F1778" s="118">
        <v>1995</v>
      </c>
      <c r="G1778" s="118">
        <v>2022</v>
      </c>
      <c r="H1778" s="120">
        <v>20047095396345</v>
      </c>
      <c r="I1778" s="120">
        <v>29934286417628</v>
      </c>
      <c r="J1778" s="120">
        <v>19430643029861</v>
      </c>
      <c r="K1778" s="120">
        <f t="shared" ref="K1778:K1779" si="640">(J1778+J1777)/2</f>
        <v>18746066008403.5</v>
      </c>
      <c r="L1778" s="120">
        <v>17196872130583</v>
      </c>
      <c r="M1778" s="120">
        <f t="shared" si="621"/>
        <v>10503643387767</v>
      </c>
      <c r="N1778" s="120">
        <v>24827645155235</v>
      </c>
      <c r="O1778" s="120">
        <f t="shared" si="572"/>
        <v>2850223265762</v>
      </c>
      <c r="P1778" s="120">
        <v>604644934412</v>
      </c>
      <c r="Q1778" s="120">
        <f>637804944094+637697829780</f>
        <v>1275502773874</v>
      </c>
      <c r="R1778" s="120">
        <f t="shared" si="573"/>
        <v>23552142381361</v>
      </c>
      <c r="S1778" s="121">
        <f t="shared" si="574"/>
        <v>0.64910994565811631</v>
      </c>
      <c r="T1778" s="122">
        <f t="shared" si="575"/>
        <v>1.1657407954259977</v>
      </c>
      <c r="U1778" s="121">
        <f t="shared" si="576"/>
        <v>31.030025642294266</v>
      </c>
      <c r="V1778" s="121">
        <f t="shared" si="577"/>
        <v>1.3244189551079808</v>
      </c>
      <c r="W1778" s="123"/>
      <c r="X1778" s="123"/>
      <c r="Y1778" s="123"/>
      <c r="Z1778" s="125">
        <f t="shared" si="639"/>
        <v>0</v>
      </c>
      <c r="AA1778" s="118">
        <f t="shared" si="620"/>
        <v>27</v>
      </c>
      <c r="AB1778" s="120"/>
      <c r="AC1778" s="120"/>
      <c r="AD1778" s="121">
        <f t="shared" si="602"/>
        <v>9.5216008359014434E-2</v>
      </c>
      <c r="AE1778" s="127">
        <f t="shared" si="603"/>
        <v>2.0199076269141684E-2</v>
      </c>
      <c r="AF1778" s="121">
        <f t="shared" si="604"/>
        <v>0.78679484965077973</v>
      </c>
      <c r="AG1778" s="121">
        <f t="shared" si="605"/>
        <v>0</v>
      </c>
      <c r="AH1778" s="128">
        <f t="shared" si="606"/>
        <v>1.2777572578056162</v>
      </c>
      <c r="AI1778" s="129">
        <f t="shared" si="582"/>
        <v>4.0167181784608044</v>
      </c>
      <c r="AJ1778" s="120" t="s">
        <v>3457</v>
      </c>
      <c r="AK1778" s="120">
        <v>934</v>
      </c>
      <c r="AL1778" s="130"/>
      <c r="AM1778" s="130"/>
      <c r="AN1778" s="130"/>
      <c r="AO1778" s="130"/>
      <c r="AP1778" s="130"/>
      <c r="AQ1778" s="130"/>
      <c r="AR1778" s="130"/>
    </row>
    <row r="1779" spans="1:44" ht="16.8">
      <c r="A1779" s="114" t="s">
        <v>3458</v>
      </c>
      <c r="B1779" s="115"/>
      <c r="C1779" s="115" t="s">
        <v>3453</v>
      </c>
      <c r="D1779" s="116" t="s">
        <v>3454</v>
      </c>
      <c r="E1779" s="117" t="s">
        <v>414</v>
      </c>
      <c r="F1779" s="118">
        <v>1995</v>
      </c>
      <c r="G1779" s="118">
        <v>2023</v>
      </c>
      <c r="H1779" s="120">
        <v>23751777616556</v>
      </c>
      <c r="I1779" s="120">
        <v>34078294168788</v>
      </c>
      <c r="J1779" s="120">
        <v>22934260528308</v>
      </c>
      <c r="K1779" s="120">
        <f t="shared" si="640"/>
        <v>21182451779084.5</v>
      </c>
      <c r="L1779" s="120">
        <v>19399728551707</v>
      </c>
      <c r="M1779" s="120">
        <f t="shared" si="621"/>
        <v>11144033640480</v>
      </c>
      <c r="N1779" s="120">
        <v>29062168671190</v>
      </c>
      <c r="O1779" s="120">
        <f t="shared" si="572"/>
        <v>4352049064849</v>
      </c>
      <c r="P1779" s="120">
        <v>805808890332</v>
      </c>
      <c r="Q1779" s="120">
        <f>723092030032+795510203734</f>
        <v>1518602233766</v>
      </c>
      <c r="R1779" s="120">
        <f t="shared" si="573"/>
        <v>27543566437424</v>
      </c>
      <c r="S1779" s="121">
        <f t="shared" si="574"/>
        <v>0.67298733952808243</v>
      </c>
      <c r="T1779" s="122">
        <f t="shared" si="575"/>
        <v>1.2243355649667613</v>
      </c>
      <c r="U1779" s="121">
        <f t="shared" si="576"/>
        <v>31.159681762904185</v>
      </c>
      <c r="V1779" s="121">
        <f t="shared" si="577"/>
        <v>1.3719926746103071</v>
      </c>
      <c r="W1779" s="123"/>
      <c r="X1779" s="123"/>
      <c r="Y1779" s="123"/>
      <c r="Z1779" s="125">
        <f t="shared" si="639"/>
        <v>0</v>
      </c>
      <c r="AA1779" s="118">
        <f t="shared" si="620"/>
        <v>28</v>
      </c>
      <c r="AB1779" s="120"/>
      <c r="AC1779" s="120"/>
      <c r="AD1779" s="121">
        <f t="shared" si="602"/>
        <v>0.12770736244289488</v>
      </c>
      <c r="AE1779" s="127">
        <f t="shared" si="603"/>
        <v>2.3645810624817982E-2</v>
      </c>
      <c r="AF1779" s="121">
        <f t="shared" si="604"/>
        <v>0.80824369614870284</v>
      </c>
      <c r="AG1779" s="121">
        <f t="shared" si="605"/>
        <v>0</v>
      </c>
      <c r="AH1779" s="128">
        <f t="shared" si="606"/>
        <v>1.2671944942510032</v>
      </c>
      <c r="AI1779" s="129">
        <f t="shared" si="582"/>
        <v>4.120751661347942</v>
      </c>
      <c r="AJ1779" s="120" t="s">
        <v>3459</v>
      </c>
      <c r="AK1779" s="120">
        <v>935</v>
      </c>
      <c r="AL1779" s="130"/>
      <c r="AM1779" s="130"/>
      <c r="AN1779" s="130"/>
      <c r="AO1779" s="130"/>
      <c r="AP1779" s="130"/>
      <c r="AQ1779" s="130"/>
      <c r="AR1779" s="130"/>
    </row>
    <row r="1780" spans="1:44" ht="16.8">
      <c r="A1780" s="17" t="s">
        <v>3460</v>
      </c>
      <c r="B1780" s="18">
        <v>688</v>
      </c>
      <c r="C1780" s="18" t="s">
        <v>3461</v>
      </c>
      <c r="D1780" s="19" t="s">
        <v>3462</v>
      </c>
      <c r="E1780" s="20" t="s">
        <v>414</v>
      </c>
      <c r="F1780" s="21">
        <v>1995</v>
      </c>
      <c r="G1780" s="40">
        <v>2021</v>
      </c>
      <c r="H1780" s="23">
        <v>560057341222</v>
      </c>
      <c r="I1780" s="23">
        <v>911293477032</v>
      </c>
      <c r="J1780" s="23">
        <v>375791751918</v>
      </c>
      <c r="K1780" s="23">
        <f>(J1780+367682074035)/2</f>
        <v>371736912976.5</v>
      </c>
      <c r="L1780" s="23">
        <v>322942450504</v>
      </c>
      <c r="M1780" s="23">
        <f t="shared" si="621"/>
        <v>535501725114</v>
      </c>
      <c r="N1780" s="23">
        <v>522234523263</v>
      </c>
      <c r="O1780" s="25">
        <f t="shared" si="572"/>
        <v>237114890718</v>
      </c>
      <c r="P1780" s="23">
        <v>50978613302</v>
      </c>
      <c r="Q1780" s="23">
        <f>68213781389+47158997388</f>
        <v>115372778777</v>
      </c>
      <c r="R1780" s="25">
        <f t="shared" si="573"/>
        <v>406861744486</v>
      </c>
      <c r="S1780" s="26">
        <f t="shared" si="574"/>
        <v>0.41237182245824866</v>
      </c>
      <c r="T1780" s="27">
        <f t="shared" si="575"/>
        <v>1.7342326484113399</v>
      </c>
      <c r="U1780" s="26">
        <f t="shared" si="576"/>
        <v>27.538130830551701</v>
      </c>
      <c r="V1780" s="26">
        <f t="shared" si="577"/>
        <v>1.4048497876669406</v>
      </c>
      <c r="W1780" s="143"/>
      <c r="X1780" s="143"/>
      <c r="Y1780" s="143"/>
      <c r="Z1780" s="30">
        <f t="shared" si="639"/>
        <v>0</v>
      </c>
      <c r="AA1780" s="31">
        <f t="shared" si="620"/>
        <v>26</v>
      </c>
      <c r="AB1780" s="32">
        <v>1.84E-2</v>
      </c>
      <c r="AC1780" s="32">
        <v>2.58E-2</v>
      </c>
      <c r="AD1780" s="33">
        <f t="shared" si="602"/>
        <v>0.26019597055633675</v>
      </c>
      <c r="AE1780" s="34">
        <f t="shared" si="603"/>
        <v>5.5940939540171743E-2</v>
      </c>
      <c r="AF1780" s="33">
        <f t="shared" si="604"/>
        <v>0.4464662095586503</v>
      </c>
      <c r="AG1780" s="33">
        <f t="shared" si="605"/>
        <v>0</v>
      </c>
      <c r="AH1780" s="35">
        <f t="shared" si="606"/>
        <v>1.3896912867234901</v>
      </c>
      <c r="AI1780" s="36">
        <f t="shared" si="582"/>
        <v>3.2535822582908804</v>
      </c>
      <c r="AJ1780" s="23"/>
      <c r="AK1780" s="173">
        <v>936</v>
      </c>
      <c r="AL1780" s="44"/>
      <c r="AM1780" s="44"/>
      <c r="AN1780" s="44"/>
      <c r="AO1780" s="44"/>
      <c r="AP1780" s="44"/>
      <c r="AQ1780" s="44"/>
      <c r="AR1780" s="44"/>
    </row>
    <row r="1781" spans="1:44" ht="16.8">
      <c r="A1781" s="17" t="s">
        <v>3463</v>
      </c>
      <c r="B1781" s="18"/>
      <c r="C1781" s="18" t="s">
        <v>3461</v>
      </c>
      <c r="D1781" s="19" t="s">
        <v>3462</v>
      </c>
      <c r="E1781" s="20" t="s">
        <v>414</v>
      </c>
      <c r="F1781" s="21">
        <v>1995</v>
      </c>
      <c r="G1781" s="40">
        <v>2022</v>
      </c>
      <c r="H1781" s="23">
        <v>528747914072</v>
      </c>
      <c r="I1781" s="23">
        <v>864518291127</v>
      </c>
      <c r="J1781" s="23">
        <v>350792085389</v>
      </c>
      <c r="K1781" s="23">
        <f t="shared" ref="K1781:K1782" si="641">(J1781+J1780)/2</f>
        <v>363291918653.5</v>
      </c>
      <c r="L1781" s="23">
        <v>319431722141</v>
      </c>
      <c r="M1781" s="23">
        <f t="shared" si="621"/>
        <v>513726205738</v>
      </c>
      <c r="N1781" s="23">
        <v>472553929315</v>
      </c>
      <c r="O1781" s="25">
        <f t="shared" si="572"/>
        <v>209316191931</v>
      </c>
      <c r="P1781" s="23">
        <v>13052396355</v>
      </c>
      <c r="Q1781" s="23">
        <f>76737324062+48496408105</f>
        <v>125233732167</v>
      </c>
      <c r="R1781" s="25">
        <f t="shared" si="573"/>
        <v>347320197148</v>
      </c>
      <c r="S1781" s="26">
        <f t="shared" si="574"/>
        <v>0.40576594965006674</v>
      </c>
      <c r="T1781" s="27">
        <f t="shared" si="575"/>
        <v>1.6552767850608336</v>
      </c>
      <c r="U1781" s="26">
        <f t="shared" si="576"/>
        <v>27.485438299887569</v>
      </c>
      <c r="V1781" s="26">
        <f t="shared" si="577"/>
        <v>1.3007554119741149</v>
      </c>
      <c r="W1781" s="143"/>
      <c r="X1781" s="143"/>
      <c r="Y1781" s="143"/>
      <c r="Z1781" s="30">
        <f t="shared" si="639"/>
        <v>0</v>
      </c>
      <c r="AA1781" s="31">
        <f t="shared" si="620"/>
        <v>27</v>
      </c>
      <c r="AB1781" s="32">
        <v>3.15E-2</v>
      </c>
      <c r="AC1781" s="32">
        <v>8.0199999999999994E-2</v>
      </c>
      <c r="AD1781" s="33">
        <f t="shared" si="602"/>
        <v>0.24211887021861855</v>
      </c>
      <c r="AE1781" s="34">
        <f t="shared" si="603"/>
        <v>1.5097883398146135E-2</v>
      </c>
      <c r="AF1781" s="33">
        <f t="shared" si="604"/>
        <v>0.40174996956423881</v>
      </c>
      <c r="AG1781" s="33">
        <f t="shared" si="605"/>
        <v>0</v>
      </c>
      <c r="AH1781" s="35">
        <f t="shared" si="606"/>
        <v>1.347105447920742</v>
      </c>
      <c r="AI1781" s="36">
        <f t="shared" si="582"/>
        <v>2.9845600285024769</v>
      </c>
      <c r="AJ1781" s="23"/>
      <c r="AK1781" s="173">
        <v>937</v>
      </c>
      <c r="AL1781" s="44"/>
      <c r="AM1781" s="44"/>
      <c r="AN1781" s="44"/>
      <c r="AO1781" s="44"/>
      <c r="AP1781" s="44"/>
      <c r="AQ1781" s="44"/>
      <c r="AR1781" s="44"/>
    </row>
    <row r="1782" spans="1:44" ht="16.8">
      <c r="A1782" s="17" t="s">
        <v>3464</v>
      </c>
      <c r="B1782" s="18"/>
      <c r="C1782" s="18" t="s">
        <v>3461</v>
      </c>
      <c r="D1782" s="19" t="s">
        <v>3462</v>
      </c>
      <c r="E1782" s="20" t="s">
        <v>414</v>
      </c>
      <c r="F1782" s="21">
        <v>1995</v>
      </c>
      <c r="G1782" s="40">
        <v>2023</v>
      </c>
      <c r="H1782" s="23">
        <v>537631231633</v>
      </c>
      <c r="I1782" s="23">
        <v>826350848673</v>
      </c>
      <c r="J1782" s="23">
        <v>325801705705</v>
      </c>
      <c r="K1782" s="23">
        <f t="shared" si="641"/>
        <v>338296895547</v>
      </c>
      <c r="L1782" s="23">
        <v>311176532055</v>
      </c>
      <c r="M1782" s="23">
        <f t="shared" si="621"/>
        <v>500549142968</v>
      </c>
      <c r="N1782" s="23">
        <v>445061924846</v>
      </c>
      <c r="O1782" s="25">
        <f t="shared" si="572"/>
        <v>226454699578</v>
      </c>
      <c r="P1782" s="23">
        <v>6752422852</v>
      </c>
      <c r="Q1782" s="23">
        <f>65665480985+50029255419</f>
        <v>115694736404</v>
      </c>
      <c r="R1782" s="25">
        <f t="shared" si="573"/>
        <v>329367188442</v>
      </c>
      <c r="S1782" s="26">
        <f t="shared" si="574"/>
        <v>0.39426559097529873</v>
      </c>
      <c r="T1782" s="27">
        <f t="shared" si="575"/>
        <v>1.7277370760657955</v>
      </c>
      <c r="U1782" s="26">
        <f t="shared" si="576"/>
        <v>27.440285276546696</v>
      </c>
      <c r="V1782" s="26">
        <f t="shared" si="577"/>
        <v>1.3155956519387184</v>
      </c>
      <c r="W1782" s="143"/>
      <c r="X1782" s="143"/>
      <c r="Y1782" s="143"/>
      <c r="Z1782" s="30">
        <f t="shared" si="639"/>
        <v>0</v>
      </c>
      <c r="AA1782" s="31">
        <f t="shared" si="620"/>
        <v>28</v>
      </c>
      <c r="AB1782" s="32">
        <v>3.2500000000000001E-2</v>
      </c>
      <c r="AC1782" s="32">
        <v>5.0500000000000003E-2</v>
      </c>
      <c r="AD1782" s="33">
        <f t="shared" si="602"/>
        <v>0.27404183095068335</v>
      </c>
      <c r="AE1782" s="34">
        <f t="shared" si="603"/>
        <v>8.1713752249948247E-3</v>
      </c>
      <c r="AF1782" s="33">
        <f t="shared" si="604"/>
        <v>0.39858032332261301</v>
      </c>
      <c r="AG1782" s="33">
        <f t="shared" si="605"/>
        <v>0</v>
      </c>
      <c r="AH1782" s="35">
        <f t="shared" si="606"/>
        <v>1.3660515493095213</v>
      </c>
      <c r="AI1782" s="36">
        <f t="shared" si="582"/>
        <v>3.0216567387299569</v>
      </c>
      <c r="AJ1782" s="23"/>
      <c r="AK1782" s="173">
        <v>938</v>
      </c>
      <c r="AL1782" s="44"/>
      <c r="AM1782" s="44"/>
      <c r="AN1782" s="44"/>
      <c r="AO1782" s="44"/>
      <c r="AP1782" s="44"/>
      <c r="AQ1782" s="44"/>
      <c r="AR1782" s="44"/>
    </row>
    <row r="1783" spans="1:44" ht="16.8">
      <c r="A1783" s="17" t="s">
        <v>3465</v>
      </c>
      <c r="B1783" s="18">
        <v>689</v>
      </c>
      <c r="C1783" s="18" t="s">
        <v>3466</v>
      </c>
      <c r="D1783" s="19" t="s">
        <v>3467</v>
      </c>
      <c r="E1783" s="20" t="s">
        <v>414</v>
      </c>
      <c r="F1783" s="21">
        <v>1984</v>
      </c>
      <c r="G1783" s="40">
        <v>2021</v>
      </c>
      <c r="H1783" s="23">
        <v>2285387436284</v>
      </c>
      <c r="I1783" s="23">
        <v>2394978543079</v>
      </c>
      <c r="J1783" s="23">
        <v>2046505913191</v>
      </c>
      <c r="K1783" s="23">
        <f>(J1783+1820923049305)/2</f>
        <v>1933714481248</v>
      </c>
      <c r="L1783" s="23">
        <v>2012121745028</v>
      </c>
      <c r="M1783" s="23">
        <f t="shared" si="621"/>
        <v>348472629888</v>
      </c>
      <c r="N1783" s="23">
        <v>1729037629403</v>
      </c>
      <c r="O1783" s="25">
        <f t="shared" si="572"/>
        <v>273265691256</v>
      </c>
      <c r="P1783" s="23">
        <v>33953638273</v>
      </c>
      <c r="Q1783" s="23">
        <f>1256502070+17009253333</f>
        <v>18265755403</v>
      </c>
      <c r="R1783" s="25">
        <f t="shared" si="573"/>
        <v>1710771874000</v>
      </c>
      <c r="S1783" s="26">
        <f t="shared" si="574"/>
        <v>0.85449864221330296</v>
      </c>
      <c r="T1783" s="27">
        <f t="shared" si="575"/>
        <v>1.1358097202275388</v>
      </c>
      <c r="U1783" s="26">
        <f t="shared" si="576"/>
        <v>28.504395387702861</v>
      </c>
      <c r="V1783" s="26">
        <f t="shared" si="577"/>
        <v>0.89415352999119935</v>
      </c>
      <c r="W1783" s="143"/>
      <c r="X1783" s="143"/>
      <c r="Y1783" s="143"/>
      <c r="Z1783" s="30">
        <f t="shared" si="639"/>
        <v>0</v>
      </c>
      <c r="AA1783" s="31">
        <f t="shared" si="620"/>
        <v>37</v>
      </c>
      <c r="AB1783" s="32">
        <v>1.84E-2</v>
      </c>
      <c r="AC1783" s="32">
        <v>2.58E-2</v>
      </c>
      <c r="AD1783" s="33">
        <f t="shared" si="602"/>
        <v>0.11409943193256665</v>
      </c>
      <c r="AE1783" s="34">
        <f t="shared" si="603"/>
        <v>1.4177011468899835E-2</v>
      </c>
      <c r="AF1783" s="33">
        <f t="shared" si="604"/>
        <v>0.71431615909202284</v>
      </c>
      <c r="AG1783" s="33">
        <f t="shared" si="605"/>
        <v>0</v>
      </c>
      <c r="AH1783" s="35">
        <f t="shared" si="606"/>
        <v>0.84487301906057544</v>
      </c>
      <c r="AI1783" s="36">
        <f t="shared" si="582"/>
        <v>3.3588834784397905</v>
      </c>
      <c r="AJ1783" s="23"/>
      <c r="AK1783" s="173">
        <v>939</v>
      </c>
      <c r="AL1783" s="44"/>
      <c r="AM1783" s="44"/>
      <c r="AN1783" s="44"/>
      <c r="AO1783" s="44"/>
      <c r="AP1783" s="44"/>
      <c r="AQ1783" s="44"/>
      <c r="AR1783" s="44"/>
    </row>
    <row r="1784" spans="1:44" ht="16.8">
      <c r="A1784" s="17" t="s">
        <v>3468</v>
      </c>
      <c r="B1784" s="18"/>
      <c r="C1784" s="18" t="s">
        <v>3466</v>
      </c>
      <c r="D1784" s="19" t="s">
        <v>3467</v>
      </c>
      <c r="E1784" s="20" t="s">
        <v>414</v>
      </c>
      <c r="F1784" s="21">
        <v>1984</v>
      </c>
      <c r="G1784" s="40">
        <v>2022</v>
      </c>
      <c r="H1784" s="23">
        <v>2039573965379</v>
      </c>
      <c r="I1784" s="23">
        <v>2412158586556</v>
      </c>
      <c r="J1784" s="23">
        <v>2075019628774</v>
      </c>
      <c r="K1784" s="23">
        <f t="shared" ref="K1784:K1785" si="642">(J1783+J1784)/2</f>
        <v>2060762770982.5</v>
      </c>
      <c r="L1784" s="23">
        <v>2040726263530</v>
      </c>
      <c r="M1784" s="23">
        <f t="shared" si="621"/>
        <v>337138957782</v>
      </c>
      <c r="N1784" s="23">
        <v>2609217028112</v>
      </c>
      <c r="O1784" s="25">
        <f t="shared" si="572"/>
        <v>-1152298151</v>
      </c>
      <c r="P1784" s="23">
        <v>22537994295</v>
      </c>
      <c r="Q1784" s="23">
        <f>1368206083+20637004396</f>
        <v>22005210479</v>
      </c>
      <c r="R1784" s="25">
        <f t="shared" si="573"/>
        <v>2587211817633</v>
      </c>
      <c r="S1784" s="26">
        <f t="shared" si="574"/>
        <v>0.86023350219963945</v>
      </c>
      <c r="T1784" s="27">
        <f t="shared" si="575"/>
        <v>0.99943534898746944</v>
      </c>
      <c r="U1784" s="26">
        <f t="shared" si="576"/>
        <v>28.511543141618851</v>
      </c>
      <c r="V1784" s="26">
        <f t="shared" si="577"/>
        <v>1.2661413845651026</v>
      </c>
      <c r="W1784" s="143"/>
      <c r="X1784" s="143"/>
      <c r="Y1784" s="143"/>
      <c r="Z1784" s="30">
        <f t="shared" si="639"/>
        <v>0</v>
      </c>
      <c r="AA1784" s="31">
        <f t="shared" si="620"/>
        <v>38</v>
      </c>
      <c r="AB1784" s="32">
        <v>3.15E-2</v>
      </c>
      <c r="AC1784" s="32">
        <v>8.0199999999999994E-2</v>
      </c>
      <c r="AD1784" s="33">
        <f t="shared" si="602"/>
        <v>-4.7770414326083469E-4</v>
      </c>
      <c r="AE1784" s="34">
        <f t="shared" si="603"/>
        <v>9.3434960788291287E-3</v>
      </c>
      <c r="AF1784" s="33">
        <f t="shared" si="604"/>
        <v>1.0725711949672991</v>
      </c>
      <c r="AG1784" s="33">
        <f t="shared" si="605"/>
        <v>0</v>
      </c>
      <c r="AH1784" s="35">
        <f t="shared" si="606"/>
        <v>1.2574420944893057</v>
      </c>
      <c r="AI1784" s="36">
        <f t="shared" si="582"/>
        <v>4.8094346874198406</v>
      </c>
      <c r="AJ1784" s="23"/>
      <c r="AK1784" s="173">
        <v>940</v>
      </c>
      <c r="AL1784" s="44"/>
      <c r="AM1784" s="44"/>
      <c r="AN1784" s="44"/>
      <c r="AO1784" s="44"/>
      <c r="AP1784" s="44"/>
      <c r="AQ1784" s="44"/>
      <c r="AR1784" s="44"/>
    </row>
    <row r="1785" spans="1:44" ht="16.8">
      <c r="A1785" s="17" t="s">
        <v>3469</v>
      </c>
      <c r="B1785" s="18"/>
      <c r="C1785" s="18" t="s">
        <v>3466</v>
      </c>
      <c r="D1785" s="19" t="s">
        <v>3467</v>
      </c>
      <c r="E1785" s="20" t="s">
        <v>414</v>
      </c>
      <c r="F1785" s="21">
        <v>1984</v>
      </c>
      <c r="G1785" s="40">
        <v>2023</v>
      </c>
      <c r="H1785" s="23">
        <v>2458042015594</v>
      </c>
      <c r="I1785" s="23">
        <v>2539995342987</v>
      </c>
      <c r="J1785" s="23">
        <v>2184812441446</v>
      </c>
      <c r="K1785" s="23">
        <f t="shared" si="642"/>
        <v>2129916035110</v>
      </c>
      <c r="L1785" s="23">
        <v>2151966737389</v>
      </c>
      <c r="M1785" s="23">
        <f t="shared" si="621"/>
        <v>355182901541</v>
      </c>
      <c r="N1785" s="23">
        <v>2607714683955</v>
      </c>
      <c r="O1785" s="25">
        <f t="shared" si="572"/>
        <v>306075278205</v>
      </c>
      <c r="P1785" s="23">
        <v>36408141903</v>
      </c>
      <c r="Q1785" s="23">
        <f>1458260660+27048660636</f>
        <v>28506921296</v>
      </c>
      <c r="R1785" s="25">
        <f t="shared" si="573"/>
        <v>2579207762659</v>
      </c>
      <c r="S1785" s="26">
        <f t="shared" si="574"/>
        <v>0.86016395560658399</v>
      </c>
      <c r="T1785" s="27">
        <f t="shared" si="575"/>
        <v>1.1422304875289866</v>
      </c>
      <c r="U1785" s="26">
        <f t="shared" si="576"/>
        <v>28.563183363487628</v>
      </c>
      <c r="V1785" s="26">
        <f t="shared" si="577"/>
        <v>1.2243274575001375</v>
      </c>
      <c r="W1785" s="143"/>
      <c r="X1785" s="143"/>
      <c r="Y1785" s="143"/>
      <c r="Z1785" s="30">
        <f t="shared" si="639"/>
        <v>0</v>
      </c>
      <c r="AA1785" s="31">
        <f t="shared" si="620"/>
        <v>39</v>
      </c>
      <c r="AB1785" s="32">
        <v>3.2500000000000001E-2</v>
      </c>
      <c r="AC1785" s="32">
        <v>5.0500000000000003E-2</v>
      </c>
      <c r="AD1785" s="33">
        <f t="shared" si="602"/>
        <v>0.1205022989707767</v>
      </c>
      <c r="AE1785" s="34">
        <f t="shared" si="603"/>
        <v>1.4333940415884591E-2</v>
      </c>
      <c r="AF1785" s="33">
        <f t="shared" si="604"/>
        <v>1.0154379888058718</v>
      </c>
      <c r="AG1785" s="33">
        <f t="shared" si="605"/>
        <v>0</v>
      </c>
      <c r="AH1785" s="35">
        <f t="shared" si="606"/>
        <v>1.1935645524927099</v>
      </c>
      <c r="AI1785" s="36">
        <f t="shared" si="582"/>
        <v>4.7091801908992572</v>
      </c>
      <c r="AJ1785" s="23"/>
      <c r="AK1785" s="120">
        <v>941</v>
      </c>
      <c r="AL1785" s="44"/>
      <c r="AM1785" s="44"/>
      <c r="AN1785" s="44"/>
      <c r="AO1785" s="44"/>
      <c r="AP1785" s="44"/>
      <c r="AQ1785" s="44"/>
      <c r="AR1785" s="44"/>
    </row>
    <row r="1786" spans="1:44" ht="16.8">
      <c r="A1786" s="145"/>
      <c r="B1786" s="145">
        <v>690</v>
      </c>
      <c r="C1786" s="145" t="s">
        <v>3470</v>
      </c>
      <c r="D1786" s="146" t="s">
        <v>3471</v>
      </c>
      <c r="E1786" s="147" t="s">
        <v>178</v>
      </c>
      <c r="F1786" s="148"/>
      <c r="G1786" s="148"/>
      <c r="H1786" s="149"/>
      <c r="I1786" s="149"/>
      <c r="J1786" s="149"/>
      <c r="K1786" s="149"/>
      <c r="L1786" s="149"/>
      <c r="M1786" s="149">
        <f t="shared" si="621"/>
        <v>0</v>
      </c>
      <c r="N1786" s="149"/>
      <c r="O1786" s="149">
        <f t="shared" si="572"/>
        <v>0</v>
      </c>
      <c r="P1786" s="149"/>
      <c r="Q1786" s="149"/>
      <c r="R1786" s="149">
        <f t="shared" si="573"/>
        <v>0</v>
      </c>
      <c r="S1786" s="150" t="e">
        <f t="shared" si="574"/>
        <v>#DIV/0!</v>
      </c>
      <c r="T1786" s="151" t="e">
        <f t="shared" si="575"/>
        <v>#DIV/0!</v>
      </c>
      <c r="U1786" s="150" t="e">
        <f t="shared" si="576"/>
        <v>#NUM!</v>
      </c>
      <c r="V1786" s="150" t="e">
        <f t="shared" si="577"/>
        <v>#DIV/0!</v>
      </c>
      <c r="W1786" s="152"/>
      <c r="X1786" s="152"/>
      <c r="Y1786" s="152"/>
      <c r="Z1786" s="153">
        <f>W1786*Y1786</f>
        <v>0</v>
      </c>
      <c r="AA1786" s="148">
        <f t="shared" si="620"/>
        <v>0</v>
      </c>
      <c r="AB1786" s="149"/>
      <c r="AC1786" s="149"/>
      <c r="AD1786" s="150" t="e">
        <f t="shared" si="602"/>
        <v>#DIV/0!</v>
      </c>
      <c r="AE1786" s="154" t="e">
        <f t="shared" si="603"/>
        <v>#DIV/0!</v>
      </c>
      <c r="AF1786" s="150" t="e">
        <f t="shared" si="604"/>
        <v>#DIV/0!</v>
      </c>
      <c r="AG1786" s="150" t="e">
        <f t="shared" si="605"/>
        <v>#DIV/0!</v>
      </c>
      <c r="AH1786" s="155" t="e">
        <f t="shared" si="606"/>
        <v>#DIV/0!</v>
      </c>
      <c r="AI1786" s="156" t="e">
        <f t="shared" si="582"/>
        <v>#DIV/0!</v>
      </c>
      <c r="AJ1786" s="149"/>
      <c r="AK1786" s="149"/>
      <c r="AL1786" s="157"/>
      <c r="AM1786" s="157"/>
      <c r="AN1786" s="157"/>
      <c r="AO1786" s="157"/>
      <c r="AP1786" s="157"/>
      <c r="AQ1786" s="157"/>
      <c r="AR1786" s="157"/>
    </row>
    <row r="1787" spans="1:44" ht="16.8">
      <c r="A1787" s="17" t="s">
        <v>3472</v>
      </c>
      <c r="B1787" s="18">
        <v>691</v>
      </c>
      <c r="C1787" s="18" t="s">
        <v>3473</v>
      </c>
      <c r="D1787" s="19" t="s">
        <v>3474</v>
      </c>
      <c r="E1787" s="20" t="s">
        <v>414</v>
      </c>
      <c r="F1787" s="21">
        <v>2004</v>
      </c>
      <c r="G1787" s="40">
        <v>2021</v>
      </c>
      <c r="H1787" s="23">
        <v>6722441165232</v>
      </c>
      <c r="I1787" s="23">
        <v>9797263075307</v>
      </c>
      <c r="J1787" s="23">
        <v>4764371280314</v>
      </c>
      <c r="K1787" s="23">
        <f>(J1787+6522051201191)/2</f>
        <v>5643211240752.5</v>
      </c>
      <c r="L1787" s="23">
        <v>3438051200150</v>
      </c>
      <c r="M1787" s="23">
        <f t="shared" si="621"/>
        <v>5032891794993</v>
      </c>
      <c r="N1787" s="23">
        <v>1692449709553</v>
      </c>
      <c r="O1787" s="25">
        <f t="shared" ref="O1787:O2041" si="643">H1787-L1787</f>
        <v>3284389965082</v>
      </c>
      <c r="P1787" s="23">
        <v>194205743537</v>
      </c>
      <c r="Q1787" s="23">
        <f>114334980080+89318529160</f>
        <v>203653509240</v>
      </c>
      <c r="R1787" s="25">
        <f t="shared" ref="R1787:R2041" si="644">N1787-Q1787</f>
        <v>1488796200313</v>
      </c>
      <c r="S1787" s="26">
        <f t="shared" ref="S1787:S2041" si="645">J1787/I1787</f>
        <v>0.48629614655567538</v>
      </c>
      <c r="T1787" s="27">
        <f t="shared" ref="T1787:T2041" si="646">H1787/L1787</f>
        <v>1.9553057164880803</v>
      </c>
      <c r="U1787" s="26">
        <f t="shared" ref="U1787:U2041" si="647">LN(I1787)</f>
        <v>29.913124184569806</v>
      </c>
      <c r="V1787" s="26">
        <f t="shared" ref="V1787:V2041" si="648">N1787/K1787</f>
        <v>0.29990897688375717</v>
      </c>
      <c r="W1787" s="143"/>
      <c r="X1787" s="143"/>
      <c r="Y1787" s="143"/>
      <c r="Z1787" s="30">
        <f t="shared" ref="Z1787:Z1789" si="649">X1787*Y1787</f>
        <v>0</v>
      </c>
      <c r="AA1787" s="31">
        <f t="shared" si="620"/>
        <v>17</v>
      </c>
      <c r="AB1787" s="32">
        <v>1.84E-2</v>
      </c>
      <c r="AC1787" s="32">
        <v>2.58E-2</v>
      </c>
      <c r="AD1787" s="33">
        <f t="shared" si="602"/>
        <v>0.33523545706963498</v>
      </c>
      <c r="AE1787" s="34">
        <f t="shared" si="603"/>
        <v>1.9822448580203558E-2</v>
      </c>
      <c r="AF1787" s="33">
        <f t="shared" si="604"/>
        <v>0.15196041883016886</v>
      </c>
      <c r="AG1787" s="33">
        <f t="shared" si="605"/>
        <v>0</v>
      </c>
      <c r="AH1787" s="35">
        <f t="shared" si="606"/>
        <v>0.3552304406976145</v>
      </c>
      <c r="AI1787" s="36">
        <f t="shared" si="582"/>
        <v>1.2867337993330188</v>
      </c>
      <c r="AJ1787" s="23"/>
      <c r="AK1787" s="120">
        <v>942</v>
      </c>
      <c r="AL1787" s="44"/>
      <c r="AM1787" s="44"/>
      <c r="AN1787" s="44"/>
      <c r="AO1787" s="44"/>
      <c r="AP1787" s="44"/>
      <c r="AQ1787" s="44"/>
      <c r="AR1787" s="44"/>
    </row>
    <row r="1788" spans="1:44" ht="16.8">
      <c r="A1788" s="17" t="s">
        <v>3475</v>
      </c>
      <c r="B1788" s="18"/>
      <c r="C1788" s="18" t="s">
        <v>3473</v>
      </c>
      <c r="D1788" s="19" t="s">
        <v>3474</v>
      </c>
      <c r="E1788" s="20" t="s">
        <v>414</v>
      </c>
      <c r="F1788" s="21">
        <v>2004</v>
      </c>
      <c r="G1788" s="40">
        <v>2022</v>
      </c>
      <c r="H1788" s="23">
        <v>6000405698832</v>
      </c>
      <c r="I1788" s="23">
        <v>9691275952113</v>
      </c>
      <c r="J1788" s="23">
        <v>4623249648985</v>
      </c>
      <c r="K1788" s="23">
        <f t="shared" ref="K1788:K1789" si="650">(J1788+J1787)/2</f>
        <v>4693810464649.5</v>
      </c>
      <c r="L1788" s="23">
        <v>3383318207499</v>
      </c>
      <c r="M1788" s="23">
        <f t="shared" si="621"/>
        <v>5068026303128</v>
      </c>
      <c r="N1788" s="23">
        <v>898962649120</v>
      </c>
      <c r="O1788" s="25">
        <f t="shared" si="643"/>
        <v>2617087491333</v>
      </c>
      <c r="P1788" s="23">
        <v>56082830403</v>
      </c>
      <c r="Q1788" s="23">
        <f>78899943297+105723725146</f>
        <v>184623668443</v>
      </c>
      <c r="R1788" s="25">
        <f t="shared" si="644"/>
        <v>714338980677</v>
      </c>
      <c r="S1788" s="26">
        <f t="shared" si="645"/>
        <v>0.47705272988093872</v>
      </c>
      <c r="T1788" s="27">
        <f t="shared" si="646"/>
        <v>1.7735268546518392</v>
      </c>
      <c r="U1788" s="26">
        <f t="shared" si="647"/>
        <v>29.902247210367186</v>
      </c>
      <c r="V1788" s="26">
        <f t="shared" si="648"/>
        <v>0.19152086687145942</v>
      </c>
      <c r="W1788" s="143"/>
      <c r="X1788" s="143"/>
      <c r="Y1788" s="143"/>
      <c r="Z1788" s="30">
        <f t="shared" si="649"/>
        <v>0</v>
      </c>
      <c r="AA1788" s="31">
        <f t="shared" si="620"/>
        <v>18</v>
      </c>
      <c r="AB1788" s="32">
        <v>3.15E-2</v>
      </c>
      <c r="AC1788" s="32">
        <v>8.0199999999999994E-2</v>
      </c>
      <c r="AD1788" s="33">
        <f t="shared" si="602"/>
        <v>0.2700457095912529</v>
      </c>
      <c r="AE1788" s="34">
        <f t="shared" si="603"/>
        <v>5.7869397879205158E-3</v>
      </c>
      <c r="AF1788" s="33">
        <f t="shared" si="604"/>
        <v>7.3709487193092657E-2</v>
      </c>
      <c r="AG1788" s="33">
        <f t="shared" si="605"/>
        <v>0</v>
      </c>
      <c r="AH1788" s="35">
        <f t="shared" si="606"/>
        <v>0.19444389063380138</v>
      </c>
      <c r="AI1788" s="36">
        <f t="shared" si="582"/>
        <v>0.76984176558359929</v>
      </c>
      <c r="AJ1788" s="23"/>
      <c r="AK1788" s="120">
        <v>943</v>
      </c>
      <c r="AL1788" s="44"/>
      <c r="AM1788" s="44"/>
      <c r="AN1788" s="44"/>
      <c r="AO1788" s="44"/>
      <c r="AP1788" s="44"/>
      <c r="AQ1788" s="44"/>
      <c r="AR1788" s="44"/>
    </row>
    <row r="1789" spans="1:44" ht="16.8">
      <c r="A1789" s="17" t="s">
        <v>3476</v>
      </c>
      <c r="B1789" s="18"/>
      <c r="C1789" s="18" t="s">
        <v>3473</v>
      </c>
      <c r="D1789" s="19" t="s">
        <v>3474</v>
      </c>
      <c r="E1789" s="20" t="s">
        <v>414</v>
      </c>
      <c r="F1789" s="21">
        <v>2004</v>
      </c>
      <c r="G1789" s="40">
        <v>2023</v>
      </c>
      <c r="H1789" s="23">
        <v>7531569091983</v>
      </c>
      <c r="I1789" s="23">
        <v>10631177473454</v>
      </c>
      <c r="J1789" s="23">
        <v>5506026871800</v>
      </c>
      <c r="K1789" s="23">
        <f t="shared" si="650"/>
        <v>5064638260392.5</v>
      </c>
      <c r="L1789" s="23">
        <v>3712111318933</v>
      </c>
      <c r="M1789" s="23">
        <f t="shared" si="621"/>
        <v>5125150601654</v>
      </c>
      <c r="N1789" s="23">
        <v>371274768051</v>
      </c>
      <c r="O1789" s="25">
        <f t="shared" si="643"/>
        <v>3819457773050</v>
      </c>
      <c r="P1789" s="23">
        <v>15422380326</v>
      </c>
      <c r="Q1789" s="23">
        <f>22205897090+108687019153</f>
        <v>130892916243</v>
      </c>
      <c r="R1789" s="25">
        <f t="shared" si="644"/>
        <v>240381851808</v>
      </c>
      <c r="S1789" s="26">
        <f t="shared" si="645"/>
        <v>0.51791317429781636</v>
      </c>
      <c r="T1789" s="27">
        <f t="shared" si="646"/>
        <v>2.0289178973619397</v>
      </c>
      <c r="U1789" s="26">
        <f t="shared" si="647"/>
        <v>29.994812071052404</v>
      </c>
      <c r="V1789" s="26">
        <f t="shared" si="648"/>
        <v>7.3307262821614996E-2</v>
      </c>
      <c r="W1789" s="143"/>
      <c r="X1789" s="143"/>
      <c r="Y1789" s="143"/>
      <c r="Z1789" s="30">
        <f t="shared" si="649"/>
        <v>0</v>
      </c>
      <c r="AA1789" s="31">
        <f t="shared" si="620"/>
        <v>19</v>
      </c>
      <c r="AB1789" s="32">
        <v>3.2500000000000001E-2</v>
      </c>
      <c r="AC1789" s="32">
        <v>5.0500000000000003E-2</v>
      </c>
      <c r="AD1789" s="33">
        <f t="shared" si="602"/>
        <v>0.35926949602592639</v>
      </c>
      <c r="AE1789" s="34">
        <f t="shared" si="603"/>
        <v>1.4506747126091734E-3</v>
      </c>
      <c r="AF1789" s="33">
        <f t="shared" si="604"/>
        <v>2.2611028026597462E-2</v>
      </c>
      <c r="AG1789" s="33">
        <f t="shared" si="605"/>
        <v>0</v>
      </c>
      <c r="AH1789" s="35">
        <f t="shared" si="606"/>
        <v>6.7430613161832409E-2</v>
      </c>
      <c r="AI1789" s="36">
        <f t="shared" si="582"/>
        <v>0.57520134547836854</v>
      </c>
      <c r="AJ1789" s="23"/>
      <c r="AK1789" s="120">
        <v>944</v>
      </c>
      <c r="AL1789" s="44"/>
      <c r="AM1789" s="44"/>
      <c r="AN1789" s="44"/>
      <c r="AO1789" s="44"/>
      <c r="AP1789" s="44"/>
      <c r="AQ1789" s="44"/>
      <c r="AR1789" s="44"/>
    </row>
    <row r="1790" spans="1:44" ht="16.8">
      <c r="A1790" s="45"/>
      <c r="B1790" s="45">
        <v>692</v>
      </c>
      <c r="C1790" s="45" t="s">
        <v>3477</v>
      </c>
      <c r="D1790" s="46" t="s">
        <v>3478</v>
      </c>
      <c r="E1790" s="47" t="s">
        <v>949</v>
      </c>
      <c r="F1790" s="48"/>
      <c r="G1790" s="48"/>
      <c r="H1790" s="49"/>
      <c r="I1790" s="49"/>
      <c r="J1790" s="49"/>
      <c r="K1790" s="49"/>
      <c r="L1790" s="49"/>
      <c r="M1790" s="49">
        <f t="shared" si="621"/>
        <v>0</v>
      </c>
      <c r="N1790" s="49"/>
      <c r="O1790" s="49">
        <f t="shared" si="643"/>
        <v>0</v>
      </c>
      <c r="P1790" s="49"/>
      <c r="Q1790" s="49"/>
      <c r="R1790" s="49">
        <f t="shared" si="644"/>
        <v>0</v>
      </c>
      <c r="S1790" s="50" t="e">
        <f t="shared" si="645"/>
        <v>#DIV/0!</v>
      </c>
      <c r="T1790" s="51" t="e">
        <f t="shared" si="646"/>
        <v>#DIV/0!</v>
      </c>
      <c r="U1790" s="50" t="e">
        <f t="shared" si="647"/>
        <v>#NUM!</v>
      </c>
      <c r="V1790" s="50" t="e">
        <f t="shared" si="648"/>
        <v>#DIV/0!</v>
      </c>
      <c r="W1790" s="52"/>
      <c r="X1790" s="52"/>
      <c r="Y1790" s="52"/>
      <c r="Z1790" s="55">
        <f>W1790*Y1790</f>
        <v>0</v>
      </c>
      <c r="AA1790" s="48">
        <f t="shared" si="620"/>
        <v>0</v>
      </c>
      <c r="AB1790" s="49"/>
      <c r="AC1790" s="49"/>
      <c r="AD1790" s="50" t="e">
        <f t="shared" si="602"/>
        <v>#DIV/0!</v>
      </c>
      <c r="AE1790" s="56" t="e">
        <f t="shared" si="603"/>
        <v>#DIV/0!</v>
      </c>
      <c r="AF1790" s="50" t="e">
        <f t="shared" si="604"/>
        <v>#DIV/0!</v>
      </c>
      <c r="AG1790" s="50" t="e">
        <f t="shared" si="605"/>
        <v>#DIV/0!</v>
      </c>
      <c r="AH1790" s="57" t="e">
        <f t="shared" si="606"/>
        <v>#DIV/0!</v>
      </c>
      <c r="AI1790" s="58" t="e">
        <f t="shared" si="582"/>
        <v>#DIV/0!</v>
      </c>
      <c r="AJ1790" s="49"/>
      <c r="AK1790" s="49"/>
      <c r="AL1790" s="59"/>
      <c r="AM1790" s="59"/>
      <c r="AN1790" s="59"/>
      <c r="AO1790" s="59"/>
      <c r="AP1790" s="59"/>
      <c r="AQ1790" s="59"/>
      <c r="AR1790" s="59"/>
    </row>
    <row r="1791" spans="1:44" ht="16.8">
      <c r="A1791" s="17" t="s">
        <v>3479</v>
      </c>
      <c r="B1791" s="18">
        <v>693</v>
      </c>
      <c r="C1791" s="18" t="s">
        <v>3480</v>
      </c>
      <c r="D1791" s="19" t="s">
        <v>3481</v>
      </c>
      <c r="E1791" s="20" t="s">
        <v>414</v>
      </c>
      <c r="F1791" s="21">
        <v>1975</v>
      </c>
      <c r="G1791" s="40">
        <v>2021</v>
      </c>
      <c r="H1791" s="23">
        <v>118462690724</v>
      </c>
      <c r="I1791" s="23">
        <v>249290884613</v>
      </c>
      <c r="J1791" s="23">
        <v>68711249413</v>
      </c>
      <c r="K1791" s="23">
        <f>(J1791+140314797940)/2</f>
        <v>104513023676.5</v>
      </c>
      <c r="L1791" s="23">
        <v>52237656340</v>
      </c>
      <c r="M1791" s="23">
        <f t="shared" si="621"/>
        <v>180579635200</v>
      </c>
      <c r="N1791" s="23">
        <v>701585545876</v>
      </c>
      <c r="O1791" s="25">
        <f t="shared" si="643"/>
        <v>66225034384</v>
      </c>
      <c r="P1791" s="23">
        <v>22677773818</v>
      </c>
      <c r="Q1791" s="23">
        <f>46727877633+12897483537</f>
        <v>59625361170</v>
      </c>
      <c r="R1791" s="25">
        <f t="shared" si="644"/>
        <v>641960184706</v>
      </c>
      <c r="S1791" s="26">
        <f t="shared" si="645"/>
        <v>0.27562680247882937</v>
      </c>
      <c r="T1791" s="27">
        <f t="shared" si="646"/>
        <v>2.2677642724428551</v>
      </c>
      <c r="U1791" s="26">
        <f t="shared" si="647"/>
        <v>26.241886262880453</v>
      </c>
      <c r="V1791" s="26">
        <f t="shared" si="648"/>
        <v>6.7129006624822507</v>
      </c>
      <c r="W1791" s="143"/>
      <c r="X1791" s="143"/>
      <c r="Y1791" s="143"/>
      <c r="Z1791" s="30">
        <f t="shared" ref="Z1791:Z1811" si="651">X1791*Y1791</f>
        <v>0</v>
      </c>
      <c r="AA1791" s="31">
        <f t="shared" si="620"/>
        <v>46</v>
      </c>
      <c r="AB1791" s="32">
        <v>1.84E-2</v>
      </c>
      <c r="AC1791" s="32">
        <v>2.58E-2</v>
      </c>
      <c r="AD1791" s="33">
        <f t="shared" si="602"/>
        <v>0.26565365391040258</v>
      </c>
      <c r="AE1791" s="34">
        <f t="shared" si="603"/>
        <v>9.0969125699100678E-2</v>
      </c>
      <c r="AF1791" s="33">
        <f t="shared" si="604"/>
        <v>2.5751450387068147</v>
      </c>
      <c r="AG1791" s="33">
        <f t="shared" si="605"/>
        <v>0</v>
      </c>
      <c r="AH1791" s="35">
        <f t="shared" si="606"/>
        <v>10.21063584012288</v>
      </c>
      <c r="AI1791" s="36">
        <f t="shared" si="582"/>
        <v>19.154755628526594</v>
      </c>
      <c r="AJ1791" s="23"/>
      <c r="AK1791" s="120">
        <v>945</v>
      </c>
      <c r="AL1791" s="44"/>
      <c r="AM1791" s="44"/>
      <c r="AN1791" s="44"/>
      <c r="AO1791" s="44"/>
      <c r="AP1791" s="44"/>
      <c r="AQ1791" s="44"/>
      <c r="AR1791" s="44"/>
    </row>
    <row r="1792" spans="1:44" ht="16.8">
      <c r="A1792" s="17" t="s">
        <v>3482</v>
      </c>
      <c r="B1792" s="18"/>
      <c r="C1792" s="18" t="s">
        <v>3480</v>
      </c>
      <c r="D1792" s="19" t="s">
        <v>3481</v>
      </c>
      <c r="E1792" s="20" t="s">
        <v>414</v>
      </c>
      <c r="F1792" s="21">
        <v>1975</v>
      </c>
      <c r="G1792" s="40">
        <v>2022</v>
      </c>
      <c r="H1792" s="23">
        <v>105953868078</v>
      </c>
      <c r="I1792" s="23">
        <v>232539297867</v>
      </c>
      <c r="J1792" s="23">
        <v>53938432183</v>
      </c>
      <c r="K1792" s="23">
        <f t="shared" ref="K1792:K1793" si="652">(J1792+J1791)/2</f>
        <v>61324840798</v>
      </c>
      <c r="L1792" s="23">
        <v>37082949083</v>
      </c>
      <c r="M1792" s="23">
        <f t="shared" si="621"/>
        <v>178600865684</v>
      </c>
      <c r="N1792" s="23">
        <v>1455151864832</v>
      </c>
      <c r="O1792" s="25">
        <f t="shared" si="643"/>
        <v>68870918995</v>
      </c>
      <c r="P1792" s="23">
        <v>20271005204</v>
      </c>
      <c r="Q1792" s="23">
        <f>49195905911+12308762800</f>
        <v>61504668711</v>
      </c>
      <c r="R1792" s="25">
        <f t="shared" si="644"/>
        <v>1393647196121</v>
      </c>
      <c r="S1792" s="26">
        <f t="shared" si="645"/>
        <v>0.23195405111203996</v>
      </c>
      <c r="T1792" s="27">
        <f t="shared" si="646"/>
        <v>2.8572125652911629</v>
      </c>
      <c r="U1792" s="26">
        <f t="shared" si="647"/>
        <v>26.1723250707749</v>
      </c>
      <c r="V1792" s="26">
        <f t="shared" si="648"/>
        <v>23.728587728832018</v>
      </c>
      <c r="W1792" s="143"/>
      <c r="X1792" s="143"/>
      <c r="Y1792" s="143"/>
      <c r="Z1792" s="30">
        <f t="shared" si="651"/>
        <v>0</v>
      </c>
      <c r="AA1792" s="31">
        <f t="shared" si="620"/>
        <v>47</v>
      </c>
      <c r="AB1792" s="32">
        <v>3.15E-2</v>
      </c>
      <c r="AC1792" s="32">
        <v>8.0199999999999994E-2</v>
      </c>
      <c r="AD1792" s="33">
        <f t="shared" si="602"/>
        <v>0.29616894704133179</v>
      </c>
      <c r="AE1792" s="34">
        <f t="shared" si="603"/>
        <v>8.7172385011646189E-2</v>
      </c>
      <c r="AF1792" s="33">
        <f t="shared" si="604"/>
        <v>5.9931685048696215</v>
      </c>
      <c r="AG1792" s="33">
        <f t="shared" si="605"/>
        <v>0</v>
      </c>
      <c r="AH1792" s="35">
        <f t="shared" si="606"/>
        <v>26.978015599248845</v>
      </c>
      <c r="AI1792" s="36">
        <f t="shared" si="582"/>
        <v>47.232915740784499</v>
      </c>
      <c r="AJ1792" s="23"/>
      <c r="AK1792" s="120">
        <v>946</v>
      </c>
      <c r="AL1792" s="44"/>
      <c r="AM1792" s="44"/>
      <c r="AN1792" s="44"/>
      <c r="AO1792" s="44"/>
      <c r="AP1792" s="44"/>
      <c r="AQ1792" s="44"/>
      <c r="AR1792" s="44"/>
    </row>
    <row r="1793" spans="1:44" ht="16.8">
      <c r="A1793" s="17" t="s">
        <v>3483</v>
      </c>
      <c r="B1793" s="18"/>
      <c r="C1793" s="18" t="s">
        <v>3480</v>
      </c>
      <c r="D1793" s="19" t="s">
        <v>3481</v>
      </c>
      <c r="E1793" s="20" t="s">
        <v>414</v>
      </c>
      <c r="F1793" s="21">
        <v>1975</v>
      </c>
      <c r="G1793" s="40">
        <v>2023</v>
      </c>
      <c r="H1793" s="23">
        <v>171496657801</v>
      </c>
      <c r="I1793" s="23">
        <v>292261659477</v>
      </c>
      <c r="J1793" s="23">
        <v>106622966717</v>
      </c>
      <c r="K1793" s="23">
        <f t="shared" si="652"/>
        <v>80280699450</v>
      </c>
      <c r="L1793" s="23">
        <v>102598462617</v>
      </c>
      <c r="M1793" s="23">
        <f t="shared" si="621"/>
        <v>185638692760</v>
      </c>
      <c r="N1793" s="23">
        <v>1630443668860</v>
      </c>
      <c r="O1793" s="25">
        <f t="shared" si="643"/>
        <v>68898195184</v>
      </c>
      <c r="P1793" s="23">
        <v>28308717994</v>
      </c>
      <c r="Q1793" s="23">
        <f>63723712203+12680539747</f>
        <v>76404251950</v>
      </c>
      <c r="R1793" s="25">
        <f t="shared" si="644"/>
        <v>1554039416910</v>
      </c>
      <c r="S1793" s="26">
        <f t="shared" si="645"/>
        <v>0.36482023303296429</v>
      </c>
      <c r="T1793" s="27">
        <f t="shared" si="646"/>
        <v>1.6715324326174059</v>
      </c>
      <c r="U1793" s="26">
        <f t="shared" si="647"/>
        <v>26.400915332061381</v>
      </c>
      <c r="V1793" s="26">
        <f t="shared" si="648"/>
        <v>20.309285793847177</v>
      </c>
      <c r="W1793" s="143"/>
      <c r="X1793" s="143"/>
      <c r="Y1793" s="143"/>
      <c r="Z1793" s="30">
        <f t="shared" si="651"/>
        <v>0</v>
      </c>
      <c r="AA1793" s="31">
        <f t="shared" si="620"/>
        <v>48</v>
      </c>
      <c r="AB1793" s="32">
        <v>3.2500000000000001E-2</v>
      </c>
      <c r="AC1793" s="32">
        <v>5.0500000000000003E-2</v>
      </c>
      <c r="AD1793" s="33">
        <f t="shared" si="602"/>
        <v>0.23574147668665399</v>
      </c>
      <c r="AE1793" s="34">
        <f t="shared" si="603"/>
        <v>9.6860867910824267E-2</v>
      </c>
      <c r="AF1793" s="33">
        <f t="shared" si="604"/>
        <v>5.3172880072293491</v>
      </c>
      <c r="AG1793" s="33">
        <f t="shared" si="605"/>
        <v>0</v>
      </c>
      <c r="AH1793" s="35">
        <f t="shared" si="606"/>
        <v>15.291674196118963</v>
      </c>
      <c r="AI1793" s="36">
        <f t="shared" si="582"/>
        <v>33.257219607074951</v>
      </c>
      <c r="AJ1793" s="23"/>
      <c r="AK1793" s="120">
        <v>947</v>
      </c>
      <c r="AL1793" s="44"/>
      <c r="AM1793" s="44"/>
      <c r="AN1793" s="44"/>
      <c r="AO1793" s="44"/>
      <c r="AP1793" s="44"/>
      <c r="AQ1793" s="44"/>
      <c r="AR1793" s="44"/>
    </row>
    <row r="1794" spans="1:44" ht="16.8">
      <c r="A1794" s="17" t="s">
        <v>3484</v>
      </c>
      <c r="B1794" s="18">
        <v>694</v>
      </c>
      <c r="C1794" s="18" t="s">
        <v>3485</v>
      </c>
      <c r="D1794" s="19" t="s">
        <v>3486</v>
      </c>
      <c r="E1794" s="20" t="s">
        <v>414</v>
      </c>
      <c r="F1794" s="21">
        <v>1976</v>
      </c>
      <c r="G1794" s="40">
        <v>2021</v>
      </c>
      <c r="H1794" s="23">
        <v>1186707143611</v>
      </c>
      <c r="I1794" s="23">
        <v>1428503832706</v>
      </c>
      <c r="J1794" s="23">
        <v>844839712084</v>
      </c>
      <c r="K1794" s="23">
        <f>(J1794+495868249144)/2</f>
        <v>670353980614</v>
      </c>
      <c r="L1794" s="23">
        <v>843944332930</v>
      </c>
      <c r="M1794" s="23">
        <f t="shared" si="621"/>
        <v>583664120622</v>
      </c>
      <c r="N1794" s="23">
        <v>2117795193883</v>
      </c>
      <c r="O1794" s="25">
        <f t="shared" si="643"/>
        <v>342762810681</v>
      </c>
      <c r="P1794" s="23">
        <v>36595558486</v>
      </c>
      <c r="Q1794" s="23">
        <f>72713432368+36226421289</f>
        <v>108939853657</v>
      </c>
      <c r="R1794" s="25">
        <f t="shared" si="644"/>
        <v>2008855340226</v>
      </c>
      <c r="S1794" s="26">
        <f t="shared" si="645"/>
        <v>0.59141578254195437</v>
      </c>
      <c r="T1794" s="27">
        <f t="shared" si="646"/>
        <v>1.4061438619902791</v>
      </c>
      <c r="U1794" s="26">
        <f t="shared" si="647"/>
        <v>27.987648741641991</v>
      </c>
      <c r="V1794" s="26">
        <f t="shared" si="648"/>
        <v>3.1592192410690831</v>
      </c>
      <c r="W1794" s="143"/>
      <c r="X1794" s="143"/>
      <c r="Y1794" s="143"/>
      <c r="Z1794" s="30">
        <f t="shared" si="651"/>
        <v>0</v>
      </c>
      <c r="AA1794" s="31">
        <f t="shared" si="620"/>
        <v>45</v>
      </c>
      <c r="AB1794" s="32">
        <v>1.84E-2</v>
      </c>
      <c r="AC1794" s="32">
        <v>2.58E-2</v>
      </c>
      <c r="AD1794" s="33">
        <f t="shared" si="602"/>
        <v>0.23994532099483973</v>
      </c>
      <c r="AE1794" s="34">
        <f t="shared" si="603"/>
        <v>2.5618103114695475E-2</v>
      </c>
      <c r="AF1794" s="33">
        <f t="shared" si="604"/>
        <v>1.4062652785611685</v>
      </c>
      <c r="AG1794" s="33">
        <f t="shared" si="605"/>
        <v>0</v>
      </c>
      <c r="AH1794" s="35">
        <f t="shared" si="606"/>
        <v>2.5067420051301208</v>
      </c>
      <c r="AI1794" s="36">
        <f t="shared" si="582"/>
        <v>7.4712171539363581</v>
      </c>
      <c r="AJ1794" s="23"/>
      <c r="AK1794" s="120">
        <v>948</v>
      </c>
      <c r="AL1794" s="44"/>
      <c r="AM1794" s="44"/>
      <c r="AN1794" s="44"/>
      <c r="AO1794" s="44"/>
      <c r="AP1794" s="44"/>
      <c r="AQ1794" s="44"/>
      <c r="AR1794" s="44"/>
    </row>
    <row r="1795" spans="1:44" ht="16.8">
      <c r="A1795" s="17" t="s">
        <v>3487</v>
      </c>
      <c r="B1795" s="18"/>
      <c r="C1795" s="18" t="s">
        <v>3485</v>
      </c>
      <c r="D1795" s="19" t="s">
        <v>3486</v>
      </c>
      <c r="E1795" s="20" t="s">
        <v>414</v>
      </c>
      <c r="F1795" s="21">
        <v>1976</v>
      </c>
      <c r="G1795" s="40">
        <v>2022</v>
      </c>
      <c r="H1795" s="23">
        <v>869306734718</v>
      </c>
      <c r="I1795" s="23">
        <v>1082838885562</v>
      </c>
      <c r="J1795" s="23">
        <v>467710121329</v>
      </c>
      <c r="K1795" s="23">
        <f t="shared" ref="K1795:K1796" si="653">(J1795+J1794)/2</f>
        <v>656274916706.5</v>
      </c>
      <c r="L1795" s="23">
        <v>467338259154</v>
      </c>
      <c r="M1795" s="23">
        <f t="shared" si="621"/>
        <v>615128764233</v>
      </c>
      <c r="N1795" s="23">
        <v>2022706636180</v>
      </c>
      <c r="O1795" s="25">
        <f t="shared" si="643"/>
        <v>401968475564</v>
      </c>
      <c r="P1795" s="23">
        <v>45030666060</v>
      </c>
      <c r="Q1795" s="23">
        <f>50161845002+36473494345</f>
        <v>86635339347</v>
      </c>
      <c r="R1795" s="25">
        <f t="shared" si="644"/>
        <v>1936071296833</v>
      </c>
      <c r="S1795" s="26">
        <f t="shared" si="645"/>
        <v>0.43192955809511363</v>
      </c>
      <c r="T1795" s="27">
        <f t="shared" si="646"/>
        <v>1.8601231927633406</v>
      </c>
      <c r="U1795" s="26">
        <f t="shared" si="647"/>
        <v>27.710607306086434</v>
      </c>
      <c r="V1795" s="26">
        <f t="shared" si="648"/>
        <v>3.0821026138419323</v>
      </c>
      <c r="W1795" s="143"/>
      <c r="X1795" s="143"/>
      <c r="Y1795" s="143"/>
      <c r="Z1795" s="30">
        <f t="shared" si="651"/>
        <v>0</v>
      </c>
      <c r="AA1795" s="31">
        <f t="shared" si="620"/>
        <v>46</v>
      </c>
      <c r="AB1795" s="32">
        <v>3.15E-2</v>
      </c>
      <c r="AC1795" s="32">
        <v>8.0199999999999994E-2</v>
      </c>
      <c r="AD1795" s="33">
        <f t="shared" si="602"/>
        <v>0.37121725209875145</v>
      </c>
      <c r="AE1795" s="34">
        <f t="shared" si="603"/>
        <v>4.1585748960824225E-2</v>
      </c>
      <c r="AF1795" s="33">
        <f t="shared" si="604"/>
        <v>1.7879587837558744</v>
      </c>
      <c r="AG1795" s="33">
        <f t="shared" si="605"/>
        <v>0</v>
      </c>
      <c r="AH1795" s="35">
        <f t="shared" si="606"/>
        <v>4.3247014420651659</v>
      </c>
      <c r="AI1795" s="36">
        <f t="shared" si="582"/>
        <v>10.728646179523206</v>
      </c>
      <c r="AJ1795" s="23"/>
      <c r="AK1795" s="120">
        <v>949</v>
      </c>
      <c r="AL1795" s="44"/>
      <c r="AM1795" s="44"/>
      <c r="AN1795" s="44"/>
      <c r="AO1795" s="44"/>
      <c r="AP1795" s="44"/>
      <c r="AQ1795" s="44"/>
      <c r="AR1795" s="44"/>
    </row>
    <row r="1796" spans="1:44" ht="16.8">
      <c r="A1796" s="17" t="s">
        <v>3488</v>
      </c>
      <c r="B1796" s="18"/>
      <c r="C1796" s="18" t="s">
        <v>3485</v>
      </c>
      <c r="D1796" s="19" t="s">
        <v>3486</v>
      </c>
      <c r="E1796" s="20" t="s">
        <v>414</v>
      </c>
      <c r="F1796" s="21">
        <v>1976</v>
      </c>
      <c r="G1796" s="40">
        <v>2023</v>
      </c>
      <c r="H1796" s="23">
        <v>1000137911222</v>
      </c>
      <c r="I1796" s="23">
        <v>1243946545068</v>
      </c>
      <c r="J1796" s="23">
        <v>590405768437</v>
      </c>
      <c r="K1796" s="23">
        <f t="shared" si="653"/>
        <v>529057944883</v>
      </c>
      <c r="L1796" s="23">
        <v>590137530511</v>
      </c>
      <c r="M1796" s="23">
        <f t="shared" si="621"/>
        <v>653540776631</v>
      </c>
      <c r="N1796" s="23">
        <v>1560100299383</v>
      </c>
      <c r="O1796" s="25">
        <f t="shared" si="643"/>
        <v>410000380711</v>
      </c>
      <c r="P1796" s="23">
        <v>56820856420</v>
      </c>
      <c r="Q1796" s="23">
        <f>47783015261+40621103094</f>
        <v>88404118355</v>
      </c>
      <c r="R1796" s="25">
        <f t="shared" si="644"/>
        <v>1471696181028</v>
      </c>
      <c r="S1796" s="26">
        <f t="shared" si="645"/>
        <v>0.47462310239764011</v>
      </c>
      <c r="T1796" s="27">
        <f t="shared" si="646"/>
        <v>1.6947539505850115</v>
      </c>
      <c r="U1796" s="26">
        <f t="shared" si="647"/>
        <v>27.849310139119719</v>
      </c>
      <c r="V1796" s="26">
        <f t="shared" si="648"/>
        <v>2.9488268997226998</v>
      </c>
      <c r="W1796" s="143"/>
      <c r="X1796" s="143"/>
      <c r="Y1796" s="143"/>
      <c r="Z1796" s="30">
        <f t="shared" si="651"/>
        <v>0</v>
      </c>
      <c r="AA1796" s="31">
        <f t="shared" si="620"/>
        <v>47</v>
      </c>
      <c r="AB1796" s="32">
        <v>3.2500000000000001E-2</v>
      </c>
      <c r="AC1796" s="32">
        <v>5.0500000000000003E-2</v>
      </c>
      <c r="AD1796" s="33">
        <f t="shared" si="602"/>
        <v>0.32959646243367108</v>
      </c>
      <c r="AE1796" s="34">
        <f t="shared" si="603"/>
        <v>4.5677892386359657E-2</v>
      </c>
      <c r="AF1796" s="33">
        <f t="shared" si="604"/>
        <v>1.1830863527560584</v>
      </c>
      <c r="AG1796" s="33">
        <f t="shared" si="605"/>
        <v>0</v>
      </c>
      <c r="AH1796" s="35">
        <f t="shared" si="606"/>
        <v>2.642420489069921</v>
      </c>
      <c r="AI1796" s="36">
        <f t="shared" si="582"/>
        <v>7.0060702574262228</v>
      </c>
      <c r="AJ1796" s="23"/>
      <c r="AK1796" s="120">
        <v>950</v>
      </c>
      <c r="AL1796" s="44"/>
      <c r="AM1796" s="44"/>
      <c r="AN1796" s="44"/>
      <c r="AO1796" s="44"/>
      <c r="AP1796" s="44"/>
      <c r="AQ1796" s="44"/>
      <c r="AR1796" s="44"/>
    </row>
    <row r="1797" spans="1:44" ht="16.8">
      <c r="A1797" s="17" t="s">
        <v>3489</v>
      </c>
      <c r="B1797" s="18">
        <v>695</v>
      </c>
      <c r="C1797" s="18" t="s">
        <v>3490</v>
      </c>
      <c r="D1797" s="19" t="s">
        <v>3491</v>
      </c>
      <c r="E1797" s="20" t="s">
        <v>414</v>
      </c>
      <c r="F1797" s="21">
        <v>1992</v>
      </c>
      <c r="G1797" s="40">
        <v>2021</v>
      </c>
      <c r="H1797" s="23">
        <v>689908573929</v>
      </c>
      <c r="I1797" s="23">
        <v>933648493033</v>
      </c>
      <c r="J1797" s="23">
        <v>313536769338</v>
      </c>
      <c r="K1797" s="23">
        <f>(J1797+219659988553)/2</f>
        <v>266598378945.5</v>
      </c>
      <c r="L1797" s="23">
        <v>313536769338</v>
      </c>
      <c r="M1797" s="23">
        <f t="shared" si="621"/>
        <v>620111723695</v>
      </c>
      <c r="N1797" s="23">
        <v>1851648593740</v>
      </c>
      <c r="O1797" s="25">
        <f t="shared" si="643"/>
        <v>376371804591</v>
      </c>
      <c r="P1797" s="23">
        <v>175037638716</v>
      </c>
      <c r="Q1797" s="23">
        <f>76037359744+19342291259</f>
        <v>95379651003</v>
      </c>
      <c r="R1797" s="25">
        <f t="shared" si="644"/>
        <v>1756268942737</v>
      </c>
      <c r="S1797" s="26">
        <f t="shared" si="645"/>
        <v>0.33581885653717641</v>
      </c>
      <c r="T1797" s="27">
        <f t="shared" si="646"/>
        <v>2.2004072293838761</v>
      </c>
      <c r="U1797" s="26">
        <f t="shared" si="647"/>
        <v>27.562365858550326</v>
      </c>
      <c r="V1797" s="26">
        <f t="shared" si="648"/>
        <v>6.9454608128676121</v>
      </c>
      <c r="W1797" s="143"/>
      <c r="X1797" s="143"/>
      <c r="Y1797" s="143"/>
      <c r="Z1797" s="30">
        <f t="shared" si="651"/>
        <v>0</v>
      </c>
      <c r="AA1797" s="31">
        <f t="shared" si="620"/>
        <v>29</v>
      </c>
      <c r="AB1797" s="32">
        <v>1.84E-2</v>
      </c>
      <c r="AC1797" s="32">
        <v>2.58E-2</v>
      </c>
      <c r="AD1797" s="33">
        <f t="shared" si="602"/>
        <v>0.40311938315065332</v>
      </c>
      <c r="AE1797" s="34">
        <f t="shared" si="603"/>
        <v>0.18747702162232618</v>
      </c>
      <c r="AF1797" s="33">
        <f t="shared" si="604"/>
        <v>1.8810815374763576</v>
      </c>
      <c r="AG1797" s="33">
        <f t="shared" si="605"/>
        <v>0</v>
      </c>
      <c r="AH1797" s="35">
        <f t="shared" si="606"/>
        <v>5.9056824424438696</v>
      </c>
      <c r="AI1797" s="36">
        <f t="shared" si="582"/>
        <v>12.859462606167892</v>
      </c>
      <c r="AJ1797" s="23"/>
      <c r="AK1797" s="120">
        <v>951</v>
      </c>
      <c r="AL1797" s="44"/>
      <c r="AM1797" s="44"/>
      <c r="AN1797" s="44"/>
      <c r="AO1797" s="44"/>
      <c r="AP1797" s="44"/>
      <c r="AQ1797" s="44"/>
      <c r="AR1797" s="44"/>
    </row>
    <row r="1798" spans="1:44" ht="16.8">
      <c r="A1798" s="17" t="s">
        <v>3492</v>
      </c>
      <c r="B1798" s="18"/>
      <c r="C1798" s="18" t="s">
        <v>3490</v>
      </c>
      <c r="D1798" s="19" t="s">
        <v>3491</v>
      </c>
      <c r="E1798" s="20" t="s">
        <v>414</v>
      </c>
      <c r="F1798" s="21">
        <v>1992</v>
      </c>
      <c r="G1798" s="40">
        <v>2022</v>
      </c>
      <c r="H1798" s="23">
        <v>611195454908</v>
      </c>
      <c r="I1798" s="23">
        <v>996424236673</v>
      </c>
      <c r="J1798" s="23">
        <v>220502766406</v>
      </c>
      <c r="K1798" s="23">
        <f t="shared" ref="K1798:K1799" si="654">(J1798+J1797)/2</f>
        <v>267019767872</v>
      </c>
      <c r="L1798" s="23">
        <v>220502766406</v>
      </c>
      <c r="M1798" s="23">
        <f t="shared" si="621"/>
        <v>775921470267</v>
      </c>
      <c r="N1798" s="23">
        <v>1724364161804</v>
      </c>
      <c r="O1798" s="25">
        <f t="shared" si="643"/>
        <v>390692688502</v>
      </c>
      <c r="P1798" s="23">
        <v>214418568181</v>
      </c>
      <c r="Q1798" s="23">
        <f>75197656234+23122553355</f>
        <v>98320209589</v>
      </c>
      <c r="R1798" s="25">
        <f t="shared" si="644"/>
        <v>1626043952215</v>
      </c>
      <c r="S1798" s="26">
        <f t="shared" si="645"/>
        <v>0.22129406159593765</v>
      </c>
      <c r="T1798" s="27">
        <f t="shared" si="646"/>
        <v>2.7718266980044972</v>
      </c>
      <c r="U1798" s="26">
        <f t="shared" si="647"/>
        <v>27.627438944278872</v>
      </c>
      <c r="V1798" s="26">
        <f t="shared" si="648"/>
        <v>6.4578146237869563</v>
      </c>
      <c r="W1798" s="143"/>
      <c r="X1798" s="143"/>
      <c r="Y1798" s="143"/>
      <c r="Z1798" s="30">
        <f t="shared" si="651"/>
        <v>0</v>
      </c>
      <c r="AA1798" s="31">
        <f t="shared" si="620"/>
        <v>30</v>
      </c>
      <c r="AB1798" s="32">
        <v>3.15E-2</v>
      </c>
      <c r="AC1798" s="32">
        <v>8.0199999999999994E-2</v>
      </c>
      <c r="AD1798" s="33">
        <f t="shared" si="602"/>
        <v>0.39209472644553406</v>
      </c>
      <c r="AE1798" s="34">
        <f t="shared" si="603"/>
        <v>0.2151880296458169</v>
      </c>
      <c r="AF1798" s="33">
        <f t="shared" si="604"/>
        <v>1.6318791658904865</v>
      </c>
      <c r="AG1798" s="33">
        <f t="shared" si="605"/>
        <v>0</v>
      </c>
      <c r="AH1798" s="35">
        <f t="shared" si="606"/>
        <v>7.8201475197323376</v>
      </c>
      <c r="AI1798" s="36">
        <f t="shared" ref="AI1798:AI2052" si="655">1.2*AD1798+1.4*AE1798+3.3*AF1798+0.6*AG1798+1*AH1798</f>
        <v>13.977125680409728</v>
      </c>
      <c r="AJ1798" s="23"/>
      <c r="AK1798" s="120">
        <v>952</v>
      </c>
      <c r="AL1798" s="44"/>
      <c r="AM1798" s="44"/>
      <c r="AN1798" s="44"/>
      <c r="AO1798" s="44"/>
      <c r="AP1798" s="44"/>
      <c r="AQ1798" s="44"/>
      <c r="AR1798" s="44"/>
    </row>
    <row r="1799" spans="1:44" ht="16.8">
      <c r="A1799" s="17" t="s">
        <v>3493</v>
      </c>
      <c r="B1799" s="18"/>
      <c r="C1799" s="18" t="s">
        <v>3490</v>
      </c>
      <c r="D1799" s="19" t="s">
        <v>3491</v>
      </c>
      <c r="E1799" s="20" t="s">
        <v>414</v>
      </c>
      <c r="F1799" s="21">
        <v>1992</v>
      </c>
      <c r="G1799" s="40">
        <v>2023</v>
      </c>
      <c r="H1799" s="23">
        <v>576694622832</v>
      </c>
      <c r="I1799" s="23">
        <v>890867347912</v>
      </c>
      <c r="J1799" s="23">
        <v>156187822712</v>
      </c>
      <c r="K1799" s="23">
        <f t="shared" si="654"/>
        <v>188345294559</v>
      </c>
      <c r="L1799" s="23">
        <v>156096662712</v>
      </c>
      <c r="M1799" s="23">
        <f t="shared" si="621"/>
        <v>734679525200</v>
      </c>
      <c r="N1799" s="23">
        <v>1017527242605</v>
      </c>
      <c r="O1799" s="25">
        <f t="shared" si="643"/>
        <v>420597960120</v>
      </c>
      <c r="P1799" s="23">
        <v>103120257241</v>
      </c>
      <c r="Q1799" s="23">
        <f>74971997727+23675886492</f>
        <v>98647884219</v>
      </c>
      <c r="R1799" s="25">
        <f t="shared" si="644"/>
        <v>918879358386</v>
      </c>
      <c r="S1799" s="26">
        <f t="shared" si="645"/>
        <v>0.17532107678889614</v>
      </c>
      <c r="T1799" s="27">
        <f t="shared" si="646"/>
        <v>3.6944711873565659</v>
      </c>
      <c r="U1799" s="26">
        <f t="shared" si="647"/>
        <v>27.515461373324513</v>
      </c>
      <c r="V1799" s="26">
        <f t="shared" si="648"/>
        <v>5.4024564032113638</v>
      </c>
      <c r="W1799" s="143"/>
      <c r="X1799" s="143"/>
      <c r="Y1799" s="143"/>
      <c r="Z1799" s="30">
        <f t="shared" si="651"/>
        <v>0</v>
      </c>
      <c r="AA1799" s="31">
        <f t="shared" si="620"/>
        <v>31</v>
      </c>
      <c r="AB1799" s="32">
        <v>3.2500000000000001E-2</v>
      </c>
      <c r="AC1799" s="32">
        <v>5.0500000000000003E-2</v>
      </c>
      <c r="AD1799" s="33">
        <f t="shared" si="602"/>
        <v>0.47212187213482509</v>
      </c>
      <c r="AE1799" s="34">
        <f t="shared" si="603"/>
        <v>0.11575265103462545</v>
      </c>
      <c r="AF1799" s="33">
        <f t="shared" si="604"/>
        <v>1.0314435258399066</v>
      </c>
      <c r="AG1799" s="33">
        <f t="shared" si="605"/>
        <v>0</v>
      </c>
      <c r="AH1799" s="35">
        <f t="shared" si="606"/>
        <v>6.5147668040757107</v>
      </c>
      <c r="AI1799" s="36">
        <f t="shared" si="655"/>
        <v>10.647130397357667</v>
      </c>
      <c r="AJ1799" s="23"/>
      <c r="AK1799" s="120">
        <v>953</v>
      </c>
      <c r="AL1799" s="44"/>
      <c r="AM1799" s="44"/>
      <c r="AN1799" s="44"/>
      <c r="AO1799" s="44"/>
      <c r="AP1799" s="44"/>
      <c r="AQ1799" s="44"/>
      <c r="AR1799" s="44"/>
    </row>
    <row r="1800" spans="1:44" ht="16.8">
      <c r="A1800" s="17" t="s">
        <v>3494</v>
      </c>
      <c r="B1800" s="18">
        <v>696</v>
      </c>
      <c r="C1800" s="18" t="s">
        <v>3495</v>
      </c>
      <c r="D1800" s="19" t="s">
        <v>3496</v>
      </c>
      <c r="E1800" s="20" t="s">
        <v>414</v>
      </c>
      <c r="F1800" s="21">
        <v>2002</v>
      </c>
      <c r="G1800" s="40">
        <v>2021</v>
      </c>
      <c r="H1800" s="23">
        <v>1997806132728</v>
      </c>
      <c r="I1800" s="23">
        <v>4416748260555</v>
      </c>
      <c r="J1800" s="23">
        <v>3374221853571</v>
      </c>
      <c r="K1800" s="23">
        <f>(J1800+1658028185203)/2</f>
        <v>2516125019387</v>
      </c>
      <c r="L1800" s="23">
        <v>1398450634818</v>
      </c>
      <c r="M1800" s="23">
        <f t="shared" si="621"/>
        <v>1042526406984</v>
      </c>
      <c r="N1800" s="23">
        <v>689803567017</v>
      </c>
      <c r="O1800" s="25">
        <f t="shared" si="643"/>
        <v>599355497910</v>
      </c>
      <c r="P1800" s="23">
        <v>69813439132</v>
      </c>
      <c r="Q1800" s="23">
        <f>10566969462+70438505901</f>
        <v>81005475363</v>
      </c>
      <c r="R1800" s="25">
        <f t="shared" si="644"/>
        <v>608798091654</v>
      </c>
      <c r="S1800" s="26">
        <f t="shared" si="645"/>
        <v>0.76396064582295253</v>
      </c>
      <c r="T1800" s="27">
        <f t="shared" si="646"/>
        <v>1.4285853808404203</v>
      </c>
      <c r="U1800" s="26">
        <f t="shared" si="647"/>
        <v>29.116424853609949</v>
      </c>
      <c r="V1800" s="26">
        <f t="shared" si="648"/>
        <v>0.27415313694748594</v>
      </c>
      <c r="W1800" s="143"/>
      <c r="X1800" s="143"/>
      <c r="Y1800" s="143"/>
      <c r="Z1800" s="30">
        <f t="shared" si="651"/>
        <v>0</v>
      </c>
      <c r="AA1800" s="31">
        <f t="shared" si="620"/>
        <v>19</v>
      </c>
      <c r="AB1800" s="32">
        <v>1.84E-2</v>
      </c>
      <c r="AC1800" s="32">
        <v>2.58E-2</v>
      </c>
      <c r="AD1800" s="33">
        <f t="shared" si="602"/>
        <v>0.13570062465699281</v>
      </c>
      <c r="AE1800" s="34">
        <f t="shared" si="603"/>
        <v>1.5806524396123806E-2</v>
      </c>
      <c r="AF1800" s="33">
        <f t="shared" si="604"/>
        <v>0.13783853091448314</v>
      </c>
      <c r="AG1800" s="33">
        <f t="shared" si="605"/>
        <v>0</v>
      </c>
      <c r="AH1800" s="35">
        <f t="shared" si="606"/>
        <v>0.2044333766278493</v>
      </c>
      <c r="AI1800" s="36">
        <f t="shared" si="655"/>
        <v>0.84427041238860834</v>
      </c>
      <c r="AJ1800" s="23"/>
      <c r="AK1800" s="120">
        <v>954</v>
      </c>
      <c r="AL1800" s="44"/>
      <c r="AM1800" s="44"/>
      <c r="AN1800" s="44"/>
      <c r="AO1800" s="44"/>
      <c r="AP1800" s="44"/>
      <c r="AQ1800" s="44"/>
      <c r="AR1800" s="44"/>
    </row>
    <row r="1801" spans="1:44" ht="16.8">
      <c r="A1801" s="17" t="s">
        <v>3497</v>
      </c>
      <c r="B1801" s="18"/>
      <c r="C1801" s="18" t="s">
        <v>3495</v>
      </c>
      <c r="D1801" s="19" t="s">
        <v>3496</v>
      </c>
      <c r="E1801" s="20" t="s">
        <v>414</v>
      </c>
      <c r="F1801" s="21">
        <v>2002</v>
      </c>
      <c r="G1801" s="40">
        <v>2022</v>
      </c>
      <c r="H1801" s="23">
        <v>3418946618527</v>
      </c>
      <c r="I1801" s="23">
        <v>5488034476719</v>
      </c>
      <c r="J1801" s="23">
        <v>3629426998305</v>
      </c>
      <c r="K1801" s="23">
        <f t="shared" ref="K1801:K1802" si="656">(J1801+J1800)/2</f>
        <v>3501824425938</v>
      </c>
      <c r="L1801" s="23">
        <v>2434272059166</v>
      </c>
      <c r="M1801" s="23">
        <f t="shared" si="621"/>
        <v>1858607478414</v>
      </c>
      <c r="N1801" s="23">
        <v>1453972737528</v>
      </c>
      <c r="O1801" s="25">
        <f t="shared" si="643"/>
        <v>984674559361</v>
      </c>
      <c r="P1801" s="23">
        <v>77147910154</v>
      </c>
      <c r="Q1801" s="23">
        <f>12810825211+93184734074</f>
        <v>105995559285</v>
      </c>
      <c r="R1801" s="25">
        <f t="shared" si="644"/>
        <v>1347977178243</v>
      </c>
      <c r="S1801" s="26">
        <f t="shared" si="645"/>
        <v>0.66133458412142465</v>
      </c>
      <c r="T1801" s="27">
        <f t="shared" si="646"/>
        <v>1.4045047288996764</v>
      </c>
      <c r="U1801" s="26">
        <f t="shared" si="647"/>
        <v>29.333591288533384</v>
      </c>
      <c r="V1801" s="26">
        <f t="shared" si="648"/>
        <v>0.41520435084021617</v>
      </c>
      <c r="W1801" s="143"/>
      <c r="X1801" s="143"/>
      <c r="Y1801" s="143"/>
      <c r="Z1801" s="30">
        <f t="shared" si="651"/>
        <v>0</v>
      </c>
      <c r="AA1801" s="31">
        <f t="shared" si="620"/>
        <v>20</v>
      </c>
      <c r="AB1801" s="32">
        <v>3.15E-2</v>
      </c>
      <c r="AC1801" s="32">
        <v>8.0199999999999994E-2</v>
      </c>
      <c r="AD1801" s="33">
        <f t="shared" si="602"/>
        <v>0.17942207971508295</v>
      </c>
      <c r="AE1801" s="34">
        <f t="shared" si="603"/>
        <v>1.4057475491685062E-2</v>
      </c>
      <c r="AF1801" s="33">
        <f t="shared" si="604"/>
        <v>0.24562112063277031</v>
      </c>
      <c r="AG1801" s="33">
        <f t="shared" si="605"/>
        <v>0</v>
      </c>
      <c r="AH1801" s="35">
        <f t="shared" si="606"/>
        <v>0.40060669031420892</v>
      </c>
      <c r="AI1801" s="36">
        <f t="shared" si="655"/>
        <v>1.4461433497488094</v>
      </c>
      <c r="AJ1801" s="23"/>
      <c r="AK1801" s="120">
        <v>955</v>
      </c>
      <c r="AL1801" s="44"/>
      <c r="AM1801" s="44"/>
      <c r="AN1801" s="44"/>
      <c r="AO1801" s="44"/>
      <c r="AP1801" s="44"/>
      <c r="AQ1801" s="44"/>
      <c r="AR1801" s="44"/>
    </row>
    <row r="1802" spans="1:44" ht="16.8">
      <c r="A1802" s="17" t="s">
        <v>3498</v>
      </c>
      <c r="B1802" s="18"/>
      <c r="C1802" s="18" t="s">
        <v>3495</v>
      </c>
      <c r="D1802" s="19" t="s">
        <v>3496</v>
      </c>
      <c r="E1802" s="20" t="s">
        <v>414</v>
      </c>
      <c r="F1802" s="21">
        <v>2002</v>
      </c>
      <c r="G1802" s="40">
        <v>2023</v>
      </c>
      <c r="H1802" s="23">
        <v>5061416787417</v>
      </c>
      <c r="I1802" s="23">
        <v>7147681682417</v>
      </c>
      <c r="J1802" s="23">
        <v>5183764157755</v>
      </c>
      <c r="K1802" s="23">
        <f t="shared" si="656"/>
        <v>4406595578030</v>
      </c>
      <c r="L1802" s="23">
        <v>2396528666761</v>
      </c>
      <c r="M1802" s="23">
        <f t="shared" si="621"/>
        <v>1963917524662</v>
      </c>
      <c r="N1802" s="23">
        <v>1309759343058</v>
      </c>
      <c r="O1802" s="25">
        <f t="shared" si="643"/>
        <v>2664888120656</v>
      </c>
      <c r="P1802" s="23">
        <v>42810046248</v>
      </c>
      <c r="Q1802" s="23">
        <f>4382262485+116511363375</f>
        <v>120893625860</v>
      </c>
      <c r="R1802" s="25">
        <f t="shared" si="644"/>
        <v>1188865717198</v>
      </c>
      <c r="S1802" s="26">
        <f t="shared" si="645"/>
        <v>0.72523713115356614</v>
      </c>
      <c r="T1802" s="27">
        <f t="shared" si="646"/>
        <v>2.1119784034370421</v>
      </c>
      <c r="U1802" s="26">
        <f t="shared" si="647"/>
        <v>29.597809179835838</v>
      </c>
      <c r="V1802" s="26">
        <f t="shared" si="648"/>
        <v>0.29722703612468498</v>
      </c>
      <c r="W1802" s="143"/>
      <c r="X1802" s="143"/>
      <c r="Y1802" s="143"/>
      <c r="Z1802" s="30">
        <f t="shared" si="651"/>
        <v>0</v>
      </c>
      <c r="AA1802" s="31">
        <f t="shared" si="620"/>
        <v>21</v>
      </c>
      <c r="AB1802" s="32">
        <v>3.2500000000000001E-2</v>
      </c>
      <c r="AC1802" s="32">
        <v>5.0500000000000003E-2</v>
      </c>
      <c r="AD1802" s="33">
        <f t="shared" si="602"/>
        <v>0.37283251256299144</v>
      </c>
      <c r="AE1802" s="34">
        <f t="shared" si="603"/>
        <v>5.9893610474163863E-3</v>
      </c>
      <c r="AF1802" s="33">
        <f t="shared" si="604"/>
        <v>0.16632885598732808</v>
      </c>
      <c r="AG1802" s="33">
        <f t="shared" si="605"/>
        <v>0</v>
      </c>
      <c r="AH1802" s="35">
        <f t="shared" si="606"/>
        <v>0.25266568910134107</v>
      </c>
      <c r="AI1802" s="36">
        <f t="shared" si="655"/>
        <v>1.2573350344014962</v>
      </c>
      <c r="AJ1802" s="23"/>
      <c r="AK1802" s="120">
        <v>956</v>
      </c>
      <c r="AL1802" s="44"/>
      <c r="AM1802" s="44"/>
      <c r="AN1802" s="44"/>
      <c r="AO1802" s="44"/>
      <c r="AP1802" s="44"/>
      <c r="AQ1802" s="44"/>
      <c r="AR1802" s="44"/>
    </row>
    <row r="1803" spans="1:44" ht="16.8">
      <c r="A1803" s="17" t="s">
        <v>3499</v>
      </c>
      <c r="B1803" s="18">
        <v>697</v>
      </c>
      <c r="C1803" s="18" t="s">
        <v>3500</v>
      </c>
      <c r="D1803" s="19" t="s">
        <v>3501</v>
      </c>
      <c r="E1803" s="20" t="s">
        <v>414</v>
      </c>
      <c r="F1803" s="21">
        <v>2004</v>
      </c>
      <c r="G1803" s="40">
        <v>2021</v>
      </c>
      <c r="H1803" s="23">
        <v>724929156861</v>
      </c>
      <c r="I1803" s="23">
        <v>942232331322</v>
      </c>
      <c r="J1803" s="23">
        <v>541942514526</v>
      </c>
      <c r="K1803" s="23">
        <f>(J1803+507448957031)/2</f>
        <v>524695735778.5</v>
      </c>
      <c r="L1803" s="23">
        <v>540148574782</v>
      </c>
      <c r="M1803" s="23">
        <f t="shared" si="621"/>
        <v>400289816796</v>
      </c>
      <c r="N1803" s="23">
        <v>982759374807</v>
      </c>
      <c r="O1803" s="25">
        <f t="shared" si="643"/>
        <v>184780582079</v>
      </c>
      <c r="P1803" s="23">
        <v>17856302525</v>
      </c>
      <c r="Q1803" s="23">
        <f>62113668576+23565865849</f>
        <v>85679534425</v>
      </c>
      <c r="R1803" s="25">
        <f t="shared" si="644"/>
        <v>897079840382</v>
      </c>
      <c r="S1803" s="26">
        <f t="shared" si="645"/>
        <v>0.57516866754681095</v>
      </c>
      <c r="T1803" s="27">
        <f t="shared" si="646"/>
        <v>1.3420921403959569</v>
      </c>
      <c r="U1803" s="26">
        <f t="shared" si="647"/>
        <v>27.57151771733599</v>
      </c>
      <c r="V1803" s="26">
        <f t="shared" si="648"/>
        <v>1.873008122219372</v>
      </c>
      <c r="W1803" s="143"/>
      <c r="X1803" s="143"/>
      <c r="Y1803" s="143"/>
      <c r="Z1803" s="30">
        <f t="shared" si="651"/>
        <v>0</v>
      </c>
      <c r="AA1803" s="31">
        <f t="shared" si="620"/>
        <v>17</v>
      </c>
      <c r="AB1803" s="32">
        <v>1.84E-2</v>
      </c>
      <c r="AC1803" s="32">
        <v>2.58E-2</v>
      </c>
      <c r="AD1803" s="33">
        <f t="shared" si="602"/>
        <v>0.19610936277228294</v>
      </c>
      <c r="AE1803" s="34">
        <f t="shared" si="603"/>
        <v>1.8951061146401861E-2</v>
      </c>
      <c r="AF1803" s="33">
        <f t="shared" si="604"/>
        <v>0.95207923837993469</v>
      </c>
      <c r="AG1803" s="33">
        <f t="shared" si="605"/>
        <v>0</v>
      </c>
      <c r="AH1803" s="35">
        <f t="shared" si="606"/>
        <v>1.8134015111668298</v>
      </c>
      <c r="AI1803" s="36">
        <f t="shared" si="655"/>
        <v>5.2171257187523166</v>
      </c>
      <c r="AJ1803" s="23"/>
      <c r="AK1803" s="120">
        <v>957</v>
      </c>
      <c r="AL1803" s="44"/>
      <c r="AM1803" s="44"/>
      <c r="AN1803" s="44"/>
      <c r="AO1803" s="44"/>
      <c r="AP1803" s="44"/>
      <c r="AQ1803" s="44"/>
      <c r="AR1803" s="44"/>
    </row>
    <row r="1804" spans="1:44" ht="16.8">
      <c r="A1804" s="17" t="s">
        <v>3502</v>
      </c>
      <c r="B1804" s="18"/>
      <c r="C1804" s="18" t="s">
        <v>3500</v>
      </c>
      <c r="D1804" s="19" t="s">
        <v>3501</v>
      </c>
      <c r="E1804" s="20" t="s">
        <v>414</v>
      </c>
      <c r="F1804" s="21">
        <v>2004</v>
      </c>
      <c r="G1804" s="40">
        <v>2022</v>
      </c>
      <c r="H1804" s="23">
        <v>801126740389</v>
      </c>
      <c r="I1804" s="23">
        <v>1020650515407</v>
      </c>
      <c r="J1804" s="23">
        <v>599158140361</v>
      </c>
      <c r="K1804" s="23">
        <f t="shared" ref="K1804:K1805" si="657">(J1804+J1803)/2</f>
        <v>570550327443.5</v>
      </c>
      <c r="L1804" s="23">
        <v>617843056009</v>
      </c>
      <c r="M1804" s="23">
        <f t="shared" si="621"/>
        <v>421492375046</v>
      </c>
      <c r="N1804" s="23">
        <v>1175091912059</v>
      </c>
      <c r="O1804" s="25">
        <f t="shared" si="643"/>
        <v>183283684380</v>
      </c>
      <c r="P1804" s="23">
        <v>17675852236</v>
      </c>
      <c r="Q1804" s="23">
        <f>68786296028+29273592029</f>
        <v>98059888057</v>
      </c>
      <c r="R1804" s="25">
        <f t="shared" si="644"/>
        <v>1077032024002</v>
      </c>
      <c r="S1804" s="26">
        <f t="shared" si="645"/>
        <v>0.58703555361658399</v>
      </c>
      <c r="T1804" s="27">
        <f t="shared" si="646"/>
        <v>1.2966508769458924</v>
      </c>
      <c r="U1804" s="26">
        <f t="shared" si="647"/>
        <v>27.651461300145055</v>
      </c>
      <c r="V1804" s="26">
        <f t="shared" si="648"/>
        <v>2.059576264418788</v>
      </c>
      <c r="W1804" s="143"/>
      <c r="X1804" s="143"/>
      <c r="Y1804" s="143"/>
      <c r="Z1804" s="30">
        <f t="shared" si="651"/>
        <v>0</v>
      </c>
      <c r="AA1804" s="31">
        <f t="shared" si="620"/>
        <v>18</v>
      </c>
      <c r="AB1804" s="32">
        <v>3.15E-2</v>
      </c>
      <c r="AC1804" s="32">
        <v>8.0199999999999994E-2</v>
      </c>
      <c r="AD1804" s="33">
        <f t="shared" si="602"/>
        <v>0.17957536062862109</v>
      </c>
      <c r="AE1804" s="34">
        <f t="shared" si="603"/>
        <v>1.7318222025245814E-2</v>
      </c>
      <c r="AF1804" s="33">
        <f t="shared" si="604"/>
        <v>1.0552407584613006</v>
      </c>
      <c r="AG1804" s="33">
        <f t="shared" si="605"/>
        <v>0</v>
      </c>
      <c r="AH1804" s="35">
        <f t="shared" si="606"/>
        <v>1.9612383324225438</v>
      </c>
      <c r="AI1804" s="36">
        <f t="shared" si="655"/>
        <v>5.6832687789345249</v>
      </c>
      <c r="AJ1804" s="23"/>
      <c r="AK1804" s="120">
        <v>958</v>
      </c>
      <c r="AL1804" s="44"/>
      <c r="AM1804" s="44"/>
      <c r="AN1804" s="44"/>
      <c r="AO1804" s="44"/>
      <c r="AP1804" s="44"/>
      <c r="AQ1804" s="44"/>
      <c r="AR1804" s="44"/>
    </row>
    <row r="1805" spans="1:44" ht="16.8">
      <c r="A1805" s="17" t="s">
        <v>3503</v>
      </c>
      <c r="B1805" s="18"/>
      <c r="C1805" s="18" t="s">
        <v>3500</v>
      </c>
      <c r="D1805" s="19" t="s">
        <v>3501</v>
      </c>
      <c r="E1805" s="20" t="s">
        <v>414</v>
      </c>
      <c r="F1805" s="21">
        <v>2004</v>
      </c>
      <c r="G1805" s="40">
        <v>2023</v>
      </c>
      <c r="H1805" s="23">
        <v>813302755165</v>
      </c>
      <c r="I1805" s="23">
        <v>1012228435555</v>
      </c>
      <c r="J1805" s="23">
        <v>619684183875</v>
      </c>
      <c r="K1805" s="23">
        <f t="shared" si="657"/>
        <v>609421162118</v>
      </c>
      <c r="L1805" s="23">
        <v>597992612723</v>
      </c>
      <c r="M1805" s="23">
        <f t="shared" si="621"/>
        <v>392544251680</v>
      </c>
      <c r="N1805" s="23">
        <v>1156231495236</v>
      </c>
      <c r="O1805" s="25">
        <f t="shared" si="643"/>
        <v>215310142442</v>
      </c>
      <c r="P1805" s="23">
        <v>12386563662</v>
      </c>
      <c r="Q1805" s="23">
        <f>66680200471+24850841570</f>
        <v>91531042041</v>
      </c>
      <c r="R1805" s="25">
        <f t="shared" si="644"/>
        <v>1064700453195</v>
      </c>
      <c r="S1805" s="26">
        <f t="shared" si="645"/>
        <v>0.61219796056730036</v>
      </c>
      <c r="T1805" s="27">
        <f t="shared" si="646"/>
        <v>1.3600548532891914</v>
      </c>
      <c r="U1805" s="26">
        <f t="shared" si="647"/>
        <v>27.643175388154358</v>
      </c>
      <c r="V1805" s="26">
        <f t="shared" si="648"/>
        <v>1.8972618069539946</v>
      </c>
      <c r="W1805" s="143"/>
      <c r="X1805" s="143"/>
      <c r="Y1805" s="143"/>
      <c r="Z1805" s="30">
        <f t="shared" si="651"/>
        <v>0</v>
      </c>
      <c r="AA1805" s="31">
        <f t="shared" si="620"/>
        <v>19</v>
      </c>
      <c r="AB1805" s="32">
        <v>3.2500000000000001E-2</v>
      </c>
      <c r="AC1805" s="32">
        <v>5.0500000000000003E-2</v>
      </c>
      <c r="AD1805" s="33">
        <f t="shared" si="602"/>
        <v>0.21270904361024642</v>
      </c>
      <c r="AE1805" s="34">
        <f t="shared" si="603"/>
        <v>1.2236925210669967E-2</v>
      </c>
      <c r="AF1805" s="33">
        <f t="shared" si="604"/>
        <v>1.0518381185480428</v>
      </c>
      <c r="AG1805" s="33">
        <f t="shared" si="605"/>
        <v>0</v>
      </c>
      <c r="AH1805" s="35">
        <f t="shared" si="606"/>
        <v>1.8658399315694492</v>
      </c>
      <c r="AI1805" s="36">
        <f t="shared" si="655"/>
        <v>5.6092882704052238</v>
      </c>
      <c r="AJ1805" s="23"/>
      <c r="AK1805" s="120">
        <v>959</v>
      </c>
      <c r="AL1805" s="44"/>
      <c r="AM1805" s="44"/>
      <c r="AN1805" s="44"/>
      <c r="AO1805" s="44"/>
      <c r="AP1805" s="44"/>
      <c r="AQ1805" s="44"/>
      <c r="AR1805" s="44"/>
    </row>
    <row r="1806" spans="1:44" ht="16.8">
      <c r="A1806" s="17" t="s">
        <v>3504</v>
      </c>
      <c r="B1806" s="18">
        <v>698</v>
      </c>
      <c r="C1806" s="18" t="s">
        <v>3505</v>
      </c>
      <c r="D1806" s="19" t="s">
        <v>3506</v>
      </c>
      <c r="E1806" s="20" t="s">
        <v>414</v>
      </c>
      <c r="F1806" s="21">
        <v>1998</v>
      </c>
      <c r="G1806" s="40">
        <v>2021</v>
      </c>
      <c r="H1806" s="23">
        <v>4657232545178</v>
      </c>
      <c r="I1806" s="23">
        <v>5907405173007</v>
      </c>
      <c r="J1806" s="23">
        <v>4543007115733</v>
      </c>
      <c r="K1806" s="23">
        <f>(J1806+3182048296531)/2</f>
        <v>3862527706132</v>
      </c>
      <c r="L1806" s="23">
        <v>4062863601791</v>
      </c>
      <c r="M1806" s="23">
        <f t="shared" si="621"/>
        <v>1364398057274</v>
      </c>
      <c r="N1806" s="23">
        <v>7260803805751</v>
      </c>
      <c r="O1806" s="25">
        <f t="shared" si="643"/>
        <v>594368943387</v>
      </c>
      <c r="P1806" s="23">
        <v>136682299581</v>
      </c>
      <c r="Q1806" s="23">
        <f>364726161774+163348079606</f>
        <v>528074241380</v>
      </c>
      <c r="R1806" s="25">
        <f t="shared" si="644"/>
        <v>6732729564371</v>
      </c>
      <c r="S1806" s="26">
        <f t="shared" si="645"/>
        <v>0.76903597818067193</v>
      </c>
      <c r="T1806" s="27">
        <f t="shared" si="646"/>
        <v>1.1462931079263869</v>
      </c>
      <c r="U1806" s="26">
        <f t="shared" si="647"/>
        <v>29.407227793911986</v>
      </c>
      <c r="V1806" s="26">
        <f t="shared" si="648"/>
        <v>1.8798062714796915</v>
      </c>
      <c r="W1806" s="143"/>
      <c r="X1806" s="143"/>
      <c r="Y1806" s="143"/>
      <c r="Z1806" s="30">
        <f t="shared" si="651"/>
        <v>0</v>
      </c>
      <c r="AA1806" s="31">
        <f t="shared" si="620"/>
        <v>23</v>
      </c>
      <c r="AB1806" s="32">
        <v>1.84E-2</v>
      </c>
      <c r="AC1806" s="32">
        <v>2.58E-2</v>
      </c>
      <c r="AD1806" s="33">
        <f t="shared" si="602"/>
        <v>0.10061421656040787</v>
      </c>
      <c r="AE1806" s="34">
        <f t="shared" si="603"/>
        <v>2.313745131374249E-2</v>
      </c>
      <c r="AF1806" s="33">
        <f t="shared" si="604"/>
        <v>1.1397101379020345</v>
      </c>
      <c r="AG1806" s="33">
        <f t="shared" si="605"/>
        <v>0</v>
      </c>
      <c r="AH1806" s="35">
        <f t="shared" si="606"/>
        <v>1.5982373834735877</v>
      </c>
      <c r="AI1806" s="36">
        <f t="shared" si="655"/>
        <v>5.5124103302620302</v>
      </c>
      <c r="AJ1806" s="23"/>
      <c r="AK1806" s="120">
        <v>960</v>
      </c>
      <c r="AL1806" s="44"/>
      <c r="AM1806" s="44"/>
      <c r="AN1806" s="44"/>
      <c r="AO1806" s="44"/>
      <c r="AP1806" s="44"/>
      <c r="AQ1806" s="44"/>
      <c r="AR1806" s="44"/>
    </row>
    <row r="1807" spans="1:44" ht="16.8">
      <c r="A1807" s="17" t="s">
        <v>3507</v>
      </c>
      <c r="B1807" s="18"/>
      <c r="C1807" s="18" t="s">
        <v>3505</v>
      </c>
      <c r="D1807" s="19" t="s">
        <v>3506</v>
      </c>
      <c r="E1807" s="20" t="s">
        <v>414</v>
      </c>
      <c r="F1807" s="21">
        <v>1998</v>
      </c>
      <c r="G1807" s="40">
        <v>2022</v>
      </c>
      <c r="H1807" s="23">
        <v>5592427754449</v>
      </c>
      <c r="I1807" s="23">
        <v>7330796432276</v>
      </c>
      <c r="J1807" s="23">
        <v>5370355090973</v>
      </c>
      <c r="K1807" s="23">
        <f t="shared" ref="K1807:K1808" si="658">(J1806+J1807)/2</f>
        <v>4956681103353</v>
      </c>
      <c r="L1807" s="23">
        <v>4767026049940</v>
      </c>
      <c r="M1807" s="23">
        <f t="shared" si="621"/>
        <v>1960441341303</v>
      </c>
      <c r="N1807" s="23">
        <v>8214248495304</v>
      </c>
      <c r="O1807" s="25">
        <f t="shared" si="643"/>
        <v>825401704509</v>
      </c>
      <c r="P1807" s="23">
        <v>87256493352</v>
      </c>
      <c r="Q1807" s="23">
        <f>351669824574+176952473742</f>
        <v>528622298316</v>
      </c>
      <c r="R1807" s="25">
        <f t="shared" si="644"/>
        <v>7685626196988</v>
      </c>
      <c r="S1807" s="26">
        <f t="shared" si="645"/>
        <v>0.73257457638960255</v>
      </c>
      <c r="T1807" s="27">
        <f t="shared" si="646"/>
        <v>1.1731481422299734</v>
      </c>
      <c r="U1807" s="26">
        <f t="shared" si="647"/>
        <v>29.623105279714071</v>
      </c>
      <c r="V1807" s="26">
        <f t="shared" si="648"/>
        <v>1.6572073780876047</v>
      </c>
      <c r="W1807" s="143"/>
      <c r="X1807" s="143"/>
      <c r="Y1807" s="143"/>
      <c r="Z1807" s="30">
        <f t="shared" si="651"/>
        <v>0</v>
      </c>
      <c r="AA1807" s="31">
        <f t="shared" si="620"/>
        <v>24</v>
      </c>
      <c r="AB1807" s="32">
        <v>3.15E-2</v>
      </c>
      <c r="AC1807" s="32">
        <v>8.0199999999999994E-2</v>
      </c>
      <c r="AD1807" s="33">
        <f t="shared" si="602"/>
        <v>0.11259372868068261</v>
      </c>
      <c r="AE1807" s="34">
        <f t="shared" si="603"/>
        <v>1.1902730372900204E-2</v>
      </c>
      <c r="AF1807" s="33">
        <f t="shared" si="604"/>
        <v>1.0484026214600308</v>
      </c>
      <c r="AG1807" s="33">
        <f t="shared" si="605"/>
        <v>0</v>
      </c>
      <c r="AH1807" s="35">
        <f t="shared" si="606"/>
        <v>1.5295540715941269</v>
      </c>
      <c r="AI1807" s="36">
        <f t="shared" si="655"/>
        <v>5.1410590193511077</v>
      </c>
      <c r="AJ1807" s="23"/>
      <c r="AK1807" s="120">
        <v>961</v>
      </c>
      <c r="AL1807" s="44"/>
      <c r="AM1807" s="44"/>
      <c r="AN1807" s="44"/>
      <c r="AO1807" s="44"/>
      <c r="AP1807" s="44"/>
      <c r="AQ1807" s="44"/>
      <c r="AR1807" s="44"/>
    </row>
    <row r="1808" spans="1:44" ht="16.8">
      <c r="A1808" s="17" t="s">
        <v>3508</v>
      </c>
      <c r="B1808" s="18"/>
      <c r="C1808" s="18" t="s">
        <v>3505</v>
      </c>
      <c r="D1808" s="19" t="s">
        <v>3506</v>
      </c>
      <c r="E1808" s="20" t="s">
        <v>414</v>
      </c>
      <c r="F1808" s="21">
        <v>1998</v>
      </c>
      <c r="G1808" s="40">
        <v>2023</v>
      </c>
      <c r="H1808" s="23">
        <v>5610598077038</v>
      </c>
      <c r="I1808" s="23">
        <v>7581785262691</v>
      </c>
      <c r="J1808" s="23">
        <v>5574367496271</v>
      </c>
      <c r="K1808" s="23">
        <f t="shared" si="658"/>
        <v>5472361293622</v>
      </c>
      <c r="L1808" s="23">
        <v>4863763473580</v>
      </c>
      <c r="M1808" s="23">
        <f t="shared" si="621"/>
        <v>2007417766420</v>
      </c>
      <c r="N1808" s="23">
        <v>9780654605019</v>
      </c>
      <c r="O1808" s="25">
        <f t="shared" si="643"/>
        <v>746834603458</v>
      </c>
      <c r="P1808" s="23">
        <v>59089568364</v>
      </c>
      <c r="Q1808" s="23">
        <f>287175971417+162017630666</f>
        <v>449193602083</v>
      </c>
      <c r="R1808" s="25">
        <f t="shared" si="644"/>
        <v>9331461002936</v>
      </c>
      <c r="S1808" s="26">
        <f t="shared" si="645"/>
        <v>0.73523151911222717</v>
      </c>
      <c r="T1808" s="27">
        <f t="shared" si="646"/>
        <v>1.1535507652694896</v>
      </c>
      <c r="U1808" s="26">
        <f t="shared" si="647"/>
        <v>29.656769810634145</v>
      </c>
      <c r="V1808" s="26">
        <f t="shared" si="648"/>
        <v>1.7872823229742318</v>
      </c>
      <c r="W1808" s="143"/>
      <c r="X1808" s="143"/>
      <c r="Y1808" s="143"/>
      <c r="Z1808" s="30">
        <f t="shared" si="651"/>
        <v>0</v>
      </c>
      <c r="AA1808" s="31">
        <f t="shared" si="620"/>
        <v>25</v>
      </c>
      <c r="AB1808" s="32">
        <v>3.2500000000000001E-2</v>
      </c>
      <c r="AC1808" s="32">
        <v>5.0500000000000003E-2</v>
      </c>
      <c r="AD1808" s="33">
        <f t="shared" si="602"/>
        <v>9.8503792653305278E-2</v>
      </c>
      <c r="AE1808" s="34">
        <f t="shared" si="603"/>
        <v>7.7936219922730126E-3</v>
      </c>
      <c r="AF1808" s="33">
        <f t="shared" si="604"/>
        <v>1.2307735816331982</v>
      </c>
      <c r="AG1808" s="33">
        <f t="shared" si="605"/>
        <v>0</v>
      </c>
      <c r="AH1808" s="35">
        <f t="shared" si="606"/>
        <v>1.7545765706265</v>
      </c>
      <c r="AI1808" s="36">
        <f t="shared" si="655"/>
        <v>5.9452450119892015</v>
      </c>
      <c r="AJ1808" s="23"/>
      <c r="AK1808" s="120">
        <v>962</v>
      </c>
      <c r="AL1808" s="44"/>
      <c r="AM1808" s="44"/>
      <c r="AN1808" s="44"/>
      <c r="AO1808" s="44"/>
      <c r="AP1808" s="44"/>
      <c r="AQ1808" s="44"/>
      <c r="AR1808" s="44"/>
    </row>
    <row r="1809" spans="1:44" ht="16.8">
      <c r="A1809" s="17" t="s">
        <v>3509</v>
      </c>
      <c r="B1809" s="18">
        <v>699</v>
      </c>
      <c r="C1809" s="18" t="s">
        <v>3510</v>
      </c>
      <c r="D1809" s="19" t="s">
        <v>3511</v>
      </c>
      <c r="E1809" s="20" t="s">
        <v>414</v>
      </c>
      <c r="F1809" s="21">
        <v>2004</v>
      </c>
      <c r="G1809" s="40">
        <v>2021</v>
      </c>
      <c r="H1809" s="23">
        <v>292301012316</v>
      </c>
      <c r="I1809" s="23">
        <v>1832513519492</v>
      </c>
      <c r="J1809" s="23">
        <v>495848732247</v>
      </c>
      <c r="K1809" s="23">
        <f>(J1809+704246521347)/2</f>
        <v>600047626797</v>
      </c>
      <c r="L1809" s="23">
        <v>256848732247</v>
      </c>
      <c r="M1809" s="23">
        <f t="shared" si="621"/>
        <v>1336664787245</v>
      </c>
      <c r="N1809" s="23">
        <v>657816352379</v>
      </c>
      <c r="O1809" s="25">
        <f t="shared" si="643"/>
        <v>35452280069</v>
      </c>
      <c r="P1809" s="23">
        <v>265133365965</v>
      </c>
      <c r="Q1809" s="23">
        <v>29601841050</v>
      </c>
      <c r="R1809" s="25">
        <f t="shared" si="644"/>
        <v>628214511329</v>
      </c>
      <c r="S1809" s="26">
        <f t="shared" si="645"/>
        <v>0.2705839422043973</v>
      </c>
      <c r="T1809" s="27">
        <f t="shared" si="646"/>
        <v>1.1380278569368492</v>
      </c>
      <c r="U1809" s="26">
        <f t="shared" si="647"/>
        <v>28.236709648301833</v>
      </c>
      <c r="V1809" s="26">
        <f t="shared" si="648"/>
        <v>1.0962735673005894</v>
      </c>
      <c r="W1809" s="143"/>
      <c r="X1809" s="143"/>
      <c r="Y1809" s="143"/>
      <c r="Z1809" s="30">
        <f t="shared" si="651"/>
        <v>0</v>
      </c>
      <c r="AA1809" s="31">
        <f t="shared" si="620"/>
        <v>17</v>
      </c>
      <c r="AB1809" s="32">
        <v>1.84E-2</v>
      </c>
      <c r="AC1809" s="32">
        <v>2.58E-2</v>
      </c>
      <c r="AD1809" s="33">
        <f t="shared" si="602"/>
        <v>1.9346258399680401E-2</v>
      </c>
      <c r="AE1809" s="34">
        <f t="shared" si="603"/>
        <v>0.14468289764023073</v>
      </c>
      <c r="AF1809" s="33">
        <f t="shared" si="604"/>
        <v>0.34281575805407993</v>
      </c>
      <c r="AG1809" s="33">
        <f t="shared" si="605"/>
        <v>0</v>
      </c>
      <c r="AH1809" s="35">
        <f t="shared" si="606"/>
        <v>1.3266472405768259</v>
      </c>
      <c r="AI1809" s="36">
        <f t="shared" si="655"/>
        <v>2.6837108089312292</v>
      </c>
      <c r="AJ1809" s="23" t="s">
        <v>85</v>
      </c>
      <c r="AK1809" s="120">
        <v>963</v>
      </c>
      <c r="AL1809" s="44"/>
      <c r="AM1809" s="44"/>
      <c r="AN1809" s="44"/>
      <c r="AO1809" s="44"/>
      <c r="AP1809" s="44"/>
      <c r="AQ1809" s="44"/>
      <c r="AR1809" s="44"/>
    </row>
    <row r="1810" spans="1:44" ht="16.8">
      <c r="A1810" s="17" t="s">
        <v>3512</v>
      </c>
      <c r="B1810" s="18"/>
      <c r="C1810" s="18" t="s">
        <v>3510</v>
      </c>
      <c r="D1810" s="19" t="s">
        <v>3511</v>
      </c>
      <c r="E1810" s="20" t="s">
        <v>414</v>
      </c>
      <c r="F1810" s="21">
        <v>2004</v>
      </c>
      <c r="G1810" s="40">
        <v>2022</v>
      </c>
      <c r="H1810" s="23">
        <v>378470521320</v>
      </c>
      <c r="I1810" s="23">
        <v>1768989904377</v>
      </c>
      <c r="J1810" s="23">
        <v>321761718327</v>
      </c>
      <c r="K1810" s="23">
        <f t="shared" ref="K1810:K1811" si="659">(J1810+J1809)/2</f>
        <v>408805225287</v>
      </c>
      <c r="L1810" s="23">
        <v>202761718327</v>
      </c>
      <c r="M1810" s="23">
        <f t="shared" si="621"/>
        <v>1447228186050</v>
      </c>
      <c r="N1810" s="23">
        <v>746101515100</v>
      </c>
      <c r="O1810" s="25">
        <f t="shared" si="643"/>
        <v>175708802993</v>
      </c>
      <c r="P1810" s="23">
        <v>321031922805</v>
      </c>
      <c r="Q1810" s="23">
        <v>33904544221</v>
      </c>
      <c r="R1810" s="25">
        <f t="shared" si="644"/>
        <v>712196970879</v>
      </c>
      <c r="S1810" s="26">
        <f t="shared" si="645"/>
        <v>0.18189008175279414</v>
      </c>
      <c r="T1810" s="27">
        <f t="shared" si="646"/>
        <v>1.8665777960592593</v>
      </c>
      <c r="U1810" s="26">
        <f t="shared" si="647"/>
        <v>28.201429824123828</v>
      </c>
      <c r="V1810" s="26">
        <f t="shared" si="648"/>
        <v>1.8250782253974434</v>
      </c>
      <c r="W1810" s="143"/>
      <c r="X1810" s="143"/>
      <c r="Y1810" s="143"/>
      <c r="Z1810" s="30">
        <f t="shared" si="651"/>
        <v>0</v>
      </c>
      <c r="AA1810" s="31">
        <f t="shared" si="620"/>
        <v>18</v>
      </c>
      <c r="AB1810" s="32">
        <v>3.15E-2</v>
      </c>
      <c r="AC1810" s="32">
        <v>8.0199999999999994E-2</v>
      </c>
      <c r="AD1810" s="33">
        <f t="shared" si="602"/>
        <v>9.9327193760826368E-2</v>
      </c>
      <c r="AE1810" s="34">
        <f t="shared" si="603"/>
        <v>0.18147753246678958</v>
      </c>
      <c r="AF1810" s="33">
        <f t="shared" si="604"/>
        <v>0.40260092446927809</v>
      </c>
      <c r="AG1810" s="33">
        <f t="shared" si="605"/>
        <v>0</v>
      </c>
      <c r="AH1810" s="35">
        <f t="shared" si="606"/>
        <v>2.3188013756868116</v>
      </c>
      <c r="AI1810" s="36">
        <f t="shared" si="655"/>
        <v>4.0206456044019259</v>
      </c>
      <c r="AJ1810" s="23" t="s">
        <v>85</v>
      </c>
      <c r="AK1810" s="120">
        <v>964</v>
      </c>
      <c r="AL1810" s="44"/>
      <c r="AM1810" s="44"/>
      <c r="AN1810" s="44"/>
      <c r="AO1810" s="44"/>
      <c r="AP1810" s="44"/>
      <c r="AQ1810" s="44"/>
      <c r="AR1810" s="44"/>
    </row>
    <row r="1811" spans="1:44" ht="16.8">
      <c r="A1811" s="17" t="s">
        <v>3513</v>
      </c>
      <c r="B1811" s="18"/>
      <c r="C1811" s="18" t="s">
        <v>3510</v>
      </c>
      <c r="D1811" s="19" t="s">
        <v>3511</v>
      </c>
      <c r="E1811" s="20" t="s">
        <v>414</v>
      </c>
      <c r="F1811" s="21">
        <v>2004</v>
      </c>
      <c r="G1811" s="40">
        <v>2023</v>
      </c>
      <c r="H1811" s="23">
        <v>307528638650</v>
      </c>
      <c r="I1811" s="23">
        <v>1545800640493</v>
      </c>
      <c r="J1811" s="23">
        <v>189464782404</v>
      </c>
      <c r="K1811" s="23">
        <f t="shared" si="659"/>
        <v>255613250365.5</v>
      </c>
      <c r="L1811" s="23">
        <v>160464782404</v>
      </c>
      <c r="M1811" s="23">
        <f t="shared" si="621"/>
        <v>1356335858089</v>
      </c>
      <c r="N1811" s="23">
        <v>661182642160</v>
      </c>
      <c r="O1811" s="25">
        <f t="shared" si="643"/>
        <v>147063856246</v>
      </c>
      <c r="P1811" s="23">
        <v>275280935039</v>
      </c>
      <c r="Q1811" s="23">
        <v>28215087270</v>
      </c>
      <c r="R1811" s="25">
        <f t="shared" si="644"/>
        <v>632967554890</v>
      </c>
      <c r="S1811" s="26">
        <f t="shared" si="645"/>
        <v>0.12256741098488241</v>
      </c>
      <c r="T1811" s="27">
        <f t="shared" si="646"/>
        <v>1.9164868081504596</v>
      </c>
      <c r="U1811" s="26">
        <f t="shared" si="647"/>
        <v>28.066563105963127</v>
      </c>
      <c r="V1811" s="26">
        <f t="shared" si="648"/>
        <v>2.5866524572359944</v>
      </c>
      <c r="W1811" s="143"/>
      <c r="X1811" s="143"/>
      <c r="Y1811" s="143"/>
      <c r="Z1811" s="30">
        <f t="shared" si="651"/>
        <v>0</v>
      </c>
      <c r="AA1811" s="31">
        <f t="shared" si="620"/>
        <v>19</v>
      </c>
      <c r="AB1811" s="32">
        <v>3.2500000000000001E-2</v>
      </c>
      <c r="AC1811" s="32">
        <v>5.0500000000000003E-2</v>
      </c>
      <c r="AD1811" s="33">
        <f t="shared" si="602"/>
        <v>9.5137660312456032E-2</v>
      </c>
      <c r="AE1811" s="34">
        <f t="shared" si="603"/>
        <v>0.17808307735673148</v>
      </c>
      <c r="AF1811" s="33">
        <f t="shared" si="604"/>
        <v>0.40947554187073476</v>
      </c>
      <c r="AG1811" s="33">
        <f t="shared" si="605"/>
        <v>0</v>
      </c>
      <c r="AH1811" s="35">
        <f t="shared" si="606"/>
        <v>3.4897390099134382</v>
      </c>
      <c r="AI1811" s="36">
        <f t="shared" si="655"/>
        <v>5.2044897987612337</v>
      </c>
      <c r="AJ1811" s="23" t="s">
        <v>85</v>
      </c>
      <c r="AK1811" s="120">
        <v>965</v>
      </c>
      <c r="AL1811" s="44"/>
      <c r="AM1811" s="44"/>
      <c r="AN1811" s="44"/>
      <c r="AO1811" s="44"/>
      <c r="AP1811" s="44"/>
      <c r="AQ1811" s="44"/>
      <c r="AR1811" s="44"/>
    </row>
    <row r="1812" spans="1:44" ht="16.8">
      <c r="A1812" s="145"/>
      <c r="B1812" s="145">
        <v>700</v>
      </c>
      <c r="C1812" s="145" t="s">
        <v>3514</v>
      </c>
      <c r="D1812" s="146" t="s">
        <v>3515</v>
      </c>
      <c r="E1812" s="147" t="s">
        <v>178</v>
      </c>
      <c r="F1812" s="148"/>
      <c r="G1812" s="148"/>
      <c r="H1812" s="149"/>
      <c r="I1812" s="149"/>
      <c r="J1812" s="149"/>
      <c r="K1812" s="149"/>
      <c r="L1812" s="149"/>
      <c r="M1812" s="149">
        <f t="shared" si="621"/>
        <v>0</v>
      </c>
      <c r="N1812" s="149"/>
      <c r="O1812" s="149">
        <f t="shared" si="643"/>
        <v>0</v>
      </c>
      <c r="P1812" s="149"/>
      <c r="Q1812" s="149"/>
      <c r="R1812" s="149">
        <f t="shared" si="644"/>
        <v>0</v>
      </c>
      <c r="S1812" s="150" t="e">
        <f t="shared" si="645"/>
        <v>#DIV/0!</v>
      </c>
      <c r="T1812" s="151" t="e">
        <f t="shared" si="646"/>
        <v>#DIV/0!</v>
      </c>
      <c r="U1812" s="150" t="e">
        <f t="shared" si="647"/>
        <v>#NUM!</v>
      </c>
      <c r="V1812" s="150" t="e">
        <f t="shared" si="648"/>
        <v>#DIV/0!</v>
      </c>
      <c r="W1812" s="152"/>
      <c r="X1812" s="152"/>
      <c r="Y1812" s="152"/>
      <c r="Z1812" s="153">
        <f>W1812*Y1812</f>
        <v>0</v>
      </c>
      <c r="AA1812" s="148">
        <f t="shared" si="620"/>
        <v>0</v>
      </c>
      <c r="AB1812" s="149"/>
      <c r="AC1812" s="149"/>
      <c r="AD1812" s="150" t="e">
        <f t="shared" si="602"/>
        <v>#DIV/0!</v>
      </c>
      <c r="AE1812" s="154" t="e">
        <f t="shared" si="603"/>
        <v>#DIV/0!</v>
      </c>
      <c r="AF1812" s="150" t="e">
        <f t="shared" si="604"/>
        <v>#DIV/0!</v>
      </c>
      <c r="AG1812" s="150" t="e">
        <f t="shared" si="605"/>
        <v>#DIV/0!</v>
      </c>
      <c r="AH1812" s="155" t="e">
        <f t="shared" si="606"/>
        <v>#DIV/0!</v>
      </c>
      <c r="AI1812" s="156" t="e">
        <f t="shared" si="655"/>
        <v>#DIV/0!</v>
      </c>
      <c r="AJ1812" s="149"/>
      <c r="AK1812" s="149"/>
      <c r="AL1812" s="157"/>
      <c r="AM1812" s="157"/>
      <c r="AN1812" s="157"/>
      <c r="AO1812" s="157"/>
      <c r="AP1812" s="157"/>
      <c r="AQ1812" s="157"/>
      <c r="AR1812" s="157"/>
    </row>
    <row r="1813" spans="1:44" ht="16.8">
      <c r="A1813" s="64" t="s">
        <v>3516</v>
      </c>
      <c r="B1813" s="62">
        <v>701</v>
      </c>
      <c r="C1813" s="62" t="s">
        <v>3517</v>
      </c>
      <c r="D1813" s="19" t="s">
        <v>3518</v>
      </c>
      <c r="E1813" s="20" t="s">
        <v>414</v>
      </c>
      <c r="F1813" s="21">
        <v>1998</v>
      </c>
      <c r="G1813" s="40">
        <v>2021</v>
      </c>
      <c r="H1813" s="23">
        <v>837991520730</v>
      </c>
      <c r="I1813" s="23">
        <v>1383859793119</v>
      </c>
      <c r="J1813" s="23">
        <v>432708409230</v>
      </c>
      <c r="K1813" s="23">
        <f>(J1813+427868256740)/2</f>
        <v>430288332985</v>
      </c>
      <c r="L1813" s="23">
        <v>207830385435</v>
      </c>
      <c r="M1813" s="23">
        <f t="shared" si="621"/>
        <v>951151383889</v>
      </c>
      <c r="N1813" s="23">
        <v>425348701526</v>
      </c>
      <c r="O1813" s="25">
        <f t="shared" si="643"/>
        <v>630161135295</v>
      </c>
      <c r="P1813" s="23">
        <v>160035884710</v>
      </c>
      <c r="Q1813" s="23">
        <v>30321855648</v>
      </c>
      <c r="R1813" s="25">
        <f t="shared" si="644"/>
        <v>395026845878</v>
      </c>
      <c r="S1813" s="26">
        <f t="shared" si="645"/>
        <v>0.31268226115215331</v>
      </c>
      <c r="T1813" s="27">
        <f t="shared" si="646"/>
        <v>4.0320933773761682</v>
      </c>
      <c r="U1813" s="26">
        <f t="shared" si="647"/>
        <v>27.955897662442418</v>
      </c>
      <c r="V1813" s="26">
        <f t="shared" si="648"/>
        <v>0.98852018267673503</v>
      </c>
      <c r="W1813" s="143"/>
      <c r="X1813" s="143"/>
      <c r="Y1813" s="143"/>
      <c r="Z1813" s="30">
        <f t="shared" ref="Z1813:Z1815" si="660">X1813*Y1813</f>
        <v>0</v>
      </c>
      <c r="AA1813" s="31">
        <f t="shared" si="620"/>
        <v>23</v>
      </c>
      <c r="AB1813" s="32">
        <v>1.84E-2</v>
      </c>
      <c r="AC1813" s="32">
        <v>2.58E-2</v>
      </c>
      <c r="AD1813" s="33">
        <f t="shared" si="602"/>
        <v>0.45536487036357703</v>
      </c>
      <c r="AE1813" s="34">
        <f t="shared" si="603"/>
        <v>0.11564458011263161</v>
      </c>
      <c r="AF1813" s="33">
        <f t="shared" si="604"/>
        <v>0.28545293955514978</v>
      </c>
      <c r="AG1813" s="33">
        <f t="shared" si="605"/>
        <v>0</v>
      </c>
      <c r="AH1813" s="35">
        <f t="shared" si="606"/>
        <v>0.98299153067744505</v>
      </c>
      <c r="AI1813" s="36">
        <f t="shared" si="655"/>
        <v>2.6333264878034157</v>
      </c>
      <c r="AJ1813" s="23"/>
      <c r="AK1813" s="120">
        <v>966</v>
      </c>
      <c r="AL1813" s="44"/>
      <c r="AM1813" s="44"/>
      <c r="AN1813" s="44"/>
      <c r="AO1813" s="44"/>
      <c r="AP1813" s="44"/>
      <c r="AQ1813" s="44"/>
      <c r="AR1813" s="44"/>
    </row>
    <row r="1814" spans="1:44" ht="16.8">
      <c r="A1814" s="64" t="s">
        <v>3519</v>
      </c>
      <c r="B1814" s="62"/>
      <c r="C1814" s="62" t="s">
        <v>3517</v>
      </c>
      <c r="D1814" s="19" t="s">
        <v>3518</v>
      </c>
      <c r="E1814" s="20" t="s">
        <v>414</v>
      </c>
      <c r="F1814" s="21">
        <v>1998</v>
      </c>
      <c r="G1814" s="40">
        <v>2022</v>
      </c>
      <c r="H1814" s="23">
        <v>973361659416</v>
      </c>
      <c r="I1814" s="23">
        <v>1435387343202</v>
      </c>
      <c r="J1814" s="23">
        <v>338772028106</v>
      </c>
      <c r="K1814" s="23">
        <f t="shared" ref="K1814:K1815" si="661">SUM(J1813:J1814)/2</f>
        <v>385740218668</v>
      </c>
      <c r="L1814" s="23">
        <v>123651520842</v>
      </c>
      <c r="M1814" s="23">
        <f t="shared" si="621"/>
        <v>1096615315096</v>
      </c>
      <c r="N1814" s="23">
        <v>455267317369</v>
      </c>
      <c r="O1814" s="25">
        <f t="shared" si="643"/>
        <v>849710138574</v>
      </c>
      <c r="P1814" s="23">
        <v>154263931207</v>
      </c>
      <c r="Q1814" s="23">
        <v>47489904238</v>
      </c>
      <c r="R1814" s="25">
        <f t="shared" si="644"/>
        <v>407777413131</v>
      </c>
      <c r="S1814" s="26">
        <f t="shared" si="645"/>
        <v>0.23601436205385651</v>
      </c>
      <c r="T1814" s="27">
        <f t="shared" si="646"/>
        <v>7.8718130823457191</v>
      </c>
      <c r="U1814" s="26">
        <f t="shared" si="647"/>
        <v>27.992455854293084</v>
      </c>
      <c r="V1814" s="26">
        <f t="shared" si="648"/>
        <v>1.1802433226721447</v>
      </c>
      <c r="W1814" s="143"/>
      <c r="X1814" s="143"/>
      <c r="Y1814" s="143"/>
      <c r="Z1814" s="30">
        <f t="shared" si="660"/>
        <v>0</v>
      </c>
      <c r="AA1814" s="31">
        <f t="shared" si="620"/>
        <v>24</v>
      </c>
      <c r="AB1814" s="32">
        <v>3.15E-2</v>
      </c>
      <c r="AC1814" s="32">
        <v>8.0199999999999994E-2</v>
      </c>
      <c r="AD1814" s="33">
        <f t="shared" si="602"/>
        <v>0.59197271217294101</v>
      </c>
      <c r="AE1814" s="34">
        <f t="shared" si="603"/>
        <v>0.1074719879185187</v>
      </c>
      <c r="AF1814" s="33">
        <f t="shared" si="604"/>
        <v>0.28408876186782295</v>
      </c>
      <c r="AG1814" s="33">
        <f t="shared" si="605"/>
        <v>0</v>
      </c>
      <c r="AH1814" s="35">
        <f t="shared" si="606"/>
        <v>1.3438751714960044</v>
      </c>
      <c r="AI1814" s="36">
        <f t="shared" si="655"/>
        <v>3.1421961233532754</v>
      </c>
      <c r="AJ1814" s="23"/>
      <c r="AK1814" s="120">
        <v>967</v>
      </c>
      <c r="AL1814" s="44"/>
      <c r="AM1814" s="44"/>
      <c r="AN1814" s="44"/>
      <c r="AO1814" s="44"/>
      <c r="AP1814" s="44"/>
      <c r="AQ1814" s="44"/>
      <c r="AR1814" s="44"/>
    </row>
    <row r="1815" spans="1:44" ht="16.8">
      <c r="A1815" s="64" t="s">
        <v>3520</v>
      </c>
      <c r="B1815" s="62"/>
      <c r="C1815" s="62" t="s">
        <v>3517</v>
      </c>
      <c r="D1815" s="19" t="s">
        <v>3518</v>
      </c>
      <c r="E1815" s="20" t="s">
        <v>414</v>
      </c>
      <c r="F1815" s="21">
        <v>1998</v>
      </c>
      <c r="G1815" s="40">
        <v>2023</v>
      </c>
      <c r="H1815" s="23">
        <v>976765461340</v>
      </c>
      <c r="I1815" s="23">
        <v>1348496808705</v>
      </c>
      <c r="J1815" s="23">
        <v>331963540137</v>
      </c>
      <c r="K1815" s="23">
        <f t="shared" si="661"/>
        <v>335367784121.5</v>
      </c>
      <c r="L1815" s="23">
        <v>128292217100</v>
      </c>
      <c r="M1815" s="23">
        <f t="shared" si="621"/>
        <v>1016533268568</v>
      </c>
      <c r="N1815" s="23">
        <v>430810343709</v>
      </c>
      <c r="O1815" s="25">
        <f t="shared" si="643"/>
        <v>848473244240</v>
      </c>
      <c r="P1815" s="23">
        <v>130170124400</v>
      </c>
      <c r="Q1815" s="23">
        <v>45337783925</v>
      </c>
      <c r="R1815" s="25">
        <f t="shared" si="644"/>
        <v>385472559784</v>
      </c>
      <c r="S1815" s="26">
        <f t="shared" si="645"/>
        <v>0.24617302613848532</v>
      </c>
      <c r="T1815" s="27">
        <f t="shared" si="646"/>
        <v>7.6135987312358955</v>
      </c>
      <c r="U1815" s="26">
        <f t="shared" si="647"/>
        <v>27.930011612971672</v>
      </c>
      <c r="V1815" s="26">
        <f t="shared" si="648"/>
        <v>1.2845907213106738</v>
      </c>
      <c r="W1815" s="143"/>
      <c r="X1815" s="143"/>
      <c r="Y1815" s="143"/>
      <c r="Z1815" s="30">
        <f t="shared" si="660"/>
        <v>0</v>
      </c>
      <c r="AA1815" s="31">
        <f t="shared" si="620"/>
        <v>25</v>
      </c>
      <c r="AB1815" s="32">
        <v>3.2500000000000001E-2</v>
      </c>
      <c r="AC1815" s="32">
        <v>5.0500000000000003E-2</v>
      </c>
      <c r="AD1815" s="33">
        <f t="shared" si="602"/>
        <v>0.62919929714539935</v>
      </c>
      <c r="AE1815" s="34">
        <f t="shared" si="603"/>
        <v>9.6529797890293922E-2</v>
      </c>
      <c r="AF1815" s="33">
        <f t="shared" si="604"/>
        <v>0.28585352022759353</v>
      </c>
      <c r="AG1815" s="33">
        <f t="shared" si="605"/>
        <v>0</v>
      </c>
      <c r="AH1815" s="35">
        <f t="shared" si="606"/>
        <v>1.2977640361685694</v>
      </c>
      <c r="AI1815" s="36">
        <f t="shared" si="655"/>
        <v>3.1312615265405186</v>
      </c>
      <c r="AJ1815" s="23"/>
      <c r="AK1815" s="120">
        <v>968</v>
      </c>
      <c r="AL1815" s="44"/>
      <c r="AM1815" s="44"/>
      <c r="AN1815" s="44"/>
      <c r="AO1815" s="44"/>
      <c r="AP1815" s="44"/>
      <c r="AQ1815" s="44"/>
      <c r="AR1815" s="44"/>
    </row>
    <row r="1816" spans="1:44" ht="16.8">
      <c r="A1816" s="45"/>
      <c r="B1816" s="45">
        <v>702</v>
      </c>
      <c r="C1816" s="45" t="s">
        <v>3521</v>
      </c>
      <c r="D1816" s="46" t="s">
        <v>3522</v>
      </c>
      <c r="E1816" s="47" t="s">
        <v>178</v>
      </c>
      <c r="F1816" s="48"/>
      <c r="G1816" s="48"/>
      <c r="H1816" s="49"/>
      <c r="I1816" s="49"/>
      <c r="J1816" s="49"/>
      <c r="K1816" s="49"/>
      <c r="L1816" s="49"/>
      <c r="M1816" s="49">
        <f t="shared" si="621"/>
        <v>0</v>
      </c>
      <c r="N1816" s="49"/>
      <c r="O1816" s="49">
        <f t="shared" si="643"/>
        <v>0</v>
      </c>
      <c r="P1816" s="49"/>
      <c r="Q1816" s="49"/>
      <c r="R1816" s="49">
        <f t="shared" si="644"/>
        <v>0</v>
      </c>
      <c r="S1816" s="50" t="e">
        <f t="shared" si="645"/>
        <v>#DIV/0!</v>
      </c>
      <c r="T1816" s="51" t="e">
        <f t="shared" si="646"/>
        <v>#DIV/0!</v>
      </c>
      <c r="U1816" s="50" t="e">
        <f t="shared" si="647"/>
        <v>#NUM!</v>
      </c>
      <c r="V1816" s="50" t="e">
        <f t="shared" si="648"/>
        <v>#DIV/0!</v>
      </c>
      <c r="W1816" s="52"/>
      <c r="X1816" s="52"/>
      <c r="Y1816" s="52"/>
      <c r="Z1816" s="55">
        <f>W1816*Y1816</f>
        <v>0</v>
      </c>
      <c r="AA1816" s="48">
        <f t="shared" si="620"/>
        <v>0</v>
      </c>
      <c r="AB1816" s="49"/>
      <c r="AC1816" s="49"/>
      <c r="AD1816" s="50" t="e">
        <f t="shared" si="602"/>
        <v>#DIV/0!</v>
      </c>
      <c r="AE1816" s="56" t="e">
        <f t="shared" si="603"/>
        <v>#DIV/0!</v>
      </c>
      <c r="AF1816" s="50" t="e">
        <f t="shared" si="604"/>
        <v>#DIV/0!</v>
      </c>
      <c r="AG1816" s="50" t="e">
        <f t="shared" si="605"/>
        <v>#DIV/0!</v>
      </c>
      <c r="AH1816" s="57" t="e">
        <f t="shared" si="606"/>
        <v>#DIV/0!</v>
      </c>
      <c r="AI1816" s="58" t="e">
        <f t="shared" si="655"/>
        <v>#DIV/0!</v>
      </c>
      <c r="AJ1816" s="49"/>
      <c r="AK1816" s="49"/>
      <c r="AL1816" s="59"/>
      <c r="AM1816" s="59"/>
      <c r="AN1816" s="59"/>
      <c r="AO1816" s="59"/>
      <c r="AP1816" s="59"/>
      <c r="AQ1816" s="59"/>
      <c r="AR1816" s="59"/>
    </row>
    <row r="1817" spans="1:44" ht="16.8">
      <c r="A1817" s="64" t="s">
        <v>3523</v>
      </c>
      <c r="B1817" s="62">
        <v>703</v>
      </c>
      <c r="C1817" s="62" t="s">
        <v>3524</v>
      </c>
      <c r="D1817" s="19" t="s">
        <v>3525</v>
      </c>
      <c r="E1817" s="20" t="s">
        <v>414</v>
      </c>
      <c r="F1817" s="21">
        <v>2001</v>
      </c>
      <c r="G1817" s="40">
        <v>2021</v>
      </c>
      <c r="H1817" s="23">
        <v>4262069352312</v>
      </c>
      <c r="I1817" s="23">
        <v>6946047343663</v>
      </c>
      <c r="J1817" s="23">
        <v>4747256581699</v>
      </c>
      <c r="K1817" s="23">
        <f>(J1817+4894164516193)/2</f>
        <v>4820710548946</v>
      </c>
      <c r="L1817" s="23">
        <v>3488934372411</v>
      </c>
      <c r="M1817" s="23">
        <f t="shared" si="621"/>
        <v>2198790761964</v>
      </c>
      <c r="N1817" s="23">
        <v>747035784394</v>
      </c>
      <c r="O1817" s="25">
        <f t="shared" si="643"/>
        <v>773134979901</v>
      </c>
      <c r="P1817" s="23">
        <v>84187188430</v>
      </c>
      <c r="Q1817" s="23">
        <f>27612631460+54254056488</f>
        <v>81866687948</v>
      </c>
      <c r="R1817" s="25">
        <f t="shared" si="644"/>
        <v>665169096446</v>
      </c>
      <c r="S1817" s="26">
        <f t="shared" si="645"/>
        <v>0.68344719620000938</v>
      </c>
      <c r="T1817" s="27">
        <f t="shared" si="646"/>
        <v>1.2215963091809983</v>
      </c>
      <c r="U1817" s="26">
        <f t="shared" si="647"/>
        <v>29.5691938861879</v>
      </c>
      <c r="V1817" s="26">
        <f t="shared" si="648"/>
        <v>0.15496383298875555</v>
      </c>
      <c r="W1817" s="143"/>
      <c r="X1817" s="143"/>
      <c r="Y1817" s="143"/>
      <c r="Z1817" s="30">
        <f t="shared" ref="Z1817:Z1855" si="662">X1817*Y1817</f>
        <v>0</v>
      </c>
      <c r="AA1817" s="31">
        <f t="shared" si="620"/>
        <v>20</v>
      </c>
      <c r="AB1817" s="32">
        <v>1.84E-2</v>
      </c>
      <c r="AC1817" s="32">
        <v>2.58E-2</v>
      </c>
      <c r="AD1817" s="33">
        <f t="shared" si="602"/>
        <v>0.11130574579315883</v>
      </c>
      <c r="AE1817" s="34">
        <f t="shared" si="603"/>
        <v>1.2120157589597405E-2</v>
      </c>
      <c r="AF1817" s="33">
        <f t="shared" si="604"/>
        <v>9.5762246287141334E-2</v>
      </c>
      <c r="AG1817" s="33">
        <f t="shared" si="605"/>
        <v>0</v>
      </c>
      <c r="AH1817" s="35">
        <f t="shared" si="606"/>
        <v>0.15736157747905902</v>
      </c>
      <c r="AI1817" s="36">
        <f t="shared" si="655"/>
        <v>0.62391210580385237</v>
      </c>
      <c r="AJ1817" s="23"/>
      <c r="AK1817" s="120">
        <v>969</v>
      </c>
      <c r="AL1817" s="44"/>
      <c r="AM1817" s="44"/>
      <c r="AN1817" s="44"/>
      <c r="AO1817" s="44"/>
      <c r="AP1817" s="44"/>
      <c r="AQ1817" s="44"/>
      <c r="AR1817" s="44"/>
    </row>
    <row r="1818" spans="1:44" ht="16.8">
      <c r="A1818" s="64" t="s">
        <v>3526</v>
      </c>
      <c r="B1818" s="62"/>
      <c r="C1818" s="62" t="s">
        <v>3524</v>
      </c>
      <c r="D1818" s="19" t="s">
        <v>3525</v>
      </c>
      <c r="E1818" s="20" t="s">
        <v>414</v>
      </c>
      <c r="F1818" s="21">
        <v>2001</v>
      </c>
      <c r="G1818" s="40">
        <v>2022</v>
      </c>
      <c r="H1818" s="23">
        <v>4029801941036</v>
      </c>
      <c r="I1818" s="23">
        <v>6779527700632</v>
      </c>
      <c r="J1818" s="23">
        <v>4204085157246</v>
      </c>
      <c r="K1818" s="23">
        <f t="shared" ref="K1818:K1819" si="663">SUM(J1817:J1818)/2</f>
        <v>4475670869472.5</v>
      </c>
      <c r="L1818" s="23">
        <v>3375367236626</v>
      </c>
      <c r="M1818" s="23">
        <f t="shared" si="621"/>
        <v>2575442543386</v>
      </c>
      <c r="N1818" s="23">
        <v>379810850969</v>
      </c>
      <c r="O1818" s="25">
        <f t="shared" si="643"/>
        <v>654434704410</v>
      </c>
      <c r="P1818" s="23">
        <v>120645453177</v>
      </c>
      <c r="Q1818" s="23">
        <f>5512553223+41093292913</f>
        <v>46605846136</v>
      </c>
      <c r="R1818" s="25">
        <f t="shared" si="644"/>
        <v>333205004833</v>
      </c>
      <c r="S1818" s="26">
        <f t="shared" si="645"/>
        <v>0.62011475472754352</v>
      </c>
      <c r="T1818" s="27">
        <f t="shared" si="646"/>
        <v>1.1938854822399028</v>
      </c>
      <c r="U1818" s="26">
        <f t="shared" si="647"/>
        <v>29.544928554780689</v>
      </c>
      <c r="V1818" s="26">
        <f t="shared" si="648"/>
        <v>8.4861211211843257E-2</v>
      </c>
      <c r="W1818" s="143"/>
      <c r="X1818" s="143"/>
      <c r="Y1818" s="143"/>
      <c r="Z1818" s="30">
        <f t="shared" si="662"/>
        <v>0</v>
      </c>
      <c r="AA1818" s="31">
        <f t="shared" si="620"/>
        <v>21</v>
      </c>
      <c r="AB1818" s="32">
        <v>3.15E-2</v>
      </c>
      <c r="AC1818" s="32">
        <v>8.0199999999999994E-2</v>
      </c>
      <c r="AD1818" s="33">
        <f t="shared" si="602"/>
        <v>9.653101710152942E-2</v>
      </c>
      <c r="AE1818" s="34">
        <f t="shared" si="603"/>
        <v>1.7795554278176813E-2</v>
      </c>
      <c r="AF1818" s="33">
        <f t="shared" si="604"/>
        <v>4.9148704680701878E-2</v>
      </c>
      <c r="AG1818" s="33">
        <f t="shared" si="605"/>
        <v>0</v>
      </c>
      <c r="AH1818" s="35">
        <f t="shared" si="606"/>
        <v>9.0343282013299039E-2</v>
      </c>
      <c r="AI1818" s="36">
        <f t="shared" si="655"/>
        <v>0.39328500397089811</v>
      </c>
      <c r="AJ1818" s="23"/>
      <c r="AK1818" s="120">
        <v>970</v>
      </c>
      <c r="AL1818" s="44"/>
      <c r="AM1818" s="44"/>
      <c r="AN1818" s="44"/>
      <c r="AO1818" s="44"/>
      <c r="AP1818" s="44"/>
      <c r="AQ1818" s="44"/>
      <c r="AR1818" s="44"/>
    </row>
    <row r="1819" spans="1:44" ht="16.8">
      <c r="A1819" s="64" t="s">
        <v>3527</v>
      </c>
      <c r="B1819" s="62"/>
      <c r="C1819" s="62" t="s">
        <v>3524</v>
      </c>
      <c r="D1819" s="19" t="s">
        <v>3525</v>
      </c>
      <c r="E1819" s="20" t="s">
        <v>414</v>
      </c>
      <c r="F1819" s="21">
        <v>2001</v>
      </c>
      <c r="G1819" s="40">
        <v>2023</v>
      </c>
      <c r="H1819" s="23">
        <v>4749599418611</v>
      </c>
      <c r="I1819" s="23">
        <v>7473978855442</v>
      </c>
      <c r="J1819" s="23">
        <v>4712392279671</v>
      </c>
      <c r="K1819" s="23">
        <f t="shared" si="663"/>
        <v>4458238718458.5</v>
      </c>
      <c r="L1819" s="23">
        <v>3057764277663</v>
      </c>
      <c r="M1819" s="23">
        <f t="shared" si="621"/>
        <v>2761586575771</v>
      </c>
      <c r="N1819" s="23">
        <v>416023571847</v>
      </c>
      <c r="O1819" s="25">
        <f t="shared" si="643"/>
        <v>1691835140948</v>
      </c>
      <c r="P1819" s="23">
        <v>183765581553</v>
      </c>
      <c r="Q1819" s="23">
        <f>2386682829+46488328087</f>
        <v>48875010916</v>
      </c>
      <c r="R1819" s="25">
        <f t="shared" si="644"/>
        <v>367148560931</v>
      </c>
      <c r="S1819" s="26">
        <f t="shared" si="645"/>
        <v>0.63050650407443731</v>
      </c>
      <c r="T1819" s="27">
        <f t="shared" si="646"/>
        <v>1.5532915513817966</v>
      </c>
      <c r="U1819" s="26">
        <f t="shared" si="647"/>
        <v>29.642448617905956</v>
      </c>
      <c r="V1819" s="26">
        <f t="shared" si="648"/>
        <v>9.3315678706151942E-2</v>
      </c>
      <c r="W1819" s="143"/>
      <c r="X1819" s="143"/>
      <c r="Y1819" s="143"/>
      <c r="Z1819" s="30">
        <f t="shared" si="662"/>
        <v>0</v>
      </c>
      <c r="AA1819" s="31">
        <f t="shared" si="620"/>
        <v>22</v>
      </c>
      <c r="AB1819" s="32">
        <v>3.2500000000000001E-2</v>
      </c>
      <c r="AC1819" s="32">
        <v>5.0500000000000003E-2</v>
      </c>
      <c r="AD1819" s="33">
        <f t="shared" si="602"/>
        <v>0.22636338336923853</v>
      </c>
      <c r="AE1819" s="34">
        <f t="shared" si="603"/>
        <v>2.458738312046407E-2</v>
      </c>
      <c r="AF1819" s="33">
        <f t="shared" si="604"/>
        <v>4.9123575010339975E-2</v>
      </c>
      <c r="AG1819" s="33">
        <f t="shared" si="605"/>
        <v>0</v>
      </c>
      <c r="AH1819" s="35">
        <f t="shared" si="606"/>
        <v>8.8282882060074397E-2</v>
      </c>
      <c r="AI1819" s="36">
        <f t="shared" si="655"/>
        <v>0.55644907600593219</v>
      </c>
      <c r="AJ1819" s="23"/>
      <c r="AK1819" s="120">
        <v>971</v>
      </c>
      <c r="AL1819" s="44"/>
      <c r="AM1819" s="44"/>
      <c r="AN1819" s="44"/>
      <c r="AO1819" s="44"/>
      <c r="AP1819" s="44"/>
      <c r="AQ1819" s="44"/>
      <c r="AR1819" s="44"/>
    </row>
    <row r="1820" spans="1:44" ht="16.8">
      <c r="A1820" s="64" t="s">
        <v>3528</v>
      </c>
      <c r="B1820" s="62">
        <v>704</v>
      </c>
      <c r="C1820" s="62" t="s">
        <v>3529</v>
      </c>
      <c r="D1820" s="19" t="s">
        <v>3530</v>
      </c>
      <c r="E1820" s="20" t="s">
        <v>414</v>
      </c>
      <c r="F1820" s="21">
        <v>2007</v>
      </c>
      <c r="G1820" s="40">
        <v>2021</v>
      </c>
      <c r="H1820" s="23">
        <v>286900621436</v>
      </c>
      <c r="I1820" s="23">
        <v>811532609215</v>
      </c>
      <c r="J1820" s="23">
        <v>10527484653</v>
      </c>
      <c r="K1820" s="23">
        <f>(J1820+13745386343)/2</f>
        <v>12136435498</v>
      </c>
      <c r="L1820" s="23">
        <v>10527484653</v>
      </c>
      <c r="M1820" s="23">
        <f t="shared" si="621"/>
        <v>801005124562</v>
      </c>
      <c r="N1820" s="23">
        <v>167159108888</v>
      </c>
      <c r="O1820" s="25">
        <f t="shared" si="643"/>
        <v>276373136783</v>
      </c>
      <c r="P1820" s="23">
        <v>-38539402593</v>
      </c>
      <c r="Q1820" s="23">
        <f>25320826434+10122475601</f>
        <v>35443302035</v>
      </c>
      <c r="R1820" s="25">
        <f t="shared" si="644"/>
        <v>131715806853</v>
      </c>
      <c r="S1820" s="26">
        <f t="shared" si="645"/>
        <v>1.2972349519242726E-2</v>
      </c>
      <c r="T1820" s="27">
        <f t="shared" si="646"/>
        <v>27.252532859712353</v>
      </c>
      <c r="U1820" s="26">
        <f t="shared" si="647"/>
        <v>27.422190406969246</v>
      </c>
      <c r="V1820" s="26">
        <f t="shared" si="648"/>
        <v>13.77332816670485</v>
      </c>
      <c r="W1820" s="143"/>
      <c r="X1820" s="143"/>
      <c r="Y1820" s="143"/>
      <c r="Z1820" s="30">
        <f t="shared" si="662"/>
        <v>0</v>
      </c>
      <c r="AA1820" s="31">
        <f t="shared" si="620"/>
        <v>14</v>
      </c>
      <c r="AB1820" s="32">
        <v>1.84E-2</v>
      </c>
      <c r="AC1820" s="32">
        <v>2.58E-2</v>
      </c>
      <c r="AD1820" s="33">
        <f t="shared" si="602"/>
        <v>0.34055703202159338</v>
      </c>
      <c r="AE1820" s="34">
        <f t="shared" si="603"/>
        <v>-4.7489653718634152E-2</v>
      </c>
      <c r="AF1820" s="33">
        <f t="shared" si="604"/>
        <v>0.16230500827367791</v>
      </c>
      <c r="AG1820" s="33">
        <f t="shared" si="605"/>
        <v>0</v>
      </c>
      <c r="AH1820" s="35">
        <f t="shared" si="606"/>
        <v>15.878352179821507</v>
      </c>
      <c r="AI1820" s="36">
        <f t="shared" si="655"/>
        <v>16.756141630344469</v>
      </c>
      <c r="AJ1820" s="23"/>
      <c r="AK1820" s="120">
        <v>972</v>
      </c>
      <c r="AL1820" s="44"/>
      <c r="AM1820" s="44"/>
      <c r="AN1820" s="44"/>
      <c r="AO1820" s="44"/>
      <c r="AP1820" s="44"/>
      <c r="AQ1820" s="44"/>
      <c r="AR1820" s="44"/>
    </row>
    <row r="1821" spans="1:44" ht="16.8">
      <c r="A1821" s="64" t="s">
        <v>3531</v>
      </c>
      <c r="B1821" s="62"/>
      <c r="C1821" s="62" t="s">
        <v>3529</v>
      </c>
      <c r="D1821" s="19" t="s">
        <v>3530</v>
      </c>
      <c r="E1821" s="20" t="s">
        <v>414</v>
      </c>
      <c r="F1821" s="21">
        <v>2007</v>
      </c>
      <c r="G1821" s="40">
        <v>2022</v>
      </c>
      <c r="H1821" s="23">
        <v>407839783960</v>
      </c>
      <c r="I1821" s="23">
        <v>857093328952</v>
      </c>
      <c r="J1821" s="23">
        <v>13111133494</v>
      </c>
      <c r="K1821" s="23">
        <f t="shared" ref="K1821:K1822" si="664">SUM(J1820:J1821)/2</f>
        <v>11819309073.5</v>
      </c>
      <c r="L1821" s="23">
        <v>13111133494</v>
      </c>
      <c r="M1821" s="23">
        <f t="shared" si="621"/>
        <v>843982195458</v>
      </c>
      <c r="N1821" s="23">
        <v>409849711359</v>
      </c>
      <c r="O1821" s="25">
        <f t="shared" si="643"/>
        <v>394728650466</v>
      </c>
      <c r="P1821" s="23">
        <v>42977070896</v>
      </c>
      <c r="Q1821" s="23">
        <f>44079332929+12760850274</f>
        <v>56840183203</v>
      </c>
      <c r="R1821" s="25">
        <f t="shared" si="644"/>
        <v>353009528156</v>
      </c>
      <c r="S1821" s="26">
        <f t="shared" si="645"/>
        <v>1.5297206326446936E-2</v>
      </c>
      <c r="T1821" s="27">
        <f t="shared" si="646"/>
        <v>31.106371096491255</v>
      </c>
      <c r="U1821" s="26">
        <f t="shared" si="647"/>
        <v>27.47681265154246</v>
      </c>
      <c r="V1821" s="26">
        <f t="shared" si="648"/>
        <v>34.676283428269215</v>
      </c>
      <c r="W1821" s="143"/>
      <c r="X1821" s="143"/>
      <c r="Y1821" s="143"/>
      <c r="Z1821" s="30">
        <f t="shared" si="662"/>
        <v>0</v>
      </c>
      <c r="AA1821" s="31">
        <f t="shared" si="620"/>
        <v>15</v>
      </c>
      <c r="AB1821" s="32">
        <v>3.15E-2</v>
      </c>
      <c r="AC1821" s="32">
        <v>8.0199999999999994E-2</v>
      </c>
      <c r="AD1821" s="33">
        <f t="shared" si="602"/>
        <v>0.46054337040360521</v>
      </c>
      <c r="AE1821" s="34">
        <f t="shared" si="603"/>
        <v>5.0142813441973313E-2</v>
      </c>
      <c r="AF1821" s="33">
        <f t="shared" si="604"/>
        <v>0.4118682484527536</v>
      </c>
      <c r="AG1821" s="33">
        <f t="shared" si="605"/>
        <v>0</v>
      </c>
      <c r="AH1821" s="35">
        <f t="shared" si="606"/>
        <v>31.259670382164746</v>
      </c>
      <c r="AI1821" s="36">
        <f t="shared" si="655"/>
        <v>33.241687585361923</v>
      </c>
      <c r="AJ1821" s="23"/>
      <c r="AK1821" s="120">
        <v>973</v>
      </c>
      <c r="AL1821" s="44"/>
      <c r="AM1821" s="44"/>
      <c r="AN1821" s="44"/>
      <c r="AO1821" s="44"/>
      <c r="AP1821" s="44"/>
      <c r="AQ1821" s="44"/>
      <c r="AR1821" s="44"/>
    </row>
    <row r="1822" spans="1:44" ht="16.8">
      <c r="A1822" s="64" t="s">
        <v>3532</v>
      </c>
      <c r="B1822" s="62"/>
      <c r="C1822" s="62" t="s">
        <v>3529</v>
      </c>
      <c r="D1822" s="19" t="s">
        <v>3530</v>
      </c>
      <c r="E1822" s="20" t="s">
        <v>414</v>
      </c>
      <c r="F1822" s="21">
        <v>2007</v>
      </c>
      <c r="G1822" s="40">
        <v>2023</v>
      </c>
      <c r="H1822" s="23">
        <v>549294422566</v>
      </c>
      <c r="I1822" s="23">
        <v>897399839232</v>
      </c>
      <c r="J1822" s="23">
        <v>15372732529</v>
      </c>
      <c r="K1822" s="23">
        <f t="shared" si="664"/>
        <v>14241933011.5</v>
      </c>
      <c r="L1822" s="23">
        <v>15372732529</v>
      </c>
      <c r="M1822" s="23">
        <f t="shared" si="621"/>
        <v>882027106703</v>
      </c>
      <c r="N1822" s="23">
        <v>409409403099</v>
      </c>
      <c r="O1822" s="25">
        <f t="shared" si="643"/>
        <v>533921690037</v>
      </c>
      <c r="P1822" s="23">
        <v>69710778745</v>
      </c>
      <c r="Q1822" s="23">
        <f>45438146531+1508018873</f>
        <v>46946165404</v>
      </c>
      <c r="R1822" s="25">
        <f t="shared" si="644"/>
        <v>362463237695</v>
      </c>
      <c r="S1822" s="26">
        <f t="shared" si="645"/>
        <v>1.7130304527529304E-2</v>
      </c>
      <c r="T1822" s="27">
        <f t="shared" si="646"/>
        <v>35.731736145787984</v>
      </c>
      <c r="U1822" s="26">
        <f t="shared" si="647"/>
        <v>27.522767351339628</v>
      </c>
      <c r="V1822" s="26">
        <f t="shared" si="648"/>
        <v>28.746758095857654</v>
      </c>
      <c r="W1822" s="143"/>
      <c r="X1822" s="143"/>
      <c r="Y1822" s="143"/>
      <c r="Z1822" s="30">
        <f t="shared" si="662"/>
        <v>0</v>
      </c>
      <c r="AA1822" s="31">
        <f t="shared" si="620"/>
        <v>16</v>
      </c>
      <c r="AB1822" s="32">
        <v>3.2500000000000001E-2</v>
      </c>
      <c r="AC1822" s="32">
        <v>5.0500000000000003E-2</v>
      </c>
      <c r="AD1822" s="33">
        <f t="shared" si="602"/>
        <v>0.5949652169471451</v>
      </c>
      <c r="AE1822" s="34">
        <f t="shared" si="603"/>
        <v>7.7680846036989368E-2</v>
      </c>
      <c r="AF1822" s="33">
        <f t="shared" si="604"/>
        <v>0.40390383622666809</v>
      </c>
      <c r="AG1822" s="33">
        <f t="shared" si="605"/>
        <v>0</v>
      </c>
      <c r="AH1822" s="35">
        <f t="shared" si="606"/>
        <v>26.632181515333514</v>
      </c>
      <c r="AI1822" s="36">
        <f t="shared" si="655"/>
        <v>28.787775619669876</v>
      </c>
      <c r="AJ1822" s="23"/>
      <c r="AK1822" s="120">
        <v>974</v>
      </c>
      <c r="AL1822" s="44"/>
      <c r="AM1822" s="44"/>
      <c r="AN1822" s="44"/>
      <c r="AO1822" s="44"/>
      <c r="AP1822" s="44"/>
      <c r="AQ1822" s="44"/>
      <c r="AR1822" s="44"/>
    </row>
    <row r="1823" spans="1:44" ht="16.8">
      <c r="A1823" s="64" t="s">
        <v>3533</v>
      </c>
      <c r="B1823" s="62">
        <v>705</v>
      </c>
      <c r="C1823" s="62" t="s">
        <v>3534</v>
      </c>
      <c r="D1823" s="19" t="s">
        <v>3535</v>
      </c>
      <c r="E1823" s="20" t="s">
        <v>414</v>
      </c>
      <c r="F1823" s="21">
        <v>1974</v>
      </c>
      <c r="G1823" s="40">
        <v>2021</v>
      </c>
      <c r="H1823" s="23">
        <v>17302449038</v>
      </c>
      <c r="I1823" s="23">
        <v>417456941403</v>
      </c>
      <c r="J1823" s="23">
        <v>215735271772</v>
      </c>
      <c r="K1823" s="23">
        <f>(J1823+269209190321)/2</f>
        <v>242472231046.5</v>
      </c>
      <c r="L1823" s="23">
        <v>132145271772</v>
      </c>
      <c r="M1823" s="23">
        <f t="shared" si="621"/>
        <v>201721669631</v>
      </c>
      <c r="N1823" s="23">
        <v>81727998486</v>
      </c>
      <c r="O1823" s="25">
        <f t="shared" si="643"/>
        <v>-114842822734</v>
      </c>
      <c r="P1823" s="23">
        <v>21856476940</v>
      </c>
      <c r="Q1823" s="23">
        <f>137145082+1714885638</f>
        <v>1852030720</v>
      </c>
      <c r="R1823" s="25">
        <f t="shared" si="644"/>
        <v>79875967766</v>
      </c>
      <c r="S1823" s="26">
        <f t="shared" si="645"/>
        <v>0.51678448811259758</v>
      </c>
      <c r="T1823" s="27">
        <f t="shared" si="646"/>
        <v>0.13093505962024274</v>
      </c>
      <c r="U1823" s="26">
        <f t="shared" si="647"/>
        <v>26.757447241554534</v>
      </c>
      <c r="V1823" s="26">
        <f t="shared" si="648"/>
        <v>0.33706127144236425</v>
      </c>
      <c r="W1823" s="143"/>
      <c r="X1823" s="143"/>
      <c r="Y1823" s="143"/>
      <c r="Z1823" s="30">
        <f t="shared" si="662"/>
        <v>0</v>
      </c>
      <c r="AA1823" s="31">
        <f t="shared" si="620"/>
        <v>47</v>
      </c>
      <c r="AB1823" s="32">
        <v>1.84E-2</v>
      </c>
      <c r="AC1823" s="32">
        <v>2.58E-2</v>
      </c>
      <c r="AD1823" s="33">
        <f t="shared" si="602"/>
        <v>-0.27510100166985674</v>
      </c>
      <c r="AE1823" s="34">
        <f t="shared" si="603"/>
        <v>5.2356242697855715E-2</v>
      </c>
      <c r="AF1823" s="33">
        <f t="shared" si="604"/>
        <v>0.19133941694094436</v>
      </c>
      <c r="AG1823" s="33">
        <f t="shared" si="605"/>
        <v>0</v>
      </c>
      <c r="AH1823" s="35">
        <f t="shared" si="606"/>
        <v>0.37883466071498173</v>
      </c>
      <c r="AI1823" s="36">
        <f t="shared" si="655"/>
        <v>0.7534322743932681</v>
      </c>
      <c r="AJ1823" s="23"/>
      <c r="AK1823" s="120">
        <v>975</v>
      </c>
      <c r="AL1823" s="44"/>
      <c r="AM1823" s="44"/>
      <c r="AN1823" s="44"/>
      <c r="AO1823" s="44"/>
      <c r="AP1823" s="44"/>
      <c r="AQ1823" s="44"/>
      <c r="AR1823" s="44"/>
    </row>
    <row r="1824" spans="1:44" ht="16.8">
      <c r="A1824" s="64" t="s">
        <v>3536</v>
      </c>
      <c r="B1824" s="62"/>
      <c r="C1824" s="62" t="s">
        <v>3534</v>
      </c>
      <c r="D1824" s="19" t="s">
        <v>3535</v>
      </c>
      <c r="E1824" s="20" t="s">
        <v>414</v>
      </c>
      <c r="F1824" s="21">
        <v>1974</v>
      </c>
      <c r="G1824" s="40">
        <v>2022</v>
      </c>
      <c r="H1824" s="23">
        <v>15316602021</v>
      </c>
      <c r="I1824" s="23">
        <v>389916025681</v>
      </c>
      <c r="J1824" s="23">
        <v>160966453345</v>
      </c>
      <c r="K1824" s="23">
        <f t="shared" ref="K1824:K1825" si="665">SUM(J1823:J1824)/2</f>
        <v>188350862558.5</v>
      </c>
      <c r="L1824" s="23">
        <v>81376453345</v>
      </c>
      <c r="M1824" s="23">
        <f t="shared" si="621"/>
        <v>228949572336</v>
      </c>
      <c r="N1824" s="23">
        <v>84766350967</v>
      </c>
      <c r="O1824" s="25">
        <f t="shared" si="643"/>
        <v>-66059851324</v>
      </c>
      <c r="P1824" s="23">
        <v>29416605852</v>
      </c>
      <c r="Q1824" s="23">
        <f>16296720+2096221208</f>
        <v>2112517928</v>
      </c>
      <c r="R1824" s="25">
        <f t="shared" si="644"/>
        <v>82653833039</v>
      </c>
      <c r="S1824" s="26">
        <f t="shared" si="645"/>
        <v>0.41282338437838578</v>
      </c>
      <c r="T1824" s="27">
        <f t="shared" si="646"/>
        <v>0.18821909030692716</v>
      </c>
      <c r="U1824" s="26">
        <f t="shared" si="647"/>
        <v>26.689197234119021</v>
      </c>
      <c r="V1824" s="26">
        <f t="shared" si="648"/>
        <v>0.4500449311224809</v>
      </c>
      <c r="W1824" s="143"/>
      <c r="X1824" s="143"/>
      <c r="Y1824" s="143"/>
      <c r="Z1824" s="30">
        <f t="shared" si="662"/>
        <v>0</v>
      </c>
      <c r="AA1824" s="31">
        <f t="shared" si="620"/>
        <v>48</v>
      </c>
      <c r="AB1824" s="32">
        <v>3.15E-2</v>
      </c>
      <c r="AC1824" s="32">
        <v>8.0199999999999994E-2</v>
      </c>
      <c r="AD1824" s="33">
        <f t="shared" si="602"/>
        <v>-0.16942071362320771</v>
      </c>
      <c r="AE1824" s="34">
        <f t="shared" si="603"/>
        <v>7.5443438880520533E-2</v>
      </c>
      <c r="AF1824" s="33">
        <f t="shared" si="604"/>
        <v>0.21197854818776071</v>
      </c>
      <c r="AG1824" s="33">
        <f t="shared" si="605"/>
        <v>0</v>
      </c>
      <c r="AH1824" s="35">
        <f t="shared" si="606"/>
        <v>0.52660880081217898</v>
      </c>
      <c r="AI1824" s="36">
        <f t="shared" si="655"/>
        <v>1.128453967916669</v>
      </c>
      <c r="AJ1824" s="23"/>
      <c r="AK1824" s="120">
        <v>976</v>
      </c>
      <c r="AL1824" s="44"/>
      <c r="AM1824" s="44"/>
      <c r="AN1824" s="44"/>
      <c r="AO1824" s="44"/>
      <c r="AP1824" s="44"/>
      <c r="AQ1824" s="44"/>
      <c r="AR1824" s="44"/>
    </row>
    <row r="1825" spans="1:44" ht="16.8">
      <c r="A1825" s="64" t="s">
        <v>3537</v>
      </c>
      <c r="B1825" s="62"/>
      <c r="C1825" s="62" t="s">
        <v>3534</v>
      </c>
      <c r="D1825" s="19" t="s">
        <v>3535</v>
      </c>
      <c r="E1825" s="20" t="s">
        <v>414</v>
      </c>
      <c r="F1825" s="21">
        <v>1974</v>
      </c>
      <c r="G1825" s="40">
        <v>2023</v>
      </c>
      <c r="H1825" s="23">
        <v>107914499280</v>
      </c>
      <c r="I1825" s="23">
        <v>455998582638</v>
      </c>
      <c r="J1825" s="23">
        <v>220855290434</v>
      </c>
      <c r="K1825" s="23">
        <f t="shared" si="665"/>
        <v>190910871889.5</v>
      </c>
      <c r="L1825" s="23">
        <v>36765290434</v>
      </c>
      <c r="M1825" s="23">
        <f t="shared" si="621"/>
        <v>235143292204</v>
      </c>
      <c r="N1825" s="23">
        <v>76328280982</v>
      </c>
      <c r="O1825" s="25">
        <f t="shared" si="643"/>
        <v>71149208846</v>
      </c>
      <c r="P1825" s="23">
        <v>11956940403</v>
      </c>
      <c r="Q1825" s="23">
        <v>2788355528</v>
      </c>
      <c r="R1825" s="25">
        <f t="shared" si="644"/>
        <v>73539925454</v>
      </c>
      <c r="S1825" s="26">
        <f t="shared" si="645"/>
        <v>0.4843332826964698</v>
      </c>
      <c r="T1825" s="27">
        <f t="shared" si="646"/>
        <v>2.9352277108683538</v>
      </c>
      <c r="U1825" s="26">
        <f t="shared" si="647"/>
        <v>26.845755538205967</v>
      </c>
      <c r="V1825" s="26">
        <f t="shared" si="648"/>
        <v>0.39981107532827742</v>
      </c>
      <c r="W1825" s="143"/>
      <c r="X1825" s="143"/>
      <c r="Y1825" s="143"/>
      <c r="Z1825" s="30">
        <f t="shared" si="662"/>
        <v>0</v>
      </c>
      <c r="AA1825" s="31">
        <f t="shared" si="620"/>
        <v>49</v>
      </c>
      <c r="AB1825" s="32">
        <v>3.2500000000000001E-2</v>
      </c>
      <c r="AC1825" s="32">
        <v>5.0500000000000003E-2</v>
      </c>
      <c r="AD1825" s="33">
        <f t="shared" si="602"/>
        <v>0.15602945174608726</v>
      </c>
      <c r="AE1825" s="34">
        <f t="shared" si="603"/>
        <v>2.6221442035691944E-2</v>
      </c>
      <c r="AF1825" s="33">
        <f t="shared" si="604"/>
        <v>0.16127226762101707</v>
      </c>
      <c r="AG1825" s="33">
        <f t="shared" si="605"/>
        <v>0</v>
      </c>
      <c r="AH1825" s="35">
        <f t="shared" si="606"/>
        <v>0.34560313602634668</v>
      </c>
      <c r="AI1825" s="36">
        <f t="shared" si="655"/>
        <v>1.1017469801209763</v>
      </c>
      <c r="AJ1825" s="23"/>
      <c r="AK1825" s="120">
        <v>977</v>
      </c>
      <c r="AL1825" s="44"/>
      <c r="AM1825" s="44"/>
      <c r="AN1825" s="44"/>
      <c r="AO1825" s="44"/>
      <c r="AP1825" s="44"/>
      <c r="AQ1825" s="44"/>
      <c r="AR1825" s="44"/>
    </row>
    <row r="1826" spans="1:44" ht="16.8">
      <c r="A1826" s="64" t="s">
        <v>3538</v>
      </c>
      <c r="B1826" s="62">
        <v>706</v>
      </c>
      <c r="C1826" s="62" t="s">
        <v>3539</v>
      </c>
      <c r="D1826" s="19" t="s">
        <v>3540</v>
      </c>
      <c r="E1826" s="20" t="s">
        <v>414</v>
      </c>
      <c r="F1826" s="21">
        <v>1988</v>
      </c>
      <c r="G1826" s="40">
        <v>2021</v>
      </c>
      <c r="H1826" s="23">
        <v>7021183485885</v>
      </c>
      <c r="I1826" s="23">
        <v>9005778911345</v>
      </c>
      <c r="J1826" s="23">
        <v>6586901713878</v>
      </c>
      <c r="K1826" s="23">
        <f>(J1826+5136955762978)/2</f>
        <v>5861928738428</v>
      </c>
      <c r="L1826" s="23">
        <v>6120492799994</v>
      </c>
      <c r="M1826" s="23">
        <f t="shared" si="621"/>
        <v>2418877197467</v>
      </c>
      <c r="N1826" s="23">
        <v>21318535820136</v>
      </c>
      <c r="O1826" s="25">
        <f t="shared" si="643"/>
        <v>900690685891</v>
      </c>
      <c r="P1826" s="23">
        <v>901050511024</v>
      </c>
      <c r="Q1826" s="23">
        <f>219066075994+127199563622</f>
        <v>346265639616</v>
      </c>
      <c r="R1826" s="25">
        <f t="shared" si="644"/>
        <v>20972270180520</v>
      </c>
      <c r="S1826" s="26">
        <f t="shared" si="645"/>
        <v>0.7314083299979941</v>
      </c>
      <c r="T1826" s="27">
        <f t="shared" si="646"/>
        <v>1.1471598309684938</v>
      </c>
      <c r="U1826" s="26">
        <f t="shared" si="647"/>
        <v>29.828887588466511</v>
      </c>
      <c r="V1826" s="26">
        <f t="shared" si="648"/>
        <v>3.6367784003210204</v>
      </c>
      <c r="W1826" s="143"/>
      <c r="X1826" s="143"/>
      <c r="Y1826" s="143"/>
      <c r="Z1826" s="30">
        <f t="shared" si="662"/>
        <v>0</v>
      </c>
      <c r="AA1826" s="31">
        <f t="shared" si="620"/>
        <v>33</v>
      </c>
      <c r="AB1826" s="32">
        <v>1.84E-2</v>
      </c>
      <c r="AC1826" s="32">
        <v>2.58E-2</v>
      </c>
      <c r="AD1826" s="33">
        <f t="shared" si="602"/>
        <v>0.10001252470859105</v>
      </c>
      <c r="AE1826" s="34">
        <f t="shared" si="603"/>
        <v>0.10005247962382295</v>
      </c>
      <c r="AF1826" s="33">
        <f t="shared" si="604"/>
        <v>2.3287569445104022</v>
      </c>
      <c r="AG1826" s="33">
        <f t="shared" si="605"/>
        <v>0</v>
      </c>
      <c r="AH1826" s="35">
        <f t="shared" si="606"/>
        <v>3.2365043151045949</v>
      </c>
      <c r="AI1826" s="36">
        <f t="shared" si="655"/>
        <v>11.181490733112582</v>
      </c>
      <c r="AJ1826" s="23"/>
      <c r="AK1826" s="120">
        <v>978</v>
      </c>
      <c r="AL1826" s="44"/>
      <c r="AM1826" s="44"/>
      <c r="AN1826" s="44"/>
      <c r="AO1826" s="44"/>
      <c r="AP1826" s="44"/>
      <c r="AQ1826" s="44"/>
      <c r="AR1826" s="44"/>
    </row>
    <row r="1827" spans="1:44" ht="16.8">
      <c r="A1827" s="64" t="s">
        <v>3541</v>
      </c>
      <c r="B1827" s="62"/>
      <c r="C1827" s="62" t="s">
        <v>3539</v>
      </c>
      <c r="D1827" s="19" t="s">
        <v>3540</v>
      </c>
      <c r="E1827" s="20" t="s">
        <v>414</v>
      </c>
      <c r="F1827" s="21">
        <v>1988</v>
      </c>
      <c r="G1827" s="40">
        <v>2022</v>
      </c>
      <c r="H1827" s="23">
        <v>6272892840592</v>
      </c>
      <c r="I1827" s="23">
        <v>8329093955830</v>
      </c>
      <c r="J1827" s="23">
        <v>6606025072604</v>
      </c>
      <c r="K1827" s="23">
        <f t="shared" ref="K1827:K1828" si="666">SUM(J1826:J1827)/2</f>
        <v>6596463393241</v>
      </c>
      <c r="L1827" s="23">
        <v>5992464511354</v>
      </c>
      <c r="M1827" s="23">
        <f t="shared" si="621"/>
        <v>1723068883226</v>
      </c>
      <c r="N1827" s="23">
        <v>23187514531782</v>
      </c>
      <c r="O1827" s="25">
        <f t="shared" si="643"/>
        <v>280428329238</v>
      </c>
      <c r="P1827" s="23">
        <v>-651831083741</v>
      </c>
      <c r="Q1827" s="23">
        <f>209785898048+123433305078</f>
        <v>333219203126</v>
      </c>
      <c r="R1827" s="25">
        <f t="shared" si="644"/>
        <v>22854295328656</v>
      </c>
      <c r="S1827" s="26">
        <f t="shared" si="645"/>
        <v>0.79312649222549259</v>
      </c>
      <c r="T1827" s="27">
        <f t="shared" si="646"/>
        <v>1.0467968277003008</v>
      </c>
      <c r="U1827" s="26">
        <f t="shared" si="647"/>
        <v>29.750775797383621</v>
      </c>
      <c r="V1827" s="26">
        <f t="shared" si="648"/>
        <v>3.5151433653889224</v>
      </c>
      <c r="W1827" s="143"/>
      <c r="X1827" s="143"/>
      <c r="Y1827" s="143"/>
      <c r="Z1827" s="30">
        <f t="shared" si="662"/>
        <v>0</v>
      </c>
      <c r="AA1827" s="31">
        <f t="shared" si="620"/>
        <v>34</v>
      </c>
      <c r="AB1827" s="32">
        <v>3.15E-2</v>
      </c>
      <c r="AC1827" s="32">
        <v>8.0199999999999994E-2</v>
      </c>
      <c r="AD1827" s="33">
        <f t="shared" si="602"/>
        <v>3.3668527540346986E-2</v>
      </c>
      <c r="AE1827" s="34">
        <f t="shared" si="603"/>
        <v>-7.8259542658267997E-2</v>
      </c>
      <c r="AF1827" s="33">
        <f t="shared" si="604"/>
        <v>2.7439113365576815</v>
      </c>
      <c r="AG1827" s="33">
        <f t="shared" si="605"/>
        <v>0</v>
      </c>
      <c r="AH1827" s="35">
        <f t="shared" si="606"/>
        <v>3.5100554837346105</v>
      </c>
      <c r="AI1827" s="36">
        <f t="shared" si="655"/>
        <v>12.495801767701801</v>
      </c>
      <c r="AJ1827" s="23"/>
      <c r="AK1827" s="120">
        <v>979</v>
      </c>
      <c r="AL1827" s="44"/>
      <c r="AM1827" s="44"/>
      <c r="AN1827" s="44"/>
      <c r="AO1827" s="44"/>
      <c r="AP1827" s="44"/>
      <c r="AQ1827" s="44"/>
      <c r="AR1827" s="44"/>
    </row>
    <row r="1828" spans="1:44" ht="16.8">
      <c r="A1828" s="64" t="s">
        <v>3542</v>
      </c>
      <c r="B1828" s="62"/>
      <c r="C1828" s="62" t="s">
        <v>3539</v>
      </c>
      <c r="D1828" s="19" t="s">
        <v>3540</v>
      </c>
      <c r="E1828" s="20" t="s">
        <v>414</v>
      </c>
      <c r="F1828" s="21">
        <v>1988</v>
      </c>
      <c r="G1828" s="40">
        <v>2023</v>
      </c>
      <c r="H1828" s="23">
        <v>3981869829063</v>
      </c>
      <c r="I1828" s="23">
        <v>6178691063726</v>
      </c>
      <c r="J1828" s="23">
        <v>5380921223677</v>
      </c>
      <c r="K1828" s="23">
        <f t="shared" si="666"/>
        <v>5993473148140.5</v>
      </c>
      <c r="L1828" s="23">
        <v>5007005374944</v>
      </c>
      <c r="M1828" s="23">
        <f t="shared" si="621"/>
        <v>797769840049</v>
      </c>
      <c r="N1828" s="23">
        <v>13703621127260</v>
      </c>
      <c r="O1828" s="25">
        <f t="shared" si="643"/>
        <v>-1025135545881</v>
      </c>
      <c r="P1828" s="23">
        <v>-925299043177</v>
      </c>
      <c r="Q1828" s="23">
        <f>122841658513+623223853484</f>
        <v>746065511997</v>
      </c>
      <c r="R1828" s="25">
        <f t="shared" si="644"/>
        <v>12957555615263</v>
      </c>
      <c r="S1828" s="26">
        <f t="shared" si="645"/>
        <v>0.87088368202570199</v>
      </c>
      <c r="T1828" s="27">
        <f t="shared" si="646"/>
        <v>0.79525974727109905</v>
      </c>
      <c r="U1828" s="26">
        <f t="shared" si="647"/>
        <v>29.452127562978855</v>
      </c>
      <c r="V1828" s="26">
        <f t="shared" si="648"/>
        <v>2.2864240463831234</v>
      </c>
      <c r="W1828" s="143"/>
      <c r="X1828" s="143"/>
      <c r="Y1828" s="143"/>
      <c r="Z1828" s="30">
        <f t="shared" si="662"/>
        <v>0</v>
      </c>
      <c r="AA1828" s="31">
        <f t="shared" si="620"/>
        <v>35</v>
      </c>
      <c r="AB1828" s="32">
        <v>3.2500000000000001E-2</v>
      </c>
      <c r="AC1828" s="32">
        <v>5.0500000000000003E-2</v>
      </c>
      <c r="AD1828" s="33">
        <f t="shared" si="602"/>
        <v>-0.16591467922702741</v>
      </c>
      <c r="AE1828" s="34">
        <f t="shared" si="603"/>
        <v>-0.14975648298864894</v>
      </c>
      <c r="AF1828" s="33">
        <f t="shared" si="604"/>
        <v>2.0971360247050566</v>
      </c>
      <c r="AG1828" s="33">
        <f t="shared" si="605"/>
        <v>0</v>
      </c>
      <c r="AH1828" s="35">
        <f t="shared" si="606"/>
        <v>2.5467053981317651</v>
      </c>
      <c r="AI1828" s="36">
        <f t="shared" si="655"/>
        <v>9.0584975884019094</v>
      </c>
      <c r="AJ1828" s="23"/>
      <c r="AK1828" s="120">
        <v>980</v>
      </c>
      <c r="AL1828" s="44"/>
      <c r="AM1828" s="44"/>
      <c r="AN1828" s="44"/>
      <c r="AO1828" s="44"/>
      <c r="AP1828" s="44"/>
      <c r="AQ1828" s="44"/>
      <c r="AR1828" s="44"/>
    </row>
    <row r="1829" spans="1:44" ht="16.8">
      <c r="A1829" s="64" t="s">
        <v>3543</v>
      </c>
      <c r="B1829" s="62">
        <v>707</v>
      </c>
      <c r="C1829" s="62" t="s">
        <v>3544</v>
      </c>
      <c r="D1829" s="19" t="s">
        <v>3545</v>
      </c>
      <c r="E1829" s="20" t="s">
        <v>414</v>
      </c>
      <c r="F1829" s="21">
        <v>1988</v>
      </c>
      <c r="G1829" s="40">
        <v>2021</v>
      </c>
      <c r="H1829" s="23">
        <v>882578604981</v>
      </c>
      <c r="I1829" s="23">
        <v>1068255007852</v>
      </c>
      <c r="J1829" s="23">
        <v>282581993390</v>
      </c>
      <c r="K1829" s="23">
        <f>(J1829+288561324243)/2</f>
        <v>285571658816.5</v>
      </c>
      <c r="L1829" s="23">
        <v>282581993390</v>
      </c>
      <c r="M1829" s="23">
        <f t="shared" si="621"/>
        <v>785673014462</v>
      </c>
      <c r="N1829" s="23">
        <v>768359616822</v>
      </c>
      <c r="O1829" s="25">
        <f t="shared" si="643"/>
        <v>599996611591</v>
      </c>
      <c r="P1829" s="23">
        <v>20193713066</v>
      </c>
      <c r="Q1829" s="23">
        <f>32994429430+13302639386</f>
        <v>46297068816</v>
      </c>
      <c r="R1829" s="25">
        <f t="shared" si="644"/>
        <v>722062548006</v>
      </c>
      <c r="S1829" s="26">
        <f t="shared" si="645"/>
        <v>0.26452672003682287</v>
      </c>
      <c r="T1829" s="27">
        <f t="shared" si="646"/>
        <v>3.1232655499139552</v>
      </c>
      <c r="U1829" s="26">
        <f t="shared" si="647"/>
        <v>27.6970475993622</v>
      </c>
      <c r="V1829" s="26">
        <f t="shared" si="648"/>
        <v>2.6906017915304594</v>
      </c>
      <c r="W1829" s="143"/>
      <c r="X1829" s="143"/>
      <c r="Y1829" s="143"/>
      <c r="Z1829" s="30">
        <f t="shared" si="662"/>
        <v>0</v>
      </c>
      <c r="AA1829" s="31">
        <f t="shared" si="620"/>
        <v>33</v>
      </c>
      <c r="AB1829" s="32">
        <v>1.84E-2</v>
      </c>
      <c r="AC1829" s="32">
        <v>2.58E-2</v>
      </c>
      <c r="AD1829" s="33">
        <f t="shared" si="602"/>
        <v>0.56166047168591959</v>
      </c>
      <c r="AE1829" s="34">
        <f t="shared" si="603"/>
        <v>1.8903457430641608E-2</v>
      </c>
      <c r="AF1829" s="33">
        <f t="shared" si="604"/>
        <v>0.67592713602896326</v>
      </c>
      <c r="AG1829" s="33">
        <f t="shared" si="605"/>
        <v>0</v>
      </c>
      <c r="AH1829" s="35">
        <f t="shared" si="606"/>
        <v>2.7190678627620959</v>
      </c>
      <c r="AI1829" s="36">
        <f t="shared" si="655"/>
        <v>5.6500848180836769</v>
      </c>
      <c r="AJ1829" s="23"/>
      <c r="AK1829" s="120">
        <v>981</v>
      </c>
      <c r="AL1829" s="44"/>
      <c r="AM1829" s="44"/>
      <c r="AN1829" s="44"/>
      <c r="AO1829" s="44"/>
      <c r="AP1829" s="44"/>
      <c r="AQ1829" s="44"/>
      <c r="AR1829" s="44"/>
    </row>
    <row r="1830" spans="1:44" ht="16.8">
      <c r="A1830" s="64" t="s">
        <v>3546</v>
      </c>
      <c r="B1830" s="62"/>
      <c r="C1830" s="62" t="s">
        <v>3544</v>
      </c>
      <c r="D1830" s="19" t="s">
        <v>3545</v>
      </c>
      <c r="E1830" s="20" t="s">
        <v>414</v>
      </c>
      <c r="F1830" s="21">
        <v>1988</v>
      </c>
      <c r="G1830" s="40">
        <v>2022</v>
      </c>
      <c r="H1830" s="23">
        <v>913681104344</v>
      </c>
      <c r="I1830" s="23">
        <v>1065475624310</v>
      </c>
      <c r="J1830" s="23">
        <v>269677130032</v>
      </c>
      <c r="K1830" s="23">
        <f>SUM(J1829:J1830)/2</f>
        <v>276129561711</v>
      </c>
      <c r="L1830" s="23">
        <v>269677130032</v>
      </c>
      <c r="M1830" s="23">
        <f t="shared" si="621"/>
        <v>795798494278</v>
      </c>
      <c r="N1830" s="23">
        <v>771276505025</v>
      </c>
      <c r="O1830" s="25">
        <f t="shared" si="643"/>
        <v>644003974312</v>
      </c>
      <c r="P1830" s="23">
        <v>23895479816</v>
      </c>
      <c r="Q1830" s="23">
        <f>22936236302+15285818592</f>
        <v>38222054894</v>
      </c>
      <c r="R1830" s="25">
        <f t="shared" si="644"/>
        <v>733054450131</v>
      </c>
      <c r="S1830" s="26">
        <f t="shared" si="645"/>
        <v>0.25310492692560882</v>
      </c>
      <c r="T1830" s="27">
        <f t="shared" si="646"/>
        <v>3.3880555768135854</v>
      </c>
      <c r="U1830" s="26">
        <f t="shared" si="647"/>
        <v>27.69444241099205</v>
      </c>
      <c r="V1830" s="26">
        <f t="shared" si="648"/>
        <v>2.793168903198513</v>
      </c>
      <c r="W1830" s="143"/>
      <c r="X1830" s="143"/>
      <c r="Y1830" s="143"/>
      <c r="Z1830" s="30">
        <f t="shared" si="662"/>
        <v>0</v>
      </c>
      <c r="AA1830" s="31">
        <f t="shared" si="620"/>
        <v>34</v>
      </c>
      <c r="AB1830" s="32">
        <v>3.15E-2</v>
      </c>
      <c r="AC1830" s="32">
        <v>8.0199999999999994E-2</v>
      </c>
      <c r="AD1830" s="33">
        <f t="shared" si="602"/>
        <v>0.60442863226369514</v>
      </c>
      <c r="AE1830" s="34">
        <f t="shared" si="603"/>
        <v>2.2427054426021869E-2</v>
      </c>
      <c r="AF1830" s="33">
        <f t="shared" si="604"/>
        <v>0.68800677688494716</v>
      </c>
      <c r="AG1830" s="33">
        <f t="shared" si="605"/>
        <v>0</v>
      </c>
      <c r="AH1830" s="35">
        <f t="shared" si="606"/>
        <v>2.8599996778869605</v>
      </c>
      <c r="AI1830" s="36">
        <f t="shared" si="655"/>
        <v>5.8871342765201504</v>
      </c>
      <c r="AJ1830" s="23"/>
      <c r="AK1830" s="120">
        <v>982</v>
      </c>
      <c r="AL1830" s="44"/>
      <c r="AM1830" s="44"/>
      <c r="AN1830" s="44"/>
      <c r="AO1830" s="44"/>
      <c r="AP1830" s="44"/>
      <c r="AQ1830" s="44"/>
      <c r="AR1830" s="44"/>
    </row>
    <row r="1831" spans="1:44" ht="16.8">
      <c r="A1831" s="64" t="s">
        <v>3547</v>
      </c>
      <c r="B1831" s="62"/>
      <c r="C1831" s="62" t="s">
        <v>3544</v>
      </c>
      <c r="D1831" s="19" t="s">
        <v>3545</v>
      </c>
      <c r="E1831" s="20" t="s">
        <v>414</v>
      </c>
      <c r="F1831" s="21">
        <v>1988</v>
      </c>
      <c r="G1831" s="40">
        <v>2023</v>
      </c>
      <c r="H1831" s="23">
        <v>871634988487</v>
      </c>
      <c r="I1831" s="23">
        <v>1026374176514</v>
      </c>
      <c r="J1831" s="23">
        <v>220352735197</v>
      </c>
      <c r="K1831" s="23">
        <f>(J1831+271570927006)/2</f>
        <v>245961831101.5</v>
      </c>
      <c r="L1831" s="23">
        <v>202352735197</v>
      </c>
      <c r="M1831" s="23">
        <f t="shared" si="621"/>
        <v>806021441317</v>
      </c>
      <c r="N1831" s="23">
        <v>461031858201</v>
      </c>
      <c r="O1831" s="25">
        <f t="shared" si="643"/>
        <v>669282253290</v>
      </c>
      <c r="P1831" s="23">
        <v>12116744013</v>
      </c>
      <c r="Q1831" s="23">
        <f>22885871943+16306322107</f>
        <v>39192194050</v>
      </c>
      <c r="R1831" s="25">
        <f t="shared" si="644"/>
        <v>421839664151</v>
      </c>
      <c r="S1831" s="26">
        <f t="shared" si="645"/>
        <v>0.21469045133755305</v>
      </c>
      <c r="T1831" s="27">
        <f t="shared" si="646"/>
        <v>4.3075028743170778</v>
      </c>
      <c r="U1831" s="26">
        <f t="shared" si="647"/>
        <v>27.657053490650355</v>
      </c>
      <c r="V1831" s="26">
        <f t="shared" si="648"/>
        <v>1.8744040737391809</v>
      </c>
      <c r="W1831" s="143"/>
      <c r="X1831" s="143"/>
      <c r="Y1831" s="143"/>
      <c r="Z1831" s="30">
        <f t="shared" si="662"/>
        <v>0</v>
      </c>
      <c r="AA1831" s="31">
        <f t="shared" si="620"/>
        <v>35</v>
      </c>
      <c r="AB1831" s="32">
        <v>3.2500000000000001E-2</v>
      </c>
      <c r="AC1831" s="32">
        <v>5.0500000000000003E-2</v>
      </c>
      <c r="AD1831" s="33">
        <f t="shared" si="602"/>
        <v>0.65208407285066838</v>
      </c>
      <c r="AE1831" s="34">
        <f t="shared" si="603"/>
        <v>1.1805386661376826E-2</v>
      </c>
      <c r="AF1831" s="33">
        <f t="shared" si="604"/>
        <v>0.41099988074889565</v>
      </c>
      <c r="AG1831" s="33">
        <f t="shared" si="605"/>
        <v>0</v>
      </c>
      <c r="AH1831" s="35">
        <f t="shared" si="606"/>
        <v>2.0922447719508805</v>
      </c>
      <c r="AI1831" s="36">
        <f t="shared" si="655"/>
        <v>4.2475728071689662</v>
      </c>
      <c r="AJ1831" s="23"/>
      <c r="AK1831" s="120">
        <v>983</v>
      </c>
      <c r="AL1831" s="44"/>
      <c r="AM1831" s="44"/>
      <c r="AN1831" s="44"/>
      <c r="AO1831" s="44"/>
      <c r="AP1831" s="44"/>
      <c r="AQ1831" s="44"/>
      <c r="AR1831" s="44"/>
    </row>
    <row r="1832" spans="1:44" ht="16.8">
      <c r="A1832" s="64" t="s">
        <v>3548</v>
      </c>
      <c r="B1832" s="62">
        <v>708</v>
      </c>
      <c r="C1832" s="62" t="s">
        <v>3549</v>
      </c>
      <c r="D1832" s="19" t="s">
        <v>3550</v>
      </c>
      <c r="E1832" s="20" t="s">
        <v>414</v>
      </c>
      <c r="F1832" s="21">
        <v>1960</v>
      </c>
      <c r="G1832" s="40">
        <v>2021</v>
      </c>
      <c r="H1832" s="23">
        <v>507041219921</v>
      </c>
      <c r="I1832" s="23">
        <v>1235371486112</v>
      </c>
      <c r="J1832" s="23">
        <v>802778532457</v>
      </c>
      <c r="K1832" s="23">
        <f>(J1832+977141622159)/2</f>
        <v>889960077308</v>
      </c>
      <c r="L1832" s="23">
        <v>514726997327</v>
      </c>
      <c r="M1832" s="23">
        <f t="shared" si="621"/>
        <v>432592953655</v>
      </c>
      <c r="N1832" s="23">
        <v>994860378662</v>
      </c>
      <c r="O1832" s="25">
        <f t="shared" si="643"/>
        <v>-7685777406</v>
      </c>
      <c r="P1832" s="23">
        <v>40044808538</v>
      </c>
      <c r="Q1832" s="23">
        <f>45589692508+75216023903</f>
        <v>120805716411</v>
      </c>
      <c r="R1832" s="25">
        <f t="shared" si="644"/>
        <v>874054662251</v>
      </c>
      <c r="S1832" s="26">
        <f t="shared" si="645"/>
        <v>0.64982763604454707</v>
      </c>
      <c r="T1832" s="27">
        <f t="shared" si="646"/>
        <v>0.98506824501937418</v>
      </c>
      <c r="U1832" s="26">
        <f t="shared" si="647"/>
        <v>27.842392839248955</v>
      </c>
      <c r="V1832" s="26">
        <f t="shared" si="648"/>
        <v>1.1178707944645205</v>
      </c>
      <c r="W1832" s="143"/>
      <c r="X1832" s="143"/>
      <c r="Y1832" s="143"/>
      <c r="Z1832" s="30">
        <f t="shared" si="662"/>
        <v>0</v>
      </c>
      <c r="AA1832" s="31">
        <f t="shared" si="620"/>
        <v>61</v>
      </c>
      <c r="AB1832" s="32">
        <v>1.84E-2</v>
      </c>
      <c r="AC1832" s="32">
        <v>2.58E-2</v>
      </c>
      <c r="AD1832" s="33">
        <f t="shared" si="602"/>
        <v>-6.2214301466427075E-3</v>
      </c>
      <c r="AE1832" s="34">
        <f t="shared" si="603"/>
        <v>3.2415195743290368E-2</v>
      </c>
      <c r="AF1832" s="33">
        <f t="shared" si="604"/>
        <v>0.7075237465629487</v>
      </c>
      <c r="AG1832" s="33">
        <f t="shared" si="605"/>
        <v>0</v>
      </c>
      <c r="AH1832" s="35">
        <f t="shared" si="606"/>
        <v>1.2392712789878804</v>
      </c>
      <c r="AI1832" s="36">
        <f t="shared" si="655"/>
        <v>3.6120152005102462</v>
      </c>
      <c r="AJ1832" s="23"/>
      <c r="AK1832" s="120">
        <v>984</v>
      </c>
      <c r="AL1832" s="44"/>
      <c r="AM1832" s="44"/>
      <c r="AN1832" s="44"/>
      <c r="AO1832" s="44"/>
      <c r="AP1832" s="44"/>
      <c r="AQ1832" s="44"/>
      <c r="AR1832" s="44"/>
    </row>
    <row r="1833" spans="1:44" ht="16.8">
      <c r="A1833" s="64" t="s">
        <v>3551</v>
      </c>
      <c r="B1833" s="62"/>
      <c r="C1833" s="62" t="s">
        <v>3549</v>
      </c>
      <c r="D1833" s="19" t="s">
        <v>3550</v>
      </c>
      <c r="E1833" s="20" t="s">
        <v>414</v>
      </c>
      <c r="F1833" s="21">
        <v>1960</v>
      </c>
      <c r="G1833" s="40">
        <v>2022</v>
      </c>
      <c r="H1833" s="23">
        <v>530074887666</v>
      </c>
      <c r="I1833" s="23">
        <v>1245026039075</v>
      </c>
      <c r="J1833" s="23">
        <v>805693331661</v>
      </c>
      <c r="K1833" s="23">
        <f t="shared" ref="K1833:K1834" si="667">SUM(J1832:J1833)/2</f>
        <v>804235932059</v>
      </c>
      <c r="L1833" s="23">
        <v>520676985270</v>
      </c>
      <c r="M1833" s="23">
        <f t="shared" si="621"/>
        <v>439332707414</v>
      </c>
      <c r="N1833" s="23">
        <v>959540734240</v>
      </c>
      <c r="O1833" s="25">
        <f t="shared" si="643"/>
        <v>9397902396</v>
      </c>
      <c r="P1833" s="23">
        <v>27741255413</v>
      </c>
      <c r="Q1833" s="23">
        <f>45311326176+67424325941</f>
        <v>112735652117</v>
      </c>
      <c r="R1833" s="25">
        <f t="shared" si="644"/>
        <v>846805082123</v>
      </c>
      <c r="S1833" s="26">
        <f t="shared" si="645"/>
        <v>0.64712970361615485</v>
      </c>
      <c r="T1833" s="27">
        <f t="shared" si="646"/>
        <v>1.0180493908159329</v>
      </c>
      <c r="U1833" s="26">
        <f t="shared" si="647"/>
        <v>27.850177560546182</v>
      </c>
      <c r="V1833" s="26">
        <f t="shared" si="648"/>
        <v>1.1931085095680687</v>
      </c>
      <c r="W1833" s="143"/>
      <c r="X1833" s="143"/>
      <c r="Y1833" s="143"/>
      <c r="Z1833" s="30">
        <f t="shared" si="662"/>
        <v>0</v>
      </c>
      <c r="AA1833" s="31">
        <f t="shared" si="620"/>
        <v>62</v>
      </c>
      <c r="AB1833" s="32">
        <v>3.15E-2</v>
      </c>
      <c r="AC1833" s="32">
        <v>8.0199999999999994E-2</v>
      </c>
      <c r="AD1833" s="33">
        <f t="shared" si="602"/>
        <v>7.5483581074193683E-3</v>
      </c>
      <c r="AE1833" s="34">
        <f t="shared" si="603"/>
        <v>2.2281666842575071E-2</v>
      </c>
      <c r="AF1833" s="33">
        <f t="shared" si="604"/>
        <v>0.68015049930372473</v>
      </c>
      <c r="AG1833" s="33">
        <f t="shared" si="605"/>
        <v>0</v>
      </c>
      <c r="AH1833" s="35">
        <f t="shared" si="606"/>
        <v>1.190950323818408</v>
      </c>
      <c r="AI1833" s="36">
        <f t="shared" si="655"/>
        <v>3.475699334829208</v>
      </c>
      <c r="AJ1833" s="23"/>
      <c r="AK1833" s="120">
        <v>985</v>
      </c>
      <c r="AL1833" s="44"/>
      <c r="AM1833" s="44"/>
      <c r="AN1833" s="44"/>
      <c r="AO1833" s="44"/>
      <c r="AP1833" s="44"/>
      <c r="AQ1833" s="44"/>
      <c r="AR1833" s="44"/>
    </row>
    <row r="1834" spans="1:44" ht="16.8">
      <c r="A1834" s="64" t="s">
        <v>3552</v>
      </c>
      <c r="B1834" s="62"/>
      <c r="C1834" s="62" t="s">
        <v>3549</v>
      </c>
      <c r="D1834" s="19" t="s">
        <v>3550</v>
      </c>
      <c r="E1834" s="20" t="s">
        <v>414</v>
      </c>
      <c r="F1834" s="21">
        <v>1960</v>
      </c>
      <c r="G1834" s="40">
        <v>2023</v>
      </c>
      <c r="H1834" s="23">
        <v>631102917710</v>
      </c>
      <c r="I1834" s="23">
        <v>1346839659024</v>
      </c>
      <c r="J1834" s="23">
        <v>903490135850</v>
      </c>
      <c r="K1834" s="23">
        <f t="shared" si="667"/>
        <v>854591733755.5</v>
      </c>
      <c r="L1834" s="23">
        <v>621088346362</v>
      </c>
      <c r="M1834" s="23">
        <f t="shared" si="621"/>
        <v>443349523174</v>
      </c>
      <c r="N1834" s="23">
        <v>1234494008488</v>
      </c>
      <c r="O1834" s="25">
        <f t="shared" si="643"/>
        <v>10014571348</v>
      </c>
      <c r="P1834" s="23">
        <v>29400635701</v>
      </c>
      <c r="Q1834" s="23">
        <f>33672177635+74666552613</f>
        <v>108338730248</v>
      </c>
      <c r="R1834" s="25">
        <f t="shared" si="644"/>
        <v>1126155278240</v>
      </c>
      <c r="S1834" s="26">
        <f t="shared" si="645"/>
        <v>0.67082234310261002</v>
      </c>
      <c r="T1834" s="27">
        <f t="shared" si="646"/>
        <v>1.0161242300015125</v>
      </c>
      <c r="U1834" s="26">
        <f t="shared" si="647"/>
        <v>27.928781970654548</v>
      </c>
      <c r="V1834" s="26">
        <f t="shared" si="648"/>
        <v>1.4445424168368923</v>
      </c>
      <c r="W1834" s="143"/>
      <c r="X1834" s="143"/>
      <c r="Y1834" s="143"/>
      <c r="Z1834" s="30">
        <f t="shared" si="662"/>
        <v>0</v>
      </c>
      <c r="AA1834" s="31">
        <f t="shared" si="620"/>
        <v>63</v>
      </c>
      <c r="AB1834" s="32">
        <v>3.2500000000000001E-2</v>
      </c>
      <c r="AC1834" s="32">
        <v>5.0500000000000003E-2</v>
      </c>
      <c r="AD1834" s="33">
        <f t="shared" si="602"/>
        <v>7.4356077064564267E-3</v>
      </c>
      <c r="AE1834" s="34">
        <f t="shared" si="603"/>
        <v>2.1829351032256836E-2</v>
      </c>
      <c r="AF1834" s="33">
        <f t="shared" si="604"/>
        <v>0.83614650837953419</v>
      </c>
      <c r="AG1834" s="33">
        <f t="shared" si="605"/>
        <v>0</v>
      </c>
      <c r="AH1834" s="35">
        <f t="shared" si="606"/>
        <v>1.3663613574780127</v>
      </c>
      <c r="AI1834" s="36">
        <f t="shared" si="655"/>
        <v>4.1651286558233824</v>
      </c>
      <c r="AJ1834" s="23"/>
      <c r="AK1834" s="120">
        <v>986</v>
      </c>
      <c r="AL1834" s="44"/>
      <c r="AM1834" s="44"/>
      <c r="AN1834" s="44"/>
      <c r="AO1834" s="44"/>
      <c r="AP1834" s="44"/>
      <c r="AQ1834" s="44"/>
      <c r="AR1834" s="44"/>
    </row>
    <row r="1835" spans="1:44" ht="16.8">
      <c r="A1835" s="64" t="s">
        <v>3553</v>
      </c>
      <c r="B1835" s="62">
        <v>709</v>
      </c>
      <c r="C1835" s="62" t="s">
        <v>3554</v>
      </c>
      <c r="D1835" s="19" t="s">
        <v>3555</v>
      </c>
      <c r="E1835" s="20" t="s">
        <v>414</v>
      </c>
      <c r="F1835" s="21">
        <v>1977</v>
      </c>
      <c r="G1835" s="40">
        <v>2021</v>
      </c>
      <c r="H1835" s="23">
        <v>1332532232066</v>
      </c>
      <c r="I1835" s="23">
        <v>1853261375752</v>
      </c>
      <c r="J1835" s="23">
        <v>1279580524672</v>
      </c>
      <c r="K1835" s="23">
        <f>(J1835+1419608518042)/2</f>
        <v>1349594521357</v>
      </c>
      <c r="L1835" s="23">
        <v>1182852743920</v>
      </c>
      <c r="M1835" s="23">
        <f t="shared" si="621"/>
        <v>573680851080</v>
      </c>
      <c r="N1835" s="23">
        <v>930440139439</v>
      </c>
      <c r="O1835" s="25">
        <f t="shared" si="643"/>
        <v>149679488146</v>
      </c>
      <c r="P1835" s="23">
        <v>34359788557</v>
      </c>
      <c r="Q1835" s="23">
        <f>3574053547+43736291813</f>
        <v>47310345360</v>
      </c>
      <c r="R1835" s="25">
        <f t="shared" si="644"/>
        <v>883129794079</v>
      </c>
      <c r="S1835" s="26">
        <f t="shared" si="645"/>
        <v>0.69044795376085744</v>
      </c>
      <c r="T1835" s="27">
        <f t="shared" si="646"/>
        <v>1.1265411006698594</v>
      </c>
      <c r="U1835" s="26">
        <f t="shared" si="647"/>
        <v>28.247968108736085</v>
      </c>
      <c r="V1835" s="26">
        <f t="shared" si="648"/>
        <v>0.6894219891345249</v>
      </c>
      <c r="W1835" s="143"/>
      <c r="X1835" s="143"/>
      <c r="Y1835" s="143"/>
      <c r="Z1835" s="30">
        <f t="shared" si="662"/>
        <v>0</v>
      </c>
      <c r="AA1835" s="31">
        <f t="shared" si="620"/>
        <v>44</v>
      </c>
      <c r="AB1835" s="32">
        <v>1.84E-2</v>
      </c>
      <c r="AC1835" s="32">
        <v>2.58E-2</v>
      </c>
      <c r="AD1835" s="33">
        <f t="shared" si="602"/>
        <v>8.0765449549858759E-2</v>
      </c>
      <c r="AE1835" s="34">
        <f t="shared" si="603"/>
        <v>1.8540174098787221E-2</v>
      </c>
      <c r="AF1835" s="33">
        <f t="shared" si="604"/>
        <v>0.47652738336525868</v>
      </c>
      <c r="AG1835" s="33">
        <f t="shared" si="605"/>
        <v>0</v>
      </c>
      <c r="AH1835" s="35">
        <f t="shared" si="606"/>
        <v>0.72714465522011873</v>
      </c>
      <c r="AI1835" s="36">
        <f t="shared" si="655"/>
        <v>2.4225598035236047</v>
      </c>
      <c r="AJ1835" s="23"/>
      <c r="AK1835" s="120">
        <v>987</v>
      </c>
      <c r="AL1835" s="44"/>
      <c r="AM1835" s="44"/>
      <c r="AN1835" s="44"/>
      <c r="AO1835" s="44"/>
      <c r="AP1835" s="44"/>
      <c r="AQ1835" s="44"/>
      <c r="AR1835" s="44"/>
    </row>
    <row r="1836" spans="1:44" ht="16.8">
      <c r="A1836" s="64" t="s">
        <v>3556</v>
      </c>
      <c r="B1836" s="62"/>
      <c r="C1836" s="62" t="s">
        <v>3554</v>
      </c>
      <c r="D1836" s="19" t="s">
        <v>3555</v>
      </c>
      <c r="E1836" s="20" t="s">
        <v>414</v>
      </c>
      <c r="F1836" s="21">
        <v>1977</v>
      </c>
      <c r="G1836" s="40">
        <v>2022</v>
      </c>
      <c r="H1836" s="23">
        <v>1381724918285</v>
      </c>
      <c r="I1836" s="23">
        <v>1730564685254</v>
      </c>
      <c r="J1836" s="23">
        <v>1301575884207</v>
      </c>
      <c r="K1836" s="23">
        <f t="shared" ref="K1836:K1837" si="668">SUM(J1835:J1836)/2</f>
        <v>1290578204439.5</v>
      </c>
      <c r="L1836" s="23">
        <v>1221362611541</v>
      </c>
      <c r="M1836" s="23">
        <f t="shared" si="621"/>
        <v>428988801047</v>
      </c>
      <c r="N1836" s="23">
        <v>1185608421970</v>
      </c>
      <c r="O1836" s="25">
        <f t="shared" si="643"/>
        <v>160362306744</v>
      </c>
      <c r="P1836" s="23">
        <v>-141330139358</v>
      </c>
      <c r="Q1836" s="23">
        <f>4140041538+160426807631</f>
        <v>164566849169</v>
      </c>
      <c r="R1836" s="25">
        <f t="shared" si="644"/>
        <v>1021041572801</v>
      </c>
      <c r="S1836" s="26">
        <f t="shared" si="645"/>
        <v>0.75211050779992306</v>
      </c>
      <c r="T1836" s="27">
        <f t="shared" si="646"/>
        <v>1.131297867831135</v>
      </c>
      <c r="U1836" s="26">
        <f t="shared" si="647"/>
        <v>28.179468878840115</v>
      </c>
      <c r="V1836" s="26">
        <f t="shared" si="648"/>
        <v>0.9186645318289034</v>
      </c>
      <c r="W1836" s="143"/>
      <c r="X1836" s="143"/>
      <c r="Y1836" s="143"/>
      <c r="Z1836" s="30">
        <f t="shared" si="662"/>
        <v>0</v>
      </c>
      <c r="AA1836" s="31">
        <f t="shared" si="620"/>
        <v>45</v>
      </c>
      <c r="AB1836" s="32">
        <v>3.15E-2</v>
      </c>
      <c r="AC1836" s="32">
        <v>8.0199999999999994E-2</v>
      </c>
      <c r="AD1836" s="33">
        <f t="shared" si="602"/>
        <v>9.2664728519213466E-2</v>
      </c>
      <c r="AE1836" s="34">
        <f t="shared" si="603"/>
        <v>-8.1667065416428833E-2</v>
      </c>
      <c r="AF1836" s="33">
        <f t="shared" si="604"/>
        <v>0.5900048588193274</v>
      </c>
      <c r="AG1836" s="33">
        <f t="shared" si="605"/>
        <v>0</v>
      </c>
      <c r="AH1836" s="35">
        <f t="shared" si="606"/>
        <v>0.91090226575021827</v>
      </c>
      <c r="AI1836" s="36">
        <f t="shared" si="655"/>
        <v>2.8547820824940544</v>
      </c>
      <c r="AJ1836" s="23"/>
      <c r="AK1836" s="120">
        <v>988</v>
      </c>
      <c r="AL1836" s="44"/>
      <c r="AM1836" s="44"/>
      <c r="AN1836" s="44"/>
      <c r="AO1836" s="44"/>
      <c r="AP1836" s="44"/>
      <c r="AQ1836" s="44"/>
      <c r="AR1836" s="44"/>
    </row>
    <row r="1837" spans="1:44" ht="16.8">
      <c r="A1837" s="64" t="s">
        <v>3557</v>
      </c>
      <c r="B1837" s="62"/>
      <c r="C1837" s="62" t="s">
        <v>3554</v>
      </c>
      <c r="D1837" s="19" t="s">
        <v>3555</v>
      </c>
      <c r="E1837" s="20" t="s">
        <v>414</v>
      </c>
      <c r="F1837" s="21">
        <v>1977</v>
      </c>
      <c r="G1837" s="40">
        <v>2023</v>
      </c>
      <c r="H1837" s="23">
        <v>1382956220834</v>
      </c>
      <c r="I1837" s="23">
        <v>1753387255588</v>
      </c>
      <c r="J1837" s="23">
        <v>1320905700735</v>
      </c>
      <c r="K1837" s="23">
        <f t="shared" si="668"/>
        <v>1311240792471</v>
      </c>
      <c r="L1837" s="23">
        <v>1247326685062</v>
      </c>
      <c r="M1837" s="23">
        <f t="shared" si="621"/>
        <v>432481554853</v>
      </c>
      <c r="N1837" s="23">
        <v>1643645360726</v>
      </c>
      <c r="O1837" s="25">
        <f t="shared" si="643"/>
        <v>135629535772</v>
      </c>
      <c r="P1837" s="23">
        <v>3761800851</v>
      </c>
      <c r="Q1837" s="23">
        <f>1808373720+63425923853</f>
        <v>65234297573</v>
      </c>
      <c r="R1837" s="25">
        <f t="shared" si="644"/>
        <v>1578411063153</v>
      </c>
      <c r="S1837" s="26">
        <f t="shared" si="645"/>
        <v>0.75334510190222248</v>
      </c>
      <c r="T1837" s="27">
        <f t="shared" si="646"/>
        <v>1.1087361774555944</v>
      </c>
      <c r="U1837" s="26">
        <f t="shared" si="647"/>
        <v>28.192570607674799</v>
      </c>
      <c r="V1837" s="26">
        <f t="shared" si="648"/>
        <v>1.2535038340506415</v>
      </c>
      <c r="W1837" s="143"/>
      <c r="X1837" s="143"/>
      <c r="Y1837" s="143"/>
      <c r="Z1837" s="30">
        <f t="shared" si="662"/>
        <v>0</v>
      </c>
      <c r="AA1837" s="31">
        <f t="shared" si="620"/>
        <v>46</v>
      </c>
      <c r="AB1837" s="32">
        <v>3.2500000000000001E-2</v>
      </c>
      <c r="AC1837" s="32">
        <v>5.0500000000000003E-2</v>
      </c>
      <c r="AD1837" s="33">
        <f t="shared" si="602"/>
        <v>7.7352869618364212E-2</v>
      </c>
      <c r="AE1837" s="34">
        <f t="shared" si="603"/>
        <v>2.145447811948694E-3</v>
      </c>
      <c r="AF1837" s="33">
        <f t="shared" si="604"/>
        <v>0.90020676158255664</v>
      </c>
      <c r="AG1837" s="33">
        <f t="shared" si="605"/>
        <v>0</v>
      </c>
      <c r="AH1837" s="35">
        <f t="shared" si="606"/>
        <v>1.2443320971447211</v>
      </c>
      <c r="AI1837" s="36">
        <f t="shared" si="655"/>
        <v>4.310841480845923</v>
      </c>
      <c r="AJ1837" s="23"/>
      <c r="AK1837" s="120">
        <v>989</v>
      </c>
      <c r="AL1837" s="44"/>
      <c r="AM1837" s="44"/>
      <c r="AN1837" s="44"/>
      <c r="AO1837" s="44"/>
      <c r="AP1837" s="44"/>
      <c r="AQ1837" s="44"/>
      <c r="AR1837" s="44"/>
    </row>
    <row r="1838" spans="1:44" ht="16.8">
      <c r="A1838" s="64" t="s">
        <v>3558</v>
      </c>
      <c r="B1838" s="62">
        <v>710</v>
      </c>
      <c r="C1838" s="62" t="s">
        <v>3559</v>
      </c>
      <c r="D1838" s="19" t="s">
        <v>3560</v>
      </c>
      <c r="E1838" s="20" t="s">
        <v>414</v>
      </c>
      <c r="F1838" s="21">
        <v>1976</v>
      </c>
      <c r="G1838" s="40">
        <v>2021</v>
      </c>
      <c r="H1838" s="23">
        <v>324658328034</v>
      </c>
      <c r="I1838" s="23">
        <v>514432080797</v>
      </c>
      <c r="J1838" s="23">
        <v>140800866898</v>
      </c>
      <c r="K1838" s="23">
        <f>(J1838+139821226238)/2</f>
        <v>140311046568</v>
      </c>
      <c r="L1838" s="23">
        <v>140800866898</v>
      </c>
      <c r="M1838" s="23">
        <f t="shared" si="621"/>
        <v>373631213899</v>
      </c>
      <c r="N1838" s="23">
        <v>325973216529</v>
      </c>
      <c r="O1838" s="25">
        <f t="shared" si="643"/>
        <v>183857461136</v>
      </c>
      <c r="P1838" s="23">
        <v>54446773777</v>
      </c>
      <c r="Q1838" s="23">
        <f>28305803621+30113497823</f>
        <v>58419301444</v>
      </c>
      <c r="R1838" s="25">
        <f t="shared" si="644"/>
        <v>267553915085</v>
      </c>
      <c r="S1838" s="26">
        <f t="shared" si="645"/>
        <v>0.27370156752249947</v>
      </c>
      <c r="T1838" s="27">
        <f t="shared" si="646"/>
        <v>2.3057977922052948</v>
      </c>
      <c r="U1838" s="26">
        <f t="shared" si="647"/>
        <v>26.966329373393684</v>
      </c>
      <c r="V1838" s="26">
        <f t="shared" si="648"/>
        <v>2.3232184813832255</v>
      </c>
      <c r="W1838" s="143"/>
      <c r="X1838" s="143"/>
      <c r="Y1838" s="143"/>
      <c r="Z1838" s="30">
        <f t="shared" si="662"/>
        <v>0</v>
      </c>
      <c r="AA1838" s="31">
        <f t="shared" si="620"/>
        <v>45</v>
      </c>
      <c r="AB1838" s="32">
        <v>1.84E-2</v>
      </c>
      <c r="AC1838" s="32">
        <v>2.58E-2</v>
      </c>
      <c r="AD1838" s="33">
        <f t="shared" si="602"/>
        <v>0.35739890259400831</v>
      </c>
      <c r="AE1838" s="34">
        <f t="shared" si="603"/>
        <v>0.10583860495761974</v>
      </c>
      <c r="AF1838" s="33">
        <f t="shared" si="604"/>
        <v>0.52009570373310254</v>
      </c>
      <c r="AG1838" s="33">
        <f t="shared" si="605"/>
        <v>0</v>
      </c>
      <c r="AH1838" s="35">
        <f t="shared" si="606"/>
        <v>2.3151364314052407</v>
      </c>
      <c r="AI1838" s="36">
        <f t="shared" si="655"/>
        <v>4.6085049837779568</v>
      </c>
      <c r="AJ1838" s="23"/>
      <c r="AK1838" s="120">
        <v>990</v>
      </c>
      <c r="AL1838" s="44"/>
      <c r="AM1838" s="44"/>
      <c r="AN1838" s="44"/>
      <c r="AO1838" s="44"/>
      <c r="AP1838" s="44"/>
      <c r="AQ1838" s="44"/>
      <c r="AR1838" s="44"/>
    </row>
    <row r="1839" spans="1:44" ht="16.8">
      <c r="A1839" s="64" t="s">
        <v>3561</v>
      </c>
      <c r="B1839" s="62"/>
      <c r="C1839" s="62" t="s">
        <v>3559</v>
      </c>
      <c r="D1839" s="19" t="s">
        <v>3560</v>
      </c>
      <c r="E1839" s="20" t="s">
        <v>414</v>
      </c>
      <c r="F1839" s="21">
        <v>1976</v>
      </c>
      <c r="G1839" s="40">
        <v>2022</v>
      </c>
      <c r="H1839" s="23">
        <v>327580157690</v>
      </c>
      <c r="I1839" s="23">
        <v>526958372513</v>
      </c>
      <c r="J1839" s="23">
        <v>147757748260</v>
      </c>
      <c r="K1839" s="23">
        <f t="shared" ref="K1839:K1840" si="669">SUM(J1838:J1839)/2</f>
        <v>144279307579</v>
      </c>
      <c r="L1839" s="23">
        <v>147757748260</v>
      </c>
      <c r="M1839" s="23">
        <f t="shared" si="621"/>
        <v>379200624253</v>
      </c>
      <c r="N1839" s="23">
        <v>315301343206</v>
      </c>
      <c r="O1839" s="25">
        <f t="shared" si="643"/>
        <v>179822409430</v>
      </c>
      <c r="P1839" s="23">
        <v>50665037887</v>
      </c>
      <c r="Q1839" s="23">
        <f>824554209+27760559209</f>
        <v>28585113418</v>
      </c>
      <c r="R1839" s="25">
        <f t="shared" si="644"/>
        <v>286716229788</v>
      </c>
      <c r="S1839" s="26">
        <f t="shared" si="645"/>
        <v>0.28039738234988348</v>
      </c>
      <c r="T1839" s="27">
        <f t="shared" si="646"/>
        <v>2.217008323066604</v>
      </c>
      <c r="U1839" s="26">
        <f t="shared" si="647"/>
        <v>26.990387392829035</v>
      </c>
      <c r="V1839" s="26">
        <f t="shared" si="648"/>
        <v>2.1853538701892998</v>
      </c>
      <c r="W1839" s="143"/>
      <c r="X1839" s="143"/>
      <c r="Y1839" s="143"/>
      <c r="Z1839" s="30">
        <f t="shared" si="662"/>
        <v>0</v>
      </c>
      <c r="AA1839" s="31">
        <f t="shared" si="620"/>
        <v>46</v>
      </c>
      <c r="AB1839" s="32">
        <v>3.15E-2</v>
      </c>
      <c r="AC1839" s="32">
        <v>8.0199999999999994E-2</v>
      </c>
      <c r="AD1839" s="33">
        <f t="shared" si="602"/>
        <v>0.34124594808589703</v>
      </c>
      <c r="AE1839" s="34">
        <f t="shared" si="603"/>
        <v>9.6146186358866709E-2</v>
      </c>
      <c r="AF1839" s="33">
        <f t="shared" si="604"/>
        <v>0.54409654489534987</v>
      </c>
      <c r="AG1839" s="33">
        <f t="shared" si="605"/>
        <v>0</v>
      </c>
      <c r="AH1839" s="35">
        <f t="shared" si="606"/>
        <v>2.1339073376455637</v>
      </c>
      <c r="AI1839" s="36">
        <f t="shared" si="655"/>
        <v>4.4735257344057082</v>
      </c>
      <c r="AJ1839" s="23"/>
      <c r="AK1839" s="120">
        <v>991</v>
      </c>
      <c r="AL1839" s="44"/>
      <c r="AM1839" s="44"/>
      <c r="AN1839" s="44"/>
      <c r="AO1839" s="44"/>
      <c r="AP1839" s="44"/>
      <c r="AQ1839" s="44"/>
      <c r="AR1839" s="44"/>
    </row>
    <row r="1840" spans="1:44" ht="16.8">
      <c r="A1840" s="64" t="s">
        <v>3562</v>
      </c>
      <c r="B1840" s="62"/>
      <c r="C1840" s="62" t="s">
        <v>3559</v>
      </c>
      <c r="D1840" s="19" t="s">
        <v>3560</v>
      </c>
      <c r="E1840" s="20" t="s">
        <v>414</v>
      </c>
      <c r="F1840" s="21">
        <v>1976</v>
      </c>
      <c r="G1840" s="40">
        <v>2023</v>
      </c>
      <c r="H1840" s="23">
        <v>330171457282</v>
      </c>
      <c r="I1840" s="23">
        <v>546066910177</v>
      </c>
      <c r="J1840" s="23">
        <v>156869069898</v>
      </c>
      <c r="K1840" s="23">
        <f t="shared" si="669"/>
        <v>152313409079</v>
      </c>
      <c r="L1840" s="23">
        <v>156869069898</v>
      </c>
      <c r="M1840" s="23">
        <f t="shared" si="621"/>
        <v>389197840279</v>
      </c>
      <c r="N1840" s="23">
        <v>316706012056</v>
      </c>
      <c r="O1840" s="25">
        <f t="shared" si="643"/>
        <v>173302387384</v>
      </c>
      <c r="P1840" s="23">
        <v>54706352618</v>
      </c>
      <c r="Q1840" s="23">
        <f>25611131679+35348223220</f>
        <v>60959354899</v>
      </c>
      <c r="R1840" s="25">
        <f t="shared" si="644"/>
        <v>255746657157</v>
      </c>
      <c r="S1840" s="26">
        <f t="shared" si="645"/>
        <v>0.28727078490647434</v>
      </c>
      <c r="T1840" s="27">
        <f t="shared" si="646"/>
        <v>2.1047581750608026</v>
      </c>
      <c r="U1840" s="26">
        <f t="shared" si="647"/>
        <v>27.026007351294876</v>
      </c>
      <c r="V1840" s="26">
        <f t="shared" si="648"/>
        <v>2.0793048620672323</v>
      </c>
      <c r="W1840" s="143"/>
      <c r="X1840" s="143"/>
      <c r="Y1840" s="143"/>
      <c r="Z1840" s="30">
        <f t="shared" si="662"/>
        <v>0</v>
      </c>
      <c r="AA1840" s="31">
        <f t="shared" si="620"/>
        <v>47</v>
      </c>
      <c r="AB1840" s="32">
        <v>3.2500000000000001E-2</v>
      </c>
      <c r="AC1840" s="32">
        <v>5.0500000000000003E-2</v>
      </c>
      <c r="AD1840" s="33">
        <f t="shared" si="602"/>
        <v>0.31736474808156101</v>
      </c>
      <c r="AE1840" s="34">
        <f t="shared" si="603"/>
        <v>0.10018250803782947</v>
      </c>
      <c r="AF1840" s="33">
        <f t="shared" si="604"/>
        <v>0.46834307736043423</v>
      </c>
      <c r="AG1840" s="33">
        <f t="shared" si="605"/>
        <v>0</v>
      </c>
      <c r="AH1840" s="35">
        <f t="shared" si="606"/>
        <v>2.0189194228150251</v>
      </c>
      <c r="AI1840" s="36">
        <f t="shared" si="655"/>
        <v>4.0855447870552926</v>
      </c>
      <c r="AJ1840" s="23"/>
      <c r="AK1840" s="120">
        <v>992</v>
      </c>
      <c r="AL1840" s="44"/>
      <c r="AM1840" s="44"/>
      <c r="AN1840" s="44"/>
      <c r="AO1840" s="44"/>
      <c r="AP1840" s="44"/>
      <c r="AQ1840" s="44"/>
      <c r="AR1840" s="44"/>
    </row>
    <row r="1841" spans="1:44" ht="16.8">
      <c r="A1841" s="64" t="s">
        <v>3563</v>
      </c>
      <c r="B1841" s="62">
        <v>711</v>
      </c>
      <c r="C1841" s="62" t="s">
        <v>3564</v>
      </c>
      <c r="D1841" s="19" t="s">
        <v>3565</v>
      </c>
      <c r="E1841" s="20" t="s">
        <v>414</v>
      </c>
      <c r="F1841" s="21">
        <v>1999</v>
      </c>
      <c r="G1841" s="40">
        <v>2021</v>
      </c>
      <c r="H1841" s="23">
        <v>46539595154345</v>
      </c>
      <c r="I1841" s="23">
        <v>50793056562082</v>
      </c>
      <c r="J1841" s="23">
        <v>36572973831934</v>
      </c>
      <c r="K1841" s="23">
        <f>(J1841+25896730955921)/2</f>
        <v>31234852393927.5</v>
      </c>
      <c r="L1841" s="23">
        <v>36479184836620</v>
      </c>
      <c r="M1841" s="23">
        <f t="shared" si="621"/>
        <v>14220082730148</v>
      </c>
      <c r="N1841" s="23">
        <v>7443181911513</v>
      </c>
      <c r="O1841" s="25">
        <f t="shared" si="643"/>
        <v>10060410317725</v>
      </c>
      <c r="P1841" s="23">
        <v>2695067698020</v>
      </c>
      <c r="Q1841" s="23">
        <v>3154562452931</v>
      </c>
      <c r="R1841" s="25">
        <f t="shared" si="644"/>
        <v>4288619458582</v>
      </c>
      <c r="S1841" s="26">
        <f t="shared" si="645"/>
        <v>0.72003884600314505</v>
      </c>
      <c r="T1841" s="27">
        <f t="shared" si="646"/>
        <v>1.2757849541535191</v>
      </c>
      <c r="U1841" s="26">
        <f t="shared" si="647"/>
        <v>31.55878077932239</v>
      </c>
      <c r="V1841" s="26">
        <f t="shared" si="648"/>
        <v>0.23829732945880866</v>
      </c>
      <c r="W1841" s="143"/>
      <c r="X1841" s="143"/>
      <c r="Y1841" s="143"/>
      <c r="Z1841" s="30">
        <f t="shared" si="662"/>
        <v>0</v>
      </c>
      <c r="AA1841" s="31">
        <f t="shared" si="620"/>
        <v>22</v>
      </c>
      <c r="AB1841" s="32">
        <v>1.84E-2</v>
      </c>
      <c r="AC1841" s="32">
        <v>2.58E-2</v>
      </c>
      <c r="AD1841" s="33">
        <f t="shared" si="602"/>
        <v>0.19806664529882401</v>
      </c>
      <c r="AE1841" s="34">
        <f t="shared" si="603"/>
        <v>5.3059766047470355E-2</v>
      </c>
      <c r="AF1841" s="33">
        <f t="shared" si="604"/>
        <v>8.4433183369073669E-2</v>
      </c>
      <c r="AG1841" s="33">
        <f t="shared" si="605"/>
        <v>0</v>
      </c>
      <c r="AH1841" s="35">
        <f t="shared" si="606"/>
        <v>0.20351590619119747</v>
      </c>
      <c r="AI1841" s="36">
        <f t="shared" si="655"/>
        <v>0.79410905813418786</v>
      </c>
      <c r="AJ1841" s="23"/>
      <c r="AK1841" s="120">
        <v>993</v>
      </c>
      <c r="AL1841" s="44"/>
      <c r="AM1841" s="44"/>
      <c r="AN1841" s="44"/>
      <c r="AO1841" s="44"/>
      <c r="AP1841" s="44"/>
      <c r="AQ1841" s="44"/>
      <c r="AR1841" s="44"/>
    </row>
    <row r="1842" spans="1:44" ht="16.8">
      <c r="A1842" s="64" t="s">
        <v>3566</v>
      </c>
      <c r="B1842" s="62"/>
      <c r="C1842" s="62" t="s">
        <v>3564</v>
      </c>
      <c r="D1842" s="19" t="s">
        <v>3565</v>
      </c>
      <c r="E1842" s="20" t="s">
        <v>414</v>
      </c>
      <c r="F1842" s="21">
        <v>1999</v>
      </c>
      <c r="G1842" s="40">
        <v>2022</v>
      </c>
      <c r="H1842" s="23">
        <v>48731915104609</v>
      </c>
      <c r="I1842" s="23">
        <v>52226382886481</v>
      </c>
      <c r="J1842" s="23">
        <v>29842500921821</v>
      </c>
      <c r="K1842" s="23">
        <f t="shared" ref="K1842:K1843" si="670">SUM(J1841:J1842)/2</f>
        <v>33207737376877.5</v>
      </c>
      <c r="L1842" s="23">
        <v>29788710759101</v>
      </c>
      <c r="M1842" s="23">
        <f t="shared" si="621"/>
        <v>22383881964660</v>
      </c>
      <c r="N1842" s="23">
        <v>6335823057960</v>
      </c>
      <c r="O1842" s="25">
        <f t="shared" si="643"/>
        <v>18943204345508</v>
      </c>
      <c r="P1842" s="23">
        <v>1697693168799</v>
      </c>
      <c r="Q1842" s="23">
        <v>2704835403085</v>
      </c>
      <c r="R1842" s="25">
        <f t="shared" si="644"/>
        <v>3630987654875</v>
      </c>
      <c r="S1842" s="26">
        <f t="shared" si="645"/>
        <v>0.57140662003505982</v>
      </c>
      <c r="T1842" s="27">
        <f t="shared" si="646"/>
        <v>1.6359189056115999</v>
      </c>
      <c r="U1842" s="26">
        <f t="shared" si="647"/>
        <v>31.58660890241708</v>
      </c>
      <c r="V1842" s="26">
        <f t="shared" si="648"/>
        <v>0.19079357879924769</v>
      </c>
      <c r="W1842" s="143"/>
      <c r="X1842" s="143"/>
      <c r="Y1842" s="143"/>
      <c r="Z1842" s="30">
        <f t="shared" si="662"/>
        <v>0</v>
      </c>
      <c r="AA1842" s="31">
        <f t="shared" si="620"/>
        <v>23</v>
      </c>
      <c r="AB1842" s="32">
        <v>3.15E-2</v>
      </c>
      <c r="AC1842" s="32">
        <v>8.0199999999999994E-2</v>
      </c>
      <c r="AD1842" s="33">
        <f t="shared" si="602"/>
        <v>0.36271331266963008</v>
      </c>
      <c r="AE1842" s="34">
        <f t="shared" si="603"/>
        <v>3.2506428264218436E-2</v>
      </c>
      <c r="AF1842" s="33">
        <f t="shared" si="604"/>
        <v>6.9524011700509605E-2</v>
      </c>
      <c r="AG1842" s="33">
        <f t="shared" si="605"/>
        <v>0</v>
      </c>
      <c r="AH1842" s="35">
        <f t="shared" si="606"/>
        <v>0.21230871616819524</v>
      </c>
      <c r="AI1842" s="36">
        <f t="shared" si="655"/>
        <v>0.92250292955333879</v>
      </c>
      <c r="AJ1842" s="23"/>
      <c r="AK1842" s="120">
        <v>994</v>
      </c>
      <c r="AL1842" s="44"/>
      <c r="AM1842" s="44"/>
      <c r="AN1842" s="44"/>
      <c r="AO1842" s="44"/>
      <c r="AP1842" s="44"/>
      <c r="AQ1842" s="44"/>
      <c r="AR1842" s="44"/>
    </row>
    <row r="1843" spans="1:44" ht="16.8">
      <c r="A1843" s="64" t="s">
        <v>3567</v>
      </c>
      <c r="B1843" s="62"/>
      <c r="C1843" s="62" t="s">
        <v>3564</v>
      </c>
      <c r="D1843" s="19" t="s">
        <v>3565</v>
      </c>
      <c r="E1843" s="20" t="s">
        <v>414</v>
      </c>
      <c r="F1843" s="21">
        <v>1999</v>
      </c>
      <c r="G1843" s="40">
        <v>2023</v>
      </c>
      <c r="H1843" s="23">
        <v>65755288989500</v>
      </c>
      <c r="I1843" s="23">
        <v>69241327102648</v>
      </c>
      <c r="J1843" s="23">
        <v>46000434991835</v>
      </c>
      <c r="K1843" s="23">
        <f t="shared" si="670"/>
        <v>37921467956828</v>
      </c>
      <c r="L1843" s="23">
        <v>45939117288138</v>
      </c>
      <c r="M1843" s="23">
        <f t="shared" si="621"/>
        <v>23240892110813</v>
      </c>
      <c r="N1843" s="23">
        <v>7157692593506</v>
      </c>
      <c r="O1843" s="25">
        <f t="shared" si="643"/>
        <v>19816171701362</v>
      </c>
      <c r="P1843" s="23">
        <v>2294472821558</v>
      </c>
      <c r="Q1843" s="23">
        <v>2434565309825</v>
      </c>
      <c r="R1843" s="25">
        <f t="shared" si="644"/>
        <v>4723127283681</v>
      </c>
      <c r="S1843" s="26">
        <f t="shared" si="645"/>
        <v>0.66434941265121716</v>
      </c>
      <c r="T1843" s="27">
        <f t="shared" si="646"/>
        <v>1.4313572587185683</v>
      </c>
      <c r="U1843" s="26">
        <f t="shared" si="647"/>
        <v>31.868619012757787</v>
      </c>
      <c r="V1843" s="26">
        <f t="shared" si="648"/>
        <v>0.18875040917864078</v>
      </c>
      <c r="W1843" s="143"/>
      <c r="X1843" s="143"/>
      <c r="Y1843" s="143"/>
      <c r="Z1843" s="30">
        <f t="shared" si="662"/>
        <v>0</v>
      </c>
      <c r="AA1843" s="31">
        <f t="shared" si="620"/>
        <v>24</v>
      </c>
      <c r="AB1843" s="32">
        <v>3.2500000000000001E-2</v>
      </c>
      <c r="AC1843" s="32">
        <v>5.0500000000000003E-2</v>
      </c>
      <c r="AD1843" s="33">
        <f t="shared" si="602"/>
        <v>0.28618994653272856</v>
      </c>
      <c r="AE1843" s="34">
        <f t="shared" si="603"/>
        <v>3.3137331671250596E-2</v>
      </c>
      <c r="AF1843" s="33">
        <f t="shared" si="604"/>
        <v>6.821254706281292E-2</v>
      </c>
      <c r="AG1843" s="33">
        <f t="shared" si="605"/>
        <v>0</v>
      </c>
      <c r="AH1843" s="35">
        <f t="shared" si="606"/>
        <v>0.15560054149002023</v>
      </c>
      <c r="AI1843" s="36">
        <f t="shared" si="655"/>
        <v>0.77052214697632804</v>
      </c>
      <c r="AJ1843" s="23"/>
      <c r="AK1843" s="120">
        <v>995</v>
      </c>
      <c r="AL1843" s="44"/>
      <c r="AM1843" s="44"/>
      <c r="AN1843" s="44"/>
      <c r="AO1843" s="44"/>
      <c r="AP1843" s="44"/>
      <c r="AQ1843" s="44"/>
      <c r="AR1843" s="44"/>
    </row>
    <row r="1844" spans="1:44" ht="16.8">
      <c r="A1844" s="64" t="s">
        <v>3568</v>
      </c>
      <c r="B1844" s="62">
        <v>712</v>
      </c>
      <c r="C1844" s="62" t="s">
        <v>3569</v>
      </c>
      <c r="D1844" s="19" t="s">
        <v>3570</v>
      </c>
      <c r="E1844" s="20" t="s">
        <v>414</v>
      </c>
      <c r="F1844" s="21">
        <v>1994</v>
      </c>
      <c r="G1844" s="40">
        <v>2021</v>
      </c>
      <c r="H1844" s="23">
        <v>76146085953</v>
      </c>
      <c r="I1844" s="23">
        <v>283601563515</v>
      </c>
      <c r="J1844" s="23">
        <v>10554113095</v>
      </c>
      <c r="K1844" s="23">
        <f>(J1844+7464383202)/2</f>
        <v>9009248148.5</v>
      </c>
      <c r="L1844" s="23">
        <v>5920342095</v>
      </c>
      <c r="M1844" s="23">
        <f t="shared" si="621"/>
        <v>273047450420</v>
      </c>
      <c r="N1844" s="23">
        <v>9208241819</v>
      </c>
      <c r="O1844" s="25">
        <f t="shared" si="643"/>
        <v>70225743858</v>
      </c>
      <c r="P1844" s="23">
        <v>16783415513</v>
      </c>
      <c r="Q1844" s="23">
        <v>3609178167</v>
      </c>
      <c r="R1844" s="25">
        <f t="shared" si="644"/>
        <v>5599063652</v>
      </c>
      <c r="S1844" s="26">
        <f t="shared" si="645"/>
        <v>3.721458007562E-2</v>
      </c>
      <c r="T1844" s="27">
        <f t="shared" si="646"/>
        <v>12.861771284687899</v>
      </c>
      <c r="U1844" s="26">
        <f t="shared" si="647"/>
        <v>26.370836144688621</v>
      </c>
      <c r="V1844" s="26">
        <f t="shared" si="648"/>
        <v>1.0220877111186166</v>
      </c>
      <c r="W1844" s="143"/>
      <c r="X1844" s="143"/>
      <c r="Y1844" s="143"/>
      <c r="Z1844" s="30">
        <f t="shared" si="662"/>
        <v>0</v>
      </c>
      <c r="AA1844" s="31">
        <f t="shared" si="620"/>
        <v>27</v>
      </c>
      <c r="AB1844" s="32">
        <v>1.84E-2</v>
      </c>
      <c r="AC1844" s="32">
        <v>2.58E-2</v>
      </c>
      <c r="AD1844" s="33">
        <f t="shared" si="602"/>
        <v>0.24762114491757969</v>
      </c>
      <c r="AE1844" s="34">
        <f t="shared" si="603"/>
        <v>5.9179559185019465E-2</v>
      </c>
      <c r="AF1844" s="33">
        <f t="shared" si="604"/>
        <v>1.9742710803862897E-2</v>
      </c>
      <c r="AG1844" s="33">
        <f t="shared" si="605"/>
        <v>0</v>
      </c>
      <c r="AH1844" s="35">
        <f t="shared" si="606"/>
        <v>0.8724789791538613</v>
      </c>
      <c r="AI1844" s="36">
        <f t="shared" si="655"/>
        <v>1.3176266815667317</v>
      </c>
      <c r="AJ1844" s="23"/>
      <c r="AK1844" s="120">
        <v>996</v>
      </c>
      <c r="AL1844" s="44"/>
      <c r="AM1844" s="44"/>
      <c r="AN1844" s="44"/>
      <c r="AO1844" s="44"/>
      <c r="AP1844" s="44"/>
      <c r="AQ1844" s="44"/>
      <c r="AR1844" s="44"/>
    </row>
    <row r="1845" spans="1:44" ht="16.8">
      <c r="A1845" s="64" t="s">
        <v>3571</v>
      </c>
      <c r="B1845" s="62"/>
      <c r="C1845" s="62" t="s">
        <v>3569</v>
      </c>
      <c r="D1845" s="19" t="s">
        <v>3572</v>
      </c>
      <c r="E1845" s="20" t="s">
        <v>414</v>
      </c>
      <c r="F1845" s="21">
        <v>1994</v>
      </c>
      <c r="G1845" s="40">
        <v>2022</v>
      </c>
      <c r="H1845" s="23">
        <v>312093913389</v>
      </c>
      <c r="I1845" s="23">
        <v>312093913389</v>
      </c>
      <c r="J1845" s="23">
        <v>53653127196</v>
      </c>
      <c r="K1845" s="23">
        <f t="shared" ref="K1845:K1846" si="671">SUM(J1844:J1845)/2</f>
        <v>32103620145.5</v>
      </c>
      <c r="L1845" s="23">
        <v>53653127196</v>
      </c>
      <c r="M1845" s="23">
        <f t="shared" si="621"/>
        <v>258440786193</v>
      </c>
      <c r="N1845" s="23">
        <v>340057525933</v>
      </c>
      <c r="O1845" s="25">
        <f t="shared" si="643"/>
        <v>258440786193</v>
      </c>
      <c r="P1845" s="23">
        <v>204021002773</v>
      </c>
      <c r="Q1845" s="23">
        <v>3404953578</v>
      </c>
      <c r="R1845" s="25">
        <f t="shared" si="644"/>
        <v>336652572355</v>
      </c>
      <c r="S1845" s="26">
        <f t="shared" si="645"/>
        <v>0.17191340456911022</v>
      </c>
      <c r="T1845" s="27">
        <f t="shared" si="646"/>
        <v>5.8168820663312149</v>
      </c>
      <c r="U1845" s="26">
        <f t="shared" si="647"/>
        <v>26.466569983915065</v>
      </c>
      <c r="V1845" s="26">
        <f t="shared" si="648"/>
        <v>10.592497805287739</v>
      </c>
      <c r="W1845" s="143"/>
      <c r="X1845" s="143"/>
      <c r="Y1845" s="143"/>
      <c r="Z1845" s="30">
        <f t="shared" si="662"/>
        <v>0</v>
      </c>
      <c r="AA1845" s="31">
        <f t="shared" si="620"/>
        <v>28</v>
      </c>
      <c r="AB1845" s="32">
        <v>3.15E-2</v>
      </c>
      <c r="AC1845" s="32">
        <v>8.0199999999999994E-2</v>
      </c>
      <c r="AD1845" s="33">
        <f t="shared" si="602"/>
        <v>0.8280865954308898</v>
      </c>
      <c r="AE1845" s="34">
        <f t="shared" si="603"/>
        <v>0.65371669878964989</v>
      </c>
      <c r="AF1845" s="33">
        <f t="shared" si="604"/>
        <v>1.0786899645024144</v>
      </c>
      <c r="AG1845" s="33">
        <f t="shared" si="605"/>
        <v>0</v>
      </c>
      <c r="AH1845" s="35">
        <f t="shared" si="606"/>
        <v>6.3380746604151774</v>
      </c>
      <c r="AI1845" s="36">
        <f t="shared" si="655"/>
        <v>11.806658836095721</v>
      </c>
      <c r="AJ1845" s="23"/>
      <c r="AK1845" s="120">
        <v>997</v>
      </c>
      <c r="AL1845" s="44"/>
      <c r="AM1845" s="44"/>
      <c r="AN1845" s="44"/>
      <c r="AO1845" s="44"/>
      <c r="AP1845" s="44"/>
      <c r="AQ1845" s="44"/>
      <c r="AR1845" s="44"/>
    </row>
    <row r="1846" spans="1:44" ht="16.8">
      <c r="A1846" s="64" t="s">
        <v>3573</v>
      </c>
      <c r="B1846" s="62"/>
      <c r="C1846" s="62" t="s">
        <v>3569</v>
      </c>
      <c r="D1846" s="19" t="s">
        <v>3574</v>
      </c>
      <c r="E1846" s="20" t="s">
        <v>414</v>
      </c>
      <c r="F1846" s="21">
        <v>1994</v>
      </c>
      <c r="G1846" s="40">
        <v>2023</v>
      </c>
      <c r="H1846" s="23">
        <v>275598567099</v>
      </c>
      <c r="I1846" s="23">
        <v>276880441039</v>
      </c>
      <c r="J1846" s="23">
        <v>4570072506</v>
      </c>
      <c r="K1846" s="23">
        <f t="shared" si="671"/>
        <v>29111599851</v>
      </c>
      <c r="L1846" s="23">
        <v>4570072506</v>
      </c>
      <c r="M1846" s="23">
        <f t="shared" si="621"/>
        <v>272310368533</v>
      </c>
      <c r="N1846" s="23">
        <v>13208736327</v>
      </c>
      <c r="O1846" s="25">
        <f t="shared" si="643"/>
        <v>271028494593</v>
      </c>
      <c r="P1846" s="23">
        <v>3869582340</v>
      </c>
      <c r="Q1846" s="23">
        <f>20120000+2455226520</f>
        <v>2475346520</v>
      </c>
      <c r="R1846" s="25">
        <f t="shared" si="644"/>
        <v>10733389807</v>
      </c>
      <c r="S1846" s="26">
        <f t="shared" si="645"/>
        <v>1.650558085233721E-2</v>
      </c>
      <c r="T1846" s="27">
        <f t="shared" si="646"/>
        <v>60.305075409015842</v>
      </c>
      <c r="U1846" s="26">
        <f t="shared" si="647"/>
        <v>26.346851629160849</v>
      </c>
      <c r="V1846" s="26">
        <f t="shared" si="648"/>
        <v>0.45372759980919675</v>
      </c>
      <c r="W1846" s="143"/>
      <c r="X1846" s="143"/>
      <c r="Y1846" s="143"/>
      <c r="Z1846" s="30">
        <f t="shared" si="662"/>
        <v>0</v>
      </c>
      <c r="AA1846" s="31">
        <f t="shared" si="620"/>
        <v>29</v>
      </c>
      <c r="AB1846" s="32">
        <v>3.2500000000000001E-2</v>
      </c>
      <c r="AC1846" s="32">
        <v>5.0500000000000003E-2</v>
      </c>
      <c r="AD1846" s="33">
        <f t="shared" si="602"/>
        <v>0.97886471711746614</v>
      </c>
      <c r="AE1846" s="34">
        <f t="shared" si="603"/>
        <v>1.397564351414389E-2</v>
      </c>
      <c r="AF1846" s="33">
        <f t="shared" si="604"/>
        <v>3.8765431630788785E-2</v>
      </c>
      <c r="AG1846" s="33">
        <f t="shared" si="605"/>
        <v>0</v>
      </c>
      <c r="AH1846" s="35">
        <f t="shared" si="606"/>
        <v>2.8902684387738682</v>
      </c>
      <c r="AI1846" s="36">
        <f t="shared" si="655"/>
        <v>4.2123979246162317</v>
      </c>
      <c r="AJ1846" s="23"/>
      <c r="AK1846" s="120">
        <v>998</v>
      </c>
      <c r="AL1846" s="44"/>
      <c r="AM1846" s="44"/>
      <c r="AN1846" s="44"/>
      <c r="AO1846" s="44"/>
      <c r="AP1846" s="44"/>
      <c r="AQ1846" s="44"/>
      <c r="AR1846" s="44"/>
    </row>
    <row r="1847" spans="1:44" ht="16.8">
      <c r="A1847" s="64" t="s">
        <v>3575</v>
      </c>
      <c r="B1847" s="62">
        <v>713</v>
      </c>
      <c r="C1847" s="62" t="s">
        <v>3576</v>
      </c>
      <c r="D1847" s="19" t="s">
        <v>3577</v>
      </c>
      <c r="E1847" s="20" t="s">
        <v>414</v>
      </c>
      <c r="F1847" s="21">
        <v>1991</v>
      </c>
      <c r="G1847" s="40">
        <v>2021</v>
      </c>
      <c r="H1847" s="23">
        <f>(8222365+12169867+8353579)*1000000</f>
        <v>28745811000000</v>
      </c>
      <c r="I1847" s="23">
        <v>521117123000000</v>
      </c>
      <c r="J1847" s="23">
        <v>486855787000000</v>
      </c>
      <c r="K1847" s="23">
        <f>(J1847+463559787000000)/2</f>
        <v>475207787000000</v>
      </c>
      <c r="L1847" s="23">
        <v>486855787000000</v>
      </c>
      <c r="M1847" s="23">
        <f t="shared" si="621"/>
        <v>34261336000000</v>
      </c>
      <c r="N1847" s="23">
        <v>29690736000000</v>
      </c>
      <c r="O1847" s="25">
        <f t="shared" si="643"/>
        <v>-458109976000000</v>
      </c>
      <c r="P1847" s="23">
        <v>3411496000000</v>
      </c>
      <c r="Q1847" s="23">
        <v>9749916000000</v>
      </c>
      <c r="R1847" s="25">
        <f t="shared" si="644"/>
        <v>19940820000000</v>
      </c>
      <c r="S1847" s="26">
        <f t="shared" si="645"/>
        <v>0.93425405827626207</v>
      </c>
      <c r="T1847" s="27">
        <f t="shared" si="646"/>
        <v>5.9043790312386692E-2</v>
      </c>
      <c r="U1847" s="26">
        <f t="shared" si="647"/>
        <v>33.886995936639877</v>
      </c>
      <c r="V1847" s="26">
        <f t="shared" si="648"/>
        <v>6.2479481212710013E-2</v>
      </c>
      <c r="W1847" s="143"/>
      <c r="X1847" s="143"/>
      <c r="Y1847" s="143"/>
      <c r="Z1847" s="30">
        <f t="shared" si="662"/>
        <v>0</v>
      </c>
      <c r="AA1847" s="31">
        <f t="shared" si="620"/>
        <v>30</v>
      </c>
      <c r="AB1847" s="32">
        <v>1.84E-2</v>
      </c>
      <c r="AC1847" s="32">
        <v>2.58E-2</v>
      </c>
      <c r="AD1847" s="33">
        <f t="shared" si="602"/>
        <v>-0.87909215756090209</v>
      </c>
      <c r="AE1847" s="34">
        <f t="shared" si="603"/>
        <v>6.5465052853387051E-3</v>
      </c>
      <c r="AF1847" s="33">
        <f t="shared" si="604"/>
        <v>3.8265524427989292E-2</v>
      </c>
      <c r="AG1847" s="33">
        <f t="shared" si="605"/>
        <v>0</v>
      </c>
      <c r="AH1847" s="35">
        <f t="shared" si="606"/>
        <v>6.0984662795021884E-2</v>
      </c>
      <c r="AI1847" s="36">
        <f t="shared" si="655"/>
        <v>-0.85848458826622176</v>
      </c>
      <c r="AJ1847" s="23"/>
      <c r="AK1847" s="120">
        <v>999</v>
      </c>
      <c r="AL1847" s="44"/>
      <c r="AM1847" s="44"/>
      <c r="AN1847" s="44"/>
      <c r="AO1847" s="44"/>
      <c r="AP1847" s="44"/>
      <c r="AQ1847" s="44"/>
      <c r="AR1847" s="44"/>
    </row>
    <row r="1848" spans="1:44" ht="16.8">
      <c r="A1848" s="64" t="s">
        <v>3578</v>
      </c>
      <c r="B1848" s="62"/>
      <c r="C1848" s="62" t="s">
        <v>3576</v>
      </c>
      <c r="D1848" s="19" t="s">
        <v>3577</v>
      </c>
      <c r="E1848" s="20" t="s">
        <v>414</v>
      </c>
      <c r="F1848" s="21">
        <v>1991</v>
      </c>
      <c r="G1848" s="40">
        <v>2022</v>
      </c>
      <c r="H1848" s="23">
        <f>(7849898+12286117+25293585)*1000000</f>
        <v>45429600000000</v>
      </c>
      <c r="I1848" s="23">
        <v>591907695000000</v>
      </c>
      <c r="J1848" s="23">
        <v>553280699000000</v>
      </c>
      <c r="K1848" s="23">
        <f t="shared" ref="K1848:K1849" si="672">SUM(J1847:J1848)/2</f>
        <v>520068243000000</v>
      </c>
      <c r="L1848" s="23">
        <v>553280699000000</v>
      </c>
      <c r="M1848" s="23">
        <f t="shared" si="621"/>
        <v>38626996000000</v>
      </c>
      <c r="N1848" s="23">
        <v>37390848000000</v>
      </c>
      <c r="O1848" s="25">
        <f t="shared" si="643"/>
        <v>-507851099000000</v>
      </c>
      <c r="P1848" s="23">
        <v>5040695000000</v>
      </c>
      <c r="Q1848" s="23">
        <v>10920717000000</v>
      </c>
      <c r="R1848" s="25">
        <f t="shared" si="644"/>
        <v>26470131000000</v>
      </c>
      <c r="S1848" s="26">
        <f t="shared" si="645"/>
        <v>0.93474152080418549</v>
      </c>
      <c r="T1848" s="27">
        <f t="shared" si="646"/>
        <v>8.2109497190322192E-2</v>
      </c>
      <c r="U1848" s="26">
        <f t="shared" si="647"/>
        <v>34.014371818047564</v>
      </c>
      <c r="V1848" s="26">
        <f t="shared" si="648"/>
        <v>7.1896041535456728E-2</v>
      </c>
      <c r="W1848" s="143"/>
      <c r="X1848" s="143"/>
      <c r="Y1848" s="143"/>
      <c r="Z1848" s="30">
        <f t="shared" si="662"/>
        <v>0</v>
      </c>
      <c r="AA1848" s="31">
        <f t="shared" si="620"/>
        <v>31</v>
      </c>
      <c r="AB1848" s="32">
        <v>3.15E-2</v>
      </c>
      <c r="AC1848" s="32">
        <v>8.0199999999999994E-2</v>
      </c>
      <c r="AD1848" s="33">
        <f t="shared" si="602"/>
        <v>-0.85799036452803679</v>
      </c>
      <c r="AE1848" s="34">
        <f t="shared" si="603"/>
        <v>8.5160153222877087E-3</v>
      </c>
      <c r="AF1848" s="33">
        <f t="shared" si="604"/>
        <v>4.4720031896189491E-2</v>
      </c>
      <c r="AG1848" s="33">
        <f t="shared" si="605"/>
        <v>0</v>
      </c>
      <c r="AH1848" s="35">
        <f t="shared" si="606"/>
        <v>6.7580250074835882E-2</v>
      </c>
      <c r="AI1848" s="36">
        <f t="shared" si="655"/>
        <v>-0.80250966065018003</v>
      </c>
      <c r="AJ1848" s="23"/>
      <c r="AK1848" s="120">
        <v>1000</v>
      </c>
      <c r="AL1848" s="44"/>
      <c r="AM1848" s="44"/>
      <c r="AN1848" s="44"/>
      <c r="AO1848" s="44"/>
      <c r="AP1848" s="44"/>
      <c r="AQ1848" s="44"/>
      <c r="AR1848" s="44"/>
    </row>
    <row r="1849" spans="1:44" ht="16.8">
      <c r="A1849" s="64" t="s">
        <v>3579</v>
      </c>
      <c r="B1849" s="62"/>
      <c r="C1849" s="62" t="s">
        <v>3576</v>
      </c>
      <c r="D1849" s="19" t="s">
        <v>3577</v>
      </c>
      <c r="E1849" s="20" t="s">
        <v>414</v>
      </c>
      <c r="F1849" s="21">
        <v>1991</v>
      </c>
      <c r="G1849" s="40">
        <v>2023</v>
      </c>
      <c r="H1849" s="23">
        <f>(7545270+12848045+50332971)*1000000</f>
        <v>70726286000000</v>
      </c>
      <c r="I1849" s="23">
        <v>674389660000000</v>
      </c>
      <c r="J1849" s="23">
        <v>628655796000000</v>
      </c>
      <c r="K1849" s="23">
        <f t="shared" si="672"/>
        <v>590968247500000</v>
      </c>
      <c r="L1849" s="23">
        <v>628655796000000</v>
      </c>
      <c r="M1849" s="23">
        <f t="shared" si="621"/>
        <v>45733864000000</v>
      </c>
      <c r="N1849" s="23">
        <v>55927329000000</v>
      </c>
      <c r="O1849" s="25">
        <f t="shared" si="643"/>
        <v>-557929510000000</v>
      </c>
      <c r="P1849" s="23">
        <v>7718616000000</v>
      </c>
      <c r="Q1849" s="23">
        <v>12889906000000</v>
      </c>
      <c r="R1849" s="25">
        <f t="shared" si="644"/>
        <v>43037423000000</v>
      </c>
      <c r="S1849" s="26">
        <f t="shared" si="645"/>
        <v>0.93218480840883589</v>
      </c>
      <c r="T1849" s="27">
        <f t="shared" si="646"/>
        <v>0.11250399097569125</v>
      </c>
      <c r="U1849" s="26">
        <f t="shared" si="647"/>
        <v>34.144829190351558</v>
      </c>
      <c r="V1849" s="26">
        <f t="shared" si="648"/>
        <v>9.4636774880193536E-2</v>
      </c>
      <c r="W1849" s="143"/>
      <c r="X1849" s="143"/>
      <c r="Y1849" s="143"/>
      <c r="Z1849" s="30">
        <f t="shared" si="662"/>
        <v>0</v>
      </c>
      <c r="AA1849" s="31">
        <f t="shared" si="620"/>
        <v>32</v>
      </c>
      <c r="AB1849" s="32">
        <v>3.2500000000000001E-2</v>
      </c>
      <c r="AC1849" s="32">
        <v>5.0500000000000003E-2</v>
      </c>
      <c r="AD1849" s="33">
        <f t="shared" si="602"/>
        <v>-0.82731029713593174</v>
      </c>
      <c r="AE1849" s="34">
        <f t="shared" si="603"/>
        <v>1.1445335623918078E-2</v>
      </c>
      <c r="AF1849" s="33">
        <f t="shared" si="604"/>
        <v>6.3816848852635139E-2</v>
      </c>
      <c r="AG1849" s="33">
        <f t="shared" si="605"/>
        <v>0</v>
      </c>
      <c r="AH1849" s="35">
        <f t="shared" si="606"/>
        <v>8.8963355393926885E-2</v>
      </c>
      <c r="AI1849" s="36">
        <f t="shared" si="655"/>
        <v>-0.67718993008200989</v>
      </c>
      <c r="AJ1849" s="23"/>
      <c r="AK1849" s="120">
        <v>1001</v>
      </c>
      <c r="AL1849" s="44"/>
      <c r="AM1849" s="44"/>
      <c r="AN1849" s="44"/>
      <c r="AO1849" s="44"/>
      <c r="AP1849" s="44"/>
      <c r="AQ1849" s="44"/>
      <c r="AR1849" s="44"/>
    </row>
    <row r="1850" spans="1:44" ht="16.8">
      <c r="A1850" s="64" t="s">
        <v>3580</v>
      </c>
      <c r="B1850" s="62">
        <v>714</v>
      </c>
      <c r="C1850" s="62" t="s">
        <v>3581</v>
      </c>
      <c r="D1850" s="19" t="s">
        <v>3582</v>
      </c>
      <c r="E1850" s="20" t="s">
        <v>414</v>
      </c>
      <c r="F1850" s="21">
        <v>1975</v>
      </c>
      <c r="G1850" s="40">
        <v>2021</v>
      </c>
      <c r="H1850" s="23">
        <v>996622095792</v>
      </c>
      <c r="I1850" s="23">
        <v>2684190804821</v>
      </c>
      <c r="J1850" s="23">
        <v>799161226508</v>
      </c>
      <c r="K1850" s="23">
        <f>(J1850+694983892018)/2</f>
        <v>747072559263</v>
      </c>
      <c r="L1850" s="23">
        <v>570655495021</v>
      </c>
      <c r="M1850" s="23">
        <f t="shared" si="621"/>
        <v>1885029578313</v>
      </c>
      <c r="N1850" s="23">
        <v>2886511605507</v>
      </c>
      <c r="O1850" s="25">
        <f t="shared" si="643"/>
        <v>425966600771</v>
      </c>
      <c r="P1850" s="23">
        <v>246646629784</v>
      </c>
      <c r="Q1850" s="23">
        <f>91827968500+134173137264</f>
        <v>226001105764</v>
      </c>
      <c r="R1850" s="25">
        <f t="shared" si="644"/>
        <v>2660510499743</v>
      </c>
      <c r="S1850" s="26">
        <f t="shared" si="645"/>
        <v>0.29772891892508119</v>
      </c>
      <c r="T1850" s="27">
        <f t="shared" si="646"/>
        <v>1.7464514133090483</v>
      </c>
      <c r="U1850" s="26">
        <f t="shared" si="647"/>
        <v>28.618400422235894</v>
      </c>
      <c r="V1850" s="26">
        <f t="shared" si="648"/>
        <v>3.8637633918110894</v>
      </c>
      <c r="W1850" s="143"/>
      <c r="X1850" s="143"/>
      <c r="Y1850" s="143"/>
      <c r="Z1850" s="30">
        <f t="shared" si="662"/>
        <v>0</v>
      </c>
      <c r="AA1850" s="31">
        <f t="shared" si="620"/>
        <v>46</v>
      </c>
      <c r="AB1850" s="32">
        <v>1.84E-2</v>
      </c>
      <c r="AC1850" s="32">
        <v>2.58E-2</v>
      </c>
      <c r="AD1850" s="33">
        <f t="shared" si="602"/>
        <v>0.15869460546766395</v>
      </c>
      <c r="AE1850" s="34">
        <f t="shared" si="603"/>
        <v>9.1888635241952579E-2</v>
      </c>
      <c r="AF1850" s="33">
        <f t="shared" si="604"/>
        <v>0.99117786074094716</v>
      </c>
      <c r="AG1850" s="33">
        <f t="shared" si="605"/>
        <v>0</v>
      </c>
      <c r="AH1850" s="35">
        <f t="shared" si="606"/>
        <v>3.6119264921295637</v>
      </c>
      <c r="AI1850" s="36">
        <f t="shared" si="655"/>
        <v>7.2018910484746197</v>
      </c>
      <c r="AJ1850" s="23"/>
      <c r="AK1850" s="120">
        <v>1002</v>
      </c>
      <c r="AL1850" s="44"/>
      <c r="AM1850" s="44"/>
      <c r="AN1850" s="44"/>
      <c r="AO1850" s="44"/>
      <c r="AP1850" s="44"/>
      <c r="AQ1850" s="44"/>
      <c r="AR1850" s="44"/>
    </row>
    <row r="1851" spans="1:44" ht="16.8">
      <c r="A1851" s="64" t="s">
        <v>3583</v>
      </c>
      <c r="B1851" s="62"/>
      <c r="C1851" s="62" t="s">
        <v>3581</v>
      </c>
      <c r="D1851" s="19" t="s">
        <v>3582</v>
      </c>
      <c r="E1851" s="20" t="s">
        <v>414</v>
      </c>
      <c r="F1851" s="21">
        <v>1975</v>
      </c>
      <c r="G1851" s="40">
        <v>2022</v>
      </c>
      <c r="H1851" s="23">
        <v>994211815808</v>
      </c>
      <c r="I1851" s="23">
        <v>2784034932782</v>
      </c>
      <c r="J1851" s="23">
        <v>660320917654</v>
      </c>
      <c r="K1851" s="23">
        <f t="shared" ref="K1851:K1852" si="673">SUM(J1850:J1851)/2</f>
        <v>729741072081</v>
      </c>
      <c r="L1851" s="23">
        <v>484587095527</v>
      </c>
      <c r="M1851" s="23">
        <f t="shared" si="621"/>
        <v>2123714015128</v>
      </c>
      <c r="N1851" s="23">
        <v>2639254563108</v>
      </c>
      <c r="O1851" s="25">
        <f t="shared" si="643"/>
        <v>509624720281</v>
      </c>
      <c r="P1851" s="23">
        <v>253562357210</v>
      </c>
      <c r="Q1851" s="23">
        <f>80071531567+129681110424</f>
        <v>209752641991</v>
      </c>
      <c r="R1851" s="25">
        <f t="shared" si="644"/>
        <v>2429501921117</v>
      </c>
      <c r="S1851" s="26">
        <f t="shared" si="645"/>
        <v>0.23718126158501959</v>
      </c>
      <c r="T1851" s="27">
        <f t="shared" si="646"/>
        <v>2.0516679560498221</v>
      </c>
      <c r="U1851" s="26">
        <f t="shared" si="647"/>
        <v>28.654922406016684</v>
      </c>
      <c r="V1851" s="26">
        <f t="shared" si="648"/>
        <v>3.6167000379760004</v>
      </c>
      <c r="W1851" s="143"/>
      <c r="X1851" s="143"/>
      <c r="Y1851" s="143"/>
      <c r="Z1851" s="30">
        <f t="shared" si="662"/>
        <v>0</v>
      </c>
      <c r="AA1851" s="31">
        <f t="shared" si="620"/>
        <v>47</v>
      </c>
      <c r="AB1851" s="32">
        <v>3.15E-2</v>
      </c>
      <c r="AC1851" s="32">
        <v>8.0199999999999994E-2</v>
      </c>
      <c r="AD1851" s="33">
        <f t="shared" si="602"/>
        <v>0.18305255953514482</v>
      </c>
      <c r="AE1851" s="34">
        <f t="shared" si="603"/>
        <v>9.1077290095862046E-2</v>
      </c>
      <c r="AF1851" s="33">
        <f t="shared" si="604"/>
        <v>0.87265497013332149</v>
      </c>
      <c r="AG1851" s="33">
        <f t="shared" si="605"/>
        <v>0</v>
      </c>
      <c r="AH1851" s="35">
        <f t="shared" si="606"/>
        <v>3.996927088853691</v>
      </c>
      <c r="AI1851" s="36">
        <f t="shared" si="655"/>
        <v>7.2238597678700325</v>
      </c>
      <c r="AJ1851" s="23"/>
      <c r="AK1851" s="120">
        <v>1003</v>
      </c>
      <c r="AL1851" s="44"/>
      <c r="AM1851" s="44"/>
      <c r="AN1851" s="44"/>
      <c r="AO1851" s="44"/>
      <c r="AP1851" s="44"/>
      <c r="AQ1851" s="44"/>
      <c r="AR1851" s="44"/>
    </row>
    <row r="1852" spans="1:44" ht="16.8">
      <c r="A1852" s="64" t="s">
        <v>3584</v>
      </c>
      <c r="B1852" s="62"/>
      <c r="C1852" s="62" t="s">
        <v>3581</v>
      </c>
      <c r="D1852" s="19" t="s">
        <v>3582</v>
      </c>
      <c r="E1852" s="20" t="s">
        <v>414</v>
      </c>
      <c r="F1852" s="21">
        <v>1975</v>
      </c>
      <c r="G1852" s="40">
        <v>2023</v>
      </c>
      <c r="H1852" s="23">
        <v>1171257229099</v>
      </c>
      <c r="I1852" s="23">
        <v>2868678174669</v>
      </c>
      <c r="J1852" s="23">
        <v>614033080778</v>
      </c>
      <c r="K1852" s="23">
        <f t="shared" si="673"/>
        <v>637176999216</v>
      </c>
      <c r="L1852" s="23">
        <v>480992542620</v>
      </c>
      <c r="M1852" s="23">
        <f t="shared" si="621"/>
        <v>2254645093891</v>
      </c>
      <c r="N1852" s="23">
        <v>1795635736766</v>
      </c>
      <c r="O1852" s="25">
        <f t="shared" si="643"/>
        <v>690264686479</v>
      </c>
      <c r="P1852" s="23">
        <v>150680475252</v>
      </c>
      <c r="Q1852" s="23">
        <f>74758525663+129769390298</f>
        <v>204527915961</v>
      </c>
      <c r="R1852" s="25">
        <f t="shared" si="644"/>
        <v>1591107820805</v>
      </c>
      <c r="S1852" s="26">
        <f t="shared" si="645"/>
        <v>0.21404739165237652</v>
      </c>
      <c r="T1852" s="27">
        <f t="shared" si="646"/>
        <v>2.4350839676621181</v>
      </c>
      <c r="U1852" s="26">
        <f t="shared" si="647"/>
        <v>28.684872473289413</v>
      </c>
      <c r="V1852" s="26">
        <f t="shared" si="648"/>
        <v>2.8181113552049104</v>
      </c>
      <c r="W1852" s="143"/>
      <c r="X1852" s="143"/>
      <c r="Y1852" s="143"/>
      <c r="Z1852" s="30">
        <f t="shared" si="662"/>
        <v>0</v>
      </c>
      <c r="AA1852" s="31">
        <f t="shared" si="620"/>
        <v>48</v>
      </c>
      <c r="AB1852" s="32">
        <v>3.2500000000000001E-2</v>
      </c>
      <c r="AC1852" s="32">
        <v>5.0500000000000003E-2</v>
      </c>
      <c r="AD1852" s="33">
        <f t="shared" si="602"/>
        <v>0.24062116572509762</v>
      </c>
      <c r="AE1852" s="34">
        <f t="shared" si="603"/>
        <v>5.2526099505527883E-2</v>
      </c>
      <c r="AF1852" s="33">
        <f t="shared" si="604"/>
        <v>0.55464842130246572</v>
      </c>
      <c r="AG1852" s="33">
        <f t="shared" si="605"/>
        <v>0</v>
      </c>
      <c r="AH1852" s="35">
        <f t="shared" si="606"/>
        <v>2.9243306150392918</v>
      </c>
      <c r="AI1852" s="36">
        <f t="shared" si="655"/>
        <v>5.1169523435152851</v>
      </c>
      <c r="AJ1852" s="23"/>
      <c r="AK1852" s="120">
        <v>1004</v>
      </c>
      <c r="AL1852" s="44"/>
      <c r="AM1852" s="44"/>
      <c r="AN1852" s="44"/>
      <c r="AO1852" s="44"/>
      <c r="AP1852" s="44"/>
      <c r="AQ1852" s="44"/>
      <c r="AR1852" s="44"/>
    </row>
    <row r="1853" spans="1:44" ht="16.8">
      <c r="A1853" s="64" t="s">
        <v>3585</v>
      </c>
      <c r="B1853" s="62">
        <v>715</v>
      </c>
      <c r="C1853" s="62" t="s">
        <v>3586</v>
      </c>
      <c r="D1853" s="19" t="s">
        <v>3587</v>
      </c>
      <c r="E1853" s="20" t="s">
        <v>414</v>
      </c>
      <c r="F1853" s="21">
        <v>2000</v>
      </c>
      <c r="G1853" s="40">
        <v>2021</v>
      </c>
      <c r="H1853" s="23">
        <v>986230344776</v>
      </c>
      <c r="I1853" s="23">
        <v>1971139649226</v>
      </c>
      <c r="J1853" s="23">
        <v>712146217980</v>
      </c>
      <c r="K1853" s="23">
        <f>(J1853+620597385805)/2</f>
        <v>666371801892.5</v>
      </c>
      <c r="L1853" s="23">
        <v>711866113607</v>
      </c>
      <c r="M1853" s="23">
        <f t="shared" si="621"/>
        <v>1258993431246</v>
      </c>
      <c r="N1853" s="23">
        <v>2043370881890</v>
      </c>
      <c r="O1853" s="25">
        <f t="shared" si="643"/>
        <v>274364231169</v>
      </c>
      <c r="P1853" s="23">
        <v>278479651838</v>
      </c>
      <c r="Q1853" s="23">
        <f>27145444741+71510694737</f>
        <v>98656139478</v>
      </c>
      <c r="R1853" s="25">
        <f t="shared" si="644"/>
        <v>1944714742412</v>
      </c>
      <c r="S1853" s="26">
        <f t="shared" si="645"/>
        <v>0.36128653708509989</v>
      </c>
      <c r="T1853" s="27">
        <f t="shared" si="646"/>
        <v>1.3854154958701521</v>
      </c>
      <c r="U1853" s="26">
        <f t="shared" si="647"/>
        <v>28.309632993555763</v>
      </c>
      <c r="V1853" s="26">
        <f t="shared" si="648"/>
        <v>3.0664125884180784</v>
      </c>
      <c r="W1853" s="143"/>
      <c r="X1853" s="143"/>
      <c r="Y1853" s="143"/>
      <c r="Z1853" s="30">
        <f t="shared" si="662"/>
        <v>0</v>
      </c>
      <c r="AA1853" s="31">
        <f t="shared" si="620"/>
        <v>21</v>
      </c>
      <c r="AB1853" s="32">
        <v>1.84E-2</v>
      </c>
      <c r="AC1853" s="32">
        <v>2.58E-2</v>
      </c>
      <c r="AD1853" s="33">
        <f t="shared" si="602"/>
        <v>0.13919066123840265</v>
      </c>
      <c r="AE1853" s="34">
        <f t="shared" si="603"/>
        <v>0.1412784994443948</v>
      </c>
      <c r="AF1853" s="33">
        <f t="shared" si="604"/>
        <v>0.98659409706238921</v>
      </c>
      <c r="AG1853" s="33">
        <f t="shared" si="605"/>
        <v>0</v>
      </c>
      <c r="AH1853" s="35">
        <f t="shared" si="606"/>
        <v>2.8693136750568073</v>
      </c>
      <c r="AI1853" s="36">
        <f t="shared" si="655"/>
        <v>6.4898928880709272</v>
      </c>
      <c r="AJ1853" s="23"/>
      <c r="AK1853" s="120">
        <v>1005</v>
      </c>
      <c r="AL1853" s="44"/>
      <c r="AM1853" s="44"/>
      <c r="AN1853" s="44"/>
      <c r="AO1853" s="44"/>
      <c r="AP1853" s="44"/>
      <c r="AQ1853" s="44"/>
      <c r="AR1853" s="44"/>
    </row>
    <row r="1854" spans="1:44" ht="16.8">
      <c r="A1854" s="64" t="s">
        <v>3588</v>
      </c>
      <c r="B1854" s="62"/>
      <c r="C1854" s="62" t="s">
        <v>3586</v>
      </c>
      <c r="D1854" s="19" t="s">
        <v>3587</v>
      </c>
      <c r="E1854" s="20" t="s">
        <v>414</v>
      </c>
      <c r="F1854" s="21">
        <v>2000</v>
      </c>
      <c r="G1854" s="40">
        <v>2022</v>
      </c>
      <c r="H1854" s="23">
        <v>1199951103248</v>
      </c>
      <c r="I1854" s="23">
        <v>2125032943857</v>
      </c>
      <c r="J1854" s="23">
        <v>583942885374</v>
      </c>
      <c r="K1854" s="23">
        <f t="shared" ref="K1854:K1855" si="674">SUM(J1853:J1854)/2</f>
        <v>648044551677</v>
      </c>
      <c r="L1854" s="23">
        <v>583671887207</v>
      </c>
      <c r="M1854" s="23">
        <f t="shared" si="621"/>
        <v>1541090058483</v>
      </c>
      <c r="N1854" s="23">
        <v>2116780568379</v>
      </c>
      <c r="O1854" s="25">
        <f t="shared" si="643"/>
        <v>616279216041</v>
      </c>
      <c r="P1854" s="23">
        <v>242274378237</v>
      </c>
      <c r="Q1854" s="23">
        <f>19448338303+64115797999</f>
        <v>83564136302</v>
      </c>
      <c r="R1854" s="25">
        <f t="shared" si="644"/>
        <v>2033216432077</v>
      </c>
      <c r="S1854" s="26">
        <f t="shared" si="645"/>
        <v>0.27479239183658288</v>
      </c>
      <c r="T1854" s="27">
        <f t="shared" si="646"/>
        <v>2.0558658546842703</v>
      </c>
      <c r="U1854" s="26">
        <f t="shared" si="647"/>
        <v>28.384808421176288</v>
      </c>
      <c r="V1854" s="26">
        <f t="shared" si="648"/>
        <v>3.2664121053116286</v>
      </c>
      <c r="W1854" s="143"/>
      <c r="X1854" s="143"/>
      <c r="Y1854" s="143"/>
      <c r="Z1854" s="30">
        <f t="shared" si="662"/>
        <v>0</v>
      </c>
      <c r="AA1854" s="31">
        <f t="shared" si="620"/>
        <v>22</v>
      </c>
      <c r="AB1854" s="32">
        <v>3.15E-2</v>
      </c>
      <c r="AC1854" s="32">
        <v>8.0199999999999994E-2</v>
      </c>
      <c r="AD1854" s="33">
        <f t="shared" si="602"/>
        <v>0.2900092527141882</v>
      </c>
      <c r="AE1854" s="34">
        <f t="shared" si="603"/>
        <v>0.11400970462004442</v>
      </c>
      <c r="AF1854" s="33">
        <f t="shared" si="604"/>
        <v>0.95679289958989988</v>
      </c>
      <c r="AG1854" s="33">
        <f t="shared" si="605"/>
        <v>0</v>
      </c>
      <c r="AH1854" s="35">
        <f t="shared" si="606"/>
        <v>3.6249787802847497</v>
      </c>
      <c r="AI1854" s="36">
        <f t="shared" si="655"/>
        <v>7.2900200386565075</v>
      </c>
      <c r="AJ1854" s="23"/>
      <c r="AK1854" s="120">
        <v>1006</v>
      </c>
      <c r="AL1854" s="44"/>
      <c r="AM1854" s="44"/>
      <c r="AN1854" s="44"/>
      <c r="AO1854" s="44"/>
      <c r="AP1854" s="44"/>
      <c r="AQ1854" s="44"/>
      <c r="AR1854" s="44"/>
    </row>
    <row r="1855" spans="1:44" ht="16.8">
      <c r="A1855" s="64" t="s">
        <v>3589</v>
      </c>
      <c r="B1855" s="62"/>
      <c r="C1855" s="62" t="s">
        <v>3586</v>
      </c>
      <c r="D1855" s="19" t="s">
        <v>3587</v>
      </c>
      <c r="E1855" s="20" t="s">
        <v>414</v>
      </c>
      <c r="F1855" s="21">
        <v>2000</v>
      </c>
      <c r="G1855" s="40">
        <v>2023</v>
      </c>
      <c r="H1855" s="23">
        <v>1395936217102</v>
      </c>
      <c r="I1855" s="23">
        <v>2973859144107</v>
      </c>
      <c r="J1855" s="23">
        <v>1344969752937</v>
      </c>
      <c r="K1855" s="23">
        <f t="shared" si="674"/>
        <v>964456319155.5</v>
      </c>
      <c r="L1855" s="23">
        <v>935575186771</v>
      </c>
      <c r="M1855" s="23">
        <f t="shared" si="621"/>
        <v>1628889391170</v>
      </c>
      <c r="N1855" s="23">
        <v>1425624612200</v>
      </c>
      <c r="O1855" s="25">
        <f t="shared" si="643"/>
        <v>460361030331</v>
      </c>
      <c r="P1855" s="23">
        <v>87799332687</v>
      </c>
      <c r="Q1855" s="23">
        <f>19663775726+60439695454</f>
        <v>80103471180</v>
      </c>
      <c r="R1855" s="25">
        <f t="shared" si="644"/>
        <v>1345521141020</v>
      </c>
      <c r="S1855" s="26">
        <f t="shared" si="645"/>
        <v>0.4522641079360441</v>
      </c>
      <c r="T1855" s="27">
        <f t="shared" si="646"/>
        <v>1.4920620350352261</v>
      </c>
      <c r="U1855" s="26">
        <f t="shared" si="647"/>
        <v>28.720881600406074</v>
      </c>
      <c r="V1855" s="26">
        <f t="shared" si="648"/>
        <v>1.4781640017127053</v>
      </c>
      <c r="W1855" s="143"/>
      <c r="X1855" s="143"/>
      <c r="Y1855" s="143"/>
      <c r="Z1855" s="30">
        <f t="shared" si="662"/>
        <v>0</v>
      </c>
      <c r="AA1855" s="31">
        <f t="shared" si="620"/>
        <v>23</v>
      </c>
      <c r="AB1855" s="32">
        <v>3.2500000000000001E-2</v>
      </c>
      <c r="AC1855" s="32">
        <v>5.0500000000000003E-2</v>
      </c>
      <c r="AD1855" s="33">
        <f t="shared" ref="AD1855:AD2109" si="675">O1855/I1855</f>
        <v>0.15480256731165346</v>
      </c>
      <c r="AE1855" s="34">
        <f t="shared" ref="AE1855:AE2109" si="676">P1855/I1855</f>
        <v>2.9523702513275782E-2</v>
      </c>
      <c r="AF1855" s="33">
        <f t="shared" ref="AF1855:AF2109" si="677">R1855/I1855</f>
        <v>0.45244951956997864</v>
      </c>
      <c r="AG1855" s="33">
        <f t="shared" ref="AG1855:AG2109" si="678">Z1855/J1855</f>
        <v>0</v>
      </c>
      <c r="AH1855" s="35">
        <f t="shared" ref="AH1855:AH2109" si="679">N1855/J1855</f>
        <v>1.0599677867006858</v>
      </c>
      <c r="AI1855" s="36">
        <f t="shared" si="655"/>
        <v>2.7801474655741858</v>
      </c>
      <c r="AJ1855" s="23"/>
      <c r="AK1855" s="120">
        <v>1007</v>
      </c>
      <c r="AL1855" s="44"/>
      <c r="AM1855" s="44"/>
      <c r="AN1855" s="44"/>
      <c r="AO1855" s="44"/>
      <c r="AP1855" s="44"/>
      <c r="AQ1855" s="44"/>
      <c r="AR1855" s="44"/>
    </row>
    <row r="1856" spans="1:44" ht="16.8">
      <c r="A1856" s="45"/>
      <c r="B1856" s="45">
        <v>716</v>
      </c>
      <c r="C1856" s="45" t="s">
        <v>1</v>
      </c>
      <c r="D1856" s="46" t="s">
        <v>3590</v>
      </c>
      <c r="E1856" s="47" t="s">
        <v>178</v>
      </c>
      <c r="F1856" s="48"/>
      <c r="G1856" s="48"/>
      <c r="H1856" s="49"/>
      <c r="I1856" s="49"/>
      <c r="J1856" s="49"/>
      <c r="K1856" s="49"/>
      <c r="L1856" s="49"/>
      <c r="M1856" s="49">
        <f t="shared" si="621"/>
        <v>0</v>
      </c>
      <c r="N1856" s="49"/>
      <c r="O1856" s="49">
        <f t="shared" si="643"/>
        <v>0</v>
      </c>
      <c r="P1856" s="49"/>
      <c r="Q1856" s="49"/>
      <c r="R1856" s="49">
        <f t="shared" si="644"/>
        <v>0</v>
      </c>
      <c r="S1856" s="50" t="e">
        <f t="shared" si="645"/>
        <v>#DIV/0!</v>
      </c>
      <c r="T1856" s="51" t="e">
        <f t="shared" si="646"/>
        <v>#DIV/0!</v>
      </c>
      <c r="U1856" s="50" t="e">
        <f t="shared" si="647"/>
        <v>#NUM!</v>
      </c>
      <c r="V1856" s="50" t="e">
        <f t="shared" si="648"/>
        <v>#DIV/0!</v>
      </c>
      <c r="W1856" s="52"/>
      <c r="X1856" s="52"/>
      <c r="Y1856" s="52"/>
      <c r="Z1856" s="55">
        <f>W1856*Y1856</f>
        <v>0</v>
      </c>
      <c r="AA1856" s="48">
        <f t="shared" si="620"/>
        <v>0</v>
      </c>
      <c r="AB1856" s="49"/>
      <c r="AC1856" s="49"/>
      <c r="AD1856" s="50" t="e">
        <f t="shared" si="675"/>
        <v>#DIV/0!</v>
      </c>
      <c r="AE1856" s="56" t="e">
        <f t="shared" si="676"/>
        <v>#DIV/0!</v>
      </c>
      <c r="AF1856" s="50" t="e">
        <f t="shared" si="677"/>
        <v>#DIV/0!</v>
      </c>
      <c r="AG1856" s="50" t="e">
        <f t="shared" si="678"/>
        <v>#DIV/0!</v>
      </c>
      <c r="AH1856" s="57" t="e">
        <f t="shared" si="679"/>
        <v>#DIV/0!</v>
      </c>
      <c r="AI1856" s="58" t="e">
        <f t="shared" si="655"/>
        <v>#DIV/0!</v>
      </c>
      <c r="AJ1856" s="49"/>
      <c r="AK1856" s="49"/>
      <c r="AL1856" s="59"/>
      <c r="AM1856" s="59"/>
      <c r="AN1856" s="59"/>
      <c r="AO1856" s="59"/>
      <c r="AP1856" s="59"/>
      <c r="AQ1856" s="59"/>
      <c r="AR1856" s="59"/>
    </row>
    <row r="1857" spans="1:44" ht="16.8">
      <c r="A1857" s="64" t="s">
        <v>3591</v>
      </c>
      <c r="B1857" s="62">
        <v>717</v>
      </c>
      <c r="C1857" s="62" t="s">
        <v>3592</v>
      </c>
      <c r="D1857" s="19" t="s">
        <v>3593</v>
      </c>
      <c r="E1857" s="20" t="s">
        <v>414</v>
      </c>
      <c r="F1857" s="21">
        <v>1982</v>
      </c>
      <c r="G1857" s="40">
        <v>2021</v>
      </c>
      <c r="H1857" s="23">
        <v>2103420596217</v>
      </c>
      <c r="I1857" s="23">
        <v>4429009772381</v>
      </c>
      <c r="J1857" s="23">
        <v>2559005626269</v>
      </c>
      <c r="K1857" s="23">
        <f>(J1857+2517450987642)/2</f>
        <v>2538228306955.5</v>
      </c>
      <c r="L1857" s="23">
        <v>2148561843459</v>
      </c>
      <c r="M1857" s="23">
        <f t="shared" si="621"/>
        <v>1870004146112</v>
      </c>
      <c r="N1857" s="23">
        <v>14192876454744</v>
      </c>
      <c r="O1857" s="25">
        <f t="shared" si="643"/>
        <v>-45141247242</v>
      </c>
      <c r="P1857" s="23">
        <v>211328573687</v>
      </c>
      <c r="Q1857" s="23">
        <f>454539630761+277684710128</f>
        <v>732224340889</v>
      </c>
      <c r="R1857" s="25">
        <f t="shared" si="644"/>
        <v>13460652113855</v>
      </c>
      <c r="S1857" s="26">
        <f t="shared" si="645"/>
        <v>0.57778279068761218</v>
      </c>
      <c r="T1857" s="27">
        <f t="shared" si="646"/>
        <v>0.97899001726227886</v>
      </c>
      <c r="U1857" s="26">
        <f t="shared" si="647"/>
        <v>29.119197147320325</v>
      </c>
      <c r="V1857" s="26">
        <f t="shared" si="648"/>
        <v>5.5916469042013679</v>
      </c>
      <c r="W1857" s="143"/>
      <c r="X1857" s="143"/>
      <c r="Y1857" s="143"/>
      <c r="Z1857" s="30">
        <f t="shared" ref="Z1857:Z1871" si="680">X1857*Y1857</f>
        <v>0</v>
      </c>
      <c r="AA1857" s="31">
        <f t="shared" si="620"/>
        <v>39</v>
      </c>
      <c r="AB1857" s="32">
        <v>1.84E-2</v>
      </c>
      <c r="AC1857" s="32">
        <v>2.58E-2</v>
      </c>
      <c r="AD1857" s="33">
        <f t="shared" si="675"/>
        <v>-1.0192176030745678E-2</v>
      </c>
      <c r="AE1857" s="34">
        <f t="shared" si="676"/>
        <v>4.7714632513305891E-2</v>
      </c>
      <c r="AF1857" s="33">
        <f t="shared" si="677"/>
        <v>3.0392012674694691</v>
      </c>
      <c r="AG1857" s="33">
        <f t="shared" si="678"/>
        <v>0</v>
      </c>
      <c r="AH1857" s="35">
        <f t="shared" si="679"/>
        <v>5.5462466784166651</v>
      </c>
      <c r="AI1857" s="36">
        <f t="shared" si="655"/>
        <v>15.630180735347647</v>
      </c>
      <c r="AJ1857" s="23"/>
      <c r="AK1857" s="120">
        <v>1008</v>
      </c>
      <c r="AL1857" s="44"/>
      <c r="AM1857" s="44"/>
      <c r="AN1857" s="44"/>
      <c r="AO1857" s="44"/>
      <c r="AP1857" s="44"/>
      <c r="AQ1857" s="44"/>
      <c r="AR1857" s="44"/>
    </row>
    <row r="1858" spans="1:44" ht="16.8">
      <c r="A1858" s="64" t="s">
        <v>3594</v>
      </c>
      <c r="B1858" s="62"/>
      <c r="C1858" s="62" t="s">
        <v>3592</v>
      </c>
      <c r="D1858" s="19" t="s">
        <v>3593</v>
      </c>
      <c r="E1858" s="20" t="s">
        <v>414</v>
      </c>
      <c r="F1858" s="21">
        <v>1982</v>
      </c>
      <c r="G1858" s="40">
        <v>2022</v>
      </c>
      <c r="H1858" s="23">
        <v>3465306730854</v>
      </c>
      <c r="I1858" s="23">
        <v>6146725463440</v>
      </c>
      <c r="J1858" s="23">
        <v>3691056042644</v>
      </c>
      <c r="K1858" s="23">
        <f t="shared" ref="K1858:K1859" si="681">SUM(J1857:J1858)/2</f>
        <v>3125030834456.5</v>
      </c>
      <c r="L1858" s="23">
        <v>3232120452981</v>
      </c>
      <c r="M1858" s="23">
        <f t="shared" si="621"/>
        <v>2455669420796</v>
      </c>
      <c r="N1858" s="23">
        <v>21322514138377</v>
      </c>
      <c r="O1858" s="25">
        <f t="shared" si="643"/>
        <v>233186277873</v>
      </c>
      <c r="P1858" s="23">
        <v>586043336825</v>
      </c>
      <c r="Q1858" s="23">
        <f>698693701336+501126785248</f>
        <v>1199820486584</v>
      </c>
      <c r="R1858" s="25">
        <f t="shared" si="644"/>
        <v>20122693651793</v>
      </c>
      <c r="S1858" s="26">
        <f t="shared" si="645"/>
        <v>0.60049144289881939</v>
      </c>
      <c r="T1858" s="27">
        <f t="shared" si="646"/>
        <v>1.0721465308193978</v>
      </c>
      <c r="U1858" s="26">
        <f t="shared" si="647"/>
        <v>29.446940610978711</v>
      </c>
      <c r="V1858" s="26">
        <f t="shared" si="648"/>
        <v>6.8231372002079382</v>
      </c>
      <c r="W1858" s="143"/>
      <c r="X1858" s="143"/>
      <c r="Y1858" s="143"/>
      <c r="Z1858" s="30">
        <f t="shared" si="680"/>
        <v>0</v>
      </c>
      <c r="AA1858" s="31">
        <f t="shared" si="620"/>
        <v>40</v>
      </c>
      <c r="AB1858" s="32">
        <v>3.15E-2</v>
      </c>
      <c r="AC1858" s="32">
        <v>8.0199999999999994E-2</v>
      </c>
      <c r="AD1858" s="33">
        <f t="shared" si="675"/>
        <v>3.7936667134389611E-2</v>
      </c>
      <c r="AE1858" s="34">
        <f t="shared" si="676"/>
        <v>9.5342364045818681E-2</v>
      </c>
      <c r="AF1858" s="33">
        <f t="shared" si="677"/>
        <v>3.273725786433836</v>
      </c>
      <c r="AG1858" s="33">
        <f t="shared" si="678"/>
        <v>0</v>
      </c>
      <c r="AH1858" s="35">
        <f t="shared" si="679"/>
        <v>5.7768058496080501</v>
      </c>
      <c r="AI1858" s="36">
        <f t="shared" si="655"/>
        <v>16.759104255065122</v>
      </c>
      <c r="AJ1858" s="23"/>
      <c r="AK1858" s="120">
        <v>1009</v>
      </c>
      <c r="AL1858" s="44"/>
      <c r="AM1858" s="44"/>
      <c r="AN1858" s="44"/>
      <c r="AO1858" s="44"/>
      <c r="AP1858" s="44"/>
      <c r="AQ1858" s="44"/>
      <c r="AR1858" s="44"/>
    </row>
    <row r="1859" spans="1:44" ht="16.8">
      <c r="A1859" s="64" t="s">
        <v>3595</v>
      </c>
      <c r="B1859" s="62"/>
      <c r="C1859" s="62" t="s">
        <v>3592</v>
      </c>
      <c r="D1859" s="19" t="s">
        <v>3593</v>
      </c>
      <c r="E1859" s="20" t="s">
        <v>414</v>
      </c>
      <c r="F1859" s="21">
        <v>1982</v>
      </c>
      <c r="G1859" s="40">
        <v>2023</v>
      </c>
      <c r="H1859" s="23">
        <v>3968497327853</v>
      </c>
      <c r="I1859" s="23">
        <v>7173863183972</v>
      </c>
      <c r="J1859" s="23">
        <v>4733932466976</v>
      </c>
      <c r="K1859" s="23">
        <f t="shared" si="681"/>
        <v>4212494254810</v>
      </c>
      <c r="L1859" s="23">
        <v>2878577855062</v>
      </c>
      <c r="M1859" s="23">
        <f t="shared" si="621"/>
        <v>2439930716996</v>
      </c>
      <c r="N1859" s="23">
        <v>20852168550441</v>
      </c>
      <c r="O1859" s="25">
        <f t="shared" si="643"/>
        <v>1089919472791</v>
      </c>
      <c r="P1859" s="23">
        <v>44431941553</v>
      </c>
      <c r="Q1859" s="23">
        <f>757409561072+501388317475</f>
        <v>1258797878547</v>
      </c>
      <c r="R1859" s="25">
        <f t="shared" si="644"/>
        <v>19593370671894</v>
      </c>
      <c r="S1859" s="26">
        <f t="shared" si="645"/>
        <v>0.65988608167948537</v>
      </c>
      <c r="T1859" s="27">
        <f t="shared" si="646"/>
        <v>1.3786312296102636</v>
      </c>
      <c r="U1859" s="26">
        <f t="shared" si="647"/>
        <v>29.601465423762832</v>
      </c>
      <c r="V1859" s="26">
        <f t="shared" si="648"/>
        <v>4.9500764366933279</v>
      </c>
      <c r="W1859" s="143"/>
      <c r="X1859" s="143"/>
      <c r="Y1859" s="143"/>
      <c r="Z1859" s="30">
        <f t="shared" si="680"/>
        <v>0</v>
      </c>
      <c r="AA1859" s="31">
        <f t="shared" si="620"/>
        <v>41</v>
      </c>
      <c r="AB1859" s="32">
        <v>3.2500000000000001E-2</v>
      </c>
      <c r="AC1859" s="32">
        <v>5.0500000000000003E-2</v>
      </c>
      <c r="AD1859" s="33">
        <f t="shared" si="675"/>
        <v>0.15192922485978289</v>
      </c>
      <c r="AE1859" s="34">
        <f t="shared" si="676"/>
        <v>6.1935864141193552E-3</v>
      </c>
      <c r="AF1859" s="33">
        <f t="shared" si="677"/>
        <v>2.731216106221531</v>
      </c>
      <c r="AG1859" s="33">
        <f t="shared" si="678"/>
        <v>0</v>
      </c>
      <c r="AH1859" s="35">
        <f t="shared" si="679"/>
        <v>4.404830169400622</v>
      </c>
      <c r="AI1859" s="36">
        <f t="shared" si="655"/>
        <v>13.60882941074318</v>
      </c>
      <c r="AJ1859" s="23"/>
      <c r="AK1859" s="120">
        <v>1010</v>
      </c>
      <c r="AL1859" s="44"/>
      <c r="AM1859" s="44"/>
      <c r="AN1859" s="44"/>
      <c r="AO1859" s="44"/>
      <c r="AP1859" s="44"/>
      <c r="AQ1859" s="44"/>
      <c r="AR1859" s="44"/>
    </row>
    <row r="1860" spans="1:44" ht="16.8">
      <c r="A1860" s="64" t="s">
        <v>3596</v>
      </c>
      <c r="B1860" s="62">
        <v>718</v>
      </c>
      <c r="C1860" s="62" t="s">
        <v>3597</v>
      </c>
      <c r="D1860" s="19" t="s">
        <v>3598</v>
      </c>
      <c r="E1860" s="20" t="s">
        <v>414</v>
      </c>
      <c r="F1860" s="21">
        <v>1968</v>
      </c>
      <c r="G1860" s="40">
        <v>2021</v>
      </c>
      <c r="H1860" s="23">
        <v>848185093998</v>
      </c>
      <c r="I1860" s="23">
        <v>1160046781788</v>
      </c>
      <c r="J1860" s="23">
        <v>526184429139</v>
      </c>
      <c r="K1860" s="23">
        <f>(J1860+521965447331)/2</f>
        <v>524074938235</v>
      </c>
      <c r="L1860" s="23">
        <v>512959631184</v>
      </c>
      <c r="M1860" s="23">
        <f t="shared" si="621"/>
        <v>633862352649</v>
      </c>
      <c r="N1860" s="23">
        <v>1839060772826</v>
      </c>
      <c r="O1860" s="25">
        <f t="shared" si="643"/>
        <v>335225462814</v>
      </c>
      <c r="P1860" s="23">
        <v>92119480556</v>
      </c>
      <c r="Q1860" s="23">
        <f>79660687033+40470181849</f>
        <v>120130868882</v>
      </c>
      <c r="R1860" s="25">
        <f t="shared" si="644"/>
        <v>1718929903944</v>
      </c>
      <c r="S1860" s="26">
        <f t="shared" si="645"/>
        <v>0.45358897365154782</v>
      </c>
      <c r="T1860" s="27">
        <f t="shared" si="646"/>
        <v>1.6535123671237859</v>
      </c>
      <c r="U1860" s="26">
        <f t="shared" si="647"/>
        <v>27.77948144936121</v>
      </c>
      <c r="V1860" s="26">
        <f t="shared" si="648"/>
        <v>3.5091561123293942</v>
      </c>
      <c r="W1860" s="143"/>
      <c r="X1860" s="143"/>
      <c r="Y1860" s="143"/>
      <c r="Z1860" s="30">
        <f t="shared" si="680"/>
        <v>0</v>
      </c>
      <c r="AA1860" s="31">
        <f t="shared" si="620"/>
        <v>53</v>
      </c>
      <c r="AB1860" s="32">
        <v>1.84E-2</v>
      </c>
      <c r="AC1860" s="32">
        <v>2.58E-2</v>
      </c>
      <c r="AD1860" s="33">
        <f t="shared" si="675"/>
        <v>0.28897581380063936</v>
      </c>
      <c r="AE1860" s="34">
        <f t="shared" si="676"/>
        <v>7.9410142765117334E-2</v>
      </c>
      <c r="AF1860" s="33">
        <f t="shared" si="677"/>
        <v>1.481776365341563</v>
      </c>
      <c r="AG1860" s="33">
        <f t="shared" si="678"/>
        <v>0</v>
      </c>
      <c r="AH1860" s="35">
        <f t="shared" si="679"/>
        <v>3.495087788582552</v>
      </c>
      <c r="AI1860" s="36">
        <f t="shared" si="655"/>
        <v>8.8428949706416411</v>
      </c>
      <c r="AJ1860" s="23"/>
      <c r="AK1860" s="120">
        <v>1011</v>
      </c>
      <c r="AL1860" s="44"/>
      <c r="AM1860" s="44"/>
      <c r="AN1860" s="44"/>
      <c r="AO1860" s="44"/>
      <c r="AP1860" s="44"/>
      <c r="AQ1860" s="44"/>
      <c r="AR1860" s="44"/>
    </row>
    <row r="1861" spans="1:44" ht="16.8">
      <c r="A1861" s="64" t="s">
        <v>3599</v>
      </c>
      <c r="B1861" s="62"/>
      <c r="C1861" s="62" t="s">
        <v>3597</v>
      </c>
      <c r="D1861" s="19" t="s">
        <v>3598</v>
      </c>
      <c r="E1861" s="20" t="s">
        <v>414</v>
      </c>
      <c r="F1861" s="21">
        <v>1968</v>
      </c>
      <c r="G1861" s="40">
        <v>2022</v>
      </c>
      <c r="H1861" s="23">
        <v>918699310962</v>
      </c>
      <c r="I1861" s="23">
        <v>1218578683204</v>
      </c>
      <c r="J1861" s="23">
        <v>491221807274</v>
      </c>
      <c r="K1861" s="23">
        <f t="shared" ref="K1861:K1862" si="682">SUM(J1860:J1861)/2</f>
        <v>508703118206.5</v>
      </c>
      <c r="L1861" s="23">
        <v>485342223450</v>
      </c>
      <c r="M1861" s="23">
        <f t="shared" si="621"/>
        <v>727356875930</v>
      </c>
      <c r="N1861" s="23">
        <v>1880128841357</v>
      </c>
      <c r="O1861" s="25">
        <f t="shared" si="643"/>
        <v>433357087512</v>
      </c>
      <c r="P1861" s="23">
        <v>116592909881</v>
      </c>
      <c r="Q1861" s="23">
        <f>82895602545+43451053925</f>
        <v>126346656470</v>
      </c>
      <c r="R1861" s="25">
        <f t="shared" si="644"/>
        <v>1753782184887</v>
      </c>
      <c r="S1861" s="26">
        <f t="shared" si="645"/>
        <v>0.40311045486405039</v>
      </c>
      <c r="T1861" s="27">
        <f t="shared" si="646"/>
        <v>1.8928897313560118</v>
      </c>
      <c r="U1861" s="26">
        <f t="shared" si="647"/>
        <v>27.828706281750424</v>
      </c>
      <c r="V1861" s="26">
        <f t="shared" si="648"/>
        <v>3.6959255291881097</v>
      </c>
      <c r="W1861" s="143"/>
      <c r="X1861" s="143"/>
      <c r="Y1861" s="143"/>
      <c r="Z1861" s="30">
        <f t="shared" si="680"/>
        <v>0</v>
      </c>
      <c r="AA1861" s="31">
        <f t="shared" si="620"/>
        <v>54</v>
      </c>
      <c r="AB1861" s="32">
        <v>3.15E-2</v>
      </c>
      <c r="AC1861" s="32">
        <v>8.0199999999999994E-2</v>
      </c>
      <c r="AD1861" s="33">
        <f t="shared" si="675"/>
        <v>0.355625035531212</v>
      </c>
      <c r="AE1861" s="34">
        <f t="shared" si="676"/>
        <v>9.5679426768276565E-2</v>
      </c>
      <c r="AF1861" s="33">
        <f t="shared" si="677"/>
        <v>1.4392030724481355</v>
      </c>
      <c r="AG1861" s="33">
        <f t="shared" si="678"/>
        <v>0</v>
      </c>
      <c r="AH1861" s="35">
        <f t="shared" si="679"/>
        <v>3.8274539393734157</v>
      </c>
      <c r="AI1861" s="36">
        <f t="shared" si="655"/>
        <v>9.137525318565304</v>
      </c>
      <c r="AJ1861" s="23"/>
      <c r="AK1861" s="120">
        <v>1012</v>
      </c>
      <c r="AL1861" s="44"/>
      <c r="AM1861" s="44"/>
      <c r="AN1861" s="44"/>
      <c r="AO1861" s="44"/>
      <c r="AP1861" s="44"/>
      <c r="AQ1861" s="44"/>
      <c r="AR1861" s="44"/>
    </row>
    <row r="1862" spans="1:44" ht="16.8">
      <c r="A1862" s="64" t="s">
        <v>3600</v>
      </c>
      <c r="B1862" s="62"/>
      <c r="C1862" s="62" t="s">
        <v>3597</v>
      </c>
      <c r="D1862" s="19" t="s">
        <v>3598</v>
      </c>
      <c r="E1862" s="20" t="s">
        <v>414</v>
      </c>
      <c r="F1862" s="21">
        <v>1968</v>
      </c>
      <c r="G1862" s="40">
        <v>2023</v>
      </c>
      <c r="H1862" s="23">
        <v>943124263576</v>
      </c>
      <c r="I1862" s="23">
        <v>1224344237720</v>
      </c>
      <c r="J1862" s="23">
        <v>394594428588</v>
      </c>
      <c r="K1862" s="23">
        <f t="shared" si="682"/>
        <v>442908117931</v>
      </c>
      <c r="L1862" s="23">
        <v>388913773081</v>
      </c>
      <c r="M1862" s="23">
        <f t="shared" si="621"/>
        <v>829749809132</v>
      </c>
      <c r="N1862" s="23">
        <v>1507523153066</v>
      </c>
      <c r="O1862" s="25">
        <f t="shared" si="643"/>
        <v>554210490495</v>
      </c>
      <c r="P1862" s="23">
        <v>132420835782</v>
      </c>
      <c r="Q1862" s="23">
        <f>72020313419+45781514578</f>
        <v>117801827997</v>
      </c>
      <c r="R1862" s="25">
        <f t="shared" si="644"/>
        <v>1389721325069</v>
      </c>
      <c r="S1862" s="26">
        <f t="shared" si="645"/>
        <v>0.32229042815836023</v>
      </c>
      <c r="T1862" s="27">
        <f t="shared" si="646"/>
        <v>2.4250215056785178</v>
      </c>
      <c r="U1862" s="26">
        <f t="shared" si="647"/>
        <v>27.833426500445455</v>
      </c>
      <c r="V1862" s="26">
        <f t="shared" si="648"/>
        <v>3.4036927571078182</v>
      </c>
      <c r="W1862" s="143"/>
      <c r="X1862" s="143"/>
      <c r="Y1862" s="143"/>
      <c r="Z1862" s="30">
        <f t="shared" si="680"/>
        <v>0</v>
      </c>
      <c r="AA1862" s="31">
        <f t="shared" si="620"/>
        <v>55</v>
      </c>
      <c r="AB1862" s="32">
        <v>3.2500000000000001E-2</v>
      </c>
      <c r="AC1862" s="32">
        <v>5.0500000000000003E-2</v>
      </c>
      <c r="AD1862" s="33">
        <f t="shared" si="675"/>
        <v>0.45265904262927115</v>
      </c>
      <c r="AE1862" s="34">
        <f t="shared" si="676"/>
        <v>0.10815653939662992</v>
      </c>
      <c r="AF1862" s="33">
        <f t="shared" si="677"/>
        <v>1.1350740112576254</v>
      </c>
      <c r="AG1862" s="33">
        <f t="shared" si="678"/>
        <v>0</v>
      </c>
      <c r="AH1862" s="35">
        <f t="shared" si="679"/>
        <v>3.8204369951711104</v>
      </c>
      <c r="AI1862" s="36">
        <f t="shared" si="655"/>
        <v>8.2607912386316809</v>
      </c>
      <c r="AJ1862" s="23"/>
      <c r="AK1862" s="120">
        <v>1013</v>
      </c>
      <c r="AL1862" s="44"/>
      <c r="AM1862" s="44"/>
      <c r="AN1862" s="44"/>
      <c r="AO1862" s="44"/>
      <c r="AP1862" s="44"/>
      <c r="AQ1862" s="44"/>
      <c r="AR1862" s="44"/>
    </row>
    <row r="1863" spans="1:44" ht="16.8">
      <c r="A1863" s="64" t="s">
        <v>3601</v>
      </c>
      <c r="B1863" s="62">
        <v>719</v>
      </c>
      <c r="C1863" s="62" t="s">
        <v>3602</v>
      </c>
      <c r="D1863" s="19" t="s">
        <v>3603</v>
      </c>
      <c r="E1863" s="20" t="s">
        <v>414</v>
      </c>
      <c r="F1863" s="21">
        <v>1976</v>
      </c>
      <c r="G1863" s="40">
        <v>2021</v>
      </c>
      <c r="H1863" s="23">
        <v>48896537183</v>
      </c>
      <c r="I1863" s="23">
        <v>185440786114</v>
      </c>
      <c r="J1863" s="23">
        <v>1257854775</v>
      </c>
      <c r="K1863" s="23">
        <f>(J1863+1214778045)/2</f>
        <v>1236316410</v>
      </c>
      <c r="L1863" s="23">
        <v>1257854775</v>
      </c>
      <c r="M1863" s="23">
        <f t="shared" si="621"/>
        <v>184182931339</v>
      </c>
      <c r="N1863" s="23">
        <v>108993553693</v>
      </c>
      <c r="O1863" s="25">
        <f t="shared" si="643"/>
        <v>47638682408</v>
      </c>
      <c r="P1863" s="23">
        <v>34088996345</v>
      </c>
      <c r="Q1863" s="23">
        <f>244259324+1346531462</f>
        <v>1590790786</v>
      </c>
      <c r="R1863" s="25">
        <f t="shared" si="644"/>
        <v>107402762907</v>
      </c>
      <c r="S1863" s="26">
        <f t="shared" si="645"/>
        <v>6.7830535092033737E-3</v>
      </c>
      <c r="T1863" s="27">
        <f t="shared" si="646"/>
        <v>38.872959068744642</v>
      </c>
      <c r="U1863" s="26">
        <f t="shared" si="647"/>
        <v>25.946001455711354</v>
      </c>
      <c r="V1863" s="26">
        <f t="shared" si="648"/>
        <v>88.159918295511417</v>
      </c>
      <c r="W1863" s="143"/>
      <c r="X1863" s="143"/>
      <c r="Y1863" s="143"/>
      <c r="Z1863" s="30">
        <f t="shared" si="680"/>
        <v>0</v>
      </c>
      <c r="AA1863" s="31">
        <f t="shared" si="620"/>
        <v>45</v>
      </c>
      <c r="AB1863" s="32">
        <v>1.84E-2</v>
      </c>
      <c r="AC1863" s="32">
        <v>2.58E-2</v>
      </c>
      <c r="AD1863" s="33">
        <f t="shared" si="675"/>
        <v>0.2568943079151641</v>
      </c>
      <c r="AE1863" s="34">
        <f t="shared" si="676"/>
        <v>0.18382685416380698</v>
      </c>
      <c r="AF1863" s="33">
        <f t="shared" si="677"/>
        <v>0.57917551557926417</v>
      </c>
      <c r="AG1863" s="33">
        <f t="shared" si="678"/>
        <v>0</v>
      </c>
      <c r="AH1863" s="35">
        <f t="shared" si="679"/>
        <v>86.650347766100424</v>
      </c>
      <c r="AI1863" s="36">
        <f t="shared" si="655"/>
        <v>89.127257732839524</v>
      </c>
      <c r="AJ1863" s="23"/>
      <c r="AK1863" s="120">
        <v>1014</v>
      </c>
      <c r="AL1863" s="44"/>
      <c r="AM1863" s="44"/>
      <c r="AN1863" s="44"/>
      <c r="AO1863" s="44"/>
      <c r="AP1863" s="44"/>
      <c r="AQ1863" s="44"/>
      <c r="AR1863" s="44"/>
    </row>
    <row r="1864" spans="1:44" ht="16.8">
      <c r="A1864" s="64" t="s">
        <v>3604</v>
      </c>
      <c r="B1864" s="62"/>
      <c r="C1864" s="62" t="s">
        <v>3602</v>
      </c>
      <c r="D1864" s="19" t="s">
        <v>3603</v>
      </c>
      <c r="E1864" s="20" t="s">
        <v>414</v>
      </c>
      <c r="F1864" s="21">
        <v>1976</v>
      </c>
      <c r="G1864" s="40">
        <v>2022</v>
      </c>
      <c r="H1864" s="23">
        <v>70623411953</v>
      </c>
      <c r="I1864" s="23">
        <v>209846715338</v>
      </c>
      <c r="J1864" s="23">
        <v>1351433783</v>
      </c>
      <c r="K1864" s="23">
        <f t="shared" ref="K1864:K1865" si="683">SUM(J1863:J1864)/2</f>
        <v>1304644279</v>
      </c>
      <c r="L1864" s="23">
        <v>1351433783</v>
      </c>
      <c r="M1864" s="23">
        <f t="shared" si="621"/>
        <v>208495281555</v>
      </c>
      <c r="N1864" s="23">
        <v>166322566172</v>
      </c>
      <c r="O1864" s="25">
        <f t="shared" si="643"/>
        <v>69271978170</v>
      </c>
      <c r="P1864" s="23">
        <v>24842350216</v>
      </c>
      <c r="Q1864" s="23">
        <f>185473500+2498908340</f>
        <v>2684381840</v>
      </c>
      <c r="R1864" s="25">
        <f t="shared" si="644"/>
        <v>163638184332</v>
      </c>
      <c r="S1864" s="26">
        <f t="shared" si="645"/>
        <v>6.4400997691255084E-3</v>
      </c>
      <c r="T1864" s="27">
        <f t="shared" si="646"/>
        <v>52.258137129164844</v>
      </c>
      <c r="U1864" s="26">
        <f t="shared" si="647"/>
        <v>26.069643174175585</v>
      </c>
      <c r="V1864" s="26">
        <f t="shared" si="648"/>
        <v>127.48499253718799</v>
      </c>
      <c r="W1864" s="143"/>
      <c r="X1864" s="143"/>
      <c r="Y1864" s="143"/>
      <c r="Z1864" s="30">
        <f t="shared" si="680"/>
        <v>0</v>
      </c>
      <c r="AA1864" s="31">
        <f t="shared" si="620"/>
        <v>46</v>
      </c>
      <c r="AB1864" s="32">
        <v>3.15E-2</v>
      </c>
      <c r="AC1864" s="32">
        <v>8.0199999999999994E-2</v>
      </c>
      <c r="AD1864" s="33">
        <f t="shared" si="675"/>
        <v>0.33010751709133812</v>
      </c>
      <c r="AE1864" s="34">
        <f t="shared" si="676"/>
        <v>0.11838331696536893</v>
      </c>
      <c r="AF1864" s="33">
        <f t="shared" si="677"/>
        <v>0.77979864525602915</v>
      </c>
      <c r="AG1864" s="33">
        <f t="shared" si="678"/>
        <v>0</v>
      </c>
      <c r="AH1864" s="35">
        <f t="shared" si="679"/>
        <v>123.07119169596784</v>
      </c>
      <c r="AI1864" s="36">
        <f t="shared" si="655"/>
        <v>126.20639288957386</v>
      </c>
      <c r="AJ1864" s="23"/>
      <c r="AK1864" s="120">
        <v>1015</v>
      </c>
      <c r="AL1864" s="44"/>
      <c r="AM1864" s="44"/>
      <c r="AN1864" s="44"/>
      <c r="AO1864" s="44"/>
      <c r="AP1864" s="44"/>
      <c r="AQ1864" s="44"/>
      <c r="AR1864" s="44"/>
    </row>
    <row r="1865" spans="1:44" ht="16.8">
      <c r="A1865" s="64" t="s">
        <v>3605</v>
      </c>
      <c r="B1865" s="62"/>
      <c r="C1865" s="62" t="s">
        <v>3602</v>
      </c>
      <c r="D1865" s="19" t="s">
        <v>3603</v>
      </c>
      <c r="E1865" s="20" t="s">
        <v>414</v>
      </c>
      <c r="F1865" s="21">
        <v>1976</v>
      </c>
      <c r="G1865" s="40">
        <v>2023</v>
      </c>
      <c r="H1865" s="23">
        <v>35711236957</v>
      </c>
      <c r="I1865" s="23">
        <v>235157369586</v>
      </c>
      <c r="J1865" s="23">
        <v>1312863469</v>
      </c>
      <c r="K1865" s="23">
        <f t="shared" si="683"/>
        <v>1332148626</v>
      </c>
      <c r="L1865" s="23">
        <v>1312863469</v>
      </c>
      <c r="M1865" s="23">
        <f t="shared" si="621"/>
        <v>233844506117</v>
      </c>
      <c r="N1865" s="23">
        <v>71021763956</v>
      </c>
      <c r="O1865" s="25">
        <f t="shared" si="643"/>
        <v>34398373488</v>
      </c>
      <c r="P1865" s="23">
        <v>25549224562</v>
      </c>
      <c r="Q1865" s="23">
        <f>225042343+3413291483</f>
        <v>3638333826</v>
      </c>
      <c r="R1865" s="25">
        <f t="shared" si="644"/>
        <v>67383430130</v>
      </c>
      <c r="S1865" s="26">
        <f t="shared" si="645"/>
        <v>5.582914417316908E-3</v>
      </c>
      <c r="T1865" s="27">
        <f t="shared" si="646"/>
        <v>27.201028743835053</v>
      </c>
      <c r="U1865" s="26">
        <f t="shared" si="647"/>
        <v>26.183520784782594</v>
      </c>
      <c r="V1865" s="26">
        <f t="shared" si="648"/>
        <v>53.31369381001786</v>
      </c>
      <c r="W1865" s="143"/>
      <c r="X1865" s="143"/>
      <c r="Y1865" s="143"/>
      <c r="Z1865" s="30">
        <f t="shared" si="680"/>
        <v>0</v>
      </c>
      <c r="AA1865" s="31">
        <f t="shared" si="620"/>
        <v>47</v>
      </c>
      <c r="AB1865" s="32">
        <v>3.2500000000000001E-2</v>
      </c>
      <c r="AC1865" s="32">
        <v>5.0500000000000003E-2</v>
      </c>
      <c r="AD1865" s="33">
        <f t="shared" si="675"/>
        <v>0.14627810112249143</v>
      </c>
      <c r="AE1865" s="34">
        <f t="shared" si="676"/>
        <v>0.10864734797374202</v>
      </c>
      <c r="AF1865" s="33">
        <f t="shared" si="677"/>
        <v>0.28654611271009744</v>
      </c>
      <c r="AG1865" s="33">
        <f t="shared" si="678"/>
        <v>0</v>
      </c>
      <c r="AH1865" s="35">
        <f t="shared" si="679"/>
        <v>54.096839186253568</v>
      </c>
      <c r="AI1865" s="36">
        <f t="shared" si="655"/>
        <v>55.370081366707119</v>
      </c>
      <c r="AJ1865" s="23"/>
      <c r="AK1865" s="120">
        <v>1016</v>
      </c>
      <c r="AL1865" s="44"/>
      <c r="AM1865" s="44"/>
      <c r="AN1865" s="44"/>
      <c r="AO1865" s="44"/>
      <c r="AP1865" s="44"/>
      <c r="AQ1865" s="44"/>
      <c r="AR1865" s="44"/>
    </row>
    <row r="1866" spans="1:44" ht="16.8">
      <c r="A1866" s="64" t="s">
        <v>3606</v>
      </c>
      <c r="B1866" s="62">
        <v>720</v>
      </c>
      <c r="C1866" s="62" t="s">
        <v>3607</v>
      </c>
      <c r="D1866" s="19" t="s">
        <v>3608</v>
      </c>
      <c r="E1866" s="20" t="s">
        <v>414</v>
      </c>
      <c r="F1866" s="21">
        <v>2007</v>
      </c>
      <c r="G1866" s="40">
        <v>2021</v>
      </c>
      <c r="H1866" s="23">
        <v>352142763857</v>
      </c>
      <c r="I1866" s="23">
        <v>5616375070296</v>
      </c>
      <c r="J1866" s="23">
        <v>4150789606401</v>
      </c>
      <c r="K1866" s="23">
        <f>(J1866+3153509243579)/2</f>
        <v>3652149424990</v>
      </c>
      <c r="L1866" s="23">
        <v>1258885134573</v>
      </c>
      <c r="M1866" s="23">
        <f t="shared" si="621"/>
        <v>1465585463895</v>
      </c>
      <c r="N1866" s="23">
        <v>713222295725</v>
      </c>
      <c r="O1866" s="25">
        <f t="shared" si="643"/>
        <v>-906742370716</v>
      </c>
      <c r="P1866" s="23">
        <v>323628766758</v>
      </c>
      <c r="Q1866" s="23">
        <f>11043927341+53693016738</f>
        <v>64736944079</v>
      </c>
      <c r="R1866" s="25">
        <f t="shared" si="644"/>
        <v>648485351646</v>
      </c>
      <c r="S1866" s="26">
        <f t="shared" si="645"/>
        <v>0.7390513550908987</v>
      </c>
      <c r="T1866" s="27">
        <f t="shared" si="646"/>
        <v>0.27972588934926373</v>
      </c>
      <c r="U1866" s="26">
        <f t="shared" si="647"/>
        <v>29.35670756644334</v>
      </c>
      <c r="V1866" s="26">
        <f t="shared" si="648"/>
        <v>0.19528836658345458</v>
      </c>
      <c r="W1866" s="143"/>
      <c r="X1866" s="143"/>
      <c r="Y1866" s="143"/>
      <c r="Z1866" s="30">
        <f t="shared" si="680"/>
        <v>0</v>
      </c>
      <c r="AA1866" s="31">
        <f t="shared" si="620"/>
        <v>14</v>
      </c>
      <c r="AB1866" s="32">
        <v>1.84E-2</v>
      </c>
      <c r="AC1866" s="32">
        <v>2.58E-2</v>
      </c>
      <c r="AD1866" s="33">
        <f t="shared" si="675"/>
        <v>-0.16144619249373099</v>
      </c>
      <c r="AE1866" s="34">
        <f t="shared" si="676"/>
        <v>5.7622356539116217E-2</v>
      </c>
      <c r="AF1866" s="33">
        <f t="shared" si="677"/>
        <v>0.11546332706227593</v>
      </c>
      <c r="AG1866" s="33">
        <f t="shared" si="678"/>
        <v>0</v>
      </c>
      <c r="AH1866" s="35">
        <f t="shared" si="679"/>
        <v>0.17182810100158494</v>
      </c>
      <c r="AI1866" s="36">
        <f t="shared" si="655"/>
        <v>0.439792948469381</v>
      </c>
      <c r="AJ1866" s="23"/>
      <c r="AK1866" s="120">
        <v>1017</v>
      </c>
      <c r="AL1866" s="44"/>
      <c r="AM1866" s="44"/>
      <c r="AN1866" s="44"/>
      <c r="AO1866" s="44"/>
      <c r="AP1866" s="44"/>
      <c r="AQ1866" s="44"/>
      <c r="AR1866" s="44"/>
    </row>
    <row r="1867" spans="1:44" ht="16.8">
      <c r="A1867" s="64" t="s">
        <v>3609</v>
      </c>
      <c r="B1867" s="62"/>
      <c r="C1867" s="62" t="s">
        <v>3607</v>
      </c>
      <c r="D1867" s="19" t="s">
        <v>3608</v>
      </c>
      <c r="E1867" s="20" t="s">
        <v>414</v>
      </c>
      <c r="F1867" s="21">
        <v>2007</v>
      </c>
      <c r="G1867" s="40">
        <v>2022</v>
      </c>
      <c r="H1867" s="23">
        <v>1734819181422</v>
      </c>
      <c r="I1867" s="23">
        <v>6334995627469</v>
      </c>
      <c r="J1867" s="23">
        <v>4800743518813</v>
      </c>
      <c r="K1867" s="23">
        <f t="shared" ref="K1867:K1868" si="684">SUM(J1866:J1867)/2</f>
        <v>4475766562607</v>
      </c>
      <c r="L1867" s="23">
        <v>1540054515083</v>
      </c>
      <c r="M1867" s="23">
        <f t="shared" si="621"/>
        <v>1534252108656</v>
      </c>
      <c r="N1867" s="23">
        <v>858888563926</v>
      </c>
      <c r="O1867" s="25">
        <f t="shared" si="643"/>
        <v>194764666339</v>
      </c>
      <c r="P1867" s="23">
        <v>197366644761</v>
      </c>
      <c r="Q1867" s="23">
        <f>9963599807+40069817626</f>
        <v>50033417433</v>
      </c>
      <c r="R1867" s="25">
        <f t="shared" si="644"/>
        <v>808855146493</v>
      </c>
      <c r="S1867" s="26">
        <f t="shared" si="645"/>
        <v>0.75781323320834326</v>
      </c>
      <c r="T1867" s="27">
        <f t="shared" si="646"/>
        <v>1.1264660857336621</v>
      </c>
      <c r="U1867" s="26">
        <f t="shared" si="647"/>
        <v>29.477110239483416</v>
      </c>
      <c r="V1867" s="26">
        <f t="shared" si="648"/>
        <v>0.19189753350892436</v>
      </c>
      <c r="W1867" s="143"/>
      <c r="X1867" s="143"/>
      <c r="Y1867" s="143"/>
      <c r="Z1867" s="30">
        <f t="shared" si="680"/>
        <v>0</v>
      </c>
      <c r="AA1867" s="31">
        <f t="shared" si="620"/>
        <v>15</v>
      </c>
      <c r="AB1867" s="32">
        <v>3.15E-2</v>
      </c>
      <c r="AC1867" s="32">
        <v>8.0199999999999994E-2</v>
      </c>
      <c r="AD1867" s="33">
        <f t="shared" si="675"/>
        <v>3.0744246372402577E-2</v>
      </c>
      <c r="AE1867" s="34">
        <f t="shared" si="676"/>
        <v>3.1154977267104009E-2</v>
      </c>
      <c r="AF1867" s="33">
        <f t="shared" si="677"/>
        <v>0.1276804585287708</v>
      </c>
      <c r="AG1867" s="33">
        <f t="shared" si="678"/>
        <v>0</v>
      </c>
      <c r="AH1867" s="35">
        <f t="shared" si="679"/>
        <v>0.17890740477182648</v>
      </c>
      <c r="AI1867" s="36">
        <f t="shared" si="655"/>
        <v>0.68076298173759886</v>
      </c>
      <c r="AJ1867" s="23"/>
      <c r="AK1867" s="120">
        <v>1018</v>
      </c>
      <c r="AL1867" s="44"/>
      <c r="AM1867" s="44"/>
      <c r="AN1867" s="44"/>
      <c r="AO1867" s="44"/>
      <c r="AP1867" s="44"/>
      <c r="AQ1867" s="44"/>
      <c r="AR1867" s="44"/>
    </row>
    <row r="1868" spans="1:44" ht="16.8">
      <c r="A1868" s="64" t="s">
        <v>3610</v>
      </c>
      <c r="B1868" s="62"/>
      <c r="C1868" s="62" t="s">
        <v>3607</v>
      </c>
      <c r="D1868" s="19" t="s">
        <v>3608</v>
      </c>
      <c r="E1868" s="20" t="s">
        <v>414</v>
      </c>
      <c r="F1868" s="21">
        <v>2007</v>
      </c>
      <c r="G1868" s="40">
        <v>2023</v>
      </c>
      <c r="H1868" s="23">
        <v>2064408677091</v>
      </c>
      <c r="I1868" s="23">
        <v>6961128667590</v>
      </c>
      <c r="J1868" s="23">
        <v>5223813267422</v>
      </c>
      <c r="K1868" s="23">
        <f t="shared" si="684"/>
        <v>5012278393117.5</v>
      </c>
      <c r="L1868" s="23">
        <v>1789360226862</v>
      </c>
      <c r="M1868" s="23">
        <f t="shared" si="621"/>
        <v>1737315400168</v>
      </c>
      <c r="N1868" s="23">
        <v>817957115033</v>
      </c>
      <c r="O1868" s="25">
        <f t="shared" si="643"/>
        <v>275048450229</v>
      </c>
      <c r="P1868" s="23">
        <v>218873291512</v>
      </c>
      <c r="Q1868" s="23">
        <f>8549286200+46450690056</f>
        <v>54999976256</v>
      </c>
      <c r="R1868" s="25">
        <f t="shared" si="644"/>
        <v>762957138777</v>
      </c>
      <c r="S1868" s="26">
        <f t="shared" si="645"/>
        <v>0.75042619047444314</v>
      </c>
      <c r="T1868" s="27">
        <f t="shared" si="646"/>
        <v>1.1537132915440689</v>
      </c>
      <c r="U1868" s="26">
        <f t="shared" si="647"/>
        <v>29.571362742011193</v>
      </c>
      <c r="V1868" s="26">
        <f t="shared" si="648"/>
        <v>0.16319067914427096</v>
      </c>
      <c r="W1868" s="143"/>
      <c r="X1868" s="143"/>
      <c r="Y1868" s="143"/>
      <c r="Z1868" s="30">
        <f t="shared" si="680"/>
        <v>0</v>
      </c>
      <c r="AA1868" s="31">
        <f t="shared" si="620"/>
        <v>16</v>
      </c>
      <c r="AB1868" s="32">
        <v>3.2500000000000001E-2</v>
      </c>
      <c r="AC1868" s="32">
        <v>5.0500000000000003E-2</v>
      </c>
      <c r="AD1868" s="33">
        <f t="shared" si="675"/>
        <v>3.9512048026002659E-2</v>
      </c>
      <c r="AE1868" s="34">
        <f t="shared" si="676"/>
        <v>3.1442213176010113E-2</v>
      </c>
      <c r="AF1868" s="33">
        <f t="shared" si="677"/>
        <v>0.10960250488246499</v>
      </c>
      <c r="AG1868" s="33">
        <f t="shared" si="678"/>
        <v>0</v>
      </c>
      <c r="AH1868" s="35">
        <f t="shared" si="679"/>
        <v>0.15658238018080409</v>
      </c>
      <c r="AI1868" s="36">
        <f t="shared" si="655"/>
        <v>0.60970420237055589</v>
      </c>
      <c r="AJ1868" s="23"/>
      <c r="AK1868" s="120">
        <v>1019</v>
      </c>
      <c r="AL1868" s="44"/>
      <c r="AM1868" s="44"/>
      <c r="AN1868" s="44"/>
      <c r="AO1868" s="44"/>
      <c r="AP1868" s="44"/>
      <c r="AQ1868" s="44"/>
      <c r="AR1868" s="44"/>
    </row>
    <row r="1869" spans="1:44" ht="16.8">
      <c r="A1869" s="64" t="s">
        <v>3611</v>
      </c>
      <c r="B1869" s="62">
        <v>721</v>
      </c>
      <c r="C1869" s="62" t="s">
        <v>3612</v>
      </c>
      <c r="D1869" s="19" t="s">
        <v>3613</v>
      </c>
      <c r="E1869" s="20" t="s">
        <v>414</v>
      </c>
      <c r="F1869" s="21">
        <v>2003</v>
      </c>
      <c r="G1869" s="40">
        <v>2021</v>
      </c>
      <c r="H1869" s="23">
        <v>370220822281</v>
      </c>
      <c r="I1869" s="23">
        <v>1689862348245</v>
      </c>
      <c r="J1869" s="23">
        <v>1097431474758</v>
      </c>
      <c r="K1869" s="23">
        <f>(J1869+1099986720944)/2</f>
        <v>1098709097851</v>
      </c>
      <c r="L1869" s="23">
        <v>130556512537</v>
      </c>
      <c r="M1869" s="23">
        <f t="shared" si="621"/>
        <v>592430873487</v>
      </c>
      <c r="N1869" s="23">
        <v>387810423836</v>
      </c>
      <c r="O1869" s="25">
        <f t="shared" si="643"/>
        <v>239664309744</v>
      </c>
      <c r="P1869" s="23">
        <v>101123214866</v>
      </c>
      <c r="Q1869" s="23">
        <f>2578345482+40643048547</f>
        <v>43221394029</v>
      </c>
      <c r="R1869" s="25">
        <f t="shared" si="644"/>
        <v>344589029807</v>
      </c>
      <c r="S1869" s="26">
        <f t="shared" si="645"/>
        <v>0.64942063233596115</v>
      </c>
      <c r="T1869" s="27">
        <f t="shared" si="646"/>
        <v>2.8357131719191613</v>
      </c>
      <c r="U1869" s="26">
        <f t="shared" si="647"/>
        <v>28.155668190803635</v>
      </c>
      <c r="V1869" s="26">
        <f t="shared" si="648"/>
        <v>0.35296915679912971</v>
      </c>
      <c r="W1869" s="143"/>
      <c r="X1869" s="143"/>
      <c r="Y1869" s="143"/>
      <c r="Z1869" s="30">
        <f t="shared" si="680"/>
        <v>0</v>
      </c>
      <c r="AA1869" s="31">
        <f t="shared" si="620"/>
        <v>18</v>
      </c>
      <c r="AB1869" s="32">
        <v>1.84E-2</v>
      </c>
      <c r="AC1869" s="32">
        <v>2.58E-2</v>
      </c>
      <c r="AD1869" s="33">
        <f t="shared" si="675"/>
        <v>0.1418247527633848</v>
      </c>
      <c r="AE1869" s="34">
        <f t="shared" si="676"/>
        <v>5.9841095915901747E-2</v>
      </c>
      <c r="AF1869" s="33">
        <f t="shared" si="677"/>
        <v>0.20391544326960809</v>
      </c>
      <c r="AG1869" s="33">
        <f t="shared" si="678"/>
        <v>0</v>
      </c>
      <c r="AH1869" s="35">
        <f t="shared" si="679"/>
        <v>0.35338008135908255</v>
      </c>
      <c r="AI1869" s="36">
        <f t="shared" si="655"/>
        <v>1.2802682817471134</v>
      </c>
      <c r="AJ1869" s="23"/>
      <c r="AK1869" s="120">
        <v>1020</v>
      </c>
      <c r="AL1869" s="44"/>
      <c r="AM1869" s="44"/>
      <c r="AN1869" s="44"/>
      <c r="AO1869" s="44"/>
      <c r="AP1869" s="44"/>
      <c r="AQ1869" s="44"/>
      <c r="AR1869" s="44"/>
    </row>
    <row r="1870" spans="1:44" ht="16.8">
      <c r="A1870" s="64" t="s">
        <v>3614</v>
      </c>
      <c r="B1870" s="62"/>
      <c r="C1870" s="62" t="s">
        <v>3612</v>
      </c>
      <c r="D1870" s="19" t="s">
        <v>3613</v>
      </c>
      <c r="E1870" s="20" t="s">
        <v>414</v>
      </c>
      <c r="F1870" s="21">
        <v>2003</v>
      </c>
      <c r="G1870" s="40">
        <v>2022</v>
      </c>
      <c r="H1870" s="23">
        <v>497603982076</v>
      </c>
      <c r="I1870" s="23">
        <v>1968215709507</v>
      </c>
      <c r="J1870" s="23">
        <v>1374398339745</v>
      </c>
      <c r="K1870" s="23">
        <f t="shared" ref="K1870:K1871" si="685">SUM(J1869:J1870)/2</f>
        <v>1235914907251.5</v>
      </c>
      <c r="L1870" s="23">
        <v>170649149387</v>
      </c>
      <c r="M1870" s="23">
        <f t="shared" si="621"/>
        <v>593817369762</v>
      </c>
      <c r="N1870" s="23">
        <v>410399350286</v>
      </c>
      <c r="O1870" s="25">
        <f t="shared" si="643"/>
        <v>326954832689</v>
      </c>
      <c r="P1870" s="23">
        <v>99236310275</v>
      </c>
      <c r="Q1870" s="23">
        <f>2887917469+44436588412</f>
        <v>47324505881</v>
      </c>
      <c r="R1870" s="25">
        <f t="shared" si="644"/>
        <v>363074844405</v>
      </c>
      <c r="S1870" s="26">
        <f t="shared" si="645"/>
        <v>0.69829660087880319</v>
      </c>
      <c r="T1870" s="27">
        <f t="shared" si="646"/>
        <v>2.9159476262464588</v>
      </c>
      <c r="U1870" s="26">
        <f t="shared" si="647"/>
        <v>28.308148517041367</v>
      </c>
      <c r="V1870" s="26">
        <f t="shared" si="648"/>
        <v>0.33206117013239217</v>
      </c>
      <c r="W1870" s="143"/>
      <c r="X1870" s="143"/>
      <c r="Y1870" s="143"/>
      <c r="Z1870" s="30">
        <f t="shared" si="680"/>
        <v>0</v>
      </c>
      <c r="AA1870" s="31">
        <f t="shared" si="620"/>
        <v>19</v>
      </c>
      <c r="AB1870" s="32">
        <v>3.15E-2</v>
      </c>
      <c r="AC1870" s="32">
        <v>8.0199999999999994E-2</v>
      </c>
      <c r="AD1870" s="33">
        <f t="shared" si="675"/>
        <v>0.16611737784111877</v>
      </c>
      <c r="AE1870" s="34">
        <f t="shared" si="676"/>
        <v>5.041942801069136E-2</v>
      </c>
      <c r="AF1870" s="33">
        <f t="shared" si="677"/>
        <v>0.18446903083399493</v>
      </c>
      <c r="AG1870" s="33">
        <f t="shared" si="678"/>
        <v>0</v>
      </c>
      <c r="AH1870" s="35">
        <f t="shared" si="679"/>
        <v>0.29860291475769951</v>
      </c>
      <c r="AI1870" s="36">
        <f t="shared" si="655"/>
        <v>1.177278769134193</v>
      </c>
      <c r="AJ1870" s="23"/>
      <c r="AK1870" s="120">
        <v>1021</v>
      </c>
      <c r="AL1870" s="44"/>
      <c r="AM1870" s="44"/>
      <c r="AN1870" s="44"/>
      <c r="AO1870" s="44"/>
      <c r="AP1870" s="44"/>
      <c r="AQ1870" s="44"/>
      <c r="AR1870" s="44"/>
    </row>
    <row r="1871" spans="1:44" ht="16.8">
      <c r="A1871" s="64" t="s">
        <v>3615</v>
      </c>
      <c r="B1871" s="62"/>
      <c r="C1871" s="62" t="s">
        <v>3612</v>
      </c>
      <c r="D1871" s="19" t="s">
        <v>3613</v>
      </c>
      <c r="E1871" s="20" t="s">
        <v>414</v>
      </c>
      <c r="F1871" s="21">
        <v>2003</v>
      </c>
      <c r="G1871" s="40">
        <v>2023</v>
      </c>
      <c r="H1871" s="23">
        <v>423844121910</v>
      </c>
      <c r="I1871" s="23">
        <v>1915570087359</v>
      </c>
      <c r="J1871" s="23">
        <v>1294943602949</v>
      </c>
      <c r="K1871" s="23">
        <f t="shared" si="685"/>
        <v>1334670971347</v>
      </c>
      <c r="L1871" s="23">
        <v>182949596164</v>
      </c>
      <c r="M1871" s="23">
        <f t="shared" si="621"/>
        <v>620626484410</v>
      </c>
      <c r="N1871" s="23">
        <v>441070578052</v>
      </c>
      <c r="O1871" s="25">
        <f t="shared" si="643"/>
        <v>240894525746</v>
      </c>
      <c r="P1871" s="23">
        <v>103593524648</v>
      </c>
      <c r="Q1871" s="23">
        <f>3751215510+46268592507</f>
        <v>50019808017</v>
      </c>
      <c r="R1871" s="25">
        <f t="shared" si="644"/>
        <v>391050770035</v>
      </c>
      <c r="S1871" s="26">
        <f t="shared" si="645"/>
        <v>0.67600951356175176</v>
      </c>
      <c r="T1871" s="27">
        <f t="shared" si="646"/>
        <v>2.3167261956132275</v>
      </c>
      <c r="U1871" s="26">
        <f t="shared" si="647"/>
        <v>28.281036390007394</v>
      </c>
      <c r="V1871" s="26">
        <f t="shared" si="648"/>
        <v>0.33047139521349972</v>
      </c>
      <c r="W1871" s="143"/>
      <c r="X1871" s="143"/>
      <c r="Y1871" s="143"/>
      <c r="Z1871" s="30">
        <f t="shared" si="680"/>
        <v>0</v>
      </c>
      <c r="AA1871" s="31">
        <f t="shared" si="620"/>
        <v>20</v>
      </c>
      <c r="AB1871" s="32">
        <v>3.2500000000000001E-2</v>
      </c>
      <c r="AC1871" s="32">
        <v>5.0500000000000003E-2</v>
      </c>
      <c r="AD1871" s="33">
        <f t="shared" si="675"/>
        <v>0.12575604898807002</v>
      </c>
      <c r="AE1871" s="34">
        <f t="shared" si="676"/>
        <v>5.4079736017816286E-2</v>
      </c>
      <c r="AF1871" s="33">
        <f t="shared" si="677"/>
        <v>0.2041432848714726</v>
      </c>
      <c r="AG1871" s="33">
        <f t="shared" si="678"/>
        <v>0</v>
      </c>
      <c r="AH1871" s="35">
        <f t="shared" si="679"/>
        <v>0.34060987447448793</v>
      </c>
      <c r="AI1871" s="36">
        <f t="shared" si="655"/>
        <v>1.2409016037609741</v>
      </c>
      <c r="AJ1871" s="23"/>
      <c r="AK1871" s="120">
        <v>1022</v>
      </c>
      <c r="AL1871" s="44"/>
      <c r="AM1871" s="44"/>
      <c r="AN1871" s="44"/>
      <c r="AO1871" s="44"/>
      <c r="AP1871" s="44"/>
      <c r="AQ1871" s="44"/>
      <c r="AR1871" s="44"/>
    </row>
    <row r="1872" spans="1:44" ht="16.8">
      <c r="A1872" s="45"/>
      <c r="B1872" s="45">
        <v>722</v>
      </c>
      <c r="C1872" s="45" t="s">
        <v>3616</v>
      </c>
      <c r="D1872" s="46" t="s">
        <v>3617</v>
      </c>
      <c r="E1872" s="47" t="s">
        <v>1371</v>
      </c>
      <c r="F1872" s="48"/>
      <c r="G1872" s="48"/>
      <c r="H1872" s="49"/>
      <c r="I1872" s="49"/>
      <c r="J1872" s="49"/>
      <c r="K1872" s="49"/>
      <c r="L1872" s="49"/>
      <c r="M1872" s="49">
        <f t="shared" si="621"/>
        <v>0</v>
      </c>
      <c r="N1872" s="49"/>
      <c r="O1872" s="49">
        <f t="shared" si="643"/>
        <v>0</v>
      </c>
      <c r="P1872" s="49"/>
      <c r="Q1872" s="49"/>
      <c r="R1872" s="49">
        <f t="shared" si="644"/>
        <v>0</v>
      </c>
      <c r="S1872" s="50" t="e">
        <f t="shared" si="645"/>
        <v>#DIV/0!</v>
      </c>
      <c r="T1872" s="51" t="e">
        <f t="shared" si="646"/>
        <v>#DIV/0!</v>
      </c>
      <c r="U1872" s="50" t="e">
        <f t="shared" si="647"/>
        <v>#NUM!</v>
      </c>
      <c r="V1872" s="50" t="e">
        <f t="shared" si="648"/>
        <v>#DIV/0!</v>
      </c>
      <c r="W1872" s="52"/>
      <c r="X1872" s="52"/>
      <c r="Y1872" s="52"/>
      <c r="Z1872" s="55">
        <f>W1872*Y1872</f>
        <v>0</v>
      </c>
      <c r="AA1872" s="48">
        <f t="shared" si="620"/>
        <v>0</v>
      </c>
      <c r="AB1872" s="49"/>
      <c r="AC1872" s="49"/>
      <c r="AD1872" s="50" t="e">
        <f t="shared" si="675"/>
        <v>#DIV/0!</v>
      </c>
      <c r="AE1872" s="56" t="e">
        <f t="shared" si="676"/>
        <v>#DIV/0!</v>
      </c>
      <c r="AF1872" s="50" t="e">
        <f t="shared" si="677"/>
        <v>#DIV/0!</v>
      </c>
      <c r="AG1872" s="50" t="e">
        <f t="shared" si="678"/>
        <v>#DIV/0!</v>
      </c>
      <c r="AH1872" s="57" t="e">
        <f t="shared" si="679"/>
        <v>#DIV/0!</v>
      </c>
      <c r="AI1872" s="58" t="e">
        <f t="shared" si="655"/>
        <v>#DIV/0!</v>
      </c>
      <c r="AJ1872" s="49"/>
      <c r="AK1872" s="49"/>
      <c r="AL1872" s="59"/>
      <c r="AM1872" s="59"/>
      <c r="AN1872" s="59"/>
      <c r="AO1872" s="59"/>
      <c r="AP1872" s="59"/>
      <c r="AQ1872" s="59"/>
      <c r="AR1872" s="59"/>
    </row>
    <row r="1873" spans="1:44" ht="16.8">
      <c r="A1873" s="64" t="s">
        <v>3618</v>
      </c>
      <c r="B1873" s="62">
        <v>723</v>
      </c>
      <c r="C1873" s="62" t="s">
        <v>3619</v>
      </c>
      <c r="D1873" s="19" t="s">
        <v>3620</v>
      </c>
      <c r="E1873" s="20" t="s">
        <v>414</v>
      </c>
      <c r="F1873" s="21">
        <v>2006</v>
      </c>
      <c r="G1873" s="40">
        <v>2021</v>
      </c>
      <c r="H1873" s="23">
        <v>310282150991</v>
      </c>
      <c r="I1873" s="23">
        <v>1573745182378</v>
      </c>
      <c r="J1873" s="23">
        <v>358291632975</v>
      </c>
      <c r="K1873" s="23">
        <f>(J1873+366087649637)/2</f>
        <v>362189641306</v>
      </c>
      <c r="L1873" s="23">
        <v>146463018578</v>
      </c>
      <c r="M1873" s="23">
        <f t="shared" si="621"/>
        <v>1215453549403</v>
      </c>
      <c r="N1873" s="23">
        <v>495240055158</v>
      </c>
      <c r="O1873" s="25">
        <f t="shared" si="643"/>
        <v>163819132413</v>
      </c>
      <c r="P1873" s="23">
        <v>209468390984</v>
      </c>
      <c r="Q1873" s="23">
        <v>54771415051</v>
      </c>
      <c r="R1873" s="25">
        <f t="shared" si="644"/>
        <v>440468640107</v>
      </c>
      <c r="S1873" s="26">
        <f t="shared" si="645"/>
        <v>0.22766813648547929</v>
      </c>
      <c r="T1873" s="27">
        <f t="shared" si="646"/>
        <v>2.1185016805164154</v>
      </c>
      <c r="U1873" s="26">
        <f t="shared" si="647"/>
        <v>28.08447936106311</v>
      </c>
      <c r="V1873" s="26">
        <f t="shared" si="648"/>
        <v>1.3673501356147038</v>
      </c>
      <c r="W1873" s="143"/>
      <c r="X1873" s="143"/>
      <c r="Y1873" s="143"/>
      <c r="Z1873" s="30">
        <f t="shared" ref="Z1873:Z1905" si="686">X1873*Y1873</f>
        <v>0</v>
      </c>
      <c r="AA1873" s="31">
        <f t="shared" si="620"/>
        <v>15</v>
      </c>
      <c r="AB1873" s="32">
        <v>1.84E-2</v>
      </c>
      <c r="AC1873" s="32">
        <v>2.58E-2</v>
      </c>
      <c r="AD1873" s="33">
        <f t="shared" si="675"/>
        <v>0.10409508111437832</v>
      </c>
      <c r="AE1873" s="34">
        <f t="shared" si="676"/>
        <v>0.13310184731907093</v>
      </c>
      <c r="AF1873" s="33">
        <f t="shared" si="677"/>
        <v>0.2798856161970466</v>
      </c>
      <c r="AG1873" s="33">
        <f t="shared" si="678"/>
        <v>0</v>
      </c>
      <c r="AH1873" s="35">
        <f t="shared" si="679"/>
        <v>1.3822261241376956</v>
      </c>
      <c r="AI1873" s="36">
        <f t="shared" si="655"/>
        <v>2.6171053411719027</v>
      </c>
      <c r="AJ1873" s="23"/>
      <c r="AK1873" s="120">
        <v>1023</v>
      </c>
      <c r="AL1873" s="44"/>
      <c r="AM1873" s="44"/>
      <c r="AN1873" s="44"/>
      <c r="AO1873" s="44"/>
      <c r="AP1873" s="44"/>
      <c r="AQ1873" s="44"/>
      <c r="AR1873" s="44"/>
    </row>
    <row r="1874" spans="1:44" ht="16.8">
      <c r="A1874" s="64" t="s">
        <v>3621</v>
      </c>
      <c r="B1874" s="62"/>
      <c r="C1874" s="62" t="s">
        <v>3619</v>
      </c>
      <c r="D1874" s="19" t="s">
        <v>3620</v>
      </c>
      <c r="E1874" s="20" t="s">
        <v>414</v>
      </c>
      <c r="F1874" s="21">
        <v>2006</v>
      </c>
      <c r="G1874" s="40">
        <v>2022</v>
      </c>
      <c r="H1874" s="23">
        <v>370359062235</v>
      </c>
      <c r="I1874" s="23">
        <v>1594503669161</v>
      </c>
      <c r="J1874" s="23">
        <v>220194724418</v>
      </c>
      <c r="K1874" s="23">
        <f t="shared" ref="K1874:K1875" si="687">SUM(J1873:J1874)/2</f>
        <v>289243178696.5</v>
      </c>
      <c r="L1874" s="23">
        <v>115194724418</v>
      </c>
      <c r="M1874" s="23">
        <f t="shared" si="621"/>
        <v>1374308944743</v>
      </c>
      <c r="N1874" s="23">
        <v>726080260114</v>
      </c>
      <c r="O1874" s="25">
        <f t="shared" si="643"/>
        <v>255164337817</v>
      </c>
      <c r="P1874" s="23">
        <v>378788125340</v>
      </c>
      <c r="Q1874" s="23">
        <v>65247291395</v>
      </c>
      <c r="R1874" s="25">
        <f t="shared" si="644"/>
        <v>660832968719</v>
      </c>
      <c r="S1874" s="26">
        <f t="shared" si="645"/>
        <v>0.13809609138990731</v>
      </c>
      <c r="T1874" s="27">
        <f t="shared" si="646"/>
        <v>3.215069649293147</v>
      </c>
      <c r="U1874" s="26">
        <f t="shared" si="647"/>
        <v>28.097583624529655</v>
      </c>
      <c r="V1874" s="26">
        <f t="shared" si="648"/>
        <v>2.5102761744845461</v>
      </c>
      <c r="W1874" s="143"/>
      <c r="X1874" s="143"/>
      <c r="Y1874" s="143"/>
      <c r="Z1874" s="30">
        <f t="shared" si="686"/>
        <v>0</v>
      </c>
      <c r="AA1874" s="31">
        <f t="shared" si="620"/>
        <v>16</v>
      </c>
      <c r="AB1874" s="32">
        <v>3.15E-2</v>
      </c>
      <c r="AC1874" s="32">
        <v>8.0199999999999994E-2</v>
      </c>
      <c r="AD1874" s="33">
        <f t="shared" si="675"/>
        <v>0.16002743847636489</v>
      </c>
      <c r="AE1874" s="34">
        <f t="shared" si="676"/>
        <v>0.23755864139172017</v>
      </c>
      <c r="AF1874" s="33">
        <f t="shared" si="677"/>
        <v>0.41444430734155585</v>
      </c>
      <c r="AG1874" s="33">
        <f t="shared" si="678"/>
        <v>0</v>
      </c>
      <c r="AH1874" s="35">
        <f t="shared" si="679"/>
        <v>3.2974462128151059</v>
      </c>
      <c r="AI1874" s="36">
        <f t="shared" si="655"/>
        <v>5.1897274511622857</v>
      </c>
      <c r="AJ1874" s="23"/>
      <c r="AK1874" s="120">
        <v>1024</v>
      </c>
      <c r="AL1874" s="44"/>
      <c r="AM1874" s="44"/>
      <c r="AN1874" s="44"/>
      <c r="AO1874" s="44"/>
      <c r="AP1874" s="44"/>
      <c r="AQ1874" s="44"/>
      <c r="AR1874" s="44"/>
    </row>
    <row r="1875" spans="1:44" ht="16.8">
      <c r="A1875" s="64" t="s">
        <v>3622</v>
      </c>
      <c r="B1875" s="62"/>
      <c r="C1875" s="62" t="s">
        <v>3619</v>
      </c>
      <c r="D1875" s="19" t="s">
        <v>3620</v>
      </c>
      <c r="E1875" s="20" t="s">
        <v>414</v>
      </c>
      <c r="F1875" s="21">
        <v>2006</v>
      </c>
      <c r="G1875" s="40">
        <v>2023</v>
      </c>
      <c r="H1875" s="23">
        <v>373682120483</v>
      </c>
      <c r="I1875" s="23">
        <v>1535913003640</v>
      </c>
      <c r="J1875" s="23">
        <v>196804161108</v>
      </c>
      <c r="K1875" s="23">
        <f t="shared" si="687"/>
        <v>208499442763</v>
      </c>
      <c r="L1875" s="23">
        <v>151804161108</v>
      </c>
      <c r="M1875" s="23">
        <f t="shared" si="621"/>
        <v>1339108842532</v>
      </c>
      <c r="N1875" s="23">
        <v>430943699541</v>
      </c>
      <c r="O1875" s="25">
        <f t="shared" si="643"/>
        <v>221877959375</v>
      </c>
      <c r="P1875" s="23">
        <v>168614104099</v>
      </c>
      <c r="Q1875" s="23">
        <v>60306108436</v>
      </c>
      <c r="R1875" s="25">
        <f t="shared" si="644"/>
        <v>370637591105</v>
      </c>
      <c r="S1875" s="26">
        <f t="shared" si="645"/>
        <v>0.12813496639561534</v>
      </c>
      <c r="T1875" s="27">
        <f t="shared" si="646"/>
        <v>2.4616065709631405</v>
      </c>
      <c r="U1875" s="26">
        <f t="shared" si="647"/>
        <v>28.060146110794815</v>
      </c>
      <c r="V1875" s="26">
        <f t="shared" si="648"/>
        <v>2.0668817807386226</v>
      </c>
      <c r="W1875" s="143"/>
      <c r="X1875" s="143"/>
      <c r="Y1875" s="143"/>
      <c r="Z1875" s="30">
        <f t="shared" si="686"/>
        <v>0</v>
      </c>
      <c r="AA1875" s="31">
        <f t="shared" si="620"/>
        <v>17</v>
      </c>
      <c r="AB1875" s="32">
        <v>3.2500000000000001E-2</v>
      </c>
      <c r="AC1875" s="32">
        <v>5.0500000000000003E-2</v>
      </c>
      <c r="AD1875" s="33">
        <f t="shared" si="675"/>
        <v>0.14445997842922462</v>
      </c>
      <c r="AE1875" s="34">
        <f t="shared" si="676"/>
        <v>0.10978102516183993</v>
      </c>
      <c r="AF1875" s="33">
        <f t="shared" si="677"/>
        <v>0.24131418265658039</v>
      </c>
      <c r="AG1875" s="33">
        <f t="shared" si="678"/>
        <v>0</v>
      </c>
      <c r="AH1875" s="35">
        <f t="shared" si="679"/>
        <v>2.1897082719938603</v>
      </c>
      <c r="AI1875" s="36">
        <f t="shared" si="655"/>
        <v>3.3130904841022208</v>
      </c>
      <c r="AJ1875" s="23"/>
      <c r="AK1875" s="120">
        <v>1025</v>
      </c>
      <c r="AL1875" s="44"/>
      <c r="AM1875" s="44"/>
      <c r="AN1875" s="44"/>
      <c r="AO1875" s="44"/>
      <c r="AP1875" s="44"/>
      <c r="AQ1875" s="44"/>
      <c r="AR1875" s="44"/>
    </row>
    <row r="1876" spans="1:44" ht="16.8">
      <c r="A1876" s="114" t="s">
        <v>3623</v>
      </c>
      <c r="B1876" s="115">
        <v>724</v>
      </c>
      <c r="C1876" s="115" t="s">
        <v>3624</v>
      </c>
      <c r="D1876" s="116" t="s">
        <v>3625</v>
      </c>
      <c r="E1876" s="117" t="s">
        <v>414</v>
      </c>
      <c r="F1876" s="118">
        <v>1995</v>
      </c>
      <c r="G1876" s="118">
        <v>2021</v>
      </c>
      <c r="H1876" s="120">
        <v>13296547021629</v>
      </c>
      <c r="I1876" s="120">
        <v>14667880642270</v>
      </c>
      <c r="J1876" s="120">
        <v>2325772857838</v>
      </c>
      <c r="K1876" s="120">
        <f>(J1876+1527792733289)/2</f>
        <v>1926782795563.5</v>
      </c>
      <c r="L1876" s="120">
        <v>1698639062605</v>
      </c>
      <c r="M1876" s="120">
        <f t="shared" si="621"/>
        <v>12342107784432</v>
      </c>
      <c r="N1876" s="120">
        <v>2755984969736</v>
      </c>
      <c r="O1876" s="120">
        <f t="shared" si="643"/>
        <v>11597907959024</v>
      </c>
      <c r="P1876" s="120">
        <v>609309682620</v>
      </c>
      <c r="Q1876" s="120">
        <f>52002590866+78854313529</f>
        <v>130856904395</v>
      </c>
      <c r="R1876" s="120">
        <f t="shared" si="644"/>
        <v>2625128065341</v>
      </c>
      <c r="S1876" s="121">
        <f t="shared" si="645"/>
        <v>0.15856229775524433</v>
      </c>
      <c r="T1876" s="122">
        <f t="shared" si="646"/>
        <v>7.8277647761365339</v>
      </c>
      <c r="U1876" s="121">
        <f t="shared" si="647"/>
        <v>30.316681228817227</v>
      </c>
      <c r="V1876" s="121">
        <f t="shared" si="648"/>
        <v>1.4303558118132327</v>
      </c>
      <c r="W1876" s="123"/>
      <c r="X1876" s="123"/>
      <c r="Y1876" s="123"/>
      <c r="Z1876" s="125">
        <f t="shared" si="686"/>
        <v>0</v>
      </c>
      <c r="AA1876" s="118">
        <f t="shared" si="620"/>
        <v>26</v>
      </c>
      <c r="AB1876" s="120"/>
      <c r="AC1876" s="120"/>
      <c r="AD1876" s="121">
        <f t="shared" si="675"/>
        <v>0.79070100458828851</v>
      </c>
      <c r="AE1876" s="127">
        <f t="shared" si="676"/>
        <v>4.1540403653414465E-2</v>
      </c>
      <c r="AF1876" s="121">
        <f t="shared" si="677"/>
        <v>0.17897119081920312</v>
      </c>
      <c r="AG1876" s="121">
        <f t="shared" si="678"/>
        <v>0</v>
      </c>
      <c r="AH1876" s="128">
        <f t="shared" si="679"/>
        <v>1.1849759792527281</v>
      </c>
      <c r="AI1876" s="129">
        <f t="shared" si="655"/>
        <v>2.782578679576825</v>
      </c>
      <c r="AJ1876" s="120"/>
      <c r="AK1876" s="120">
        <v>1026</v>
      </c>
      <c r="AL1876" s="130"/>
      <c r="AM1876" s="130"/>
      <c r="AN1876" s="130"/>
      <c r="AO1876" s="130"/>
      <c r="AP1876" s="130"/>
      <c r="AQ1876" s="130"/>
      <c r="AR1876" s="130"/>
    </row>
    <row r="1877" spans="1:44" ht="16.8">
      <c r="A1877" s="114" t="s">
        <v>3626</v>
      </c>
      <c r="B1877" s="115"/>
      <c r="C1877" s="115" t="s">
        <v>3624</v>
      </c>
      <c r="D1877" s="116" t="s">
        <v>3625</v>
      </c>
      <c r="E1877" s="117" t="s">
        <v>414</v>
      </c>
      <c r="F1877" s="118">
        <v>1995</v>
      </c>
      <c r="G1877" s="118">
        <v>2022</v>
      </c>
      <c r="H1877" s="120">
        <v>12286026001426</v>
      </c>
      <c r="I1877" s="120">
        <v>14176420431637</v>
      </c>
      <c r="J1877" s="120">
        <v>2520300496391</v>
      </c>
      <c r="K1877" s="120">
        <f t="shared" ref="K1877:K1878" si="688">SUM(J1876:J1877)/2</f>
        <v>2423036677114.5</v>
      </c>
      <c r="L1877" s="120">
        <v>2399784452552</v>
      </c>
      <c r="M1877" s="120">
        <f t="shared" si="621"/>
        <v>11656119935246</v>
      </c>
      <c r="N1877" s="120">
        <v>2093239828644</v>
      </c>
      <c r="O1877" s="120">
        <f t="shared" si="643"/>
        <v>9886241548874</v>
      </c>
      <c r="P1877" s="120">
        <v>480168967913</v>
      </c>
      <c r="Q1877" s="120">
        <f>76310135356+76356782763</f>
        <v>152666918119</v>
      </c>
      <c r="R1877" s="120">
        <f t="shared" si="644"/>
        <v>1940572910525</v>
      </c>
      <c r="S1877" s="121">
        <f t="shared" si="645"/>
        <v>0.17778116193327176</v>
      </c>
      <c r="T1877" s="122">
        <f t="shared" si="646"/>
        <v>5.1196373025755229</v>
      </c>
      <c r="U1877" s="121">
        <f t="shared" si="647"/>
        <v>30.282601167339422</v>
      </c>
      <c r="V1877" s="121">
        <f t="shared" si="648"/>
        <v>0.86389110343008002</v>
      </c>
      <c r="W1877" s="123"/>
      <c r="X1877" s="123"/>
      <c r="Y1877" s="123"/>
      <c r="Z1877" s="125">
        <f t="shared" si="686"/>
        <v>0</v>
      </c>
      <c r="AA1877" s="118">
        <f t="shared" si="620"/>
        <v>27</v>
      </c>
      <c r="AB1877" s="120"/>
      <c r="AC1877" s="120"/>
      <c r="AD1877" s="121">
        <f t="shared" si="675"/>
        <v>0.69737220312761294</v>
      </c>
      <c r="AE1877" s="127">
        <f t="shared" si="676"/>
        <v>3.3870959896295433E-2</v>
      </c>
      <c r="AF1877" s="121">
        <f t="shared" si="677"/>
        <v>0.13688737011455263</v>
      </c>
      <c r="AG1877" s="121">
        <f t="shared" si="678"/>
        <v>0</v>
      </c>
      <c r="AH1877" s="128">
        <f t="shared" si="679"/>
        <v>0.83055168684903291</v>
      </c>
      <c r="AI1877" s="129">
        <f t="shared" si="655"/>
        <v>2.1665459958350057</v>
      </c>
      <c r="AJ1877" s="120"/>
      <c r="AK1877" s="120">
        <v>1027</v>
      </c>
      <c r="AL1877" s="130"/>
      <c r="AM1877" s="130"/>
      <c r="AN1877" s="130"/>
      <c r="AO1877" s="130"/>
      <c r="AP1877" s="130"/>
      <c r="AQ1877" s="130"/>
      <c r="AR1877" s="130"/>
    </row>
    <row r="1878" spans="1:44" ht="16.8">
      <c r="A1878" s="114" t="s">
        <v>3627</v>
      </c>
      <c r="B1878" s="115"/>
      <c r="C1878" s="115" t="s">
        <v>3624</v>
      </c>
      <c r="D1878" s="116" t="s">
        <v>3625</v>
      </c>
      <c r="E1878" s="117" t="s">
        <v>414</v>
      </c>
      <c r="F1878" s="118">
        <v>1995</v>
      </c>
      <c r="G1878" s="118">
        <v>2023</v>
      </c>
      <c r="H1878" s="120">
        <v>12441516369054</v>
      </c>
      <c r="I1878" s="120">
        <v>14624627589967</v>
      </c>
      <c r="J1878" s="120">
        <v>2191071794239</v>
      </c>
      <c r="K1878" s="120">
        <f t="shared" si="688"/>
        <v>2355686145315</v>
      </c>
      <c r="L1878" s="120">
        <v>2085363262860</v>
      </c>
      <c r="M1878" s="120">
        <f t="shared" si="621"/>
        <v>12433555795728</v>
      </c>
      <c r="N1878" s="120">
        <v>3803320077488</v>
      </c>
      <c r="O1878" s="120">
        <f t="shared" si="643"/>
        <v>10356153106194</v>
      </c>
      <c r="P1878" s="120">
        <v>1243150278974</v>
      </c>
      <c r="Q1878" s="120">
        <f>266632322754+72343430844</f>
        <v>338975753598</v>
      </c>
      <c r="R1878" s="120">
        <f t="shared" si="644"/>
        <v>3464344323890</v>
      </c>
      <c r="S1878" s="121">
        <f t="shared" si="645"/>
        <v>0.14982068984390079</v>
      </c>
      <c r="T1878" s="122">
        <f t="shared" si="646"/>
        <v>5.9661146768217792</v>
      </c>
      <c r="U1878" s="121">
        <f t="shared" si="647"/>
        <v>30.313728044788377</v>
      </c>
      <c r="V1878" s="121">
        <f t="shared" si="648"/>
        <v>1.6145275061586881</v>
      </c>
      <c r="W1878" s="123"/>
      <c r="X1878" s="123"/>
      <c r="Y1878" s="123"/>
      <c r="Z1878" s="125">
        <f t="shared" si="686"/>
        <v>0</v>
      </c>
      <c r="AA1878" s="118">
        <f t="shared" si="620"/>
        <v>28</v>
      </c>
      <c r="AB1878" s="120"/>
      <c r="AC1878" s="120"/>
      <c r="AD1878" s="121">
        <f t="shared" si="675"/>
        <v>0.70813106470476406</v>
      </c>
      <c r="AE1878" s="127">
        <f t="shared" si="676"/>
        <v>8.5003893010365886E-2</v>
      </c>
      <c r="AF1878" s="121">
        <f t="shared" si="677"/>
        <v>0.2368842763740979</v>
      </c>
      <c r="AG1878" s="121">
        <f t="shared" si="678"/>
        <v>0</v>
      </c>
      <c r="AH1878" s="128">
        <f t="shared" si="679"/>
        <v>1.7358263145407171</v>
      </c>
      <c r="AI1878" s="129">
        <f t="shared" si="655"/>
        <v>3.4863071544354689</v>
      </c>
      <c r="AJ1878" s="120"/>
      <c r="AK1878" s="120">
        <v>1028</v>
      </c>
      <c r="AL1878" s="130"/>
      <c r="AM1878" s="130"/>
      <c r="AN1878" s="130"/>
      <c r="AO1878" s="130"/>
      <c r="AP1878" s="130"/>
      <c r="AQ1878" s="130"/>
      <c r="AR1878" s="130"/>
    </row>
    <row r="1879" spans="1:44" ht="16.8">
      <c r="A1879" s="64" t="s">
        <v>3628</v>
      </c>
      <c r="B1879" s="62">
        <v>725</v>
      </c>
      <c r="C1879" s="62" t="s">
        <v>3629</v>
      </c>
      <c r="D1879" s="19" t="s">
        <v>3630</v>
      </c>
      <c r="E1879" s="20" t="s">
        <v>414</v>
      </c>
      <c r="F1879" s="21">
        <v>2007</v>
      </c>
      <c r="G1879" s="40">
        <v>2021</v>
      </c>
      <c r="H1879" s="23">
        <v>388359492010</v>
      </c>
      <c r="I1879" s="23">
        <v>887247802582</v>
      </c>
      <c r="J1879" s="23">
        <v>308255546202</v>
      </c>
      <c r="K1879" s="23">
        <f>(J1879+311640818626)/2</f>
        <v>309948182414</v>
      </c>
      <c r="L1879" s="23">
        <v>246926619446</v>
      </c>
      <c r="M1879" s="23">
        <f t="shared" si="621"/>
        <v>578992256380</v>
      </c>
      <c r="N1879" s="23">
        <v>578992256380</v>
      </c>
      <c r="O1879" s="25">
        <f t="shared" si="643"/>
        <v>141432872564</v>
      </c>
      <c r="P1879" s="23">
        <v>113470511353</v>
      </c>
      <c r="Q1879" s="23">
        <f>25203609627+61761400289</f>
        <v>86965009916</v>
      </c>
      <c r="R1879" s="25">
        <f t="shared" si="644"/>
        <v>492027246464</v>
      </c>
      <c r="S1879" s="26">
        <f t="shared" si="645"/>
        <v>0.34742892042667056</v>
      </c>
      <c r="T1879" s="27">
        <f t="shared" si="646"/>
        <v>1.5727728864604236</v>
      </c>
      <c r="U1879" s="26">
        <f t="shared" si="647"/>
        <v>27.511390151808357</v>
      </c>
      <c r="V1879" s="26">
        <f t="shared" si="648"/>
        <v>1.868029203690041</v>
      </c>
      <c r="W1879" s="143"/>
      <c r="X1879" s="143"/>
      <c r="Y1879" s="143"/>
      <c r="Z1879" s="30">
        <f t="shared" si="686"/>
        <v>0</v>
      </c>
      <c r="AA1879" s="31">
        <f t="shared" si="620"/>
        <v>14</v>
      </c>
      <c r="AB1879" s="32">
        <v>1.84E-2</v>
      </c>
      <c r="AC1879" s="32">
        <v>2.58E-2</v>
      </c>
      <c r="AD1879" s="33">
        <f t="shared" si="675"/>
        <v>0.15940628103266413</v>
      </c>
      <c r="AE1879" s="34">
        <f t="shared" si="676"/>
        <v>0.12789043942716666</v>
      </c>
      <c r="AF1879" s="33">
        <f t="shared" si="677"/>
        <v>0.55455448301155585</v>
      </c>
      <c r="AG1879" s="33">
        <f t="shared" si="678"/>
        <v>0</v>
      </c>
      <c r="AH1879" s="35">
        <f t="shared" si="679"/>
        <v>1.8782865823948098</v>
      </c>
      <c r="AI1879" s="36">
        <f t="shared" si="655"/>
        <v>4.078650528770174</v>
      </c>
      <c r="AJ1879" s="23"/>
      <c r="AK1879" s="120">
        <v>1029</v>
      </c>
      <c r="AL1879" s="44"/>
      <c r="AM1879" s="44"/>
      <c r="AN1879" s="44"/>
      <c r="AO1879" s="44"/>
      <c r="AP1879" s="44"/>
      <c r="AQ1879" s="44"/>
      <c r="AR1879" s="44"/>
    </row>
    <row r="1880" spans="1:44" ht="16.8">
      <c r="A1880" s="64" t="s">
        <v>3631</v>
      </c>
      <c r="B1880" s="62"/>
      <c r="C1880" s="62" t="s">
        <v>3629</v>
      </c>
      <c r="D1880" s="19" t="s">
        <v>3630</v>
      </c>
      <c r="E1880" s="20" t="s">
        <v>414</v>
      </c>
      <c r="F1880" s="21">
        <v>2007</v>
      </c>
      <c r="G1880" s="40">
        <v>2022</v>
      </c>
      <c r="H1880" s="23">
        <v>369226959448</v>
      </c>
      <c r="I1880" s="23">
        <v>816910328117</v>
      </c>
      <c r="J1880" s="23">
        <v>261323290432</v>
      </c>
      <c r="K1880" s="23">
        <f t="shared" ref="K1880:K1881" si="689">SUM(J1879:J1880)/2</f>
        <v>284789418317</v>
      </c>
      <c r="L1880" s="23">
        <v>200783539676</v>
      </c>
      <c r="M1880" s="23">
        <f t="shared" si="621"/>
        <v>555587037685</v>
      </c>
      <c r="N1880" s="23">
        <v>1355069962137</v>
      </c>
      <c r="O1880" s="25">
        <f t="shared" si="643"/>
        <v>168443419772</v>
      </c>
      <c r="P1880" s="23">
        <v>124846334304</v>
      </c>
      <c r="Q1880" s="23">
        <f>33119763998+67756292658</f>
        <v>100876056656</v>
      </c>
      <c r="R1880" s="25">
        <f t="shared" si="644"/>
        <v>1254193905481</v>
      </c>
      <c r="S1880" s="26">
        <f t="shared" si="645"/>
        <v>0.3198922592083725</v>
      </c>
      <c r="T1880" s="27">
        <f t="shared" si="646"/>
        <v>1.838930422502828</v>
      </c>
      <c r="U1880" s="26">
        <f t="shared" si="647"/>
        <v>27.428795168275887</v>
      </c>
      <c r="V1880" s="26">
        <f t="shared" si="648"/>
        <v>4.7581471606106778</v>
      </c>
      <c r="W1880" s="143"/>
      <c r="X1880" s="143"/>
      <c r="Y1880" s="143"/>
      <c r="Z1880" s="30">
        <f t="shared" si="686"/>
        <v>0</v>
      </c>
      <c r="AA1880" s="31">
        <f t="shared" si="620"/>
        <v>15</v>
      </c>
      <c r="AB1880" s="32">
        <v>3.15E-2</v>
      </c>
      <c r="AC1880" s="32">
        <v>8.0199999999999994E-2</v>
      </c>
      <c r="AD1880" s="33">
        <f t="shared" si="675"/>
        <v>0.2061957279451547</v>
      </c>
      <c r="AE1880" s="34">
        <f t="shared" si="676"/>
        <v>0.15282746466405206</v>
      </c>
      <c r="AF1880" s="33">
        <f t="shared" si="677"/>
        <v>1.5352895688954629</v>
      </c>
      <c r="AG1880" s="33">
        <f t="shared" si="678"/>
        <v>0</v>
      </c>
      <c r="AH1880" s="35">
        <f t="shared" si="679"/>
        <v>5.1854159646348412</v>
      </c>
      <c r="AI1880" s="36">
        <f t="shared" si="655"/>
        <v>10.713264866053727</v>
      </c>
      <c r="AJ1880" s="23"/>
      <c r="AK1880" s="120">
        <v>1030</v>
      </c>
      <c r="AL1880" s="44"/>
      <c r="AM1880" s="44"/>
      <c r="AN1880" s="44"/>
      <c r="AO1880" s="44"/>
      <c r="AP1880" s="44"/>
      <c r="AQ1880" s="44"/>
      <c r="AR1880" s="44"/>
    </row>
    <row r="1881" spans="1:44" ht="16.8">
      <c r="A1881" s="64" t="s">
        <v>3632</v>
      </c>
      <c r="B1881" s="62"/>
      <c r="C1881" s="62" t="s">
        <v>3629</v>
      </c>
      <c r="D1881" s="19" t="s">
        <v>3630</v>
      </c>
      <c r="E1881" s="20" t="s">
        <v>414</v>
      </c>
      <c r="F1881" s="21">
        <v>2007</v>
      </c>
      <c r="G1881" s="40">
        <v>2023</v>
      </c>
      <c r="H1881" s="23">
        <v>474241740927</v>
      </c>
      <c r="I1881" s="23">
        <v>940482304369</v>
      </c>
      <c r="J1881" s="23">
        <v>341621209264</v>
      </c>
      <c r="K1881" s="23">
        <f t="shared" si="689"/>
        <v>301472249848</v>
      </c>
      <c r="L1881" s="23">
        <v>288611976608</v>
      </c>
      <c r="M1881" s="23">
        <f t="shared" si="621"/>
        <v>598861095105</v>
      </c>
      <c r="N1881" s="23">
        <v>1529415505455</v>
      </c>
      <c r="O1881" s="25">
        <f t="shared" si="643"/>
        <v>185629764319</v>
      </c>
      <c r="P1881" s="23">
        <v>134421318574</v>
      </c>
      <c r="Q1881" s="23">
        <f>35177208068+70174311898</f>
        <v>105351519966</v>
      </c>
      <c r="R1881" s="25">
        <f t="shared" si="644"/>
        <v>1424063985489</v>
      </c>
      <c r="S1881" s="26">
        <f t="shared" si="645"/>
        <v>0.3632404434161095</v>
      </c>
      <c r="T1881" s="27">
        <f t="shared" si="646"/>
        <v>1.6431810852088338</v>
      </c>
      <c r="U1881" s="26">
        <f t="shared" si="647"/>
        <v>27.569658670379177</v>
      </c>
      <c r="V1881" s="26">
        <f t="shared" si="648"/>
        <v>5.0731551783824864</v>
      </c>
      <c r="W1881" s="143"/>
      <c r="X1881" s="143"/>
      <c r="Y1881" s="143"/>
      <c r="Z1881" s="30">
        <f t="shared" si="686"/>
        <v>0</v>
      </c>
      <c r="AA1881" s="31">
        <f t="shared" si="620"/>
        <v>16</v>
      </c>
      <c r="AB1881" s="32">
        <v>3.2500000000000001E-2</v>
      </c>
      <c r="AC1881" s="32">
        <v>5.0500000000000003E-2</v>
      </c>
      <c r="AD1881" s="33">
        <f t="shared" si="675"/>
        <v>0.19737720046050736</v>
      </c>
      <c r="AE1881" s="34">
        <f t="shared" si="676"/>
        <v>0.14292806781110848</v>
      </c>
      <c r="AF1881" s="33">
        <f t="shared" si="677"/>
        <v>1.5141847739968384</v>
      </c>
      <c r="AG1881" s="33">
        <f t="shared" si="678"/>
        <v>0</v>
      </c>
      <c r="AH1881" s="35">
        <f t="shared" si="679"/>
        <v>4.4769337031211363</v>
      </c>
      <c r="AI1881" s="36">
        <f t="shared" si="655"/>
        <v>9.9106953927988641</v>
      </c>
      <c r="AJ1881" s="23"/>
      <c r="AK1881" s="120">
        <v>1031</v>
      </c>
      <c r="AL1881" s="44"/>
      <c r="AM1881" s="44"/>
      <c r="AN1881" s="44"/>
      <c r="AO1881" s="44"/>
      <c r="AP1881" s="44"/>
      <c r="AQ1881" s="44"/>
      <c r="AR1881" s="44"/>
    </row>
    <row r="1882" spans="1:44" ht="16.8">
      <c r="A1882" s="64" t="s">
        <v>3633</v>
      </c>
      <c r="B1882" s="62">
        <v>726</v>
      </c>
      <c r="C1882" s="62" t="s">
        <v>3634</v>
      </c>
      <c r="D1882" s="19" t="s">
        <v>3635</v>
      </c>
      <c r="E1882" s="20" t="s">
        <v>414</v>
      </c>
      <c r="F1882" s="21">
        <v>1976</v>
      </c>
      <c r="G1882" s="40">
        <v>2021</v>
      </c>
      <c r="H1882" s="23">
        <v>2351253832320</v>
      </c>
      <c r="I1882" s="23">
        <v>3606390631343</v>
      </c>
      <c r="J1882" s="23">
        <v>1897855936672</v>
      </c>
      <c r="K1882" s="23">
        <f>(J1882+1337687708547)/2</f>
        <v>1617771822609.5</v>
      </c>
      <c r="L1882" s="23">
        <v>1757418059259</v>
      </c>
      <c r="M1882" s="23">
        <f t="shared" si="621"/>
        <v>1708534694671</v>
      </c>
      <c r="N1882" s="23">
        <v>3537497633160</v>
      </c>
      <c r="O1882" s="25">
        <f t="shared" si="643"/>
        <v>593835773061</v>
      </c>
      <c r="P1882" s="23">
        <v>143658558090</v>
      </c>
      <c r="Q1882" s="23">
        <f>184396737569+169902306253</f>
        <v>354299043822</v>
      </c>
      <c r="R1882" s="25">
        <f t="shared" si="644"/>
        <v>3183198589338</v>
      </c>
      <c r="S1882" s="26">
        <f t="shared" si="645"/>
        <v>0.52624802210215615</v>
      </c>
      <c r="T1882" s="27">
        <f t="shared" si="646"/>
        <v>1.3379023960362544</v>
      </c>
      <c r="U1882" s="26">
        <f t="shared" si="647"/>
        <v>28.91372856300206</v>
      </c>
      <c r="V1882" s="26">
        <f t="shared" si="648"/>
        <v>2.1866480697221822</v>
      </c>
      <c r="W1882" s="143"/>
      <c r="X1882" s="143"/>
      <c r="Y1882" s="143"/>
      <c r="Z1882" s="30">
        <f t="shared" si="686"/>
        <v>0</v>
      </c>
      <c r="AA1882" s="31">
        <f t="shared" si="620"/>
        <v>45</v>
      </c>
      <c r="AB1882" s="32">
        <v>1.84E-2</v>
      </c>
      <c r="AC1882" s="32">
        <v>2.58E-2</v>
      </c>
      <c r="AD1882" s="33">
        <f t="shared" si="675"/>
        <v>0.16466207734126095</v>
      </c>
      <c r="AE1882" s="34">
        <f t="shared" si="676"/>
        <v>3.9834441904731309E-2</v>
      </c>
      <c r="AF1882" s="33">
        <f t="shared" si="677"/>
        <v>0.88265496301841118</v>
      </c>
      <c r="AG1882" s="33">
        <f t="shared" si="678"/>
        <v>0</v>
      </c>
      <c r="AH1882" s="35">
        <f t="shared" si="679"/>
        <v>1.86394423560052</v>
      </c>
      <c r="AI1882" s="36">
        <f t="shared" si="655"/>
        <v>5.0300683250374139</v>
      </c>
      <c r="AJ1882" s="23"/>
      <c r="AK1882" s="120">
        <v>1032</v>
      </c>
      <c r="AL1882" s="44"/>
      <c r="AM1882" s="44"/>
      <c r="AN1882" s="44"/>
      <c r="AO1882" s="44"/>
      <c r="AP1882" s="44"/>
      <c r="AQ1882" s="44"/>
      <c r="AR1882" s="44"/>
    </row>
    <row r="1883" spans="1:44" ht="16.8">
      <c r="A1883" s="64" t="s">
        <v>3636</v>
      </c>
      <c r="B1883" s="62"/>
      <c r="C1883" s="62" t="s">
        <v>3634</v>
      </c>
      <c r="D1883" s="19" t="s">
        <v>3635</v>
      </c>
      <c r="E1883" s="20" t="s">
        <v>414</v>
      </c>
      <c r="F1883" s="21">
        <v>1976</v>
      </c>
      <c r="G1883" s="40">
        <v>2022</v>
      </c>
      <c r="H1883" s="23">
        <v>2166735823702</v>
      </c>
      <c r="I1883" s="23">
        <v>3477066569867</v>
      </c>
      <c r="J1883" s="23">
        <v>1498209161533</v>
      </c>
      <c r="K1883" s="23">
        <f t="shared" ref="K1883:K1884" si="690">SUM(J1882:J1883)/2</f>
        <v>1698032549102.5</v>
      </c>
      <c r="L1883" s="23">
        <v>1311885605713</v>
      </c>
      <c r="M1883" s="23">
        <f t="shared" si="621"/>
        <v>1978857408334</v>
      </c>
      <c r="N1883" s="23">
        <v>4340749506976</v>
      </c>
      <c r="O1883" s="25">
        <f t="shared" si="643"/>
        <v>854850217989</v>
      </c>
      <c r="P1883" s="23">
        <v>281069424265</v>
      </c>
      <c r="Q1883" s="23">
        <f>177757668537+169804388906</f>
        <v>347562057443</v>
      </c>
      <c r="R1883" s="25">
        <f t="shared" si="644"/>
        <v>3993187449533</v>
      </c>
      <c r="S1883" s="26">
        <f t="shared" si="645"/>
        <v>0.43088308245714935</v>
      </c>
      <c r="T1883" s="27">
        <f t="shared" si="646"/>
        <v>1.6516194813528695</v>
      </c>
      <c r="U1883" s="26">
        <f t="shared" si="647"/>
        <v>28.877210114548102</v>
      </c>
      <c r="V1883" s="26">
        <f t="shared" si="648"/>
        <v>2.5563405773760435</v>
      </c>
      <c r="W1883" s="143"/>
      <c r="X1883" s="143"/>
      <c r="Y1883" s="143"/>
      <c r="Z1883" s="30">
        <f t="shared" si="686"/>
        <v>0</v>
      </c>
      <c r="AA1883" s="31">
        <f t="shared" si="620"/>
        <v>46</v>
      </c>
      <c r="AB1883" s="32">
        <v>3.15E-2</v>
      </c>
      <c r="AC1883" s="32">
        <v>8.0199999999999994E-2</v>
      </c>
      <c r="AD1883" s="33">
        <f t="shared" si="675"/>
        <v>0.24585385433724916</v>
      </c>
      <c r="AE1883" s="34">
        <f t="shared" si="676"/>
        <v>8.0835215149691858E-2</v>
      </c>
      <c r="AF1883" s="33">
        <f t="shared" si="677"/>
        <v>1.1484357199654482</v>
      </c>
      <c r="AG1883" s="33">
        <f t="shared" si="678"/>
        <v>0</v>
      </c>
      <c r="AH1883" s="35">
        <f t="shared" si="679"/>
        <v>2.8972920593640286</v>
      </c>
      <c r="AI1883" s="36">
        <f t="shared" si="655"/>
        <v>7.0953238616642755</v>
      </c>
      <c r="AJ1883" s="23"/>
      <c r="AK1883" s="120">
        <v>1033</v>
      </c>
      <c r="AL1883" s="44"/>
      <c r="AM1883" s="44"/>
      <c r="AN1883" s="44"/>
      <c r="AO1883" s="44"/>
      <c r="AP1883" s="44"/>
      <c r="AQ1883" s="44"/>
      <c r="AR1883" s="44"/>
    </row>
    <row r="1884" spans="1:44" ht="16.8">
      <c r="A1884" s="64" t="s">
        <v>3637</v>
      </c>
      <c r="B1884" s="62"/>
      <c r="C1884" s="62" t="s">
        <v>3634</v>
      </c>
      <c r="D1884" s="19" t="s">
        <v>3635</v>
      </c>
      <c r="E1884" s="20" t="s">
        <v>414</v>
      </c>
      <c r="F1884" s="21">
        <v>1976</v>
      </c>
      <c r="G1884" s="40">
        <v>2023</v>
      </c>
      <c r="H1884" s="23">
        <v>2130754199483</v>
      </c>
      <c r="I1884" s="23">
        <v>3279364384954</v>
      </c>
      <c r="J1884" s="23">
        <v>1269227732733</v>
      </c>
      <c r="K1884" s="23">
        <f t="shared" si="690"/>
        <v>1383718447133</v>
      </c>
      <c r="L1884" s="23">
        <v>1173414840149</v>
      </c>
      <c r="M1884" s="23">
        <f t="shared" si="621"/>
        <v>2010136652221</v>
      </c>
      <c r="N1884" s="23">
        <v>3327935318862</v>
      </c>
      <c r="O1884" s="25">
        <f t="shared" si="643"/>
        <v>957339359334</v>
      </c>
      <c r="P1884" s="23">
        <v>133804252735</v>
      </c>
      <c r="Q1884" s="23">
        <f>146908350442+136935925390</f>
        <v>283844275832</v>
      </c>
      <c r="R1884" s="25">
        <f t="shared" si="644"/>
        <v>3044091043030</v>
      </c>
      <c r="S1884" s="26">
        <f t="shared" si="645"/>
        <v>0.38703467615746628</v>
      </c>
      <c r="T1884" s="27">
        <f t="shared" si="646"/>
        <v>1.8158575523149487</v>
      </c>
      <c r="U1884" s="26">
        <f t="shared" si="647"/>
        <v>28.818670734470846</v>
      </c>
      <c r="V1884" s="26">
        <f t="shared" si="648"/>
        <v>2.4050668152595107</v>
      </c>
      <c r="W1884" s="143"/>
      <c r="X1884" s="143"/>
      <c r="Y1884" s="143"/>
      <c r="Z1884" s="30">
        <f t="shared" si="686"/>
        <v>0</v>
      </c>
      <c r="AA1884" s="31">
        <f t="shared" si="620"/>
        <v>47</v>
      </c>
      <c r="AB1884" s="32">
        <v>3.2500000000000001E-2</v>
      </c>
      <c r="AC1884" s="32">
        <v>5.0500000000000003E-2</v>
      </c>
      <c r="AD1884" s="33">
        <f t="shared" si="675"/>
        <v>0.29192832724730244</v>
      </c>
      <c r="AE1884" s="34">
        <f t="shared" si="676"/>
        <v>4.0801886288972695E-2</v>
      </c>
      <c r="AF1884" s="33">
        <f t="shared" si="677"/>
        <v>0.9282564197490667</v>
      </c>
      <c r="AG1884" s="33">
        <f t="shared" si="678"/>
        <v>0</v>
      </c>
      <c r="AH1884" s="35">
        <f t="shared" si="679"/>
        <v>2.6220159180543829</v>
      </c>
      <c r="AI1884" s="36">
        <f t="shared" si="655"/>
        <v>6.0926987367276277</v>
      </c>
      <c r="AJ1884" s="23"/>
      <c r="AK1884" s="120">
        <v>1034</v>
      </c>
      <c r="AL1884" s="44"/>
      <c r="AM1884" s="44"/>
      <c r="AN1884" s="44"/>
      <c r="AO1884" s="44"/>
      <c r="AP1884" s="44"/>
      <c r="AQ1884" s="44"/>
      <c r="AR1884" s="44"/>
    </row>
    <row r="1885" spans="1:44" ht="16.8">
      <c r="A1885" s="64" t="s">
        <v>3638</v>
      </c>
      <c r="B1885" s="62">
        <v>727</v>
      </c>
      <c r="C1885" s="62" t="s">
        <v>3639</v>
      </c>
      <c r="D1885" s="19" t="s">
        <v>3640</v>
      </c>
      <c r="E1885" s="20" t="s">
        <v>414</v>
      </c>
      <c r="F1885" s="21">
        <v>1997</v>
      </c>
      <c r="G1885" s="40">
        <v>2021</v>
      </c>
      <c r="H1885" s="23">
        <v>363291599162</v>
      </c>
      <c r="I1885" s="23">
        <v>377543947854</v>
      </c>
      <c r="J1885" s="23">
        <v>67751542675</v>
      </c>
      <c r="K1885" s="23">
        <f>(J1885+20167310261)/2</f>
        <v>43959426468</v>
      </c>
      <c r="L1885" s="23">
        <v>64220247097</v>
      </c>
      <c r="M1885" s="23">
        <f t="shared" si="621"/>
        <v>309792405179</v>
      </c>
      <c r="N1885" s="23">
        <v>242577282399</v>
      </c>
      <c r="O1885" s="25">
        <f t="shared" si="643"/>
        <v>299071352065</v>
      </c>
      <c r="P1885" s="23">
        <v>46789899934</v>
      </c>
      <c r="Q1885" s="23">
        <f>321146521+51015566993</f>
        <v>51336713514</v>
      </c>
      <c r="R1885" s="25">
        <f t="shared" si="644"/>
        <v>191240568885</v>
      </c>
      <c r="S1885" s="26">
        <f t="shared" si="645"/>
        <v>0.1794533935985651</v>
      </c>
      <c r="T1885" s="27">
        <f t="shared" si="646"/>
        <v>5.656963583669719</v>
      </c>
      <c r="U1885" s="26">
        <f t="shared" si="647"/>
        <v>26.656952817015714</v>
      </c>
      <c r="V1885" s="26">
        <f t="shared" si="648"/>
        <v>5.5182085365827662</v>
      </c>
      <c r="W1885" s="143"/>
      <c r="X1885" s="143"/>
      <c r="Y1885" s="143"/>
      <c r="Z1885" s="30">
        <f t="shared" si="686"/>
        <v>0</v>
      </c>
      <c r="AA1885" s="31">
        <f t="shared" si="620"/>
        <v>24</v>
      </c>
      <c r="AB1885" s="32">
        <v>1.84E-2</v>
      </c>
      <c r="AC1885" s="32">
        <v>2.58E-2</v>
      </c>
      <c r="AD1885" s="33">
        <f t="shared" si="675"/>
        <v>0.79214977160924815</v>
      </c>
      <c r="AE1885" s="34">
        <f t="shared" si="676"/>
        <v>0.1239323268190598</v>
      </c>
      <c r="AF1885" s="33">
        <f t="shared" si="677"/>
        <v>0.50653856318458224</v>
      </c>
      <c r="AG1885" s="33">
        <f t="shared" si="678"/>
        <v>0</v>
      </c>
      <c r="AH1885" s="35">
        <f t="shared" si="679"/>
        <v>3.5803949669844179</v>
      </c>
      <c r="AI1885" s="36">
        <f t="shared" si="655"/>
        <v>6.3760572089713206</v>
      </c>
      <c r="AJ1885" s="23"/>
      <c r="AK1885" s="120">
        <v>1035</v>
      </c>
      <c r="AL1885" s="44"/>
      <c r="AM1885" s="44"/>
      <c r="AN1885" s="44"/>
      <c r="AO1885" s="44"/>
      <c r="AP1885" s="44"/>
      <c r="AQ1885" s="44"/>
      <c r="AR1885" s="44"/>
    </row>
    <row r="1886" spans="1:44" ht="16.8">
      <c r="A1886" s="64" t="s">
        <v>3641</v>
      </c>
      <c r="B1886" s="62"/>
      <c r="C1886" s="62" t="s">
        <v>3639</v>
      </c>
      <c r="D1886" s="19" t="s">
        <v>3640</v>
      </c>
      <c r="E1886" s="20" t="s">
        <v>414</v>
      </c>
      <c r="F1886" s="21">
        <v>1997</v>
      </c>
      <c r="G1886" s="40">
        <v>2022</v>
      </c>
      <c r="H1886" s="23">
        <v>321621683479</v>
      </c>
      <c r="I1886" s="23">
        <v>324037560175</v>
      </c>
      <c r="J1886" s="23">
        <v>14782386520</v>
      </c>
      <c r="K1886" s="23">
        <f t="shared" ref="K1886:K1887" si="691">SUM(J1885:J1886)/2</f>
        <v>41266964597.5</v>
      </c>
      <c r="L1886" s="23">
        <v>14767386520</v>
      </c>
      <c r="M1886" s="23">
        <f t="shared" si="621"/>
        <v>309255173655</v>
      </c>
      <c r="N1886" s="23">
        <v>1386240063216</v>
      </c>
      <c r="O1886" s="25">
        <f t="shared" si="643"/>
        <v>306854296959</v>
      </c>
      <c r="P1886" s="23">
        <v>41077928530</v>
      </c>
      <c r="Q1886" s="23">
        <f>3296845577+16436853863</f>
        <v>19733699440</v>
      </c>
      <c r="R1886" s="25">
        <f t="shared" si="644"/>
        <v>1366506363776</v>
      </c>
      <c r="S1886" s="26">
        <f t="shared" si="645"/>
        <v>4.5619361261751916E-2</v>
      </c>
      <c r="T1886" s="27">
        <f t="shared" si="646"/>
        <v>21.779187742083966</v>
      </c>
      <c r="U1886" s="26">
        <f t="shared" si="647"/>
        <v>26.504125272485837</v>
      </c>
      <c r="V1886" s="26">
        <f t="shared" si="648"/>
        <v>33.592004566771067</v>
      </c>
      <c r="W1886" s="143"/>
      <c r="X1886" s="143"/>
      <c r="Y1886" s="143"/>
      <c r="Z1886" s="30">
        <f t="shared" si="686"/>
        <v>0</v>
      </c>
      <c r="AA1886" s="31">
        <f t="shared" si="620"/>
        <v>25</v>
      </c>
      <c r="AB1886" s="32">
        <v>3.15E-2</v>
      </c>
      <c r="AC1886" s="32">
        <v>8.0199999999999994E-2</v>
      </c>
      <c r="AD1886" s="33">
        <f t="shared" si="675"/>
        <v>0.94697138440765938</v>
      </c>
      <c r="AE1886" s="34">
        <f t="shared" si="676"/>
        <v>0.12676903414473131</v>
      </c>
      <c r="AF1886" s="33">
        <f t="shared" si="677"/>
        <v>4.2171233576687941</v>
      </c>
      <c r="AG1886" s="33">
        <f t="shared" si="678"/>
        <v>0</v>
      </c>
      <c r="AH1886" s="35">
        <f t="shared" si="679"/>
        <v>93.776472516157696</v>
      </c>
      <c r="AI1886" s="36">
        <f t="shared" si="655"/>
        <v>109.00682190555654</v>
      </c>
      <c r="AJ1886" s="23"/>
      <c r="AK1886" s="120">
        <v>1036</v>
      </c>
      <c r="AL1886" s="44"/>
      <c r="AM1886" s="44"/>
      <c r="AN1886" s="44"/>
      <c r="AO1886" s="44"/>
      <c r="AP1886" s="44"/>
      <c r="AQ1886" s="44"/>
      <c r="AR1886" s="44"/>
    </row>
    <row r="1887" spans="1:44" ht="16.8">
      <c r="A1887" s="64" t="s">
        <v>3642</v>
      </c>
      <c r="B1887" s="62"/>
      <c r="C1887" s="62" t="s">
        <v>3639</v>
      </c>
      <c r="D1887" s="19" t="s">
        <v>3640</v>
      </c>
      <c r="E1887" s="20" t="s">
        <v>414</v>
      </c>
      <c r="F1887" s="21">
        <v>1997</v>
      </c>
      <c r="G1887" s="40">
        <v>2023</v>
      </c>
      <c r="H1887" s="23">
        <v>864898262537</v>
      </c>
      <c r="I1887" s="23">
        <v>1167193692199</v>
      </c>
      <c r="J1887" s="23">
        <v>850877703660</v>
      </c>
      <c r="K1887" s="23">
        <f t="shared" si="691"/>
        <v>432830045090</v>
      </c>
      <c r="L1887" s="23">
        <v>824514607660</v>
      </c>
      <c r="M1887" s="23">
        <f t="shared" si="621"/>
        <v>316315988539</v>
      </c>
      <c r="N1887" s="23">
        <v>29483885048</v>
      </c>
      <c r="O1887" s="25">
        <f t="shared" si="643"/>
        <v>40383654877</v>
      </c>
      <c r="P1887" s="23">
        <v>7182250123</v>
      </c>
      <c r="Q1887" s="23">
        <v>10542072261</v>
      </c>
      <c r="R1887" s="25">
        <f t="shared" si="644"/>
        <v>18941812787</v>
      </c>
      <c r="S1887" s="26">
        <f t="shared" si="645"/>
        <v>0.72899443284082632</v>
      </c>
      <c r="T1887" s="27">
        <f t="shared" si="646"/>
        <v>1.0489787015315717</v>
      </c>
      <c r="U1887" s="26">
        <f t="shared" si="647"/>
        <v>27.785623429924311</v>
      </c>
      <c r="V1887" s="26">
        <f t="shared" si="648"/>
        <v>6.8118850302707853E-2</v>
      </c>
      <c r="W1887" s="143"/>
      <c r="X1887" s="143"/>
      <c r="Y1887" s="143"/>
      <c r="Z1887" s="30">
        <f t="shared" si="686"/>
        <v>0</v>
      </c>
      <c r="AA1887" s="31">
        <f t="shared" si="620"/>
        <v>26</v>
      </c>
      <c r="AB1887" s="32">
        <v>3.2500000000000001E-2</v>
      </c>
      <c r="AC1887" s="32">
        <v>5.0500000000000003E-2</v>
      </c>
      <c r="AD1887" s="33">
        <f t="shared" si="675"/>
        <v>3.4598931734215382E-2</v>
      </c>
      <c r="AE1887" s="34">
        <f t="shared" si="676"/>
        <v>6.1534346621327238E-3</v>
      </c>
      <c r="AF1887" s="33">
        <f t="shared" si="677"/>
        <v>1.6228508527418025E-2</v>
      </c>
      <c r="AG1887" s="33">
        <f t="shared" si="678"/>
        <v>0</v>
      </c>
      <c r="AH1887" s="35">
        <f t="shared" si="679"/>
        <v>3.4651143074000898E-2</v>
      </c>
      <c r="AI1887" s="36">
        <f t="shared" si="655"/>
        <v>0.13833874782252464</v>
      </c>
      <c r="AJ1887" s="23"/>
      <c r="AK1887" s="120">
        <v>1037</v>
      </c>
      <c r="AL1887" s="44"/>
      <c r="AM1887" s="44"/>
      <c r="AN1887" s="44"/>
      <c r="AO1887" s="44"/>
      <c r="AP1887" s="44"/>
      <c r="AQ1887" s="44"/>
      <c r="AR1887" s="44"/>
    </row>
    <row r="1888" spans="1:44" ht="16.8">
      <c r="A1888" s="64" t="s">
        <v>3643</v>
      </c>
      <c r="B1888" s="62">
        <v>728</v>
      </c>
      <c r="C1888" s="62" t="s">
        <v>3644</v>
      </c>
      <c r="D1888" s="19" t="s">
        <v>3645</v>
      </c>
      <c r="E1888" s="20" t="s">
        <v>414</v>
      </c>
      <c r="F1888" s="21">
        <v>1994</v>
      </c>
      <c r="G1888" s="40">
        <v>2021</v>
      </c>
      <c r="H1888" s="23">
        <v>717646053037</v>
      </c>
      <c r="I1888" s="23">
        <v>977329911244</v>
      </c>
      <c r="J1888" s="23">
        <v>506849887799</v>
      </c>
      <c r="K1888" s="23">
        <f>(J1888+459363898519)/2</f>
        <v>483106893159</v>
      </c>
      <c r="L1888" s="23">
        <v>498539511553</v>
      </c>
      <c r="M1888" s="23">
        <f t="shared" si="621"/>
        <v>470480023445</v>
      </c>
      <c r="N1888" s="23">
        <v>944249368667</v>
      </c>
      <c r="O1888" s="25">
        <f t="shared" si="643"/>
        <v>219106541484</v>
      </c>
      <c r="P1888" s="23">
        <v>10547201488</v>
      </c>
      <c r="Q1888" s="23">
        <f>95120132862+52149263750</f>
        <v>147269396612</v>
      </c>
      <c r="R1888" s="25">
        <f t="shared" si="644"/>
        <v>796979972055</v>
      </c>
      <c r="S1888" s="26">
        <f t="shared" si="645"/>
        <v>0.51860674882430768</v>
      </c>
      <c r="T1888" s="27">
        <f t="shared" si="646"/>
        <v>1.4394968430916566</v>
      </c>
      <c r="U1888" s="26">
        <f t="shared" si="647"/>
        <v>27.608090109823053</v>
      </c>
      <c r="V1888" s="26">
        <f t="shared" si="648"/>
        <v>1.9545350770977903</v>
      </c>
      <c r="W1888" s="143"/>
      <c r="X1888" s="143"/>
      <c r="Y1888" s="143"/>
      <c r="Z1888" s="30">
        <f t="shared" si="686"/>
        <v>0</v>
      </c>
      <c r="AA1888" s="31">
        <f t="shared" si="620"/>
        <v>27</v>
      </c>
      <c r="AB1888" s="32">
        <v>1.84E-2</v>
      </c>
      <c r="AC1888" s="32">
        <v>2.58E-2</v>
      </c>
      <c r="AD1888" s="33">
        <f t="shared" si="675"/>
        <v>0.22418892429590023</v>
      </c>
      <c r="AE1888" s="34">
        <f t="shared" si="676"/>
        <v>1.0791853770826408E-2</v>
      </c>
      <c r="AF1888" s="33">
        <f t="shared" si="677"/>
        <v>0.81546667393056604</v>
      </c>
      <c r="AG1888" s="33">
        <f t="shared" si="678"/>
        <v>0</v>
      </c>
      <c r="AH1888" s="35">
        <f t="shared" si="679"/>
        <v>1.8629763789973615</v>
      </c>
      <c r="AI1888" s="36">
        <f t="shared" si="655"/>
        <v>4.8381517074024663</v>
      </c>
      <c r="AJ1888" s="23"/>
      <c r="AK1888" s="120">
        <v>1038</v>
      </c>
      <c r="AL1888" s="44"/>
      <c r="AM1888" s="44"/>
      <c r="AN1888" s="44"/>
      <c r="AO1888" s="44"/>
      <c r="AP1888" s="44"/>
      <c r="AQ1888" s="44"/>
      <c r="AR1888" s="44"/>
    </row>
    <row r="1889" spans="1:44" ht="16.8">
      <c r="A1889" s="64" t="s">
        <v>3646</v>
      </c>
      <c r="B1889" s="62"/>
      <c r="C1889" s="62" t="s">
        <v>3644</v>
      </c>
      <c r="D1889" s="19" t="s">
        <v>3645</v>
      </c>
      <c r="E1889" s="20" t="s">
        <v>414</v>
      </c>
      <c r="F1889" s="21">
        <v>1994</v>
      </c>
      <c r="G1889" s="40">
        <v>2022</v>
      </c>
      <c r="H1889" s="23">
        <v>680777351222</v>
      </c>
      <c r="I1889" s="23">
        <v>943636589565</v>
      </c>
      <c r="J1889" s="23">
        <v>474415090095</v>
      </c>
      <c r="K1889" s="23">
        <f t="shared" ref="K1889:K1890" si="692">SUM(J1888:J1889)/2</f>
        <v>490632488947</v>
      </c>
      <c r="L1889" s="23">
        <v>468897273849</v>
      </c>
      <c r="M1889" s="23">
        <f t="shared" si="621"/>
        <v>469221499470</v>
      </c>
      <c r="N1889" s="23">
        <v>1106894928357</v>
      </c>
      <c r="O1889" s="25">
        <f t="shared" si="643"/>
        <v>211880077373</v>
      </c>
      <c r="P1889" s="23">
        <v>984102116</v>
      </c>
      <c r="Q1889" s="23">
        <f>101688991345+47522079617</f>
        <v>149211070962</v>
      </c>
      <c r="R1889" s="25">
        <f t="shared" si="644"/>
        <v>957683857395</v>
      </c>
      <c r="S1889" s="26">
        <f t="shared" si="645"/>
        <v>0.5027519018880956</v>
      </c>
      <c r="T1889" s="27">
        <f t="shared" si="646"/>
        <v>1.451868861667198</v>
      </c>
      <c r="U1889" s="26">
        <f t="shared" si="647"/>
        <v>27.573006960291302</v>
      </c>
      <c r="V1889" s="26">
        <f t="shared" si="648"/>
        <v>2.2560571370490123</v>
      </c>
      <c r="W1889" s="143"/>
      <c r="X1889" s="143"/>
      <c r="Y1889" s="143"/>
      <c r="Z1889" s="30">
        <f t="shared" si="686"/>
        <v>0</v>
      </c>
      <c r="AA1889" s="31">
        <f t="shared" si="620"/>
        <v>28</v>
      </c>
      <c r="AB1889" s="32">
        <v>3.15E-2</v>
      </c>
      <c r="AC1889" s="32">
        <v>8.0199999999999994E-2</v>
      </c>
      <c r="AD1889" s="33">
        <f t="shared" si="675"/>
        <v>0.22453567370747357</v>
      </c>
      <c r="AE1889" s="34">
        <f t="shared" si="676"/>
        <v>1.0428825321977541E-3</v>
      </c>
      <c r="AF1889" s="33">
        <f t="shared" si="677"/>
        <v>1.0148863110919379</v>
      </c>
      <c r="AG1889" s="33">
        <f t="shared" si="678"/>
        <v>0</v>
      </c>
      <c r="AH1889" s="35">
        <f t="shared" si="679"/>
        <v>2.3331781628939079</v>
      </c>
      <c r="AI1889" s="36">
        <f t="shared" si="655"/>
        <v>5.9532058334913476</v>
      </c>
      <c r="AJ1889" s="23"/>
      <c r="AK1889" s="120">
        <v>1039</v>
      </c>
      <c r="AL1889" s="44"/>
      <c r="AM1889" s="44"/>
      <c r="AN1889" s="44"/>
      <c r="AO1889" s="44"/>
      <c r="AP1889" s="44"/>
      <c r="AQ1889" s="44"/>
      <c r="AR1889" s="44"/>
    </row>
    <row r="1890" spans="1:44" ht="16.8">
      <c r="A1890" s="64" t="s">
        <v>3647</v>
      </c>
      <c r="B1890" s="62"/>
      <c r="C1890" s="62" t="s">
        <v>3644</v>
      </c>
      <c r="D1890" s="19" t="s">
        <v>3645</v>
      </c>
      <c r="E1890" s="20" t="s">
        <v>414</v>
      </c>
      <c r="F1890" s="21">
        <v>1994</v>
      </c>
      <c r="G1890" s="40">
        <v>2023</v>
      </c>
      <c r="H1890" s="23">
        <v>664160754849</v>
      </c>
      <c r="I1890" s="23">
        <v>925099363365</v>
      </c>
      <c r="J1890" s="23">
        <v>499176446174</v>
      </c>
      <c r="K1890" s="23">
        <f t="shared" si="692"/>
        <v>486795768134.5</v>
      </c>
      <c r="L1890" s="23">
        <v>499176446174</v>
      </c>
      <c r="M1890" s="23">
        <f t="shared" si="621"/>
        <v>425922917191</v>
      </c>
      <c r="N1890" s="23">
        <v>895892526013</v>
      </c>
      <c r="O1890" s="25">
        <f t="shared" si="643"/>
        <v>164984308675</v>
      </c>
      <c r="P1890" s="23">
        <v>-7384653188</v>
      </c>
      <c r="Q1890" s="23">
        <f>88311361042+40574578922</f>
        <v>128885939964</v>
      </c>
      <c r="R1890" s="25">
        <f t="shared" si="644"/>
        <v>767006586049</v>
      </c>
      <c r="S1890" s="26">
        <f t="shared" si="645"/>
        <v>0.53959224915934656</v>
      </c>
      <c r="T1890" s="27">
        <f t="shared" si="646"/>
        <v>1.3305130078543224</v>
      </c>
      <c r="U1890" s="26">
        <f t="shared" si="647"/>
        <v>27.55316698854379</v>
      </c>
      <c r="V1890" s="26">
        <f t="shared" si="648"/>
        <v>1.8403868411721032</v>
      </c>
      <c r="W1890" s="143"/>
      <c r="X1890" s="143"/>
      <c r="Y1890" s="143"/>
      <c r="Z1890" s="30">
        <f t="shared" si="686"/>
        <v>0</v>
      </c>
      <c r="AA1890" s="31">
        <f t="shared" si="620"/>
        <v>29</v>
      </c>
      <c r="AB1890" s="32">
        <v>3.2500000000000001E-2</v>
      </c>
      <c r="AC1890" s="32">
        <v>5.0500000000000003E-2</v>
      </c>
      <c r="AD1890" s="33">
        <f t="shared" si="675"/>
        <v>0.17834225728453462</v>
      </c>
      <c r="AE1890" s="34">
        <f t="shared" si="676"/>
        <v>-7.9825513673890281E-3</v>
      </c>
      <c r="AF1890" s="33">
        <f t="shared" si="677"/>
        <v>0.8291072466627305</v>
      </c>
      <c r="AG1890" s="33">
        <f t="shared" si="678"/>
        <v>0</v>
      </c>
      <c r="AH1890" s="35">
        <f t="shared" si="679"/>
        <v>1.7947411839634657</v>
      </c>
      <c r="AI1890" s="36">
        <f t="shared" si="655"/>
        <v>4.7336302347775732</v>
      </c>
      <c r="AJ1890" s="23"/>
      <c r="AK1890" s="120">
        <v>1040</v>
      </c>
      <c r="AL1890" s="44"/>
      <c r="AM1890" s="44"/>
      <c r="AN1890" s="44"/>
      <c r="AO1890" s="44"/>
      <c r="AP1890" s="44"/>
      <c r="AQ1890" s="44"/>
      <c r="AR1890" s="44"/>
    </row>
    <row r="1891" spans="1:44" ht="16.8">
      <c r="A1891" s="64" t="s">
        <v>3648</v>
      </c>
      <c r="B1891" s="62">
        <v>729</v>
      </c>
      <c r="C1891" s="62" t="s">
        <v>3649</v>
      </c>
      <c r="D1891" s="19" t="s">
        <v>3650</v>
      </c>
      <c r="E1891" s="20" t="s">
        <v>414</v>
      </c>
      <c r="F1891" s="21">
        <v>2001</v>
      </c>
      <c r="G1891" s="40">
        <v>2021</v>
      </c>
      <c r="H1891" s="23">
        <v>288992431557</v>
      </c>
      <c r="I1891" s="23">
        <v>307553322952</v>
      </c>
      <c r="J1891" s="23">
        <v>11488928093</v>
      </c>
      <c r="K1891" s="23">
        <f>(J1891+24104767469)/2</f>
        <v>17796847781</v>
      </c>
      <c r="L1891" s="23">
        <v>11488928093</v>
      </c>
      <c r="M1891" s="23">
        <f t="shared" si="621"/>
        <v>296064394859</v>
      </c>
      <c r="N1891" s="23">
        <v>35869788923</v>
      </c>
      <c r="O1891" s="25">
        <f t="shared" si="643"/>
        <v>277503503464</v>
      </c>
      <c r="P1891" s="23">
        <v>1645089996</v>
      </c>
      <c r="Q1891" s="23">
        <f>711131380+3452717976</f>
        <v>4163849356</v>
      </c>
      <c r="R1891" s="25">
        <f t="shared" si="644"/>
        <v>31705939567</v>
      </c>
      <c r="S1891" s="26">
        <f t="shared" si="645"/>
        <v>3.7355889972917257E-2</v>
      </c>
      <c r="T1891" s="27">
        <f t="shared" si="646"/>
        <v>25.153994281945064</v>
      </c>
      <c r="U1891" s="26">
        <f t="shared" si="647"/>
        <v>26.451914317133543</v>
      </c>
      <c r="V1891" s="26">
        <f t="shared" si="648"/>
        <v>2.0155136102975919</v>
      </c>
      <c r="W1891" s="143"/>
      <c r="X1891" s="143"/>
      <c r="Y1891" s="143"/>
      <c r="Z1891" s="30">
        <f t="shared" si="686"/>
        <v>0</v>
      </c>
      <c r="AA1891" s="31">
        <f t="shared" si="620"/>
        <v>20</v>
      </c>
      <c r="AB1891" s="32">
        <v>1.84E-2</v>
      </c>
      <c r="AC1891" s="32">
        <v>2.58E-2</v>
      </c>
      <c r="AD1891" s="33">
        <f t="shared" si="675"/>
        <v>0.90229395280281233</v>
      </c>
      <c r="AE1891" s="34">
        <f t="shared" si="676"/>
        <v>5.3489586137775201E-3</v>
      </c>
      <c r="AF1891" s="33">
        <f t="shared" si="677"/>
        <v>0.10309086978048473</v>
      </c>
      <c r="AG1891" s="33">
        <f t="shared" si="678"/>
        <v>0</v>
      </c>
      <c r="AH1891" s="35">
        <f t="shared" si="679"/>
        <v>3.1221179759019315</v>
      </c>
      <c r="AI1891" s="36">
        <f t="shared" si="655"/>
        <v>4.5525591316001943</v>
      </c>
      <c r="AJ1891" s="23"/>
      <c r="AK1891" s="120">
        <v>1041</v>
      </c>
      <c r="AL1891" s="44"/>
      <c r="AM1891" s="44"/>
      <c r="AN1891" s="44"/>
      <c r="AO1891" s="44"/>
      <c r="AP1891" s="44"/>
      <c r="AQ1891" s="44"/>
      <c r="AR1891" s="44"/>
    </row>
    <row r="1892" spans="1:44" ht="16.8">
      <c r="A1892" s="64" t="s">
        <v>3651</v>
      </c>
      <c r="B1892" s="62"/>
      <c r="C1892" s="62" t="s">
        <v>3649</v>
      </c>
      <c r="D1892" s="19" t="s">
        <v>3650</v>
      </c>
      <c r="E1892" s="20" t="s">
        <v>414</v>
      </c>
      <c r="F1892" s="21">
        <v>2001</v>
      </c>
      <c r="G1892" s="40">
        <v>2022</v>
      </c>
      <c r="H1892" s="23">
        <v>328843761391</v>
      </c>
      <c r="I1892" s="23">
        <v>343130370819</v>
      </c>
      <c r="J1892" s="23">
        <v>23586713842</v>
      </c>
      <c r="K1892" s="23">
        <f t="shared" ref="K1892:K1893" si="693">SUM(J1891:J1892)/2</f>
        <v>17537820967.5</v>
      </c>
      <c r="L1892" s="23">
        <v>23586713842</v>
      </c>
      <c r="M1892" s="23">
        <f t="shared" si="621"/>
        <v>319543656977</v>
      </c>
      <c r="N1892" s="23">
        <v>63675301181</v>
      </c>
      <c r="O1892" s="25">
        <f t="shared" si="643"/>
        <v>305257047549</v>
      </c>
      <c r="P1892" s="23">
        <v>29603262118</v>
      </c>
      <c r="Q1892" s="23">
        <f>8379084331+4200555033</f>
        <v>12579639364</v>
      </c>
      <c r="R1892" s="25">
        <f t="shared" si="644"/>
        <v>51095661817</v>
      </c>
      <c r="S1892" s="26">
        <f t="shared" si="645"/>
        <v>6.8739802267290137E-2</v>
      </c>
      <c r="T1892" s="27">
        <f t="shared" si="646"/>
        <v>13.941906600208119</v>
      </c>
      <c r="U1892" s="26">
        <f t="shared" si="647"/>
        <v>26.561376301747813</v>
      </c>
      <c r="V1892" s="26">
        <f t="shared" si="648"/>
        <v>3.6307418862924368</v>
      </c>
      <c r="W1892" s="143"/>
      <c r="X1892" s="143"/>
      <c r="Y1892" s="143"/>
      <c r="Z1892" s="30">
        <f t="shared" si="686"/>
        <v>0</v>
      </c>
      <c r="AA1892" s="31">
        <f t="shared" si="620"/>
        <v>21</v>
      </c>
      <c r="AB1892" s="32">
        <v>3.15E-2</v>
      </c>
      <c r="AC1892" s="32">
        <v>8.0199999999999994E-2</v>
      </c>
      <c r="AD1892" s="33">
        <f t="shared" si="675"/>
        <v>0.88962410066004316</v>
      </c>
      <c r="AE1892" s="34">
        <f t="shared" si="676"/>
        <v>8.6274094733560069E-2</v>
      </c>
      <c r="AF1892" s="33">
        <f t="shared" si="677"/>
        <v>0.14891034476208687</v>
      </c>
      <c r="AG1892" s="33">
        <f t="shared" si="678"/>
        <v>0</v>
      </c>
      <c r="AH1892" s="35">
        <f t="shared" si="679"/>
        <v>2.6996257981311373</v>
      </c>
      <c r="AI1892" s="36">
        <f t="shared" si="655"/>
        <v>4.3793625892650594</v>
      </c>
      <c r="AJ1892" s="23"/>
      <c r="AK1892" s="120">
        <v>1042</v>
      </c>
      <c r="AL1892" s="44"/>
      <c r="AM1892" s="44"/>
      <c r="AN1892" s="44"/>
      <c r="AO1892" s="44"/>
      <c r="AP1892" s="44"/>
      <c r="AQ1892" s="44"/>
      <c r="AR1892" s="44"/>
    </row>
    <row r="1893" spans="1:44" ht="16.8">
      <c r="A1893" s="64" t="s">
        <v>3652</v>
      </c>
      <c r="B1893" s="62"/>
      <c r="C1893" s="62" t="s">
        <v>3649</v>
      </c>
      <c r="D1893" s="19" t="s">
        <v>3650</v>
      </c>
      <c r="E1893" s="20" t="s">
        <v>414</v>
      </c>
      <c r="F1893" s="21">
        <v>2001</v>
      </c>
      <c r="G1893" s="40">
        <v>2023</v>
      </c>
      <c r="H1893" s="23">
        <v>349060655570</v>
      </c>
      <c r="I1893" s="23">
        <v>361676272329</v>
      </c>
      <c r="J1893" s="23">
        <v>30448453991</v>
      </c>
      <c r="K1893" s="23">
        <f t="shared" si="693"/>
        <v>27017583916.5</v>
      </c>
      <c r="L1893" s="23">
        <v>30448453991</v>
      </c>
      <c r="M1893" s="23">
        <f t="shared" si="621"/>
        <v>331227818338</v>
      </c>
      <c r="N1893" s="23">
        <v>43115305850</v>
      </c>
      <c r="O1893" s="25">
        <f t="shared" si="643"/>
        <v>318612201579</v>
      </c>
      <c r="P1893" s="23">
        <v>18348161361</v>
      </c>
      <c r="Q1893" s="23">
        <f>4601994195+4447794399</f>
        <v>9049788594</v>
      </c>
      <c r="R1893" s="25">
        <f t="shared" si="644"/>
        <v>34065517256</v>
      </c>
      <c r="S1893" s="26">
        <f t="shared" si="645"/>
        <v>8.4187037747675261E-2</v>
      </c>
      <c r="T1893" s="27">
        <f t="shared" si="646"/>
        <v>11.463986173917922</v>
      </c>
      <c r="U1893" s="26">
        <f t="shared" si="647"/>
        <v>26.614015373335189</v>
      </c>
      <c r="V1893" s="26">
        <f t="shared" si="648"/>
        <v>1.5958238894806913</v>
      </c>
      <c r="W1893" s="143"/>
      <c r="X1893" s="143"/>
      <c r="Y1893" s="143"/>
      <c r="Z1893" s="30">
        <f t="shared" si="686"/>
        <v>0</v>
      </c>
      <c r="AA1893" s="31">
        <f t="shared" si="620"/>
        <v>22</v>
      </c>
      <c r="AB1893" s="32">
        <v>3.2500000000000001E-2</v>
      </c>
      <c r="AC1893" s="32">
        <v>5.0500000000000003E-2</v>
      </c>
      <c r="AD1893" s="33">
        <f t="shared" si="675"/>
        <v>0.88093199901478014</v>
      </c>
      <c r="AE1893" s="34">
        <f t="shared" si="676"/>
        <v>5.0730896010533794E-2</v>
      </c>
      <c r="AF1893" s="33">
        <f t="shared" si="677"/>
        <v>9.4187868716508416E-2</v>
      </c>
      <c r="AG1893" s="33">
        <f t="shared" si="678"/>
        <v>0</v>
      </c>
      <c r="AH1893" s="35">
        <f t="shared" si="679"/>
        <v>1.4160096884637916</v>
      </c>
      <c r="AI1893" s="36">
        <f t="shared" si="655"/>
        <v>2.8549713084607529</v>
      </c>
      <c r="AJ1893" s="23"/>
      <c r="AK1893" s="120">
        <v>1043</v>
      </c>
      <c r="AL1893" s="44"/>
      <c r="AM1893" s="44"/>
      <c r="AN1893" s="44"/>
      <c r="AO1893" s="44"/>
      <c r="AP1893" s="44"/>
      <c r="AQ1893" s="44"/>
      <c r="AR1893" s="44"/>
    </row>
    <row r="1894" spans="1:44" ht="16.8">
      <c r="A1894" s="64" t="s">
        <v>3653</v>
      </c>
      <c r="B1894" s="62">
        <v>730</v>
      </c>
      <c r="C1894" s="62" t="s">
        <v>3654</v>
      </c>
      <c r="D1894" s="19" t="s">
        <v>3655</v>
      </c>
      <c r="E1894" s="20" t="s">
        <v>414</v>
      </c>
      <c r="F1894" s="21">
        <v>2002</v>
      </c>
      <c r="G1894" s="40">
        <v>2021</v>
      </c>
      <c r="H1894" s="23">
        <v>2527867492508</v>
      </c>
      <c r="I1894" s="23">
        <v>5239796337934</v>
      </c>
      <c r="J1894" s="23">
        <v>3959710612136</v>
      </c>
      <c r="K1894" s="23">
        <f>(J1894+4388931258484)/2</f>
        <v>4174320935310</v>
      </c>
      <c r="L1894" s="23">
        <v>3149325642792</v>
      </c>
      <c r="M1894" s="23">
        <f t="shared" si="621"/>
        <v>1280085725798</v>
      </c>
      <c r="N1894" s="23">
        <v>1685160077273</v>
      </c>
      <c r="O1894" s="25">
        <f t="shared" si="643"/>
        <v>-621458150284</v>
      </c>
      <c r="P1894" s="23">
        <v>124382542551</v>
      </c>
      <c r="Q1894" s="23">
        <f>72923372683+75583954634</f>
        <v>148507327317</v>
      </c>
      <c r="R1894" s="25">
        <f t="shared" si="644"/>
        <v>1536652749956</v>
      </c>
      <c r="S1894" s="26">
        <f t="shared" si="645"/>
        <v>0.75569933576793846</v>
      </c>
      <c r="T1894" s="27">
        <f t="shared" si="646"/>
        <v>0.80266945347288599</v>
      </c>
      <c r="U1894" s="26">
        <f t="shared" si="647"/>
        <v>29.287303746699678</v>
      </c>
      <c r="V1894" s="26">
        <f t="shared" si="648"/>
        <v>0.40369681761133058</v>
      </c>
      <c r="W1894" s="143"/>
      <c r="X1894" s="143"/>
      <c r="Y1894" s="143"/>
      <c r="Z1894" s="30">
        <f t="shared" si="686"/>
        <v>0</v>
      </c>
      <c r="AA1894" s="31">
        <f t="shared" si="620"/>
        <v>19</v>
      </c>
      <c r="AB1894" s="32">
        <v>1.84E-2</v>
      </c>
      <c r="AC1894" s="32">
        <v>2.58E-2</v>
      </c>
      <c r="AD1894" s="33">
        <f t="shared" si="675"/>
        <v>-0.11860349338101084</v>
      </c>
      <c r="AE1894" s="34">
        <f t="shared" si="676"/>
        <v>2.3738049063189888E-2</v>
      </c>
      <c r="AF1894" s="33">
        <f t="shared" si="677"/>
        <v>0.29326573989741878</v>
      </c>
      <c r="AG1894" s="33">
        <f t="shared" si="678"/>
        <v>0</v>
      </c>
      <c r="AH1894" s="35">
        <f t="shared" si="679"/>
        <v>0.42557657423454198</v>
      </c>
      <c r="AI1894" s="36">
        <f t="shared" si="655"/>
        <v>1.2842625925272766</v>
      </c>
      <c r="AJ1894" s="23"/>
      <c r="AK1894" s="120">
        <v>1044</v>
      </c>
      <c r="AL1894" s="44"/>
      <c r="AM1894" s="44"/>
      <c r="AN1894" s="44"/>
      <c r="AO1894" s="44"/>
      <c r="AP1894" s="44"/>
      <c r="AQ1894" s="44"/>
      <c r="AR1894" s="44"/>
    </row>
    <row r="1895" spans="1:44" ht="16.8">
      <c r="A1895" s="64" t="s">
        <v>3656</v>
      </c>
      <c r="B1895" s="62"/>
      <c r="C1895" s="62" t="s">
        <v>3654</v>
      </c>
      <c r="D1895" s="19" t="s">
        <v>3655</v>
      </c>
      <c r="E1895" s="20" t="s">
        <v>414</v>
      </c>
      <c r="F1895" s="21">
        <v>2002</v>
      </c>
      <c r="G1895" s="40">
        <v>2022</v>
      </c>
      <c r="H1895" s="23">
        <v>1495283466467</v>
      </c>
      <c r="I1895" s="23">
        <v>3839437190918</v>
      </c>
      <c r="J1895" s="23">
        <v>2617975889289</v>
      </c>
      <c r="K1895" s="23">
        <f>SUM(J1894:J1895)/2</f>
        <v>3288843250712.5</v>
      </c>
      <c r="L1895" s="23">
        <v>1920485759953</v>
      </c>
      <c r="M1895" s="23">
        <f t="shared" si="621"/>
        <v>1221461301629</v>
      </c>
      <c r="N1895" s="23">
        <v>2500285148588</v>
      </c>
      <c r="O1895" s="25">
        <f t="shared" si="643"/>
        <v>-425202293486</v>
      </c>
      <c r="P1895" s="23">
        <v>34721831250</v>
      </c>
      <c r="Q1895" s="23">
        <f>90438689583+47425669578</f>
        <v>137864359161</v>
      </c>
      <c r="R1895" s="25">
        <f t="shared" si="644"/>
        <v>2362420789427</v>
      </c>
      <c r="S1895" s="26">
        <f t="shared" si="645"/>
        <v>0.6818644918796154</v>
      </c>
      <c r="T1895" s="27">
        <f t="shared" si="646"/>
        <v>0.77859648722602037</v>
      </c>
      <c r="U1895" s="26">
        <f t="shared" si="647"/>
        <v>28.9763469069214</v>
      </c>
      <c r="V1895" s="26">
        <f t="shared" si="648"/>
        <v>0.76023238506314783</v>
      </c>
      <c r="W1895" s="143"/>
      <c r="X1895" s="143"/>
      <c r="Y1895" s="143"/>
      <c r="Z1895" s="30">
        <f t="shared" si="686"/>
        <v>0</v>
      </c>
      <c r="AA1895" s="31">
        <f t="shared" si="620"/>
        <v>20</v>
      </c>
      <c r="AB1895" s="32">
        <v>3.15E-2</v>
      </c>
      <c r="AC1895" s="32">
        <v>8.0199999999999994E-2</v>
      </c>
      <c r="AD1895" s="33">
        <f t="shared" si="675"/>
        <v>-0.11074599540052253</v>
      </c>
      <c r="AE1895" s="34">
        <f t="shared" si="676"/>
        <v>9.0434690095029507E-3</v>
      </c>
      <c r="AF1895" s="33">
        <f t="shared" si="677"/>
        <v>0.61530392918399346</v>
      </c>
      <c r="AG1895" s="33">
        <f t="shared" si="678"/>
        <v>0</v>
      </c>
      <c r="AH1895" s="35">
        <f t="shared" si="679"/>
        <v>0.95504513957423687</v>
      </c>
      <c r="AI1895" s="36">
        <f t="shared" si="655"/>
        <v>2.8653137680140923</v>
      </c>
      <c r="AJ1895" s="23"/>
      <c r="AK1895" s="120">
        <v>1045</v>
      </c>
      <c r="AL1895" s="44"/>
      <c r="AM1895" s="44"/>
      <c r="AN1895" s="44"/>
      <c r="AO1895" s="44"/>
      <c r="AP1895" s="44"/>
      <c r="AQ1895" s="44"/>
      <c r="AR1895" s="44"/>
    </row>
    <row r="1896" spans="1:44" ht="16.8">
      <c r="A1896" s="64" t="s">
        <v>3657</v>
      </c>
      <c r="B1896" s="62"/>
      <c r="C1896" s="62" t="s">
        <v>3654</v>
      </c>
      <c r="D1896" s="19" t="s">
        <v>3655</v>
      </c>
      <c r="E1896" s="20" t="s">
        <v>414</v>
      </c>
      <c r="F1896" s="21">
        <v>2002</v>
      </c>
      <c r="G1896" s="40">
        <v>2023</v>
      </c>
      <c r="H1896" s="23">
        <v>798945279345</v>
      </c>
      <c r="I1896" s="23">
        <v>3610466990626</v>
      </c>
      <c r="J1896" s="23">
        <v>2819970290942</v>
      </c>
      <c r="K1896" s="23">
        <f>(J1896+2649301964968)/2</f>
        <v>2734636127955</v>
      </c>
      <c r="L1896" s="23">
        <v>2130115788942</v>
      </c>
      <c r="M1896" s="23">
        <f t="shared" si="621"/>
        <v>790496699684</v>
      </c>
      <c r="N1896" s="23">
        <v>583802824495</v>
      </c>
      <c r="O1896" s="25">
        <f t="shared" si="643"/>
        <v>-1331170509597</v>
      </c>
      <c r="P1896" s="23">
        <v>-402796465319</v>
      </c>
      <c r="Q1896" s="23">
        <f>56003456301+75221012034</f>
        <v>131224468335</v>
      </c>
      <c r="R1896" s="25">
        <f t="shared" si="644"/>
        <v>452578356160</v>
      </c>
      <c r="S1896" s="26">
        <f t="shared" si="645"/>
        <v>0.78105416785795345</v>
      </c>
      <c r="T1896" s="27">
        <f t="shared" si="646"/>
        <v>0.37507129119108845</v>
      </c>
      <c r="U1896" s="26">
        <f t="shared" si="647"/>
        <v>28.914858240191229</v>
      </c>
      <c r="V1896" s="26">
        <f t="shared" si="648"/>
        <v>0.21348464555376737</v>
      </c>
      <c r="W1896" s="143"/>
      <c r="X1896" s="143"/>
      <c r="Y1896" s="143"/>
      <c r="Z1896" s="30">
        <f t="shared" si="686"/>
        <v>0</v>
      </c>
      <c r="AA1896" s="31">
        <f t="shared" si="620"/>
        <v>21</v>
      </c>
      <c r="AB1896" s="32">
        <v>3.2500000000000001E-2</v>
      </c>
      <c r="AC1896" s="32">
        <v>5.0500000000000003E-2</v>
      </c>
      <c r="AD1896" s="33">
        <f t="shared" si="675"/>
        <v>-0.36869759869102009</v>
      </c>
      <c r="AE1896" s="34">
        <f t="shared" si="676"/>
        <v>-0.11156353634164129</v>
      </c>
      <c r="AF1896" s="33">
        <f t="shared" si="677"/>
        <v>0.12535175015726424</v>
      </c>
      <c r="AG1896" s="33">
        <f t="shared" si="678"/>
        <v>0</v>
      </c>
      <c r="AH1896" s="35">
        <f t="shared" si="679"/>
        <v>0.20702445921867602</v>
      </c>
      <c r="AI1896" s="36">
        <f t="shared" si="655"/>
        <v>2.2059165430126038E-2</v>
      </c>
      <c r="AJ1896" s="23"/>
      <c r="AK1896" s="120">
        <v>1046</v>
      </c>
      <c r="AL1896" s="44"/>
      <c r="AM1896" s="44"/>
      <c r="AN1896" s="44"/>
      <c r="AO1896" s="44"/>
      <c r="AP1896" s="44"/>
      <c r="AQ1896" s="44"/>
      <c r="AR1896" s="44"/>
    </row>
    <row r="1897" spans="1:44" ht="16.8">
      <c r="A1897" s="64" t="s">
        <v>3658</v>
      </c>
      <c r="B1897" s="62">
        <v>731</v>
      </c>
      <c r="C1897" s="62" t="s">
        <v>3659</v>
      </c>
      <c r="D1897" s="19" t="s">
        <v>3660</v>
      </c>
      <c r="E1897" s="20" t="s">
        <v>414</v>
      </c>
      <c r="F1897" s="21">
        <v>1990</v>
      </c>
      <c r="G1897" s="40">
        <v>2021</v>
      </c>
      <c r="H1897" s="23">
        <v>1175753348472</v>
      </c>
      <c r="I1897" s="23">
        <v>1842122946875</v>
      </c>
      <c r="J1897" s="23">
        <v>1221349500304</v>
      </c>
      <c r="K1897" s="23">
        <f>(J1897+3333360583191)/2</f>
        <v>2277355041747.5</v>
      </c>
      <c r="L1897" s="23">
        <v>1153943246205</v>
      </c>
      <c r="M1897" s="23">
        <f t="shared" si="621"/>
        <v>620773446571</v>
      </c>
      <c r="N1897" s="23">
        <v>522660069694</v>
      </c>
      <c r="O1897" s="25">
        <f t="shared" si="643"/>
        <v>21810102267</v>
      </c>
      <c r="P1897" s="23">
        <v>-890496621802</v>
      </c>
      <c r="Q1897" s="23">
        <f>18724388117-131602678118</f>
        <v>-112878290001</v>
      </c>
      <c r="R1897" s="25">
        <f t="shared" si="644"/>
        <v>635538359695</v>
      </c>
      <c r="S1897" s="26">
        <f t="shared" si="645"/>
        <v>0.66301193542804093</v>
      </c>
      <c r="T1897" s="27">
        <f t="shared" si="646"/>
        <v>1.0189004982166388</v>
      </c>
      <c r="U1897" s="26">
        <f t="shared" si="647"/>
        <v>28.241939797937587</v>
      </c>
      <c r="V1897" s="26">
        <f t="shared" si="648"/>
        <v>0.2295031122125531</v>
      </c>
      <c r="W1897" s="143"/>
      <c r="X1897" s="143"/>
      <c r="Y1897" s="143"/>
      <c r="Z1897" s="30">
        <f t="shared" si="686"/>
        <v>0</v>
      </c>
      <c r="AA1897" s="31">
        <f t="shared" si="620"/>
        <v>31</v>
      </c>
      <c r="AB1897" s="32">
        <v>1.84E-2</v>
      </c>
      <c r="AC1897" s="32">
        <v>2.58E-2</v>
      </c>
      <c r="AD1897" s="33">
        <f t="shared" si="675"/>
        <v>1.1839656144558062E-2</v>
      </c>
      <c r="AE1897" s="34">
        <f t="shared" si="676"/>
        <v>-0.48340781124986765</v>
      </c>
      <c r="AF1897" s="33">
        <f t="shared" si="677"/>
        <v>0.34500322618158308</v>
      </c>
      <c r="AG1897" s="33">
        <f t="shared" si="678"/>
        <v>0</v>
      </c>
      <c r="AH1897" s="35">
        <f t="shared" si="679"/>
        <v>0.42793653214244348</v>
      </c>
      <c r="AI1897" s="36">
        <f t="shared" si="655"/>
        <v>0.9038838301653227</v>
      </c>
      <c r="AJ1897" s="23"/>
      <c r="AK1897" s="120">
        <v>1047</v>
      </c>
      <c r="AL1897" s="44"/>
      <c r="AM1897" s="44"/>
      <c r="AN1897" s="44"/>
      <c r="AO1897" s="44"/>
      <c r="AP1897" s="44"/>
      <c r="AQ1897" s="44"/>
      <c r="AR1897" s="44"/>
    </row>
    <row r="1898" spans="1:44" ht="16.8">
      <c r="A1898" s="64" t="s">
        <v>3661</v>
      </c>
      <c r="B1898" s="62"/>
      <c r="C1898" s="62" t="s">
        <v>3659</v>
      </c>
      <c r="D1898" s="19" t="s">
        <v>3660</v>
      </c>
      <c r="E1898" s="20" t="s">
        <v>414</v>
      </c>
      <c r="F1898" s="21">
        <v>1990</v>
      </c>
      <c r="G1898" s="40">
        <v>2022</v>
      </c>
      <c r="H1898" s="23">
        <v>903161572848</v>
      </c>
      <c r="I1898" s="23">
        <v>1418433171599</v>
      </c>
      <c r="J1898" s="23">
        <v>979756498983</v>
      </c>
      <c r="K1898" s="23">
        <f t="shared" ref="K1898:K1899" si="694">SUM(J1897:J1898)/2</f>
        <v>1100552999643.5</v>
      </c>
      <c r="L1898" s="23">
        <v>944827303850</v>
      </c>
      <c r="M1898" s="23">
        <f t="shared" si="621"/>
        <v>438676672616</v>
      </c>
      <c r="N1898" s="23">
        <v>172746936983</v>
      </c>
      <c r="O1898" s="25">
        <f t="shared" si="643"/>
        <v>-41665731002</v>
      </c>
      <c r="P1898" s="23">
        <v>8120979910</v>
      </c>
      <c r="Q1898" s="23">
        <f>-20428196170-9646397956</f>
        <v>-30074594126</v>
      </c>
      <c r="R1898" s="25">
        <f t="shared" si="644"/>
        <v>202821531109</v>
      </c>
      <c r="S1898" s="26">
        <f t="shared" si="645"/>
        <v>0.69073151883392592</v>
      </c>
      <c r="T1898" s="27">
        <f t="shared" si="646"/>
        <v>0.95590122043232695</v>
      </c>
      <c r="U1898" s="26">
        <f t="shared" si="647"/>
        <v>27.980573978065067</v>
      </c>
      <c r="V1898" s="26">
        <f t="shared" si="648"/>
        <v>0.15696376007239776</v>
      </c>
      <c r="W1898" s="143"/>
      <c r="X1898" s="143"/>
      <c r="Y1898" s="143"/>
      <c r="Z1898" s="30">
        <f t="shared" si="686"/>
        <v>0</v>
      </c>
      <c r="AA1898" s="31">
        <f t="shared" si="620"/>
        <v>32</v>
      </c>
      <c r="AB1898" s="32">
        <v>3.15E-2</v>
      </c>
      <c r="AC1898" s="32">
        <v>8.0199999999999994E-2</v>
      </c>
      <c r="AD1898" s="33">
        <f t="shared" si="675"/>
        <v>-2.9374475890908709E-2</v>
      </c>
      <c r="AE1898" s="34">
        <f t="shared" si="676"/>
        <v>5.7253172532937997E-3</v>
      </c>
      <c r="AF1898" s="33">
        <f t="shared" si="677"/>
        <v>0.14298983919020961</v>
      </c>
      <c r="AG1898" s="33">
        <f t="shared" si="678"/>
        <v>0</v>
      </c>
      <c r="AH1898" s="35">
        <f t="shared" si="679"/>
        <v>0.17631619403628715</v>
      </c>
      <c r="AI1898" s="36">
        <f t="shared" si="655"/>
        <v>0.62094873644949966</v>
      </c>
      <c r="AJ1898" s="23"/>
      <c r="AK1898" s="120">
        <v>1048</v>
      </c>
      <c r="AL1898" s="44"/>
      <c r="AM1898" s="44"/>
      <c r="AN1898" s="44"/>
      <c r="AO1898" s="44"/>
      <c r="AP1898" s="44"/>
      <c r="AQ1898" s="44"/>
      <c r="AR1898" s="44"/>
    </row>
    <row r="1899" spans="1:44" ht="16.8">
      <c r="A1899" s="64" t="s">
        <v>3662</v>
      </c>
      <c r="B1899" s="62"/>
      <c r="C1899" s="62" t="s">
        <v>3659</v>
      </c>
      <c r="D1899" s="19" t="s">
        <v>3660</v>
      </c>
      <c r="E1899" s="20" t="s">
        <v>414</v>
      </c>
      <c r="F1899" s="21">
        <v>1990</v>
      </c>
      <c r="G1899" s="40">
        <v>2023</v>
      </c>
      <c r="H1899" s="23">
        <v>853498665648</v>
      </c>
      <c r="I1899" s="23">
        <v>1333502496106</v>
      </c>
      <c r="J1899" s="23">
        <v>957819146574</v>
      </c>
      <c r="K1899" s="23">
        <f t="shared" si="694"/>
        <v>968787822778.5</v>
      </c>
      <c r="L1899" s="23">
        <v>923908005787</v>
      </c>
      <c r="M1899" s="23">
        <f t="shared" si="621"/>
        <v>375683349532</v>
      </c>
      <c r="N1899" s="23">
        <v>120441564617</v>
      </c>
      <c r="O1899" s="25">
        <f t="shared" si="643"/>
        <v>-70409340139</v>
      </c>
      <c r="P1899" s="23">
        <v>-62753025320</v>
      </c>
      <c r="Q1899" s="23">
        <f>221256679434+77102974814</f>
        <v>298359654248</v>
      </c>
      <c r="R1899" s="25">
        <f t="shared" si="644"/>
        <v>-177918089631</v>
      </c>
      <c r="S1899" s="26">
        <f t="shared" si="645"/>
        <v>0.71827323111201968</v>
      </c>
      <c r="T1899" s="27">
        <f t="shared" si="646"/>
        <v>0.92379182808463256</v>
      </c>
      <c r="U1899" s="26">
        <f t="shared" si="647"/>
        <v>27.918830052412247</v>
      </c>
      <c r="V1899" s="26">
        <f t="shared" si="648"/>
        <v>0.12432192249441321</v>
      </c>
      <c r="W1899" s="143"/>
      <c r="X1899" s="143"/>
      <c r="Y1899" s="143"/>
      <c r="Z1899" s="30">
        <f t="shared" si="686"/>
        <v>0</v>
      </c>
      <c r="AA1899" s="31">
        <f t="shared" si="620"/>
        <v>33</v>
      </c>
      <c r="AB1899" s="32">
        <v>3.2500000000000001E-2</v>
      </c>
      <c r="AC1899" s="32">
        <v>5.0500000000000003E-2</v>
      </c>
      <c r="AD1899" s="33">
        <f t="shared" si="675"/>
        <v>-5.2800306219601682E-2</v>
      </c>
      <c r="AE1899" s="34">
        <f t="shared" si="676"/>
        <v>-4.7058798542370155E-2</v>
      </c>
      <c r="AF1899" s="33">
        <f t="shared" si="677"/>
        <v>-0.13342163974236559</v>
      </c>
      <c r="AG1899" s="33">
        <f t="shared" si="678"/>
        <v>0</v>
      </c>
      <c r="AH1899" s="35">
        <f t="shared" si="679"/>
        <v>0.1257456222793254</v>
      </c>
      <c r="AI1899" s="36">
        <f t="shared" si="655"/>
        <v>-0.44378847429332124</v>
      </c>
      <c r="AJ1899" s="23"/>
      <c r="AK1899" s="120">
        <v>1049</v>
      </c>
      <c r="AL1899" s="44"/>
      <c r="AM1899" s="44"/>
      <c r="AN1899" s="44"/>
      <c r="AO1899" s="44"/>
      <c r="AP1899" s="44"/>
      <c r="AQ1899" s="44"/>
      <c r="AR1899" s="44"/>
    </row>
    <row r="1900" spans="1:44" ht="16.8">
      <c r="A1900" s="64" t="s">
        <v>3663</v>
      </c>
      <c r="B1900" s="62">
        <v>732</v>
      </c>
      <c r="C1900" s="62" t="s">
        <v>3664</v>
      </c>
      <c r="D1900" s="19" t="s">
        <v>3665</v>
      </c>
      <c r="E1900" s="20" t="s">
        <v>414</v>
      </c>
      <c r="F1900" s="21">
        <v>2007</v>
      </c>
      <c r="G1900" s="40">
        <v>2021</v>
      </c>
      <c r="H1900" s="23">
        <v>155178278706</v>
      </c>
      <c r="I1900" s="23">
        <v>377501871347</v>
      </c>
      <c r="J1900" s="23">
        <v>199341469615</v>
      </c>
      <c r="K1900" s="23">
        <f>(J1900+283767124111)/2</f>
        <v>241554296863</v>
      </c>
      <c r="L1900" s="23">
        <v>155179847176</v>
      </c>
      <c r="M1900" s="23">
        <f t="shared" si="621"/>
        <v>178160401732</v>
      </c>
      <c r="N1900" s="23">
        <v>1039963371916</v>
      </c>
      <c r="O1900" s="25">
        <f t="shared" si="643"/>
        <v>-1568470</v>
      </c>
      <c r="P1900" s="23">
        <v>32015393002</v>
      </c>
      <c r="Q1900" s="23">
        <f>214824813361+86515158563</f>
        <v>301339971924</v>
      </c>
      <c r="R1900" s="25">
        <f t="shared" si="644"/>
        <v>738623399992</v>
      </c>
      <c r="S1900" s="26">
        <f t="shared" si="645"/>
        <v>0.52805425547616736</v>
      </c>
      <c r="T1900" s="27">
        <f t="shared" si="646"/>
        <v>0.99998989256640891</v>
      </c>
      <c r="U1900" s="26">
        <f t="shared" si="647"/>
        <v>26.656841362833799</v>
      </c>
      <c r="V1900" s="26">
        <f t="shared" si="648"/>
        <v>4.3052985826446548</v>
      </c>
      <c r="W1900" s="143"/>
      <c r="X1900" s="143"/>
      <c r="Y1900" s="143"/>
      <c r="Z1900" s="30">
        <f t="shared" si="686"/>
        <v>0</v>
      </c>
      <c r="AA1900" s="31">
        <f t="shared" si="620"/>
        <v>14</v>
      </c>
      <c r="AB1900" s="32">
        <v>1.84E-2</v>
      </c>
      <c r="AC1900" s="32">
        <v>2.58E-2</v>
      </c>
      <c r="AD1900" s="33">
        <f t="shared" si="675"/>
        <v>-4.1548668206687149E-6</v>
      </c>
      <c r="AE1900" s="34">
        <f t="shared" si="676"/>
        <v>8.4808567670837914E-2</v>
      </c>
      <c r="AF1900" s="33">
        <f t="shared" si="677"/>
        <v>1.9566085788037242</v>
      </c>
      <c r="AG1900" s="33">
        <f t="shared" si="678"/>
        <v>0</v>
      </c>
      <c r="AH1900" s="35">
        <f t="shared" si="679"/>
        <v>5.2169946069151738</v>
      </c>
      <c r="AI1900" s="36">
        <f t="shared" si="655"/>
        <v>11.79252992586645</v>
      </c>
      <c r="AJ1900" s="23"/>
      <c r="AK1900" s="120">
        <v>1050</v>
      </c>
      <c r="AL1900" s="44"/>
      <c r="AM1900" s="44"/>
      <c r="AN1900" s="44"/>
      <c r="AO1900" s="44"/>
      <c r="AP1900" s="44"/>
      <c r="AQ1900" s="44"/>
      <c r="AR1900" s="44"/>
    </row>
    <row r="1901" spans="1:44" ht="16.8">
      <c r="A1901" s="64" t="s">
        <v>3666</v>
      </c>
      <c r="B1901" s="62"/>
      <c r="C1901" s="62" t="s">
        <v>3664</v>
      </c>
      <c r="D1901" s="19" t="s">
        <v>3665</v>
      </c>
      <c r="E1901" s="20" t="s">
        <v>414</v>
      </c>
      <c r="F1901" s="21">
        <v>2007</v>
      </c>
      <c r="G1901" s="40">
        <v>2022</v>
      </c>
      <c r="H1901" s="23">
        <v>233856732954</v>
      </c>
      <c r="I1901" s="23">
        <v>461907818943</v>
      </c>
      <c r="J1901" s="23">
        <v>226613987299</v>
      </c>
      <c r="K1901" s="23">
        <f>(J1901+207235951837)/2</f>
        <v>216924969568</v>
      </c>
      <c r="L1901" s="23">
        <v>192309729587</v>
      </c>
      <c r="M1901" s="23">
        <f t="shared" si="621"/>
        <v>235293831644</v>
      </c>
      <c r="N1901" s="23">
        <v>1184091146870</v>
      </c>
      <c r="O1901" s="25">
        <f t="shared" si="643"/>
        <v>41547003367</v>
      </c>
      <c r="P1901" s="23">
        <v>47519739206</v>
      </c>
      <c r="Q1901" s="23">
        <f>217954878923+113054588110</f>
        <v>331009467033</v>
      </c>
      <c r="R1901" s="25">
        <f t="shared" si="644"/>
        <v>853081679837</v>
      </c>
      <c r="S1901" s="26">
        <f t="shared" si="645"/>
        <v>0.49060435438735117</v>
      </c>
      <c r="T1901" s="27">
        <f t="shared" si="646"/>
        <v>1.2160421287899754</v>
      </c>
      <c r="U1901" s="26">
        <f t="shared" si="647"/>
        <v>26.858631182022769</v>
      </c>
      <c r="V1901" s="26">
        <f t="shared" si="648"/>
        <v>5.458528583537821</v>
      </c>
      <c r="W1901" s="143"/>
      <c r="X1901" s="143"/>
      <c r="Y1901" s="143"/>
      <c r="Z1901" s="30">
        <f t="shared" si="686"/>
        <v>0</v>
      </c>
      <c r="AA1901" s="31">
        <f t="shared" si="620"/>
        <v>15</v>
      </c>
      <c r="AB1901" s="32">
        <v>3.15E-2</v>
      </c>
      <c r="AC1901" s="32">
        <v>8.0199999999999994E-2</v>
      </c>
      <c r="AD1901" s="33">
        <f t="shared" si="675"/>
        <v>8.9946525395637328E-2</v>
      </c>
      <c r="AE1901" s="34">
        <f t="shared" si="676"/>
        <v>0.10287710503524512</v>
      </c>
      <c r="AF1901" s="33">
        <f t="shared" si="677"/>
        <v>1.8468656403979846</v>
      </c>
      <c r="AG1901" s="33">
        <f t="shared" si="678"/>
        <v>0</v>
      </c>
      <c r="AH1901" s="35">
        <f t="shared" si="679"/>
        <v>5.2251459011119268</v>
      </c>
      <c r="AI1901" s="36">
        <f t="shared" si="655"/>
        <v>11.571766291949384</v>
      </c>
      <c r="AJ1901" s="23"/>
      <c r="AK1901" s="120">
        <v>1051</v>
      </c>
      <c r="AL1901" s="44"/>
      <c r="AM1901" s="44"/>
      <c r="AN1901" s="44"/>
      <c r="AO1901" s="44"/>
      <c r="AP1901" s="44"/>
      <c r="AQ1901" s="44"/>
      <c r="AR1901" s="44"/>
    </row>
    <row r="1902" spans="1:44" ht="16.8">
      <c r="A1902" s="64" t="s">
        <v>3667</v>
      </c>
      <c r="B1902" s="62"/>
      <c r="C1902" s="62" t="s">
        <v>3664</v>
      </c>
      <c r="D1902" s="19" t="s">
        <v>3665</v>
      </c>
      <c r="E1902" s="20" t="s">
        <v>414</v>
      </c>
      <c r="F1902" s="21">
        <v>2007</v>
      </c>
      <c r="G1902" s="40">
        <v>2023</v>
      </c>
      <c r="H1902" s="23">
        <v>184060424039</v>
      </c>
      <c r="I1902" s="23">
        <v>466375340422</v>
      </c>
      <c r="J1902" s="23">
        <v>233149323467</v>
      </c>
      <c r="K1902" s="23">
        <f>(J1902+238308843439)/2</f>
        <v>235729083453</v>
      </c>
      <c r="L1902" s="23">
        <v>215650029028</v>
      </c>
      <c r="M1902" s="23">
        <f t="shared" si="621"/>
        <v>233226016955</v>
      </c>
      <c r="N1902" s="23">
        <v>1282670921859</v>
      </c>
      <c r="O1902" s="25">
        <f t="shared" si="643"/>
        <v>-31589604989</v>
      </c>
      <c r="P1902" s="23">
        <v>53906315851</v>
      </c>
      <c r="Q1902" s="23">
        <f>252221054320+142390819321</f>
        <v>394611873641</v>
      </c>
      <c r="R1902" s="25">
        <f t="shared" si="644"/>
        <v>888059048218</v>
      </c>
      <c r="S1902" s="26">
        <f t="shared" si="645"/>
        <v>0.49991777707636664</v>
      </c>
      <c r="T1902" s="27">
        <f t="shared" si="646"/>
        <v>0.85351448765676541</v>
      </c>
      <c r="U1902" s="26">
        <f t="shared" si="647"/>
        <v>26.868256598419389</v>
      </c>
      <c r="V1902" s="26">
        <f t="shared" si="648"/>
        <v>5.441292618926</v>
      </c>
      <c r="W1902" s="143"/>
      <c r="X1902" s="143"/>
      <c r="Y1902" s="143"/>
      <c r="Z1902" s="30">
        <f t="shared" si="686"/>
        <v>0</v>
      </c>
      <c r="AA1902" s="31">
        <f t="shared" si="620"/>
        <v>16</v>
      </c>
      <c r="AB1902" s="32">
        <v>3.2500000000000001E-2</v>
      </c>
      <c r="AC1902" s="32">
        <v>5.0500000000000003E-2</v>
      </c>
      <c r="AD1902" s="33">
        <f t="shared" si="675"/>
        <v>-6.7734295214700091E-2</v>
      </c>
      <c r="AE1902" s="34">
        <f t="shared" si="676"/>
        <v>0.11558569070616563</v>
      </c>
      <c r="AF1902" s="33">
        <f t="shared" si="677"/>
        <v>1.9041723934512473</v>
      </c>
      <c r="AG1902" s="33">
        <f t="shared" si="678"/>
        <v>0</v>
      </c>
      <c r="AH1902" s="35">
        <f t="shared" si="679"/>
        <v>5.5014996517480759</v>
      </c>
      <c r="AI1902" s="36">
        <f t="shared" si="655"/>
        <v>11.865807362868184</v>
      </c>
      <c r="AJ1902" s="23"/>
      <c r="AK1902" s="120">
        <v>1052</v>
      </c>
      <c r="AL1902" s="44"/>
      <c r="AM1902" s="44"/>
      <c r="AN1902" s="44"/>
      <c r="AO1902" s="44"/>
      <c r="AP1902" s="44"/>
      <c r="AQ1902" s="44"/>
      <c r="AR1902" s="44"/>
    </row>
    <row r="1903" spans="1:44" ht="16.8">
      <c r="A1903" s="64" t="s">
        <v>3668</v>
      </c>
      <c r="B1903" s="62">
        <v>733</v>
      </c>
      <c r="C1903" s="62" t="s">
        <v>3669</v>
      </c>
      <c r="D1903" s="19" t="s">
        <v>3670</v>
      </c>
      <c r="E1903" s="20" t="s">
        <v>414</v>
      </c>
      <c r="F1903" s="21">
        <v>1977</v>
      </c>
      <c r="G1903" s="40">
        <v>2021</v>
      </c>
      <c r="H1903" s="23">
        <v>942363307902</v>
      </c>
      <c r="I1903" s="23">
        <v>1555647941070</v>
      </c>
      <c r="J1903" s="23">
        <v>1025070990831</v>
      </c>
      <c r="K1903" s="23">
        <f>(J1903+955654614710)/2</f>
        <v>990362802770.5</v>
      </c>
      <c r="L1903" s="23">
        <v>780750759169</v>
      </c>
      <c r="M1903" s="23">
        <f t="shared" si="621"/>
        <v>530576950239</v>
      </c>
      <c r="N1903" s="23">
        <v>1318963695310</v>
      </c>
      <c r="O1903" s="25">
        <f t="shared" si="643"/>
        <v>161612548733</v>
      </c>
      <c r="P1903" s="23">
        <v>128538439605</v>
      </c>
      <c r="Q1903" s="23">
        <f>116196614271+35488766561</f>
        <v>151685380832</v>
      </c>
      <c r="R1903" s="25">
        <f t="shared" si="644"/>
        <v>1167278314478</v>
      </c>
      <c r="S1903" s="26">
        <f t="shared" si="645"/>
        <v>0.6589350737840719</v>
      </c>
      <c r="T1903" s="27">
        <f t="shared" si="646"/>
        <v>1.2069963388892686</v>
      </c>
      <c r="U1903" s="26">
        <f t="shared" si="647"/>
        <v>28.072913257131887</v>
      </c>
      <c r="V1903" s="26">
        <f t="shared" si="648"/>
        <v>1.3317985001256634</v>
      </c>
      <c r="W1903" s="143"/>
      <c r="X1903" s="143"/>
      <c r="Y1903" s="143"/>
      <c r="Z1903" s="30">
        <f t="shared" si="686"/>
        <v>0</v>
      </c>
      <c r="AA1903" s="31">
        <f t="shared" si="620"/>
        <v>44</v>
      </c>
      <c r="AB1903" s="32">
        <v>1.84E-2</v>
      </c>
      <c r="AC1903" s="32">
        <v>2.58E-2</v>
      </c>
      <c r="AD1903" s="33">
        <f t="shared" si="675"/>
        <v>0.10388761137165795</v>
      </c>
      <c r="AE1903" s="34">
        <f t="shared" si="676"/>
        <v>8.2626946760582062E-2</v>
      </c>
      <c r="AF1903" s="33">
        <f t="shared" si="677"/>
        <v>0.75034863844265876</v>
      </c>
      <c r="AG1903" s="33">
        <f t="shared" si="678"/>
        <v>0</v>
      </c>
      <c r="AH1903" s="35">
        <f t="shared" si="679"/>
        <v>1.2867047327529466</v>
      </c>
      <c r="AI1903" s="36">
        <f t="shared" si="655"/>
        <v>4.0031980987245248</v>
      </c>
      <c r="AJ1903" s="23"/>
      <c r="AK1903" s="120">
        <v>1053</v>
      </c>
      <c r="AL1903" s="44"/>
      <c r="AM1903" s="44"/>
      <c r="AN1903" s="44"/>
      <c r="AO1903" s="44"/>
      <c r="AP1903" s="44"/>
      <c r="AQ1903" s="44"/>
      <c r="AR1903" s="44"/>
    </row>
    <row r="1904" spans="1:44" ht="16.8">
      <c r="A1904" s="64" t="s">
        <v>3671</v>
      </c>
      <c r="B1904" s="62"/>
      <c r="C1904" s="62" t="s">
        <v>3669</v>
      </c>
      <c r="D1904" s="19" t="s">
        <v>3670</v>
      </c>
      <c r="E1904" s="20" t="s">
        <v>414</v>
      </c>
      <c r="F1904" s="21">
        <v>1977</v>
      </c>
      <c r="G1904" s="40">
        <v>2022</v>
      </c>
      <c r="H1904" s="23">
        <v>1237599202156</v>
      </c>
      <c r="I1904" s="23">
        <v>1848583150036</v>
      </c>
      <c r="J1904" s="23">
        <v>1206846056372</v>
      </c>
      <c r="K1904" s="23">
        <f t="shared" ref="K1904:K1905" si="695">SUM(J1903:J1904)/2</f>
        <v>1115958523601.5</v>
      </c>
      <c r="L1904" s="23">
        <v>898163536568</v>
      </c>
      <c r="M1904" s="23">
        <f t="shared" si="621"/>
        <v>641737093664</v>
      </c>
      <c r="N1904" s="23">
        <v>1648053437867</v>
      </c>
      <c r="O1904" s="25">
        <f t="shared" si="643"/>
        <v>339435665588</v>
      </c>
      <c r="P1904" s="23">
        <v>143908043725</v>
      </c>
      <c r="Q1904" s="23">
        <f>142807690942+47465529433</f>
        <v>190273220375</v>
      </c>
      <c r="R1904" s="25">
        <f t="shared" si="644"/>
        <v>1457780217492</v>
      </c>
      <c r="S1904" s="26">
        <f t="shared" si="645"/>
        <v>0.65284921392283457</v>
      </c>
      <c r="T1904" s="27">
        <f t="shared" si="646"/>
        <v>1.3779218948088541</v>
      </c>
      <c r="U1904" s="26">
        <f t="shared" si="647"/>
        <v>28.24544059674907</v>
      </c>
      <c r="V1904" s="26">
        <f t="shared" si="648"/>
        <v>1.4768052781641792</v>
      </c>
      <c r="W1904" s="143"/>
      <c r="X1904" s="143"/>
      <c r="Y1904" s="143"/>
      <c r="Z1904" s="30">
        <f t="shared" si="686"/>
        <v>0</v>
      </c>
      <c r="AA1904" s="31">
        <f t="shared" si="620"/>
        <v>45</v>
      </c>
      <c r="AB1904" s="32">
        <v>3.15E-2</v>
      </c>
      <c r="AC1904" s="32">
        <v>8.0199999999999994E-2</v>
      </c>
      <c r="AD1904" s="33">
        <f t="shared" si="675"/>
        <v>0.18361936577285673</v>
      </c>
      <c r="AE1904" s="34">
        <f t="shared" si="676"/>
        <v>7.7847752600253589E-2</v>
      </c>
      <c r="AF1904" s="33">
        <f t="shared" si="677"/>
        <v>0.78859326260958862</v>
      </c>
      <c r="AG1904" s="33">
        <f t="shared" si="678"/>
        <v>0</v>
      </c>
      <c r="AH1904" s="35">
        <f t="shared" si="679"/>
        <v>1.3655871261835582</v>
      </c>
      <c r="AI1904" s="36">
        <f t="shared" si="655"/>
        <v>4.2972749853629839</v>
      </c>
      <c r="AJ1904" s="23"/>
      <c r="AK1904" s="120">
        <v>1054</v>
      </c>
      <c r="AL1904" s="44"/>
      <c r="AM1904" s="44"/>
      <c r="AN1904" s="44"/>
      <c r="AO1904" s="44"/>
      <c r="AP1904" s="44"/>
      <c r="AQ1904" s="44"/>
      <c r="AR1904" s="44"/>
    </row>
    <row r="1905" spans="1:44" ht="16.8">
      <c r="A1905" s="64" t="s">
        <v>3672</v>
      </c>
      <c r="B1905" s="62"/>
      <c r="C1905" s="62" t="s">
        <v>3669</v>
      </c>
      <c r="D1905" s="19" t="s">
        <v>3670</v>
      </c>
      <c r="E1905" s="20" t="s">
        <v>414</v>
      </c>
      <c r="F1905" s="21">
        <v>1977</v>
      </c>
      <c r="G1905" s="40">
        <v>2023</v>
      </c>
      <c r="H1905" s="23">
        <v>1312952120171</v>
      </c>
      <c r="I1905" s="23">
        <v>1852230099332</v>
      </c>
      <c r="J1905" s="23">
        <v>1163756079868</v>
      </c>
      <c r="K1905" s="23">
        <f t="shared" si="695"/>
        <v>1185301068120</v>
      </c>
      <c r="L1905" s="23">
        <v>990639071167</v>
      </c>
      <c r="M1905" s="23">
        <f t="shared" si="621"/>
        <v>688474019464</v>
      </c>
      <c r="N1905" s="23">
        <v>1669780465317</v>
      </c>
      <c r="O1905" s="25">
        <f t="shared" si="643"/>
        <v>322313049004</v>
      </c>
      <c r="P1905" s="23">
        <v>118834764309</v>
      </c>
      <c r="Q1905" s="23">
        <f>161087424070+61999600604</f>
        <v>223087024674</v>
      </c>
      <c r="R1905" s="25">
        <f t="shared" si="644"/>
        <v>1446693440643</v>
      </c>
      <c r="S1905" s="26">
        <f t="shared" si="645"/>
        <v>0.62829995057725518</v>
      </c>
      <c r="T1905" s="27">
        <f t="shared" si="646"/>
        <v>1.325358708721539</v>
      </c>
      <c r="U1905" s="26">
        <f t="shared" si="647"/>
        <v>28.247411488134709</v>
      </c>
      <c r="V1905" s="26">
        <f t="shared" si="648"/>
        <v>1.4087395263765605</v>
      </c>
      <c r="W1905" s="143"/>
      <c r="X1905" s="143"/>
      <c r="Y1905" s="143"/>
      <c r="Z1905" s="30">
        <f t="shared" si="686"/>
        <v>0</v>
      </c>
      <c r="AA1905" s="31">
        <f t="shared" si="620"/>
        <v>46</v>
      </c>
      <c r="AB1905" s="32">
        <v>3.2500000000000001E-2</v>
      </c>
      <c r="AC1905" s="32">
        <v>5.0500000000000003E-2</v>
      </c>
      <c r="AD1905" s="33">
        <f t="shared" si="675"/>
        <v>0.1740135035707718</v>
      </c>
      <c r="AE1905" s="34">
        <f t="shared" si="676"/>
        <v>6.4157668289624131E-2</v>
      </c>
      <c r="AF1905" s="33">
        <f t="shared" si="677"/>
        <v>0.78105492463638548</v>
      </c>
      <c r="AG1905" s="33">
        <f t="shared" si="678"/>
        <v>0</v>
      </c>
      <c r="AH1905" s="35">
        <f t="shared" si="679"/>
        <v>1.4348199714723693</v>
      </c>
      <c r="AI1905" s="36">
        <f t="shared" si="655"/>
        <v>4.3109381626628416</v>
      </c>
      <c r="AJ1905" s="23"/>
      <c r="AK1905" s="120">
        <v>1055</v>
      </c>
      <c r="AL1905" s="44"/>
      <c r="AM1905" s="44"/>
      <c r="AN1905" s="44"/>
      <c r="AO1905" s="44"/>
      <c r="AP1905" s="44"/>
      <c r="AQ1905" s="44"/>
      <c r="AR1905" s="44"/>
    </row>
    <row r="1906" spans="1:44" ht="16.8">
      <c r="A1906" s="45"/>
      <c r="B1906" s="45">
        <v>734</v>
      </c>
      <c r="C1906" s="45" t="s">
        <v>3673</v>
      </c>
      <c r="D1906" s="46" t="s">
        <v>3674</v>
      </c>
      <c r="E1906" s="47" t="s">
        <v>949</v>
      </c>
      <c r="F1906" s="48"/>
      <c r="G1906" s="48"/>
      <c r="H1906" s="49"/>
      <c r="I1906" s="49"/>
      <c r="J1906" s="49"/>
      <c r="K1906" s="49"/>
      <c r="L1906" s="49"/>
      <c r="M1906" s="49">
        <f t="shared" si="621"/>
        <v>0</v>
      </c>
      <c r="N1906" s="49"/>
      <c r="O1906" s="49">
        <f t="shared" si="643"/>
        <v>0</v>
      </c>
      <c r="P1906" s="49"/>
      <c r="Q1906" s="49"/>
      <c r="R1906" s="49">
        <f t="shared" si="644"/>
        <v>0</v>
      </c>
      <c r="S1906" s="50" t="e">
        <f t="shared" si="645"/>
        <v>#DIV/0!</v>
      </c>
      <c r="T1906" s="51" t="e">
        <f t="shared" si="646"/>
        <v>#DIV/0!</v>
      </c>
      <c r="U1906" s="50" t="e">
        <f t="shared" si="647"/>
        <v>#NUM!</v>
      </c>
      <c r="V1906" s="50" t="e">
        <f t="shared" si="648"/>
        <v>#DIV/0!</v>
      </c>
      <c r="W1906" s="52"/>
      <c r="X1906" s="52"/>
      <c r="Y1906" s="52"/>
      <c r="Z1906" s="55">
        <f t="shared" ref="Z1906:Z1907" si="696">W1906*Y1906</f>
        <v>0</v>
      </c>
      <c r="AA1906" s="48">
        <f t="shared" si="620"/>
        <v>0</v>
      </c>
      <c r="AB1906" s="49"/>
      <c r="AC1906" s="49"/>
      <c r="AD1906" s="50" t="e">
        <f t="shared" si="675"/>
        <v>#DIV/0!</v>
      </c>
      <c r="AE1906" s="56" t="e">
        <f t="shared" si="676"/>
        <v>#DIV/0!</v>
      </c>
      <c r="AF1906" s="50" t="e">
        <f t="shared" si="677"/>
        <v>#DIV/0!</v>
      </c>
      <c r="AG1906" s="50" t="e">
        <f t="shared" si="678"/>
        <v>#DIV/0!</v>
      </c>
      <c r="AH1906" s="57" t="e">
        <f t="shared" si="679"/>
        <v>#DIV/0!</v>
      </c>
      <c r="AI1906" s="58" t="e">
        <f t="shared" si="655"/>
        <v>#DIV/0!</v>
      </c>
      <c r="AJ1906" s="49"/>
      <c r="AK1906" s="49"/>
      <c r="AL1906" s="59"/>
      <c r="AM1906" s="59"/>
      <c r="AN1906" s="59"/>
      <c r="AO1906" s="59"/>
      <c r="AP1906" s="59"/>
      <c r="AQ1906" s="59"/>
      <c r="AR1906" s="59"/>
    </row>
    <row r="1907" spans="1:44" ht="16.8">
      <c r="A1907" s="145"/>
      <c r="B1907" s="145">
        <v>735</v>
      </c>
      <c r="C1907" s="145" t="s">
        <v>3675</v>
      </c>
      <c r="D1907" s="146" t="s">
        <v>3676</v>
      </c>
      <c r="E1907" s="147" t="s">
        <v>178</v>
      </c>
      <c r="F1907" s="148"/>
      <c r="G1907" s="148">
        <v>2021</v>
      </c>
      <c r="H1907" s="149"/>
      <c r="I1907" s="149"/>
      <c r="J1907" s="149"/>
      <c r="K1907" s="149"/>
      <c r="L1907" s="149"/>
      <c r="M1907" s="149">
        <f t="shared" si="621"/>
        <v>0</v>
      </c>
      <c r="N1907" s="149"/>
      <c r="O1907" s="149">
        <f t="shared" si="643"/>
        <v>0</v>
      </c>
      <c r="P1907" s="149"/>
      <c r="Q1907" s="149"/>
      <c r="R1907" s="149">
        <f t="shared" si="644"/>
        <v>0</v>
      </c>
      <c r="S1907" s="150" t="e">
        <f t="shared" si="645"/>
        <v>#DIV/0!</v>
      </c>
      <c r="T1907" s="151" t="e">
        <f t="shared" si="646"/>
        <v>#DIV/0!</v>
      </c>
      <c r="U1907" s="150" t="e">
        <f t="shared" si="647"/>
        <v>#NUM!</v>
      </c>
      <c r="V1907" s="150" t="e">
        <f t="shared" si="648"/>
        <v>#DIV/0!</v>
      </c>
      <c r="W1907" s="152"/>
      <c r="X1907" s="152"/>
      <c r="Y1907" s="152"/>
      <c r="Z1907" s="153">
        <f t="shared" si="696"/>
        <v>0</v>
      </c>
      <c r="AA1907" s="148">
        <f t="shared" si="620"/>
        <v>2021</v>
      </c>
      <c r="AB1907" s="149"/>
      <c r="AC1907" s="149"/>
      <c r="AD1907" s="150" t="e">
        <f t="shared" si="675"/>
        <v>#DIV/0!</v>
      </c>
      <c r="AE1907" s="154" t="e">
        <f t="shared" si="676"/>
        <v>#DIV/0!</v>
      </c>
      <c r="AF1907" s="150" t="e">
        <f t="shared" si="677"/>
        <v>#DIV/0!</v>
      </c>
      <c r="AG1907" s="150" t="e">
        <f t="shared" si="678"/>
        <v>#DIV/0!</v>
      </c>
      <c r="AH1907" s="155" t="e">
        <f t="shared" si="679"/>
        <v>#DIV/0!</v>
      </c>
      <c r="AI1907" s="156" t="e">
        <f t="shared" si="655"/>
        <v>#DIV/0!</v>
      </c>
      <c r="AJ1907" s="149"/>
      <c r="AK1907" s="149"/>
      <c r="AL1907" s="157"/>
      <c r="AM1907" s="157"/>
      <c r="AN1907" s="157"/>
      <c r="AO1907" s="157"/>
      <c r="AP1907" s="157"/>
      <c r="AQ1907" s="157"/>
      <c r="AR1907" s="157"/>
    </row>
    <row r="1908" spans="1:44" ht="16.8">
      <c r="A1908" s="70" t="s">
        <v>3677</v>
      </c>
      <c r="B1908" s="71">
        <v>736</v>
      </c>
      <c r="C1908" s="71" t="s">
        <v>3678</v>
      </c>
      <c r="D1908" s="19" t="s">
        <v>3679</v>
      </c>
      <c r="E1908" s="20" t="s">
        <v>414</v>
      </c>
      <c r="F1908" s="21">
        <v>2002</v>
      </c>
      <c r="G1908" s="40">
        <v>2021</v>
      </c>
      <c r="H1908" s="23">
        <v>474328049838</v>
      </c>
      <c r="I1908" s="23">
        <v>959916031924</v>
      </c>
      <c r="J1908" s="23">
        <v>266114235387</v>
      </c>
      <c r="K1908" s="23">
        <f>AVERAGE(J1908,410281546099)</f>
        <v>338197890743</v>
      </c>
      <c r="L1908" s="23">
        <v>52344776362</v>
      </c>
      <c r="M1908" s="23">
        <f t="shared" si="621"/>
        <v>693801796537</v>
      </c>
      <c r="N1908" s="23">
        <v>247433037564</v>
      </c>
      <c r="O1908" s="25">
        <f t="shared" si="643"/>
        <v>421983273476</v>
      </c>
      <c r="P1908" s="23">
        <v>92845295303</v>
      </c>
      <c r="Q1908" s="23">
        <v>26831668275</v>
      </c>
      <c r="R1908" s="25">
        <f t="shared" si="644"/>
        <v>220601369289</v>
      </c>
      <c r="S1908" s="26">
        <f t="shared" si="645"/>
        <v>0.27722657663464173</v>
      </c>
      <c r="T1908" s="27">
        <f t="shared" si="646"/>
        <v>9.0616119277632681</v>
      </c>
      <c r="U1908" s="26">
        <f t="shared" si="647"/>
        <v>27.59011165083702</v>
      </c>
      <c r="V1908" s="26">
        <f t="shared" si="648"/>
        <v>0.73162206015065556</v>
      </c>
      <c r="W1908" s="143"/>
      <c r="X1908" s="143"/>
      <c r="Y1908" s="143"/>
      <c r="Z1908" s="30">
        <f t="shared" ref="Z1908:Z1928" si="697">X1908*Y1908</f>
        <v>0</v>
      </c>
      <c r="AA1908" s="31">
        <f t="shared" si="620"/>
        <v>19</v>
      </c>
      <c r="AB1908" s="32">
        <v>1.84E-2</v>
      </c>
      <c r="AC1908" s="32">
        <v>2.58E-2</v>
      </c>
      <c r="AD1908" s="33">
        <f t="shared" si="675"/>
        <v>0.43960436063371211</v>
      </c>
      <c r="AE1908" s="34">
        <f t="shared" si="676"/>
        <v>9.6722309259598752E-2</v>
      </c>
      <c r="AF1908" s="33">
        <f t="shared" si="677"/>
        <v>0.22981319402160563</v>
      </c>
      <c r="AG1908" s="33">
        <f t="shared" si="678"/>
        <v>0</v>
      </c>
      <c r="AH1908" s="35">
        <f t="shared" si="679"/>
        <v>0.92980008079675769</v>
      </c>
      <c r="AI1908" s="36">
        <f t="shared" si="655"/>
        <v>2.3511200867919486</v>
      </c>
      <c r="AJ1908" s="23"/>
      <c r="AK1908" s="120">
        <v>1056</v>
      </c>
      <c r="AL1908" s="44"/>
      <c r="AM1908" s="44"/>
      <c r="AN1908" s="44"/>
      <c r="AO1908" s="44"/>
      <c r="AP1908" s="44"/>
      <c r="AQ1908" s="44"/>
      <c r="AR1908" s="44"/>
    </row>
    <row r="1909" spans="1:44" ht="16.8">
      <c r="A1909" s="70" t="s">
        <v>3680</v>
      </c>
      <c r="B1909" s="71"/>
      <c r="C1909" s="71" t="s">
        <v>3678</v>
      </c>
      <c r="D1909" s="19" t="s">
        <v>3679</v>
      </c>
      <c r="E1909" s="20" t="s">
        <v>414</v>
      </c>
      <c r="F1909" s="21">
        <v>2002</v>
      </c>
      <c r="G1909" s="40">
        <v>2022</v>
      </c>
      <c r="H1909" s="23">
        <v>1479737881979</v>
      </c>
      <c r="I1909" s="23">
        <v>1950090280589</v>
      </c>
      <c r="J1909" s="23">
        <v>286903260346</v>
      </c>
      <c r="K1909" s="23">
        <f t="shared" ref="K1909:K1910" si="698">AVERAGE(J1908:J1909)</f>
        <v>276508747866.5</v>
      </c>
      <c r="L1909" s="23">
        <v>99379630665</v>
      </c>
      <c r="M1909" s="23">
        <f t="shared" si="621"/>
        <v>1663187020243</v>
      </c>
      <c r="N1909" s="23">
        <v>222831013494</v>
      </c>
      <c r="O1909" s="25">
        <f t="shared" si="643"/>
        <v>1380358251314</v>
      </c>
      <c r="P1909" s="23">
        <v>103539380220</v>
      </c>
      <c r="Q1909" s="23">
        <v>29962686765</v>
      </c>
      <c r="R1909" s="25">
        <f t="shared" si="644"/>
        <v>192868326729</v>
      </c>
      <c r="S1909" s="26">
        <f t="shared" si="645"/>
        <v>0.14712306563537383</v>
      </c>
      <c r="T1909" s="27">
        <f t="shared" si="646"/>
        <v>14.889750264488971</v>
      </c>
      <c r="U1909" s="26">
        <f t="shared" si="647"/>
        <v>28.298896785170445</v>
      </c>
      <c r="V1909" s="26">
        <f t="shared" si="648"/>
        <v>0.80587328687909754</v>
      </c>
      <c r="W1909" s="23"/>
      <c r="X1909" s="23"/>
      <c r="Y1909" s="23"/>
      <c r="Z1909" s="30">
        <f t="shared" si="697"/>
        <v>0</v>
      </c>
      <c r="AA1909" s="31">
        <f t="shared" si="620"/>
        <v>20</v>
      </c>
      <c r="AB1909" s="32">
        <v>3.15E-2</v>
      </c>
      <c r="AC1909" s="32">
        <v>8.0199999999999994E-2</v>
      </c>
      <c r="AD1909" s="33">
        <f t="shared" si="675"/>
        <v>0.70784325477335353</v>
      </c>
      <c r="AE1909" s="34">
        <f t="shared" si="676"/>
        <v>5.3094659898887987E-2</v>
      </c>
      <c r="AF1909" s="33">
        <f t="shared" si="677"/>
        <v>9.8902255269303005E-2</v>
      </c>
      <c r="AG1909" s="33">
        <f t="shared" si="678"/>
        <v>0</v>
      </c>
      <c r="AH1909" s="35">
        <f t="shared" si="679"/>
        <v>0.77667647703016673</v>
      </c>
      <c r="AI1909" s="36">
        <f t="shared" si="655"/>
        <v>2.0267983490053338</v>
      </c>
      <c r="AJ1909" s="23"/>
      <c r="AK1909" s="120">
        <v>1057</v>
      </c>
      <c r="AL1909" s="44"/>
      <c r="AM1909" s="44"/>
      <c r="AN1909" s="44"/>
      <c r="AO1909" s="44"/>
      <c r="AP1909" s="44"/>
      <c r="AQ1909" s="44"/>
      <c r="AR1909" s="44"/>
    </row>
    <row r="1910" spans="1:44" ht="16.8">
      <c r="A1910" s="70" t="s">
        <v>3681</v>
      </c>
      <c r="B1910" s="71"/>
      <c r="C1910" s="71" t="s">
        <v>3678</v>
      </c>
      <c r="D1910" s="19" t="s">
        <v>3679</v>
      </c>
      <c r="E1910" s="20" t="s">
        <v>414</v>
      </c>
      <c r="F1910" s="21">
        <v>2002</v>
      </c>
      <c r="G1910" s="40">
        <v>2023</v>
      </c>
      <c r="H1910" s="23">
        <v>1524849446944</v>
      </c>
      <c r="I1910" s="23">
        <v>1979694128129</v>
      </c>
      <c r="J1910" s="23">
        <v>236852731310</v>
      </c>
      <c r="K1910" s="23">
        <f t="shared" si="698"/>
        <v>261877995828</v>
      </c>
      <c r="L1910" s="23">
        <v>54855240826</v>
      </c>
      <c r="M1910" s="23">
        <f t="shared" si="621"/>
        <v>1742841396819</v>
      </c>
      <c r="N1910" s="23">
        <v>157744638019</v>
      </c>
      <c r="O1910" s="25">
        <f t="shared" si="643"/>
        <v>1469994206118</v>
      </c>
      <c r="P1910" s="23">
        <v>178381748116</v>
      </c>
      <c r="Q1910" s="23">
        <v>31512518433</v>
      </c>
      <c r="R1910" s="25">
        <f t="shared" si="644"/>
        <v>126232119586</v>
      </c>
      <c r="S1910" s="26">
        <f t="shared" si="645"/>
        <v>0.11964107381267451</v>
      </c>
      <c r="T1910" s="27">
        <f t="shared" si="646"/>
        <v>27.797698524026163</v>
      </c>
      <c r="U1910" s="26">
        <f t="shared" si="647"/>
        <v>28.313963467958683</v>
      </c>
      <c r="V1910" s="26">
        <f t="shared" si="648"/>
        <v>0.60235926856033295</v>
      </c>
      <c r="W1910" s="23"/>
      <c r="X1910" s="23"/>
      <c r="Y1910" s="23"/>
      <c r="Z1910" s="30">
        <f t="shared" si="697"/>
        <v>0</v>
      </c>
      <c r="AA1910" s="31">
        <f t="shared" si="620"/>
        <v>21</v>
      </c>
      <c r="AB1910" s="32">
        <v>3.2500000000000001E-2</v>
      </c>
      <c r="AC1910" s="32">
        <v>5.0500000000000003E-2</v>
      </c>
      <c r="AD1910" s="33">
        <f t="shared" si="675"/>
        <v>0.74253602373781091</v>
      </c>
      <c r="AE1910" s="34">
        <f t="shared" si="676"/>
        <v>9.0105711575044059E-2</v>
      </c>
      <c r="AF1910" s="33">
        <f t="shared" si="677"/>
        <v>6.3763445975011004E-2</v>
      </c>
      <c r="AG1910" s="33">
        <f t="shared" si="678"/>
        <v>0</v>
      </c>
      <c r="AH1910" s="35">
        <f t="shared" si="679"/>
        <v>0.66600303550031292</v>
      </c>
      <c r="AI1910" s="36">
        <f t="shared" si="655"/>
        <v>1.8936136319082837</v>
      </c>
      <c r="AJ1910" s="23"/>
      <c r="AK1910" s="120">
        <v>1058</v>
      </c>
      <c r="AL1910" s="44"/>
      <c r="AM1910" s="44"/>
      <c r="AN1910" s="44"/>
      <c r="AO1910" s="44"/>
      <c r="AP1910" s="44"/>
      <c r="AQ1910" s="44"/>
      <c r="AR1910" s="44"/>
    </row>
    <row r="1911" spans="1:44" ht="16.8">
      <c r="A1911" s="70" t="s">
        <v>3682</v>
      </c>
      <c r="B1911" s="71">
        <v>737</v>
      </c>
      <c r="C1911" s="71" t="s">
        <v>3683</v>
      </c>
      <c r="D1911" s="19" t="s">
        <v>3684</v>
      </c>
      <c r="E1911" s="20" t="s">
        <v>414</v>
      </c>
      <c r="F1911" s="21">
        <v>2006</v>
      </c>
      <c r="G1911" s="40">
        <v>2021</v>
      </c>
      <c r="H1911" s="23">
        <v>390655306450</v>
      </c>
      <c r="I1911" s="23">
        <v>1210537813515</v>
      </c>
      <c r="J1911" s="23">
        <v>385051891454</v>
      </c>
      <c r="K1911" s="23">
        <f>AVERAGE(J1911,379097249581)</f>
        <v>382074570517.5</v>
      </c>
      <c r="L1911" s="23">
        <v>93112602063</v>
      </c>
      <c r="M1911" s="23">
        <f t="shared" si="621"/>
        <v>825485922061</v>
      </c>
      <c r="N1911" s="23">
        <v>265446786292</v>
      </c>
      <c r="O1911" s="25">
        <f t="shared" si="643"/>
        <v>297542704387</v>
      </c>
      <c r="P1911" s="23">
        <v>117547324314</v>
      </c>
      <c r="Q1911" s="23">
        <f>42032322062+24489858298</f>
        <v>66522180360</v>
      </c>
      <c r="R1911" s="25">
        <f t="shared" si="644"/>
        <v>198924605932</v>
      </c>
      <c r="S1911" s="26">
        <f t="shared" si="645"/>
        <v>0.31808332392024757</v>
      </c>
      <c r="T1911" s="27">
        <f t="shared" si="646"/>
        <v>4.1955148690365514</v>
      </c>
      <c r="U1911" s="26">
        <f t="shared" si="647"/>
        <v>27.822085850767238</v>
      </c>
      <c r="V1911" s="26">
        <f t="shared" si="648"/>
        <v>0.69475125217694078</v>
      </c>
      <c r="W1911" s="23"/>
      <c r="X1911" s="23"/>
      <c r="Y1911" s="23"/>
      <c r="Z1911" s="30">
        <f t="shared" si="697"/>
        <v>0</v>
      </c>
      <c r="AA1911" s="31">
        <f t="shared" si="620"/>
        <v>15</v>
      </c>
      <c r="AB1911" s="32">
        <v>1.84E-2</v>
      </c>
      <c r="AC1911" s="32">
        <v>2.58E-2</v>
      </c>
      <c r="AD1911" s="33">
        <f t="shared" si="675"/>
        <v>0.24579381252291058</v>
      </c>
      <c r="AE1911" s="34">
        <f t="shared" si="676"/>
        <v>9.7103389090078554E-2</v>
      </c>
      <c r="AF1911" s="33">
        <f t="shared" si="677"/>
        <v>0.16432746148952504</v>
      </c>
      <c r="AG1911" s="33">
        <f t="shared" si="678"/>
        <v>0</v>
      </c>
      <c r="AH1911" s="35">
        <f t="shared" si="679"/>
        <v>0.68937925558459812</v>
      </c>
      <c r="AI1911" s="36">
        <f t="shared" si="655"/>
        <v>1.6625571982536334</v>
      </c>
      <c r="AJ1911" s="23"/>
      <c r="AK1911" s="120">
        <v>1059</v>
      </c>
      <c r="AL1911" s="44"/>
      <c r="AM1911" s="44"/>
      <c r="AN1911" s="44"/>
      <c r="AO1911" s="44"/>
      <c r="AP1911" s="44"/>
      <c r="AQ1911" s="44"/>
      <c r="AR1911" s="44"/>
    </row>
    <row r="1912" spans="1:44" ht="16.8">
      <c r="A1912" s="70" t="s">
        <v>3685</v>
      </c>
      <c r="B1912" s="71"/>
      <c r="C1912" s="71" t="s">
        <v>3683</v>
      </c>
      <c r="D1912" s="19" t="s">
        <v>3684</v>
      </c>
      <c r="E1912" s="20" t="s">
        <v>414</v>
      </c>
      <c r="F1912" s="21">
        <v>2006</v>
      </c>
      <c r="G1912" s="40">
        <v>2022</v>
      </c>
      <c r="H1912" s="23">
        <v>386104297548</v>
      </c>
      <c r="I1912" s="23">
        <v>1206771158336</v>
      </c>
      <c r="J1912" s="23">
        <v>363153331566</v>
      </c>
      <c r="K1912" s="23">
        <f t="shared" ref="K1912:K1913" si="699">AVERAGE(J1911:J1912)</f>
        <v>374102611510</v>
      </c>
      <c r="L1912" s="23">
        <v>102711740592</v>
      </c>
      <c r="M1912" s="23">
        <f t="shared" si="621"/>
        <v>843617826770</v>
      </c>
      <c r="N1912" s="23">
        <v>230645834905</v>
      </c>
      <c r="O1912" s="25">
        <f t="shared" si="643"/>
        <v>283392556956</v>
      </c>
      <c r="P1912" s="23">
        <v>110969092274</v>
      </c>
      <c r="Q1912" s="23">
        <f>48063184281+25876554631</f>
        <v>73939738912</v>
      </c>
      <c r="R1912" s="25">
        <f t="shared" si="644"/>
        <v>156706095993</v>
      </c>
      <c r="S1912" s="26">
        <f t="shared" si="645"/>
        <v>0.30092974053734189</v>
      </c>
      <c r="T1912" s="27">
        <f t="shared" si="646"/>
        <v>3.7591057781964299</v>
      </c>
      <c r="U1912" s="26">
        <f t="shared" si="647"/>
        <v>27.818969444655039</v>
      </c>
      <c r="V1912" s="26">
        <f t="shared" si="648"/>
        <v>0.61653094046587453</v>
      </c>
      <c r="W1912" s="23"/>
      <c r="X1912" s="23"/>
      <c r="Y1912" s="23"/>
      <c r="Z1912" s="30">
        <f t="shared" si="697"/>
        <v>0</v>
      </c>
      <c r="AA1912" s="31">
        <f t="shared" si="620"/>
        <v>16</v>
      </c>
      <c r="AB1912" s="32">
        <v>3.15E-2</v>
      </c>
      <c r="AC1912" s="32">
        <v>8.0199999999999994E-2</v>
      </c>
      <c r="AD1912" s="33">
        <f t="shared" si="675"/>
        <v>0.23483537454339401</v>
      </c>
      <c r="AE1912" s="34">
        <f t="shared" si="676"/>
        <v>9.195537323498329E-2</v>
      </c>
      <c r="AF1912" s="33">
        <f t="shared" si="677"/>
        <v>0.1298556854881085</v>
      </c>
      <c r="AG1912" s="33">
        <f t="shared" si="678"/>
        <v>0</v>
      </c>
      <c r="AH1912" s="35">
        <f t="shared" si="679"/>
        <v>0.63511969974336335</v>
      </c>
      <c r="AI1912" s="36">
        <f t="shared" si="655"/>
        <v>1.4741834338351709</v>
      </c>
      <c r="AJ1912" s="23"/>
      <c r="AK1912" s="120">
        <v>1060</v>
      </c>
      <c r="AL1912" s="44"/>
      <c r="AM1912" s="44"/>
      <c r="AN1912" s="44"/>
      <c r="AO1912" s="44"/>
      <c r="AP1912" s="44"/>
      <c r="AQ1912" s="44"/>
      <c r="AR1912" s="44"/>
    </row>
    <row r="1913" spans="1:44" ht="16.8">
      <c r="A1913" s="70" t="s">
        <v>3686</v>
      </c>
      <c r="B1913" s="71"/>
      <c r="C1913" s="71" t="s">
        <v>3683</v>
      </c>
      <c r="D1913" s="19" t="s">
        <v>3684</v>
      </c>
      <c r="E1913" s="20" t="s">
        <v>414</v>
      </c>
      <c r="F1913" s="21">
        <v>2006</v>
      </c>
      <c r="G1913" s="40">
        <v>2023</v>
      </c>
      <c r="H1913" s="23">
        <v>395806327878</v>
      </c>
      <c r="I1913" s="23">
        <v>1213809332625</v>
      </c>
      <c r="J1913" s="23">
        <v>370623792706</v>
      </c>
      <c r="K1913" s="23">
        <f t="shared" si="699"/>
        <v>366888562136</v>
      </c>
      <c r="L1913" s="23">
        <v>86816126109</v>
      </c>
      <c r="M1913" s="23">
        <f t="shared" si="621"/>
        <v>843185539919</v>
      </c>
      <c r="N1913" s="23">
        <v>209234306057</v>
      </c>
      <c r="O1913" s="25">
        <f t="shared" si="643"/>
        <v>308990201769</v>
      </c>
      <c r="P1913" s="23">
        <v>105439256863</v>
      </c>
      <c r="Q1913" s="23">
        <f>45397013991+29100427022</f>
        <v>74497441013</v>
      </c>
      <c r="R1913" s="25">
        <f t="shared" si="644"/>
        <v>134736865044</v>
      </c>
      <c r="S1913" s="26">
        <f t="shared" si="645"/>
        <v>0.30533938300217556</v>
      </c>
      <c r="T1913" s="27">
        <f t="shared" si="646"/>
        <v>4.559133718786927</v>
      </c>
      <c r="U1913" s="26">
        <f t="shared" si="647"/>
        <v>27.824784739085292</v>
      </c>
      <c r="V1913" s="26">
        <f t="shared" si="648"/>
        <v>0.57029389207134784</v>
      </c>
      <c r="W1913" s="23"/>
      <c r="X1913" s="23"/>
      <c r="Y1913" s="23"/>
      <c r="Z1913" s="30">
        <f t="shared" si="697"/>
        <v>0</v>
      </c>
      <c r="AA1913" s="31">
        <f t="shared" si="620"/>
        <v>17</v>
      </c>
      <c r="AB1913" s="32">
        <v>3.2500000000000001E-2</v>
      </c>
      <c r="AC1913" s="32">
        <v>5.0500000000000003E-2</v>
      </c>
      <c r="AD1913" s="33">
        <f t="shared" si="675"/>
        <v>0.25456238757101474</v>
      </c>
      <c r="AE1913" s="34">
        <f t="shared" si="676"/>
        <v>8.686640811615419E-2</v>
      </c>
      <c r="AF1913" s="33">
        <f t="shared" si="677"/>
        <v>0.11100331940323468</v>
      </c>
      <c r="AG1913" s="33">
        <f t="shared" si="678"/>
        <v>0</v>
      </c>
      <c r="AH1913" s="35">
        <f t="shared" si="679"/>
        <v>0.56454634099267509</v>
      </c>
      <c r="AI1913" s="36">
        <f t="shared" si="655"/>
        <v>1.357945131471183</v>
      </c>
      <c r="AJ1913" s="23"/>
      <c r="AK1913" s="120">
        <v>1061</v>
      </c>
      <c r="AL1913" s="44"/>
      <c r="AM1913" s="44"/>
      <c r="AN1913" s="44"/>
      <c r="AO1913" s="44"/>
      <c r="AP1913" s="44"/>
      <c r="AQ1913" s="44"/>
      <c r="AR1913" s="44"/>
    </row>
    <row r="1914" spans="1:44" ht="16.8">
      <c r="A1914" s="70" t="s">
        <v>3687</v>
      </c>
      <c r="B1914" s="71">
        <v>738</v>
      </c>
      <c r="C1914" s="71" t="s">
        <v>3688</v>
      </c>
      <c r="D1914" s="19" t="s">
        <v>3689</v>
      </c>
      <c r="E1914" s="20" t="s">
        <v>414</v>
      </c>
      <c r="F1914" s="21">
        <v>1981</v>
      </c>
      <c r="G1914" s="40">
        <v>2021</v>
      </c>
      <c r="H1914" s="23">
        <v>1867453670532</v>
      </c>
      <c r="I1914" s="23">
        <v>2446138550928</v>
      </c>
      <c r="J1914" s="23">
        <v>620560103651</v>
      </c>
      <c r="K1914" s="23">
        <f>AVERAGE(566339505472,J1914)</f>
        <v>593449804561.5</v>
      </c>
      <c r="L1914" s="23">
        <v>578295639397</v>
      </c>
      <c r="M1914" s="23">
        <f t="shared" si="621"/>
        <v>1825578447277</v>
      </c>
      <c r="N1914" s="23">
        <v>2686850511330</v>
      </c>
      <c r="O1914" s="25">
        <f t="shared" si="643"/>
        <v>1289158031135</v>
      </c>
      <c r="P1914" s="23">
        <v>276707413257</v>
      </c>
      <c r="Q1914" s="23">
        <f>504674977559+292392358391</f>
        <v>797067335950</v>
      </c>
      <c r="R1914" s="25">
        <f t="shared" si="644"/>
        <v>1889783175380</v>
      </c>
      <c r="S1914" s="26">
        <f t="shared" si="645"/>
        <v>0.25368967894953293</v>
      </c>
      <c r="T1914" s="27">
        <f t="shared" si="646"/>
        <v>3.2292369910989298</v>
      </c>
      <c r="U1914" s="26">
        <f t="shared" si="647"/>
        <v>28.525531795468311</v>
      </c>
      <c r="V1914" s="26">
        <f t="shared" si="648"/>
        <v>4.5275109885920575</v>
      </c>
      <c r="W1914" s="23"/>
      <c r="X1914" s="23"/>
      <c r="Y1914" s="23"/>
      <c r="Z1914" s="30">
        <f t="shared" si="697"/>
        <v>0</v>
      </c>
      <c r="AA1914" s="31">
        <f t="shared" si="620"/>
        <v>40</v>
      </c>
      <c r="AB1914" s="32">
        <v>1.84E-2</v>
      </c>
      <c r="AC1914" s="32">
        <v>2.58E-2</v>
      </c>
      <c r="AD1914" s="33">
        <f t="shared" si="675"/>
        <v>0.52701758477496208</v>
      </c>
      <c r="AE1914" s="34">
        <f t="shared" si="676"/>
        <v>0.113120090091391</v>
      </c>
      <c r="AF1914" s="33">
        <f t="shared" si="677"/>
        <v>0.77255770106033705</v>
      </c>
      <c r="AG1914" s="33">
        <f t="shared" si="678"/>
        <v>0</v>
      </c>
      <c r="AH1914" s="35">
        <f t="shared" si="679"/>
        <v>4.3297184197343626</v>
      </c>
      <c r="AI1914" s="36">
        <f t="shared" si="655"/>
        <v>7.6699480610913762</v>
      </c>
      <c r="AJ1914" s="23"/>
      <c r="AK1914" s="120">
        <v>1062</v>
      </c>
      <c r="AL1914" s="44"/>
      <c r="AM1914" s="44"/>
      <c r="AN1914" s="44"/>
      <c r="AO1914" s="44"/>
      <c r="AP1914" s="44"/>
      <c r="AQ1914" s="44"/>
      <c r="AR1914" s="44"/>
    </row>
    <row r="1915" spans="1:44" ht="16.8">
      <c r="A1915" s="74" t="s">
        <v>3690</v>
      </c>
      <c r="B1915" s="75"/>
      <c r="C1915" s="71" t="s">
        <v>3688</v>
      </c>
      <c r="D1915" s="19" t="s">
        <v>3689</v>
      </c>
      <c r="E1915" s="20" t="s">
        <v>414</v>
      </c>
      <c r="F1915" s="21">
        <v>1981</v>
      </c>
      <c r="G1915" s="40">
        <v>2022</v>
      </c>
      <c r="H1915" s="23">
        <v>2133213102262</v>
      </c>
      <c r="I1915" s="23">
        <v>2869036051355</v>
      </c>
      <c r="J1915" s="23">
        <v>911164294533</v>
      </c>
      <c r="K1915" s="23">
        <f t="shared" ref="K1915:K1916" si="700">AVERAGE(J1914:J1915)</f>
        <v>765862199092</v>
      </c>
      <c r="L1915" s="23">
        <v>831255708627</v>
      </c>
      <c r="M1915" s="23">
        <f t="shared" si="621"/>
        <v>1957871756822</v>
      </c>
      <c r="N1915" s="23">
        <v>3550405692241</v>
      </c>
      <c r="O1915" s="25">
        <f t="shared" si="643"/>
        <v>1301957393635</v>
      </c>
      <c r="P1915" s="23">
        <v>400937400515</v>
      </c>
      <c r="Q1915" s="23">
        <f>738522525878+319389279653</f>
        <v>1057911805531</v>
      </c>
      <c r="R1915" s="25">
        <f t="shared" si="644"/>
        <v>2492493886710</v>
      </c>
      <c r="S1915" s="26">
        <f t="shared" si="645"/>
        <v>0.317585515909663</v>
      </c>
      <c r="T1915" s="27">
        <f t="shared" si="646"/>
        <v>2.566253777415215</v>
      </c>
      <c r="U1915" s="26">
        <f t="shared" si="647"/>
        <v>28.684997218674898</v>
      </c>
      <c r="V1915" s="26">
        <f t="shared" si="648"/>
        <v>4.6358283467317385</v>
      </c>
      <c r="W1915" s="23"/>
      <c r="X1915" s="23"/>
      <c r="Y1915" s="23"/>
      <c r="Z1915" s="30">
        <f t="shared" si="697"/>
        <v>0</v>
      </c>
      <c r="AA1915" s="31">
        <f t="shared" si="620"/>
        <v>41</v>
      </c>
      <c r="AB1915" s="32">
        <v>3.15E-2</v>
      </c>
      <c r="AC1915" s="32">
        <v>8.0199999999999994E-2</v>
      </c>
      <c r="AD1915" s="33">
        <f t="shared" si="675"/>
        <v>0.45379610793670799</v>
      </c>
      <c r="AE1915" s="34">
        <f t="shared" si="676"/>
        <v>0.13974637938956663</v>
      </c>
      <c r="AF1915" s="33">
        <f t="shared" si="677"/>
        <v>0.86875655868208235</v>
      </c>
      <c r="AG1915" s="33">
        <f t="shared" si="678"/>
        <v>0</v>
      </c>
      <c r="AH1915" s="35">
        <f t="shared" si="679"/>
        <v>3.8965592852392148</v>
      </c>
      <c r="AI1915" s="36">
        <f t="shared" si="655"/>
        <v>7.5036561895595284</v>
      </c>
      <c r="AJ1915" s="23"/>
      <c r="AK1915" s="120">
        <v>1063</v>
      </c>
    </row>
    <row r="1916" spans="1:44" ht="16.8">
      <c r="A1916" s="74" t="s">
        <v>3691</v>
      </c>
      <c r="B1916" s="75"/>
      <c r="C1916" s="71" t="s">
        <v>3688</v>
      </c>
      <c r="D1916" s="19" t="s">
        <v>3689</v>
      </c>
      <c r="E1916" s="20" t="s">
        <v>414</v>
      </c>
      <c r="F1916" s="21">
        <v>1981</v>
      </c>
      <c r="G1916" s="40">
        <v>2023</v>
      </c>
      <c r="H1916" s="23">
        <v>2074455057354</v>
      </c>
      <c r="I1916" s="23">
        <v>2808448178821</v>
      </c>
      <c r="J1916" s="23">
        <v>714468096169</v>
      </c>
      <c r="K1916" s="23">
        <f t="shared" si="700"/>
        <v>812816195351</v>
      </c>
      <c r="L1916" s="23">
        <v>659537277010</v>
      </c>
      <c r="M1916" s="23">
        <f t="shared" si="621"/>
        <v>2093980082652</v>
      </c>
      <c r="N1916" s="23">
        <v>3496671800535</v>
      </c>
      <c r="O1916" s="25">
        <f t="shared" si="643"/>
        <v>1414917780344</v>
      </c>
      <c r="P1916" s="23">
        <v>356174272581</v>
      </c>
      <c r="Q1916" s="23">
        <f>740549101955+346843180321</f>
        <v>1087392282276</v>
      </c>
      <c r="R1916" s="25">
        <f t="shared" si="644"/>
        <v>2409279518259</v>
      </c>
      <c r="S1916" s="26">
        <f t="shared" si="645"/>
        <v>0.25439960101700615</v>
      </c>
      <c r="T1916" s="27">
        <f t="shared" si="646"/>
        <v>3.1453188919942532</v>
      </c>
      <c r="U1916" s="26">
        <f t="shared" si="647"/>
        <v>28.663653197198371</v>
      </c>
      <c r="V1916" s="26">
        <f t="shared" si="648"/>
        <v>4.3019219111708589</v>
      </c>
      <c r="W1916" s="23"/>
      <c r="X1916" s="23"/>
      <c r="Y1916" s="23"/>
      <c r="Z1916" s="30">
        <f t="shared" si="697"/>
        <v>0</v>
      </c>
      <c r="AA1916" s="31">
        <f t="shared" si="620"/>
        <v>42</v>
      </c>
      <c r="AB1916" s="32">
        <v>3.2500000000000001E-2</v>
      </c>
      <c r="AC1916" s="32">
        <v>5.0500000000000003E-2</v>
      </c>
      <c r="AD1916" s="33">
        <f t="shared" si="675"/>
        <v>0.50380768675532028</v>
      </c>
      <c r="AE1916" s="34">
        <f t="shared" si="676"/>
        <v>0.12682244780835644</v>
      </c>
      <c r="AF1916" s="33">
        <f t="shared" si="677"/>
        <v>0.85786860388872377</v>
      </c>
      <c r="AG1916" s="33">
        <f t="shared" si="678"/>
        <v>0</v>
      </c>
      <c r="AH1916" s="35">
        <f t="shared" si="679"/>
        <v>4.8940908898301583</v>
      </c>
      <c r="AI1916" s="36">
        <f t="shared" si="655"/>
        <v>8.5071779337010298</v>
      </c>
      <c r="AJ1916" s="23"/>
      <c r="AK1916" s="120">
        <v>1064</v>
      </c>
    </row>
    <row r="1917" spans="1:44" ht="16.8">
      <c r="A1917" s="70" t="s">
        <v>3692</v>
      </c>
      <c r="B1917" s="71">
        <v>739</v>
      </c>
      <c r="C1917" s="71" t="s">
        <v>3693</v>
      </c>
      <c r="D1917" s="19" t="s">
        <v>3694</v>
      </c>
      <c r="E1917" s="20" t="s">
        <v>414</v>
      </c>
      <c r="F1917" s="21">
        <v>1988</v>
      </c>
      <c r="G1917" s="40">
        <v>2021</v>
      </c>
      <c r="H1917" s="23">
        <v>3635982475644</v>
      </c>
      <c r="I1917" s="23">
        <v>4195210557575</v>
      </c>
      <c r="J1917" s="23">
        <v>2276573550119</v>
      </c>
      <c r="K1917" s="23">
        <f>AVERAGE(J1917,1294251259135)</f>
        <v>1785412404627</v>
      </c>
      <c r="L1917" s="23">
        <v>2276431450119</v>
      </c>
      <c r="M1917" s="23">
        <f t="shared" si="621"/>
        <v>1918637007456</v>
      </c>
      <c r="N1917" s="23">
        <v>4645958488450</v>
      </c>
      <c r="O1917" s="25">
        <f t="shared" si="643"/>
        <v>1359551025525</v>
      </c>
      <c r="P1917" s="23">
        <v>456344146827</v>
      </c>
      <c r="Q1917" s="23">
        <f>86652479475+59328154537</f>
        <v>145980634012</v>
      </c>
      <c r="R1917" s="25">
        <f t="shared" si="644"/>
        <v>4499977854438</v>
      </c>
      <c r="S1917" s="26">
        <f t="shared" si="645"/>
        <v>0.54266014038517074</v>
      </c>
      <c r="T1917" s="27">
        <f t="shared" si="646"/>
        <v>1.5972290645755793</v>
      </c>
      <c r="U1917" s="26">
        <f t="shared" si="647"/>
        <v>29.064964647097057</v>
      </c>
      <c r="V1917" s="26">
        <f t="shared" si="648"/>
        <v>2.602176660366943</v>
      </c>
      <c r="W1917" s="23"/>
      <c r="X1917" s="23"/>
      <c r="Y1917" s="23"/>
      <c r="Z1917" s="30">
        <f t="shared" si="697"/>
        <v>0</v>
      </c>
      <c r="AA1917" s="31">
        <f t="shared" si="620"/>
        <v>33</v>
      </c>
      <c r="AB1917" s="32">
        <v>1.84E-2</v>
      </c>
      <c r="AC1917" s="32">
        <v>2.58E-2</v>
      </c>
      <c r="AD1917" s="33">
        <f t="shared" si="675"/>
        <v>0.32407217870629956</v>
      </c>
      <c r="AE1917" s="34">
        <f t="shared" si="676"/>
        <v>0.10877741189962709</v>
      </c>
      <c r="AF1917" s="33">
        <f t="shared" si="677"/>
        <v>1.0726464840513674</v>
      </c>
      <c r="AG1917" s="33">
        <f t="shared" si="678"/>
        <v>0</v>
      </c>
      <c r="AH1917" s="35">
        <f t="shared" si="679"/>
        <v>2.0407680165690887</v>
      </c>
      <c r="AI1917" s="36">
        <f t="shared" si="655"/>
        <v>6.1216764050456387</v>
      </c>
      <c r="AJ1917" s="23"/>
      <c r="AK1917" s="120">
        <v>1065</v>
      </c>
      <c r="AL1917" s="44"/>
      <c r="AM1917" s="44"/>
      <c r="AN1917" s="44"/>
      <c r="AO1917" s="44"/>
      <c r="AP1917" s="44"/>
      <c r="AQ1917" s="44"/>
      <c r="AR1917" s="44"/>
    </row>
    <row r="1918" spans="1:44" ht="16.8">
      <c r="A1918" s="74" t="s">
        <v>3695</v>
      </c>
      <c r="B1918" s="75"/>
      <c r="C1918" s="71" t="s">
        <v>3693</v>
      </c>
      <c r="D1918" s="19" t="s">
        <v>3694</v>
      </c>
      <c r="E1918" s="20" t="s">
        <v>414</v>
      </c>
      <c r="F1918" s="21">
        <v>1988</v>
      </c>
      <c r="G1918" s="40">
        <v>2022</v>
      </c>
      <c r="H1918" s="23">
        <v>3643255244022</v>
      </c>
      <c r="I1918" s="23">
        <v>4199993095898</v>
      </c>
      <c r="J1918" s="23">
        <v>2289256245246</v>
      </c>
      <c r="K1918" s="23">
        <f t="shared" ref="K1918:K1919" si="701">AVERAGE(J1917:J1918)</f>
        <v>2282914897682.5</v>
      </c>
      <c r="L1918" s="23">
        <v>2263951477007</v>
      </c>
      <c r="M1918" s="23">
        <f t="shared" si="621"/>
        <v>1910736850652</v>
      </c>
      <c r="N1918" s="23">
        <v>5326723971000</v>
      </c>
      <c r="O1918" s="25">
        <f t="shared" si="643"/>
        <v>1379303767015</v>
      </c>
      <c r="P1918" s="23">
        <v>7542906356</v>
      </c>
      <c r="Q1918" s="23">
        <f>47693639498+52670546729</f>
        <v>100364186227</v>
      </c>
      <c r="R1918" s="25">
        <f t="shared" si="644"/>
        <v>5226359784773</v>
      </c>
      <c r="S1918" s="26">
        <f t="shared" si="645"/>
        <v>0.54506190676404775</v>
      </c>
      <c r="T1918" s="27">
        <f t="shared" si="646"/>
        <v>1.6092461702573564</v>
      </c>
      <c r="U1918" s="26">
        <f t="shared" si="647"/>
        <v>29.066103997382712</v>
      </c>
      <c r="V1918" s="26">
        <f t="shared" si="648"/>
        <v>2.3332994043743907</v>
      </c>
      <c r="W1918" s="23"/>
      <c r="X1918" s="23"/>
      <c r="Y1918" s="23"/>
      <c r="Z1918" s="30">
        <f t="shared" si="697"/>
        <v>0</v>
      </c>
      <c r="AA1918" s="31">
        <f t="shared" si="620"/>
        <v>34</v>
      </c>
      <c r="AB1918" s="32">
        <v>3.15E-2</v>
      </c>
      <c r="AC1918" s="32">
        <v>8.0199999999999994E-2</v>
      </c>
      <c r="AD1918" s="33">
        <f t="shared" si="675"/>
        <v>0.32840619865830784</v>
      </c>
      <c r="AE1918" s="34">
        <f t="shared" si="676"/>
        <v>1.7959330369773506E-3</v>
      </c>
      <c r="AF1918" s="33">
        <f t="shared" si="677"/>
        <v>1.244373422870009</v>
      </c>
      <c r="AG1918" s="33">
        <f t="shared" si="678"/>
        <v>0</v>
      </c>
      <c r="AH1918" s="35">
        <f t="shared" si="679"/>
        <v>2.3268360551868228</v>
      </c>
      <c r="AI1918" s="36">
        <f t="shared" si="655"/>
        <v>6.8298700952995901</v>
      </c>
      <c r="AJ1918" s="23"/>
      <c r="AK1918" s="120">
        <v>1066</v>
      </c>
    </row>
    <row r="1919" spans="1:44" ht="16.8">
      <c r="A1919" s="74" t="s">
        <v>3696</v>
      </c>
      <c r="B1919" s="75"/>
      <c r="C1919" s="71" t="s">
        <v>3693</v>
      </c>
      <c r="D1919" s="19" t="s">
        <v>3694</v>
      </c>
      <c r="E1919" s="20" t="s">
        <v>414</v>
      </c>
      <c r="F1919" s="21">
        <v>1988</v>
      </c>
      <c r="G1919" s="40">
        <v>2023</v>
      </c>
      <c r="H1919" s="23">
        <v>3562206004634</v>
      </c>
      <c r="I1919" s="23">
        <v>4127819162487</v>
      </c>
      <c r="J1919" s="23">
        <v>2266909873412</v>
      </c>
      <c r="K1919" s="23">
        <f t="shared" si="701"/>
        <v>2278083059329</v>
      </c>
      <c r="L1919" s="23">
        <v>2259174511982</v>
      </c>
      <c r="M1919" s="23">
        <f t="shared" si="621"/>
        <v>1860909289075</v>
      </c>
      <c r="N1919" s="23">
        <v>6158687455247</v>
      </c>
      <c r="O1919" s="25">
        <f t="shared" si="643"/>
        <v>1303031492652</v>
      </c>
      <c r="P1919" s="23">
        <v>4103922989</v>
      </c>
      <c r="Q1919" s="23">
        <f>42830357881+45192156019</f>
        <v>88022513900</v>
      </c>
      <c r="R1919" s="25">
        <f t="shared" si="644"/>
        <v>6070664941347</v>
      </c>
      <c r="S1919" s="26">
        <f t="shared" si="645"/>
        <v>0.5491785817589433</v>
      </c>
      <c r="T1919" s="27">
        <f t="shared" si="646"/>
        <v>1.5767732796829561</v>
      </c>
      <c r="U1919" s="26">
        <f t="shared" si="647"/>
        <v>29.048770335611167</v>
      </c>
      <c r="V1919" s="26">
        <f t="shared" si="648"/>
        <v>2.703451671802088</v>
      </c>
      <c r="W1919" s="23"/>
      <c r="X1919" s="23"/>
      <c r="Y1919" s="23"/>
      <c r="Z1919" s="30">
        <f t="shared" si="697"/>
        <v>0</v>
      </c>
      <c r="AA1919" s="31">
        <f t="shared" si="620"/>
        <v>35</v>
      </c>
      <c r="AB1919" s="32">
        <v>3.2500000000000001E-2</v>
      </c>
      <c r="AC1919" s="32">
        <v>5.0500000000000003E-2</v>
      </c>
      <c r="AD1919" s="33">
        <f t="shared" si="675"/>
        <v>0.31567068259524406</v>
      </c>
      <c r="AE1919" s="34">
        <f t="shared" si="676"/>
        <v>9.9421094467893245E-4</v>
      </c>
      <c r="AF1919" s="33">
        <f t="shared" si="677"/>
        <v>1.4706712436717893</v>
      </c>
      <c r="AG1919" s="33">
        <f t="shared" si="678"/>
        <v>0</v>
      </c>
      <c r="AH1919" s="35">
        <f t="shared" si="679"/>
        <v>2.7167764927404718</v>
      </c>
      <c r="AI1919" s="36">
        <f t="shared" si="655"/>
        <v>7.9501883112942195</v>
      </c>
      <c r="AJ1919" s="23"/>
      <c r="AK1919" s="120">
        <v>1067</v>
      </c>
    </row>
    <row r="1920" spans="1:44" ht="16.8">
      <c r="A1920" s="70" t="s">
        <v>3697</v>
      </c>
      <c r="B1920" s="71">
        <v>740</v>
      </c>
      <c r="C1920" s="71" t="s">
        <v>3698</v>
      </c>
      <c r="D1920" s="19" t="s">
        <v>3699</v>
      </c>
      <c r="E1920" s="20" t="s">
        <v>414</v>
      </c>
      <c r="F1920" s="21">
        <v>1994</v>
      </c>
      <c r="G1920" s="40">
        <v>2021</v>
      </c>
      <c r="H1920" s="23">
        <v>750996018192</v>
      </c>
      <c r="I1920" s="23">
        <v>1989782437870</v>
      </c>
      <c r="J1920" s="23">
        <v>587917677594</v>
      </c>
      <c r="K1920" s="23">
        <f>AVERAGE(464014884873,J1916)</f>
        <v>589241490521</v>
      </c>
      <c r="L1920" s="23">
        <v>155127434937</v>
      </c>
      <c r="M1920" s="23">
        <f t="shared" si="621"/>
        <v>1401864760276</v>
      </c>
      <c r="N1920" s="23">
        <v>748324032680</v>
      </c>
      <c r="O1920" s="25">
        <f t="shared" si="643"/>
        <v>595868583255</v>
      </c>
      <c r="P1920" s="23">
        <v>359912024242</v>
      </c>
      <c r="Q1920" s="23">
        <v>58559130998</v>
      </c>
      <c r="R1920" s="25">
        <f t="shared" si="644"/>
        <v>689764901682</v>
      </c>
      <c r="S1920" s="26">
        <f t="shared" si="645"/>
        <v>0.29546832176453802</v>
      </c>
      <c r="T1920" s="27">
        <f t="shared" si="646"/>
        <v>4.841155392642138</v>
      </c>
      <c r="U1920" s="26">
        <f t="shared" si="647"/>
        <v>28.319046420984723</v>
      </c>
      <c r="V1920" s="26">
        <f t="shared" si="648"/>
        <v>1.2699785142732247</v>
      </c>
      <c r="W1920" s="23"/>
      <c r="X1920" s="23"/>
      <c r="Y1920" s="23"/>
      <c r="Z1920" s="30">
        <f t="shared" si="697"/>
        <v>0</v>
      </c>
      <c r="AA1920" s="31">
        <f t="shared" si="620"/>
        <v>27</v>
      </c>
      <c r="AB1920" s="32">
        <v>1.84E-2</v>
      </c>
      <c r="AC1920" s="32">
        <v>2.58E-2</v>
      </c>
      <c r="AD1920" s="33">
        <f t="shared" si="675"/>
        <v>0.29946418860388513</v>
      </c>
      <c r="AE1920" s="34">
        <f t="shared" si="676"/>
        <v>0.18088008889417809</v>
      </c>
      <c r="AF1920" s="33">
        <f t="shared" si="677"/>
        <v>0.34665342730654103</v>
      </c>
      <c r="AG1920" s="33">
        <f t="shared" si="678"/>
        <v>0</v>
      </c>
      <c r="AH1920" s="35">
        <f t="shared" si="679"/>
        <v>1.2728381220691449</v>
      </c>
      <c r="AI1920" s="36">
        <f t="shared" si="655"/>
        <v>3.0293835829572417</v>
      </c>
      <c r="AJ1920" s="23"/>
      <c r="AK1920" s="120">
        <v>1068</v>
      </c>
      <c r="AL1920" s="44"/>
      <c r="AM1920" s="44"/>
      <c r="AN1920" s="44"/>
      <c r="AO1920" s="44"/>
      <c r="AP1920" s="44"/>
      <c r="AQ1920" s="44"/>
      <c r="AR1920" s="44"/>
    </row>
    <row r="1921" spans="1:44" ht="16.8">
      <c r="A1921" s="74" t="s">
        <v>3700</v>
      </c>
      <c r="B1921" s="75"/>
      <c r="C1921" s="71" t="s">
        <v>3698</v>
      </c>
      <c r="D1921" s="19" t="s">
        <v>3699</v>
      </c>
      <c r="E1921" s="20" t="s">
        <v>414</v>
      </c>
      <c r="F1921" s="21">
        <v>1994</v>
      </c>
      <c r="G1921" s="40">
        <v>2022</v>
      </c>
      <c r="H1921" s="23">
        <v>1117550368895</v>
      </c>
      <c r="I1921" s="23">
        <v>2294384512336</v>
      </c>
      <c r="J1921" s="23">
        <v>606437297369</v>
      </c>
      <c r="K1921" s="23">
        <f t="shared" ref="K1921:K1922" si="702">AVERAGE(J1920:J1921)</f>
        <v>597177487481.5</v>
      </c>
      <c r="L1921" s="23">
        <v>225759601306</v>
      </c>
      <c r="M1921" s="23">
        <f t="shared" si="621"/>
        <v>1687947214967</v>
      </c>
      <c r="N1921" s="23">
        <v>1070306279118</v>
      </c>
      <c r="O1921" s="25">
        <f t="shared" si="643"/>
        <v>891790767589</v>
      </c>
      <c r="P1921" s="23">
        <v>580075363691</v>
      </c>
      <c r="Q1921" s="23">
        <v>68331303151</v>
      </c>
      <c r="R1921" s="25">
        <f t="shared" si="644"/>
        <v>1001974975967</v>
      </c>
      <c r="S1921" s="26">
        <f t="shared" si="645"/>
        <v>0.26431371642740176</v>
      </c>
      <c r="T1921" s="27">
        <f t="shared" si="646"/>
        <v>4.9501786964101049</v>
      </c>
      <c r="U1921" s="26">
        <f t="shared" si="647"/>
        <v>28.461485737126697</v>
      </c>
      <c r="V1921" s="26">
        <f t="shared" si="648"/>
        <v>1.7922749962190379</v>
      </c>
      <c r="W1921" s="23"/>
      <c r="X1921" s="23"/>
      <c r="Y1921" s="23"/>
      <c r="Z1921" s="30">
        <f t="shared" si="697"/>
        <v>0</v>
      </c>
      <c r="AA1921" s="31">
        <f t="shared" si="620"/>
        <v>28</v>
      </c>
      <c r="AB1921" s="32">
        <v>3.15E-2</v>
      </c>
      <c r="AC1921" s="32">
        <v>8.0199999999999994E-2</v>
      </c>
      <c r="AD1921" s="33">
        <f t="shared" si="675"/>
        <v>0.38868409492576028</v>
      </c>
      <c r="AE1921" s="34">
        <f t="shared" si="676"/>
        <v>0.25282395368874033</v>
      </c>
      <c r="AF1921" s="33">
        <f t="shared" si="677"/>
        <v>0.43670752246616729</v>
      </c>
      <c r="AG1921" s="33">
        <f t="shared" si="678"/>
        <v>0</v>
      </c>
      <c r="AH1921" s="35">
        <f t="shared" si="679"/>
        <v>1.7649083982160629</v>
      </c>
      <c r="AI1921" s="36">
        <f t="shared" si="655"/>
        <v>4.0264176714295639</v>
      </c>
      <c r="AJ1921" s="23"/>
      <c r="AK1921" s="120">
        <v>1069</v>
      </c>
    </row>
    <row r="1922" spans="1:44" ht="16.8">
      <c r="A1922" s="74" t="s">
        <v>3701</v>
      </c>
      <c r="B1922" s="75"/>
      <c r="C1922" s="71" t="s">
        <v>3698</v>
      </c>
      <c r="D1922" s="19" t="s">
        <v>3699</v>
      </c>
      <c r="E1922" s="20" t="s">
        <v>414</v>
      </c>
      <c r="F1922" s="21">
        <v>1994</v>
      </c>
      <c r="G1922" s="40">
        <v>2023</v>
      </c>
      <c r="H1922" s="23">
        <v>1015614765695</v>
      </c>
      <c r="I1922" s="23">
        <v>2145184861674</v>
      </c>
      <c r="J1922" s="23">
        <v>558304342133</v>
      </c>
      <c r="K1922" s="23">
        <f t="shared" si="702"/>
        <v>582370819751</v>
      </c>
      <c r="L1922" s="23">
        <v>225872102650</v>
      </c>
      <c r="M1922" s="23">
        <f t="shared" si="621"/>
        <v>1586880519541</v>
      </c>
      <c r="N1922" s="23">
        <v>854040208371</v>
      </c>
      <c r="O1922" s="25">
        <f t="shared" si="643"/>
        <v>789742663045</v>
      </c>
      <c r="P1922" s="23">
        <v>460182688074</v>
      </c>
      <c r="Q1922" s="23">
        <v>53666500829</v>
      </c>
      <c r="R1922" s="25">
        <f t="shared" si="644"/>
        <v>800373707542</v>
      </c>
      <c r="S1922" s="26">
        <f t="shared" si="645"/>
        <v>0.26025931476009295</v>
      </c>
      <c r="T1922" s="27">
        <f t="shared" si="646"/>
        <v>4.4964152446428738</v>
      </c>
      <c r="U1922" s="26">
        <f t="shared" si="647"/>
        <v>28.394246847193624</v>
      </c>
      <c r="V1922" s="26">
        <f t="shared" si="648"/>
        <v>1.4664886690857135</v>
      </c>
      <c r="W1922" s="23"/>
      <c r="X1922" s="23"/>
      <c r="Y1922" s="23"/>
      <c r="Z1922" s="30">
        <f t="shared" si="697"/>
        <v>0</v>
      </c>
      <c r="AA1922" s="31">
        <f t="shared" si="620"/>
        <v>29</v>
      </c>
      <c r="AB1922" s="32">
        <v>3.2500000000000001E-2</v>
      </c>
      <c r="AC1922" s="32">
        <v>5.0500000000000003E-2</v>
      </c>
      <c r="AD1922" s="33">
        <f t="shared" si="675"/>
        <v>0.3681466698533023</v>
      </c>
      <c r="AE1922" s="34">
        <f t="shared" si="676"/>
        <v>0.21451889592158288</v>
      </c>
      <c r="AF1922" s="33">
        <f t="shared" si="677"/>
        <v>0.37310244065279602</v>
      </c>
      <c r="AG1922" s="33">
        <f t="shared" si="678"/>
        <v>0</v>
      </c>
      <c r="AH1922" s="35">
        <f t="shared" si="679"/>
        <v>1.5297036829556834</v>
      </c>
      <c r="AI1922" s="36">
        <f t="shared" si="655"/>
        <v>3.5030441952240889</v>
      </c>
      <c r="AJ1922" s="23"/>
      <c r="AK1922" s="120">
        <v>1070</v>
      </c>
    </row>
    <row r="1923" spans="1:44" ht="16.8">
      <c r="A1923" s="70" t="s">
        <v>3702</v>
      </c>
      <c r="B1923" s="71">
        <v>741</v>
      </c>
      <c r="C1923" s="71" t="s">
        <v>3703</v>
      </c>
      <c r="D1923" s="19" t="s">
        <v>3704</v>
      </c>
      <c r="E1923" s="20" t="s">
        <v>414</v>
      </c>
      <c r="F1923" s="21">
        <v>1983</v>
      </c>
      <c r="G1923" s="40">
        <v>2021</v>
      </c>
      <c r="H1923" s="23">
        <v>2430451915331</v>
      </c>
      <c r="I1923" s="23">
        <v>5734083964756</v>
      </c>
      <c r="J1923" s="23">
        <v>2244168104894</v>
      </c>
      <c r="K1923" s="23">
        <f>AVERAGE(J1923,1573075018759)</f>
        <v>1908621561826.5</v>
      </c>
      <c r="L1923" s="23">
        <v>1643209181351</v>
      </c>
      <c r="M1923" s="23">
        <f t="shared" si="621"/>
        <v>3489915859862</v>
      </c>
      <c r="N1923" s="23">
        <v>6389529794726</v>
      </c>
      <c r="O1923" s="25">
        <f t="shared" si="643"/>
        <v>787242733980</v>
      </c>
      <c r="P1923" s="23">
        <v>620899931038</v>
      </c>
      <c r="Q1923" s="23">
        <f>55162502579+159649122560</f>
        <v>214811625139</v>
      </c>
      <c r="R1923" s="25">
        <f t="shared" si="644"/>
        <v>6174718169587</v>
      </c>
      <c r="S1923" s="26">
        <f t="shared" si="645"/>
        <v>0.3913734292500014</v>
      </c>
      <c r="T1923" s="27">
        <f t="shared" si="646"/>
        <v>1.4790885682203596</v>
      </c>
      <c r="U1923" s="26">
        <f t="shared" si="647"/>
        <v>29.377449126595383</v>
      </c>
      <c r="V1923" s="26">
        <f t="shared" si="648"/>
        <v>3.3477195912066455</v>
      </c>
      <c r="W1923" s="23"/>
      <c r="X1923" s="23"/>
      <c r="Y1923" s="23"/>
      <c r="Z1923" s="30">
        <f t="shared" si="697"/>
        <v>0</v>
      </c>
      <c r="AA1923" s="31">
        <f t="shared" si="620"/>
        <v>38</v>
      </c>
      <c r="AB1923" s="32">
        <v>1.84E-2</v>
      </c>
      <c r="AC1923" s="32">
        <v>2.58E-2</v>
      </c>
      <c r="AD1923" s="33">
        <f t="shared" si="675"/>
        <v>0.13729180437864397</v>
      </c>
      <c r="AE1923" s="34">
        <f t="shared" si="676"/>
        <v>0.10828232283557447</v>
      </c>
      <c r="AF1923" s="33">
        <f t="shared" si="677"/>
        <v>1.0768447423405929</v>
      </c>
      <c r="AG1923" s="33">
        <f t="shared" si="678"/>
        <v>0</v>
      </c>
      <c r="AH1923" s="35">
        <f t="shared" si="679"/>
        <v>2.8471707537380762</v>
      </c>
      <c r="AI1923" s="36">
        <f t="shared" si="655"/>
        <v>6.7171038206862095</v>
      </c>
      <c r="AJ1923" s="23"/>
      <c r="AK1923" s="120">
        <v>1071</v>
      </c>
      <c r="AL1923" s="44"/>
      <c r="AM1923" s="44"/>
      <c r="AN1923" s="44"/>
      <c r="AO1923" s="44"/>
      <c r="AP1923" s="44"/>
      <c r="AQ1923" s="44"/>
      <c r="AR1923" s="44"/>
    </row>
    <row r="1924" spans="1:44" ht="16.8">
      <c r="A1924" s="74" t="s">
        <v>3705</v>
      </c>
      <c r="B1924" s="75"/>
      <c r="C1924" s="71" t="s">
        <v>3703</v>
      </c>
      <c r="D1924" s="19" t="s">
        <v>3704</v>
      </c>
      <c r="E1924" s="20" t="s">
        <v>414</v>
      </c>
      <c r="F1924" s="21">
        <v>1983</v>
      </c>
      <c r="G1924" s="40">
        <v>2022</v>
      </c>
      <c r="H1924" s="23">
        <v>1744350322596</v>
      </c>
      <c r="I1924" s="23">
        <v>5570603363655</v>
      </c>
      <c r="J1924" s="23">
        <v>1423017571102</v>
      </c>
      <c r="K1924" s="23">
        <f t="shared" ref="K1924:K1925" si="703">AVERAGE(J1923:J1924)</f>
        <v>1833592837998</v>
      </c>
      <c r="L1924" s="23">
        <v>858786213245</v>
      </c>
      <c r="M1924" s="23">
        <f t="shared" si="621"/>
        <v>4147585792553</v>
      </c>
      <c r="N1924" s="23">
        <v>3656259677895</v>
      </c>
      <c r="O1924" s="25">
        <f t="shared" si="643"/>
        <v>885564109351</v>
      </c>
      <c r="P1924" s="23">
        <v>682314631810</v>
      </c>
      <c r="Q1924" s="23">
        <f>29783011326+173874207197</f>
        <v>203657218523</v>
      </c>
      <c r="R1924" s="25">
        <f t="shared" si="644"/>
        <v>3452602459372</v>
      </c>
      <c r="S1924" s="26">
        <f t="shared" si="645"/>
        <v>0.25545124615878695</v>
      </c>
      <c r="T1924" s="27">
        <f t="shared" si="646"/>
        <v>2.0311810968702178</v>
      </c>
      <c r="U1924" s="26">
        <f t="shared" si="647"/>
        <v>29.348524487817119</v>
      </c>
      <c r="V1924" s="26">
        <f t="shared" si="648"/>
        <v>1.9940412081272474</v>
      </c>
      <c r="W1924" s="23"/>
      <c r="X1924" s="23"/>
      <c r="Y1924" s="23"/>
      <c r="Z1924" s="30">
        <f t="shared" si="697"/>
        <v>0</v>
      </c>
      <c r="AA1924" s="31">
        <f t="shared" si="620"/>
        <v>39</v>
      </c>
      <c r="AB1924" s="32">
        <v>3.15E-2</v>
      </c>
      <c r="AC1924" s="32">
        <v>8.0199999999999994E-2</v>
      </c>
      <c r="AD1924" s="33">
        <f t="shared" si="675"/>
        <v>0.15897095010009135</v>
      </c>
      <c r="AE1924" s="34">
        <f t="shared" si="676"/>
        <v>0.12248487053695344</v>
      </c>
      <c r="AF1924" s="33">
        <f t="shared" si="677"/>
        <v>0.61978967698512799</v>
      </c>
      <c r="AG1924" s="33">
        <f t="shared" si="678"/>
        <v>0</v>
      </c>
      <c r="AH1924" s="35">
        <f t="shared" si="679"/>
        <v>2.5693707176528773</v>
      </c>
      <c r="AI1924" s="36">
        <f t="shared" si="655"/>
        <v>4.9769206105756441</v>
      </c>
      <c r="AJ1924" s="23"/>
      <c r="AK1924" s="120">
        <v>1072</v>
      </c>
    </row>
    <row r="1925" spans="1:44" ht="16.8">
      <c r="A1925" s="74" t="s">
        <v>3706</v>
      </c>
      <c r="B1925" s="75"/>
      <c r="C1925" s="71" t="s">
        <v>3703</v>
      </c>
      <c r="D1925" s="19" t="s">
        <v>3704</v>
      </c>
      <c r="E1925" s="20" t="s">
        <v>414</v>
      </c>
      <c r="F1925" s="21">
        <v>1983</v>
      </c>
      <c r="G1925" s="40">
        <v>2023</v>
      </c>
      <c r="H1925" s="23">
        <v>1816920221683</v>
      </c>
      <c r="I1925" s="23">
        <v>7513241799555</v>
      </c>
      <c r="J1925" s="23">
        <v>2744590302917</v>
      </c>
      <c r="K1925" s="23">
        <f t="shared" si="703"/>
        <v>2083803937009.5</v>
      </c>
      <c r="L1925" s="23">
        <v>948724617936</v>
      </c>
      <c r="M1925" s="23">
        <f t="shared" si="621"/>
        <v>4768651496638</v>
      </c>
      <c r="N1925" s="23">
        <v>2403225044262</v>
      </c>
      <c r="O1925" s="25">
        <f t="shared" si="643"/>
        <v>868195603747</v>
      </c>
      <c r="P1925" s="23">
        <v>173050459997</v>
      </c>
      <c r="Q1925" s="23">
        <f>33607873201+187277133658</f>
        <v>220885006859</v>
      </c>
      <c r="R1925" s="25">
        <f t="shared" si="644"/>
        <v>2182340037403</v>
      </c>
      <c r="S1925" s="26">
        <f t="shared" si="645"/>
        <v>0.36530040908300843</v>
      </c>
      <c r="T1925" s="27">
        <f t="shared" si="646"/>
        <v>1.9151186628168297</v>
      </c>
      <c r="U1925" s="26">
        <f t="shared" si="647"/>
        <v>29.647688152952473</v>
      </c>
      <c r="V1925" s="26">
        <f t="shared" si="648"/>
        <v>1.1532875054026945</v>
      </c>
      <c r="W1925" s="23"/>
      <c r="X1925" s="23"/>
      <c r="Y1925" s="23"/>
      <c r="Z1925" s="30">
        <f t="shared" si="697"/>
        <v>0</v>
      </c>
      <c r="AA1925" s="31">
        <f t="shared" si="620"/>
        <v>40</v>
      </c>
      <c r="AB1925" s="32">
        <v>3.2500000000000001E-2</v>
      </c>
      <c r="AC1925" s="32">
        <v>5.0500000000000003E-2</v>
      </c>
      <c r="AD1925" s="33">
        <f t="shared" si="675"/>
        <v>0.11555539232058552</v>
      </c>
      <c r="AE1925" s="34">
        <f t="shared" si="676"/>
        <v>2.303272869605362E-2</v>
      </c>
      <c r="AF1925" s="33">
        <f t="shared" si="677"/>
        <v>0.29046583294208067</v>
      </c>
      <c r="AG1925" s="33">
        <f t="shared" si="678"/>
        <v>0</v>
      </c>
      <c r="AH1925" s="35">
        <f t="shared" si="679"/>
        <v>0.87562250792324414</v>
      </c>
      <c r="AI1925" s="36">
        <f t="shared" si="655"/>
        <v>2.005072047591288</v>
      </c>
      <c r="AJ1925" s="23"/>
      <c r="AK1925" s="120">
        <v>1073</v>
      </c>
    </row>
    <row r="1926" spans="1:44" ht="16.8">
      <c r="A1926" s="70" t="s">
        <v>3707</v>
      </c>
      <c r="B1926" s="71">
        <v>742</v>
      </c>
      <c r="C1926" s="71" t="s">
        <v>3708</v>
      </c>
      <c r="D1926" s="19" t="s">
        <v>3709</v>
      </c>
      <c r="E1926" s="20" t="s">
        <v>414</v>
      </c>
      <c r="F1926" s="21">
        <v>1993</v>
      </c>
      <c r="G1926" s="40">
        <v>2021</v>
      </c>
      <c r="H1926" s="23">
        <v>2726730707143</v>
      </c>
      <c r="I1926" s="23">
        <v>3120770960180</v>
      </c>
      <c r="J1926" s="23">
        <v>2661964947616</v>
      </c>
      <c r="K1926" s="23">
        <f>AVERAGE(J1926,1289232775617)</f>
        <v>1975598861616.5</v>
      </c>
      <c r="L1926" s="23">
        <v>2597115927789</v>
      </c>
      <c r="M1926" s="23">
        <f t="shared" si="621"/>
        <v>458806012564</v>
      </c>
      <c r="N1926" s="23">
        <v>2523252792603</v>
      </c>
      <c r="O1926" s="25">
        <f t="shared" si="643"/>
        <v>129614779354</v>
      </c>
      <c r="P1926" s="23">
        <v>41364633477</v>
      </c>
      <c r="Q1926" s="23">
        <f>66638268655+61958045043</f>
        <v>128596313698</v>
      </c>
      <c r="R1926" s="25">
        <f t="shared" si="644"/>
        <v>2394656478905</v>
      </c>
      <c r="S1926" s="26">
        <f t="shared" si="645"/>
        <v>0.85298311910158986</v>
      </c>
      <c r="T1926" s="27">
        <f t="shared" si="646"/>
        <v>1.0499071981990211</v>
      </c>
      <c r="U1926" s="26">
        <f t="shared" si="647"/>
        <v>28.769101189846911</v>
      </c>
      <c r="V1926" s="26">
        <f t="shared" si="648"/>
        <v>1.2772090739809354</v>
      </c>
      <c r="W1926" s="23"/>
      <c r="X1926" s="23"/>
      <c r="Y1926" s="23"/>
      <c r="Z1926" s="30">
        <f t="shared" si="697"/>
        <v>0</v>
      </c>
      <c r="AA1926" s="31">
        <f t="shared" si="620"/>
        <v>28</v>
      </c>
      <c r="AB1926" s="32">
        <v>1.84E-2</v>
      </c>
      <c r="AC1926" s="32">
        <v>2.58E-2</v>
      </c>
      <c r="AD1926" s="33">
        <f t="shared" si="675"/>
        <v>4.1532935613616477E-2</v>
      </c>
      <c r="AE1926" s="34">
        <f t="shared" si="676"/>
        <v>1.3254620093816231E-2</v>
      </c>
      <c r="AF1926" s="33">
        <f t="shared" si="677"/>
        <v>0.76732849333066111</v>
      </c>
      <c r="AG1926" s="33">
        <f t="shared" si="678"/>
        <v>0</v>
      </c>
      <c r="AH1926" s="35">
        <f t="shared" si="679"/>
        <v>0.94789106628273689</v>
      </c>
      <c r="AI1926" s="36">
        <f t="shared" si="655"/>
        <v>3.5484710851416006</v>
      </c>
      <c r="AJ1926" s="23"/>
      <c r="AK1926" s="120">
        <v>1074</v>
      </c>
      <c r="AL1926" s="44"/>
      <c r="AM1926" s="44"/>
      <c r="AN1926" s="44"/>
      <c r="AO1926" s="44"/>
      <c r="AP1926" s="44"/>
      <c r="AQ1926" s="44"/>
      <c r="AR1926" s="44"/>
    </row>
    <row r="1927" spans="1:44" ht="16.8">
      <c r="A1927" s="74" t="s">
        <v>3710</v>
      </c>
      <c r="B1927" s="75"/>
      <c r="C1927" s="71" t="s">
        <v>3708</v>
      </c>
      <c r="D1927" s="19" t="s">
        <v>3709</v>
      </c>
      <c r="E1927" s="20" t="s">
        <v>414</v>
      </c>
      <c r="F1927" s="21">
        <v>1993</v>
      </c>
      <c r="G1927" s="40">
        <v>2022</v>
      </c>
      <c r="H1927" s="23">
        <v>2998004330975</v>
      </c>
      <c r="I1927" s="23">
        <v>3506412212592</v>
      </c>
      <c r="J1927" s="23">
        <v>3070880599171</v>
      </c>
      <c r="K1927" s="23">
        <f>AVERAGE(J1926:J1927)</f>
        <v>2866422773393.5</v>
      </c>
      <c r="L1927" s="23">
        <v>2947605954364</v>
      </c>
      <c r="M1927" s="23">
        <f t="shared" si="621"/>
        <v>435531613421</v>
      </c>
      <c r="N1927" s="23">
        <v>3043357313549</v>
      </c>
      <c r="O1927" s="25">
        <f t="shared" si="643"/>
        <v>50398376611</v>
      </c>
      <c r="P1927" s="23">
        <v>48412249418</v>
      </c>
      <c r="Q1927" s="23">
        <f>79320626004+55615901695</f>
        <v>134936527699</v>
      </c>
      <c r="R1927" s="25">
        <f t="shared" si="644"/>
        <v>2908420785850</v>
      </c>
      <c r="S1927" s="26">
        <f t="shared" si="645"/>
        <v>0.87578995650969182</v>
      </c>
      <c r="T1927" s="27">
        <f t="shared" si="646"/>
        <v>1.0170980712453725</v>
      </c>
      <c r="U1927" s="26">
        <f t="shared" si="647"/>
        <v>28.885614468988134</v>
      </c>
      <c r="V1927" s="26">
        <f t="shared" si="648"/>
        <v>1.0617266028576904</v>
      </c>
      <c r="W1927" s="23"/>
      <c r="X1927" s="23"/>
      <c r="Y1927" s="23"/>
      <c r="Z1927" s="30">
        <f t="shared" si="697"/>
        <v>0</v>
      </c>
      <c r="AA1927" s="31">
        <f t="shared" si="620"/>
        <v>29</v>
      </c>
      <c r="AB1927" s="32">
        <v>3.15E-2</v>
      </c>
      <c r="AC1927" s="32">
        <v>8.0199999999999994E-2</v>
      </c>
      <c r="AD1927" s="33">
        <f t="shared" si="675"/>
        <v>1.4373203592553271E-2</v>
      </c>
      <c r="AE1927" s="34">
        <f t="shared" si="676"/>
        <v>1.3806776409272439E-2</v>
      </c>
      <c r="AF1927" s="33">
        <f t="shared" si="677"/>
        <v>0.82945775040523417</v>
      </c>
      <c r="AG1927" s="33">
        <f t="shared" si="678"/>
        <v>0</v>
      </c>
      <c r="AH1927" s="35">
        <f t="shared" si="679"/>
        <v>0.99103733123670457</v>
      </c>
      <c r="AI1927" s="36">
        <f t="shared" si="655"/>
        <v>3.7648252388580228</v>
      </c>
      <c r="AJ1927" s="23"/>
      <c r="AK1927" s="120">
        <v>1075</v>
      </c>
    </row>
    <row r="1928" spans="1:44" ht="16.8">
      <c r="A1928" s="74" t="s">
        <v>3711</v>
      </c>
      <c r="B1928" s="75"/>
      <c r="C1928" s="71" t="s">
        <v>3708</v>
      </c>
      <c r="D1928" s="19" t="s">
        <v>3709</v>
      </c>
      <c r="E1928" s="20" t="s">
        <v>414</v>
      </c>
      <c r="F1928" s="21">
        <v>1993</v>
      </c>
      <c r="G1928" s="40">
        <v>2023</v>
      </c>
      <c r="H1928" s="23">
        <v>1637453976026</v>
      </c>
      <c r="I1928" s="23">
        <v>2169752290005</v>
      </c>
      <c r="J1928" s="23">
        <v>1732299209263</v>
      </c>
      <c r="K1928" s="23">
        <f>AVERAGE(L1927:L1928)</f>
        <v>2246542258805.5</v>
      </c>
      <c r="L1928" s="23">
        <v>1545478563247</v>
      </c>
      <c r="M1928" s="23">
        <f t="shared" si="621"/>
        <v>437453080742</v>
      </c>
      <c r="N1928" s="23">
        <v>2652366476601</v>
      </c>
      <c r="O1928" s="25">
        <f t="shared" si="643"/>
        <v>91975412779</v>
      </c>
      <c r="P1928" s="23">
        <v>2395394101</v>
      </c>
      <c r="Q1928" s="23">
        <f>65122739853+53375175096</f>
        <v>118497914949</v>
      </c>
      <c r="R1928" s="25">
        <f t="shared" si="644"/>
        <v>2533868561652</v>
      </c>
      <c r="S1928" s="26">
        <f t="shared" si="645"/>
        <v>0.79838570386254004</v>
      </c>
      <c r="T1928" s="27">
        <f t="shared" si="646"/>
        <v>1.0595125775059362</v>
      </c>
      <c r="U1928" s="26">
        <f t="shared" si="647"/>
        <v>28.405634124893645</v>
      </c>
      <c r="V1928" s="26">
        <f t="shared" si="648"/>
        <v>1.18064392788733</v>
      </c>
      <c r="W1928" s="23"/>
      <c r="X1928" s="23"/>
      <c r="Y1928" s="23"/>
      <c r="Z1928" s="30">
        <f t="shared" si="697"/>
        <v>0</v>
      </c>
      <c r="AA1928" s="31">
        <f t="shared" si="620"/>
        <v>30</v>
      </c>
      <c r="AB1928" s="32">
        <v>3.2500000000000001E-2</v>
      </c>
      <c r="AC1928" s="32">
        <v>5.0500000000000003E-2</v>
      </c>
      <c r="AD1928" s="33">
        <f t="shared" si="675"/>
        <v>4.2389821733423795E-2</v>
      </c>
      <c r="AE1928" s="34">
        <f t="shared" si="676"/>
        <v>1.1039942725418117E-3</v>
      </c>
      <c r="AF1928" s="33">
        <f t="shared" si="677"/>
        <v>1.1678146732805894</v>
      </c>
      <c r="AG1928" s="33">
        <f t="shared" si="678"/>
        <v>0</v>
      </c>
      <c r="AH1928" s="35">
        <f t="shared" si="679"/>
        <v>1.5311249133049245</v>
      </c>
      <c r="AI1928" s="36">
        <f t="shared" si="655"/>
        <v>5.4373267131925367</v>
      </c>
      <c r="AJ1928" s="23"/>
      <c r="AK1928" s="120">
        <v>1076</v>
      </c>
    </row>
    <row r="1929" spans="1:44" ht="16.8">
      <c r="A1929" s="174" t="s">
        <v>3712</v>
      </c>
      <c r="B1929" s="145">
        <v>743</v>
      </c>
      <c r="C1929" s="145" t="s">
        <v>3713</v>
      </c>
      <c r="D1929" s="146" t="s">
        <v>3714</v>
      </c>
      <c r="E1929" s="147" t="s">
        <v>178</v>
      </c>
      <c r="F1929" s="148"/>
      <c r="G1929" s="148">
        <v>2021</v>
      </c>
      <c r="H1929" s="149"/>
      <c r="I1929" s="149"/>
      <c r="J1929" s="149"/>
      <c r="K1929" s="149"/>
      <c r="L1929" s="149"/>
      <c r="M1929" s="149">
        <f t="shared" si="621"/>
        <v>0</v>
      </c>
      <c r="N1929" s="149"/>
      <c r="O1929" s="149">
        <f t="shared" si="643"/>
        <v>0</v>
      </c>
      <c r="P1929" s="149"/>
      <c r="Q1929" s="149"/>
      <c r="R1929" s="149">
        <f t="shared" si="644"/>
        <v>0</v>
      </c>
      <c r="S1929" s="150" t="e">
        <f t="shared" si="645"/>
        <v>#DIV/0!</v>
      </c>
      <c r="T1929" s="151" t="e">
        <f t="shared" si="646"/>
        <v>#DIV/0!</v>
      </c>
      <c r="U1929" s="150" t="e">
        <f t="shared" si="647"/>
        <v>#NUM!</v>
      </c>
      <c r="V1929" s="150" t="e">
        <f t="shared" si="648"/>
        <v>#DIV/0!</v>
      </c>
      <c r="W1929" s="149"/>
      <c r="X1929" s="149"/>
      <c r="Y1929" s="149"/>
      <c r="Z1929" s="149">
        <f>W1929*Y1929</f>
        <v>0</v>
      </c>
      <c r="AA1929" s="149">
        <f t="shared" si="620"/>
        <v>2021</v>
      </c>
      <c r="AB1929" s="149"/>
      <c r="AC1929" s="149"/>
      <c r="AD1929" s="150" t="e">
        <f t="shared" si="675"/>
        <v>#DIV/0!</v>
      </c>
      <c r="AE1929" s="154" t="e">
        <f t="shared" si="676"/>
        <v>#DIV/0!</v>
      </c>
      <c r="AF1929" s="150" t="e">
        <f t="shared" si="677"/>
        <v>#DIV/0!</v>
      </c>
      <c r="AG1929" s="150" t="e">
        <f t="shared" si="678"/>
        <v>#DIV/0!</v>
      </c>
      <c r="AH1929" s="155" t="e">
        <f t="shared" si="679"/>
        <v>#DIV/0!</v>
      </c>
      <c r="AI1929" s="156" t="e">
        <f t="shared" si="655"/>
        <v>#DIV/0!</v>
      </c>
      <c r="AJ1929" s="149"/>
      <c r="AK1929" s="149"/>
      <c r="AL1929" s="157"/>
      <c r="AM1929" s="157"/>
      <c r="AN1929" s="157"/>
      <c r="AO1929" s="157"/>
      <c r="AP1929" s="157"/>
      <c r="AQ1929" s="157"/>
      <c r="AR1929" s="157"/>
    </row>
    <row r="1930" spans="1:44" ht="16.8">
      <c r="A1930" s="179" t="s">
        <v>3715</v>
      </c>
      <c r="B1930" s="180"/>
      <c r="C1930" s="180"/>
      <c r="D1930" s="180"/>
      <c r="E1930" s="147" t="s">
        <v>178</v>
      </c>
      <c r="F1930" s="148"/>
      <c r="G1930" s="148">
        <v>2022</v>
      </c>
      <c r="H1930" s="149"/>
      <c r="I1930" s="149"/>
      <c r="J1930" s="149"/>
      <c r="K1930" s="149"/>
      <c r="L1930" s="149"/>
      <c r="M1930" s="149">
        <f t="shared" si="621"/>
        <v>0</v>
      </c>
      <c r="N1930" s="149"/>
      <c r="O1930" s="149">
        <f t="shared" si="643"/>
        <v>0</v>
      </c>
      <c r="P1930" s="149"/>
      <c r="Q1930" s="149"/>
      <c r="R1930" s="149">
        <f t="shared" si="644"/>
        <v>0</v>
      </c>
      <c r="S1930" s="150" t="e">
        <f t="shared" si="645"/>
        <v>#DIV/0!</v>
      </c>
      <c r="T1930" s="151" t="e">
        <f t="shared" si="646"/>
        <v>#DIV/0!</v>
      </c>
      <c r="U1930" s="150" t="e">
        <f t="shared" si="647"/>
        <v>#NUM!</v>
      </c>
      <c r="V1930" s="150" t="e">
        <f t="shared" si="648"/>
        <v>#DIV/0!</v>
      </c>
      <c r="W1930" s="149"/>
      <c r="X1930" s="149"/>
      <c r="Y1930" s="149"/>
      <c r="Z1930" s="149"/>
      <c r="AA1930" s="149"/>
      <c r="AB1930" s="149"/>
      <c r="AC1930" s="149"/>
      <c r="AD1930" s="150" t="e">
        <f t="shared" si="675"/>
        <v>#DIV/0!</v>
      </c>
      <c r="AE1930" s="154" t="e">
        <f t="shared" si="676"/>
        <v>#DIV/0!</v>
      </c>
      <c r="AF1930" s="150" t="e">
        <f t="shared" si="677"/>
        <v>#DIV/0!</v>
      </c>
      <c r="AG1930" s="150" t="e">
        <f t="shared" si="678"/>
        <v>#DIV/0!</v>
      </c>
      <c r="AH1930" s="155" t="e">
        <f t="shared" si="679"/>
        <v>#DIV/0!</v>
      </c>
      <c r="AI1930" s="156" t="e">
        <f t="shared" si="655"/>
        <v>#DIV/0!</v>
      </c>
      <c r="AJ1930" s="149"/>
      <c r="AK1930" s="180"/>
      <c r="AL1930" s="181"/>
      <c r="AM1930" s="181"/>
      <c r="AN1930" s="181"/>
      <c r="AO1930" s="181"/>
      <c r="AP1930" s="181"/>
      <c r="AQ1930" s="181"/>
      <c r="AR1930" s="181"/>
    </row>
    <row r="1931" spans="1:44" ht="16.8">
      <c r="A1931" s="179" t="s">
        <v>3716</v>
      </c>
      <c r="B1931" s="180"/>
      <c r="C1931" s="180"/>
      <c r="D1931" s="180"/>
      <c r="E1931" s="147" t="s">
        <v>178</v>
      </c>
      <c r="F1931" s="148"/>
      <c r="G1931" s="148">
        <v>2023</v>
      </c>
      <c r="H1931" s="149"/>
      <c r="I1931" s="149"/>
      <c r="J1931" s="149"/>
      <c r="K1931" s="149"/>
      <c r="L1931" s="149"/>
      <c r="M1931" s="149">
        <f t="shared" si="621"/>
        <v>0</v>
      </c>
      <c r="N1931" s="149"/>
      <c r="O1931" s="149">
        <f t="shared" si="643"/>
        <v>0</v>
      </c>
      <c r="P1931" s="149"/>
      <c r="Q1931" s="149"/>
      <c r="R1931" s="149">
        <f t="shared" si="644"/>
        <v>0</v>
      </c>
      <c r="S1931" s="150" t="e">
        <f t="shared" si="645"/>
        <v>#DIV/0!</v>
      </c>
      <c r="T1931" s="151" t="e">
        <f t="shared" si="646"/>
        <v>#DIV/0!</v>
      </c>
      <c r="U1931" s="150" t="e">
        <f t="shared" si="647"/>
        <v>#NUM!</v>
      </c>
      <c r="V1931" s="150" t="e">
        <f t="shared" si="648"/>
        <v>#DIV/0!</v>
      </c>
      <c r="W1931" s="149"/>
      <c r="X1931" s="149"/>
      <c r="Y1931" s="149"/>
      <c r="Z1931" s="149"/>
      <c r="AA1931" s="149"/>
      <c r="AB1931" s="149"/>
      <c r="AC1931" s="149"/>
      <c r="AD1931" s="150" t="e">
        <f t="shared" si="675"/>
        <v>#DIV/0!</v>
      </c>
      <c r="AE1931" s="154" t="e">
        <f t="shared" si="676"/>
        <v>#DIV/0!</v>
      </c>
      <c r="AF1931" s="150" t="e">
        <f t="shared" si="677"/>
        <v>#DIV/0!</v>
      </c>
      <c r="AG1931" s="150" t="e">
        <f t="shared" si="678"/>
        <v>#DIV/0!</v>
      </c>
      <c r="AH1931" s="155" t="e">
        <f t="shared" si="679"/>
        <v>#DIV/0!</v>
      </c>
      <c r="AI1931" s="156" t="e">
        <f t="shared" si="655"/>
        <v>#DIV/0!</v>
      </c>
      <c r="AJ1931" s="149" t="s">
        <v>3717</v>
      </c>
      <c r="AK1931" s="180"/>
      <c r="AL1931" s="181"/>
      <c r="AM1931" s="181"/>
      <c r="AN1931" s="181"/>
      <c r="AO1931" s="181"/>
      <c r="AP1931" s="181"/>
      <c r="AQ1931" s="181"/>
      <c r="AR1931" s="181"/>
    </row>
    <row r="1932" spans="1:44" ht="16.8">
      <c r="A1932" s="70" t="s">
        <v>3718</v>
      </c>
      <c r="B1932" s="71">
        <v>744</v>
      </c>
      <c r="C1932" s="71" t="s">
        <v>3719</v>
      </c>
      <c r="D1932" s="19" t="s">
        <v>3720</v>
      </c>
      <c r="E1932" s="20" t="s">
        <v>414</v>
      </c>
      <c r="F1932" s="21">
        <v>1991</v>
      </c>
      <c r="G1932" s="40">
        <v>2021</v>
      </c>
      <c r="H1932" s="23">
        <v>224017465490</v>
      </c>
      <c r="I1932" s="23">
        <v>385719620952</v>
      </c>
      <c r="J1932" s="23">
        <v>47051269265</v>
      </c>
      <c r="K1932" s="23">
        <f>AVERAGE(J1934,39317847778)</f>
        <v>36756402537</v>
      </c>
      <c r="L1932" s="23">
        <v>38051269265</v>
      </c>
      <c r="M1932" s="23">
        <f t="shared" si="621"/>
        <v>338668351687</v>
      </c>
      <c r="N1932" s="23">
        <v>70190859828</v>
      </c>
      <c r="O1932" s="25">
        <f t="shared" si="643"/>
        <v>185966196225</v>
      </c>
      <c r="P1932" s="23">
        <v>39269882101</v>
      </c>
      <c r="Q1932" s="23">
        <f>807638597+7857689533</f>
        <v>8665328130</v>
      </c>
      <c r="R1932" s="25">
        <f t="shared" si="644"/>
        <v>61525531698</v>
      </c>
      <c r="S1932" s="26">
        <f t="shared" si="645"/>
        <v>0.12198308488656114</v>
      </c>
      <c r="T1932" s="27">
        <f t="shared" si="646"/>
        <v>5.8872534298364094</v>
      </c>
      <c r="U1932" s="26">
        <f t="shared" si="647"/>
        <v>26.678376571885632</v>
      </c>
      <c r="V1932" s="26">
        <f t="shared" si="648"/>
        <v>1.9096226775007146</v>
      </c>
      <c r="W1932" s="23"/>
      <c r="X1932" s="23"/>
      <c r="Y1932" s="23"/>
      <c r="Z1932" s="30">
        <f t="shared" ref="Z1932:Z1974" si="704">X1932*Y1932</f>
        <v>0</v>
      </c>
      <c r="AA1932" s="31">
        <f t="shared" ref="AA1932:AA2186" si="705">G1932-F1932</f>
        <v>30</v>
      </c>
      <c r="AB1932" s="32">
        <v>1.84E-2</v>
      </c>
      <c r="AC1932" s="32">
        <v>2.58E-2</v>
      </c>
      <c r="AD1932" s="33">
        <f t="shared" si="675"/>
        <v>0.48212791396510818</v>
      </c>
      <c r="AE1932" s="34">
        <f t="shared" si="676"/>
        <v>0.10180939720950014</v>
      </c>
      <c r="AF1932" s="33">
        <f t="shared" si="677"/>
        <v>0.15950843139933607</v>
      </c>
      <c r="AG1932" s="33">
        <f t="shared" si="678"/>
        <v>0</v>
      </c>
      <c r="AH1932" s="35">
        <f t="shared" si="679"/>
        <v>1.4917952464294695</v>
      </c>
      <c r="AI1932" s="36">
        <f t="shared" si="655"/>
        <v>2.7392597228987086</v>
      </c>
      <c r="AJ1932" s="23"/>
      <c r="AK1932" s="120">
        <v>1077</v>
      </c>
      <c r="AL1932" s="44"/>
      <c r="AM1932" s="44"/>
      <c r="AN1932" s="44"/>
      <c r="AO1932" s="44"/>
      <c r="AP1932" s="44"/>
      <c r="AQ1932" s="44"/>
      <c r="AR1932" s="44"/>
    </row>
    <row r="1933" spans="1:44" ht="16.8">
      <c r="A1933" s="74" t="s">
        <v>3721</v>
      </c>
      <c r="B1933" s="75"/>
      <c r="C1933" s="71" t="s">
        <v>3719</v>
      </c>
      <c r="D1933" s="19" t="s">
        <v>3720</v>
      </c>
      <c r="E1933" s="20" t="s">
        <v>414</v>
      </c>
      <c r="F1933" s="21">
        <v>1991</v>
      </c>
      <c r="G1933" s="40">
        <v>2022</v>
      </c>
      <c r="H1933" s="23">
        <v>242318067447</v>
      </c>
      <c r="I1933" s="23">
        <v>404009623355</v>
      </c>
      <c r="J1933" s="23">
        <v>60237278484</v>
      </c>
      <c r="K1933" s="23">
        <f t="shared" ref="K1933:K1934" si="706">AVERAGE(J1932:J1933)</f>
        <v>53644273874.5</v>
      </c>
      <c r="L1933" s="23">
        <v>51237278484</v>
      </c>
      <c r="M1933" s="23">
        <f t="shared" si="621"/>
        <v>343772344871</v>
      </c>
      <c r="N1933" s="23">
        <v>97357827747</v>
      </c>
      <c r="O1933" s="25">
        <f t="shared" si="643"/>
        <v>191080788963</v>
      </c>
      <c r="P1933" s="23">
        <v>51793228184</v>
      </c>
      <c r="Q1933" s="23">
        <f>2702568650+9657439211</f>
        <v>12360007861</v>
      </c>
      <c r="R1933" s="25">
        <f t="shared" si="644"/>
        <v>84997819886</v>
      </c>
      <c r="S1933" s="26">
        <f t="shared" si="645"/>
        <v>0.14909862290846965</v>
      </c>
      <c r="T1933" s="27">
        <f t="shared" si="646"/>
        <v>4.7293313504672057</v>
      </c>
      <c r="U1933" s="26">
        <f t="shared" si="647"/>
        <v>26.724704534809508</v>
      </c>
      <c r="V1933" s="26">
        <f t="shared" si="648"/>
        <v>1.8148782845820082</v>
      </c>
      <c r="W1933" s="23"/>
      <c r="X1933" s="23"/>
      <c r="Y1933" s="23"/>
      <c r="Z1933" s="30">
        <f t="shared" si="704"/>
        <v>0</v>
      </c>
      <c r="AA1933" s="31">
        <f t="shared" si="705"/>
        <v>31</v>
      </c>
      <c r="AB1933" s="32">
        <v>3.15E-2</v>
      </c>
      <c r="AC1933" s="32">
        <v>8.0199999999999994E-2</v>
      </c>
      <c r="AD1933" s="33">
        <f t="shared" si="675"/>
        <v>0.47296098388997743</v>
      </c>
      <c r="AE1933" s="34">
        <f t="shared" si="676"/>
        <v>0.12819800616108024</v>
      </c>
      <c r="AF1933" s="33">
        <f t="shared" si="677"/>
        <v>0.21038563185737064</v>
      </c>
      <c r="AG1933" s="33">
        <f t="shared" si="678"/>
        <v>0</v>
      </c>
      <c r="AH1933" s="35">
        <f t="shared" si="679"/>
        <v>1.616238817509988</v>
      </c>
      <c r="AI1933" s="36">
        <f t="shared" si="655"/>
        <v>3.0575417919327963</v>
      </c>
      <c r="AJ1933" s="23"/>
      <c r="AK1933" s="120">
        <v>1078</v>
      </c>
    </row>
    <row r="1934" spans="1:44" ht="16.8">
      <c r="A1934" s="74" t="s">
        <v>3722</v>
      </c>
      <c r="B1934" s="75"/>
      <c r="C1934" s="71" t="s">
        <v>3719</v>
      </c>
      <c r="D1934" s="19" t="s">
        <v>3720</v>
      </c>
      <c r="E1934" s="20" t="s">
        <v>414</v>
      </c>
      <c r="F1934" s="21">
        <v>1991</v>
      </c>
      <c r="G1934" s="40">
        <v>2023</v>
      </c>
      <c r="H1934" s="23">
        <v>202569925259</v>
      </c>
      <c r="I1934" s="23">
        <v>366729223911</v>
      </c>
      <c r="J1934" s="23">
        <v>34194957296</v>
      </c>
      <c r="K1934" s="23">
        <f t="shared" si="706"/>
        <v>47216117890</v>
      </c>
      <c r="L1934" s="23">
        <v>34194957296</v>
      </c>
      <c r="M1934" s="23">
        <f t="shared" si="621"/>
        <v>332534266615</v>
      </c>
      <c r="N1934" s="23">
        <v>129522967763</v>
      </c>
      <c r="O1934" s="25">
        <f t="shared" si="643"/>
        <v>168374967963</v>
      </c>
      <c r="P1934" s="23">
        <v>32838689244</v>
      </c>
      <c r="Q1934" s="23">
        <f>1822039246+11306331737</f>
        <v>13128370983</v>
      </c>
      <c r="R1934" s="25">
        <f t="shared" si="644"/>
        <v>116394596780</v>
      </c>
      <c r="S1934" s="26">
        <f t="shared" si="645"/>
        <v>9.3243066181981263E-2</v>
      </c>
      <c r="T1934" s="27">
        <f t="shared" si="646"/>
        <v>5.9239707043791476</v>
      </c>
      <c r="U1934" s="26">
        <f t="shared" si="647"/>
        <v>26.627889603178783</v>
      </c>
      <c r="V1934" s="26">
        <f t="shared" si="648"/>
        <v>2.7431939251073403</v>
      </c>
      <c r="W1934" s="23"/>
      <c r="X1934" s="23"/>
      <c r="Y1934" s="23"/>
      <c r="Z1934" s="30">
        <f t="shared" si="704"/>
        <v>0</v>
      </c>
      <c r="AA1934" s="31">
        <f t="shared" si="705"/>
        <v>32</v>
      </c>
      <c r="AB1934" s="32">
        <v>3.2500000000000001E-2</v>
      </c>
      <c r="AC1934" s="32">
        <v>5.0500000000000003E-2</v>
      </c>
      <c r="AD1934" s="33">
        <f t="shared" si="675"/>
        <v>0.4591261262665618</v>
      </c>
      <c r="AE1934" s="34">
        <f t="shared" si="676"/>
        <v>8.9544784279230183E-2</v>
      </c>
      <c r="AF1934" s="33">
        <f t="shared" si="677"/>
        <v>0.31738566002104956</v>
      </c>
      <c r="AG1934" s="33">
        <f t="shared" si="678"/>
        <v>0</v>
      </c>
      <c r="AH1934" s="35">
        <f t="shared" si="679"/>
        <v>3.7877797782233555</v>
      </c>
      <c r="AI1934" s="36">
        <f t="shared" si="655"/>
        <v>5.5114665058036154</v>
      </c>
      <c r="AJ1934" s="23"/>
      <c r="AK1934" s="120">
        <v>1079</v>
      </c>
    </row>
    <row r="1935" spans="1:44" ht="16.8">
      <c r="A1935" s="45"/>
      <c r="B1935" s="45">
        <v>745</v>
      </c>
      <c r="C1935" s="45" t="s">
        <v>3723</v>
      </c>
      <c r="D1935" s="46" t="s">
        <v>3724</v>
      </c>
      <c r="E1935" s="47"/>
      <c r="F1935" s="48">
        <v>2006</v>
      </c>
      <c r="G1935" s="48">
        <v>2021</v>
      </c>
      <c r="H1935" s="49"/>
      <c r="I1935" s="49"/>
      <c r="J1935" s="49"/>
      <c r="K1935" s="49"/>
      <c r="L1935" s="49"/>
      <c r="M1935" s="49">
        <f t="shared" si="621"/>
        <v>0</v>
      </c>
      <c r="N1935" s="49"/>
      <c r="O1935" s="49">
        <f t="shared" si="643"/>
        <v>0</v>
      </c>
      <c r="P1935" s="49"/>
      <c r="Q1935" s="49"/>
      <c r="R1935" s="49">
        <f t="shared" si="644"/>
        <v>0</v>
      </c>
      <c r="S1935" s="50" t="e">
        <f t="shared" si="645"/>
        <v>#DIV/0!</v>
      </c>
      <c r="T1935" s="51" t="e">
        <f t="shared" si="646"/>
        <v>#DIV/0!</v>
      </c>
      <c r="U1935" s="50" t="e">
        <f t="shared" si="647"/>
        <v>#NUM!</v>
      </c>
      <c r="V1935" s="50" t="e">
        <f t="shared" si="648"/>
        <v>#DIV/0!</v>
      </c>
      <c r="W1935" s="49"/>
      <c r="X1935" s="49"/>
      <c r="Y1935" s="49"/>
      <c r="Z1935" s="55">
        <f t="shared" si="704"/>
        <v>0</v>
      </c>
      <c r="AA1935" s="48">
        <f t="shared" si="705"/>
        <v>15</v>
      </c>
      <c r="AB1935" s="49"/>
      <c r="AC1935" s="49"/>
      <c r="AD1935" s="50" t="e">
        <f t="shared" si="675"/>
        <v>#DIV/0!</v>
      </c>
      <c r="AE1935" s="56" t="e">
        <f t="shared" si="676"/>
        <v>#DIV/0!</v>
      </c>
      <c r="AF1935" s="50" t="e">
        <f t="shared" si="677"/>
        <v>#DIV/0!</v>
      </c>
      <c r="AG1935" s="50" t="e">
        <f t="shared" si="678"/>
        <v>#DIV/0!</v>
      </c>
      <c r="AH1935" s="57" t="e">
        <f t="shared" si="679"/>
        <v>#DIV/0!</v>
      </c>
      <c r="AI1935" s="58" t="e">
        <f t="shared" si="655"/>
        <v>#DIV/0!</v>
      </c>
      <c r="AJ1935" s="49"/>
      <c r="AK1935" s="49">
        <v>1080</v>
      </c>
      <c r="AL1935" s="49"/>
      <c r="AM1935" s="49"/>
      <c r="AN1935" s="49"/>
      <c r="AO1935" s="59"/>
      <c r="AP1935" s="59"/>
      <c r="AQ1935" s="59"/>
      <c r="AR1935" s="59"/>
    </row>
    <row r="1936" spans="1:44" ht="16.8">
      <c r="A1936" s="70" t="s">
        <v>3725</v>
      </c>
      <c r="B1936" s="71">
        <v>746</v>
      </c>
      <c r="C1936" s="71" t="s">
        <v>3726</v>
      </c>
      <c r="D1936" s="19" t="s">
        <v>3727</v>
      </c>
      <c r="E1936" s="20" t="s">
        <v>414</v>
      </c>
      <c r="F1936" s="21">
        <v>2001</v>
      </c>
      <c r="G1936" s="40">
        <v>2021</v>
      </c>
      <c r="H1936" s="23">
        <v>212811500349</v>
      </c>
      <c r="I1936" s="23">
        <v>749101035092</v>
      </c>
      <c r="J1936" s="23">
        <v>412363927884</v>
      </c>
      <c r="K1936" s="23">
        <f>AVERAGE(J1936,361915971054)</f>
        <v>387139949469</v>
      </c>
      <c r="L1936" s="23">
        <v>412363927884</v>
      </c>
      <c r="M1936" s="23">
        <f t="shared" si="621"/>
        <v>336737107208</v>
      </c>
      <c r="N1936" s="23">
        <v>895836126639</v>
      </c>
      <c r="O1936" s="25">
        <f t="shared" si="643"/>
        <v>-199552427535</v>
      </c>
      <c r="P1936" s="23">
        <v>15201049511</v>
      </c>
      <c r="Q1936" s="23">
        <f>41993659050+26200197629</f>
        <v>68193856679</v>
      </c>
      <c r="R1936" s="25">
        <f t="shared" si="644"/>
        <v>827642269960</v>
      </c>
      <c r="S1936" s="26">
        <f t="shared" si="645"/>
        <v>0.55047838484611888</v>
      </c>
      <c r="T1936" s="27">
        <f t="shared" si="646"/>
        <v>0.51607690672901174</v>
      </c>
      <c r="U1936" s="26">
        <f t="shared" si="647"/>
        <v>27.342139704680097</v>
      </c>
      <c r="V1936" s="26">
        <f t="shared" si="648"/>
        <v>2.3139852341968998</v>
      </c>
      <c r="W1936" s="23"/>
      <c r="X1936" s="23"/>
      <c r="Y1936" s="23"/>
      <c r="Z1936" s="30">
        <f t="shared" si="704"/>
        <v>0</v>
      </c>
      <c r="AA1936" s="31">
        <f t="shared" si="705"/>
        <v>20</v>
      </c>
      <c r="AB1936" s="32">
        <v>1.84E-2</v>
      </c>
      <c r="AC1936" s="32">
        <v>2.58E-2</v>
      </c>
      <c r="AD1936" s="33">
        <f t="shared" si="675"/>
        <v>-0.26638920277355138</v>
      </c>
      <c r="AE1936" s="34">
        <f t="shared" si="676"/>
        <v>2.0292388875331215E-2</v>
      </c>
      <c r="AF1936" s="33">
        <f t="shared" si="677"/>
        <v>1.1048473185707908</v>
      </c>
      <c r="AG1936" s="33">
        <f t="shared" si="678"/>
        <v>0</v>
      </c>
      <c r="AH1936" s="35">
        <f t="shared" si="679"/>
        <v>2.1724405702406711</v>
      </c>
      <c r="AI1936" s="36">
        <f t="shared" si="655"/>
        <v>5.5271790226214828</v>
      </c>
      <c r="AJ1936" s="23"/>
      <c r="AK1936" s="120">
        <v>1081</v>
      </c>
      <c r="AL1936" s="23"/>
      <c r="AM1936" s="23"/>
      <c r="AN1936" s="23"/>
      <c r="AO1936" s="44"/>
      <c r="AP1936" s="44"/>
      <c r="AQ1936" s="44"/>
      <c r="AR1936" s="44"/>
    </row>
    <row r="1937" spans="1:44" ht="16.8">
      <c r="A1937" s="74" t="s">
        <v>3728</v>
      </c>
      <c r="B1937" s="75"/>
      <c r="C1937" s="71" t="s">
        <v>3726</v>
      </c>
      <c r="D1937" s="19" t="s">
        <v>3727</v>
      </c>
      <c r="E1937" s="20" t="s">
        <v>414</v>
      </c>
      <c r="F1937" s="21">
        <v>2001</v>
      </c>
      <c r="G1937" s="40">
        <v>2022</v>
      </c>
      <c r="H1937" s="23">
        <v>445419478665</v>
      </c>
      <c r="I1937" s="23">
        <v>641562410234</v>
      </c>
      <c r="J1937" s="23">
        <v>305627839531</v>
      </c>
      <c r="K1937" s="23">
        <f t="shared" ref="K1937:K1938" si="707">AVERAGE(J1936:J1937)</f>
        <v>358995883707.5</v>
      </c>
      <c r="L1937" s="23">
        <v>305627839531</v>
      </c>
      <c r="M1937" s="23">
        <f t="shared" si="621"/>
        <v>335934570703</v>
      </c>
      <c r="N1937" s="23">
        <v>1033094121863</v>
      </c>
      <c r="O1937" s="25">
        <f t="shared" si="643"/>
        <v>139791639134</v>
      </c>
      <c r="P1937" s="23">
        <v>14959332695</v>
      </c>
      <c r="Q1937" s="23">
        <f>46236445144+25110394180</f>
        <v>71346839324</v>
      </c>
      <c r="R1937" s="25">
        <f t="shared" si="644"/>
        <v>961747282539</v>
      </c>
      <c r="S1937" s="26">
        <f t="shared" si="645"/>
        <v>0.47638052768635081</v>
      </c>
      <c r="T1937" s="27">
        <f t="shared" si="646"/>
        <v>1.4573917066865267</v>
      </c>
      <c r="U1937" s="26">
        <f t="shared" si="647"/>
        <v>27.187172304241876</v>
      </c>
      <c r="V1937" s="26">
        <f t="shared" si="648"/>
        <v>2.877732499865477</v>
      </c>
      <c r="W1937" s="23"/>
      <c r="X1937" s="23"/>
      <c r="Y1937" s="23"/>
      <c r="Z1937" s="30">
        <f t="shared" si="704"/>
        <v>0</v>
      </c>
      <c r="AA1937" s="31">
        <f t="shared" si="705"/>
        <v>21</v>
      </c>
      <c r="AB1937" s="32">
        <v>3.15E-2</v>
      </c>
      <c r="AC1937" s="32">
        <v>8.0199999999999994E-2</v>
      </c>
      <c r="AD1937" s="33">
        <f t="shared" si="675"/>
        <v>0.21789250259068818</v>
      </c>
      <c r="AE1937" s="34">
        <f t="shared" si="676"/>
        <v>2.3317034253212892E-2</v>
      </c>
      <c r="AF1937" s="33">
        <f t="shared" si="677"/>
        <v>1.4990704991400876</v>
      </c>
      <c r="AG1937" s="33">
        <f t="shared" si="678"/>
        <v>0</v>
      </c>
      <c r="AH1937" s="35">
        <f t="shared" si="679"/>
        <v>3.3802356599723722</v>
      </c>
      <c r="AI1937" s="36">
        <f t="shared" si="655"/>
        <v>8.6212831581979845</v>
      </c>
      <c r="AJ1937" s="23"/>
      <c r="AK1937" s="120">
        <v>1082</v>
      </c>
      <c r="AL1937" s="23"/>
      <c r="AM1937" s="23"/>
      <c r="AN1937" s="23"/>
    </row>
    <row r="1938" spans="1:44" ht="16.8">
      <c r="A1938" s="74" t="s">
        <v>3729</v>
      </c>
      <c r="B1938" s="75"/>
      <c r="C1938" s="71" t="s">
        <v>3726</v>
      </c>
      <c r="D1938" s="19" t="s">
        <v>3727</v>
      </c>
      <c r="E1938" s="20" t="s">
        <v>414</v>
      </c>
      <c r="F1938" s="21">
        <v>2001</v>
      </c>
      <c r="G1938" s="40">
        <v>2023</v>
      </c>
      <c r="H1938" s="23">
        <v>239356462445</v>
      </c>
      <c r="I1938" s="23">
        <v>461911203713</v>
      </c>
      <c r="J1938" s="23">
        <v>174752762325</v>
      </c>
      <c r="K1938" s="23">
        <f t="shared" si="707"/>
        <v>240190300928</v>
      </c>
      <c r="L1938" s="23">
        <v>174752762325</v>
      </c>
      <c r="M1938" s="23">
        <f t="shared" si="621"/>
        <v>287158441388</v>
      </c>
      <c r="N1938" s="23">
        <v>567046033540</v>
      </c>
      <c r="O1938" s="25">
        <f t="shared" si="643"/>
        <v>64603700120</v>
      </c>
      <c r="P1938" s="23">
        <v>-48776129315</v>
      </c>
      <c r="Q1938" s="23">
        <v>34146965158</v>
      </c>
      <c r="R1938" s="25">
        <f t="shared" si="644"/>
        <v>532899068382</v>
      </c>
      <c r="S1938" s="26">
        <f t="shared" si="645"/>
        <v>0.37832544636345172</v>
      </c>
      <c r="T1938" s="27">
        <f t="shared" si="646"/>
        <v>1.3696862885626493</v>
      </c>
      <c r="U1938" s="26">
        <f t="shared" si="647"/>
        <v>26.858638509799999</v>
      </c>
      <c r="V1938" s="26">
        <f t="shared" si="648"/>
        <v>2.360819863871102</v>
      </c>
      <c r="W1938" s="23"/>
      <c r="X1938" s="23"/>
      <c r="Y1938" s="23"/>
      <c r="Z1938" s="30">
        <f t="shared" si="704"/>
        <v>0</v>
      </c>
      <c r="AA1938" s="31">
        <f t="shared" si="705"/>
        <v>22</v>
      </c>
      <c r="AB1938" s="32">
        <v>3.2500000000000001E-2</v>
      </c>
      <c r="AC1938" s="32">
        <v>5.0500000000000003E-2</v>
      </c>
      <c r="AD1938" s="33">
        <f t="shared" si="675"/>
        <v>0.13986173013491207</v>
      </c>
      <c r="AE1938" s="34">
        <f t="shared" si="676"/>
        <v>-0.10559633306774292</v>
      </c>
      <c r="AF1938" s="33">
        <f t="shared" si="677"/>
        <v>1.1536829245499467</v>
      </c>
      <c r="AG1938" s="33">
        <f t="shared" si="678"/>
        <v>0</v>
      </c>
      <c r="AH1938" s="35">
        <f t="shared" si="679"/>
        <v>3.2448473259920472</v>
      </c>
      <c r="AI1938" s="36">
        <f t="shared" si="655"/>
        <v>7.0720001868739253</v>
      </c>
      <c r="AJ1938" s="23"/>
      <c r="AK1938" s="120">
        <v>1083</v>
      </c>
      <c r="AL1938" s="23"/>
      <c r="AM1938" s="23"/>
      <c r="AN1938" s="23"/>
    </row>
    <row r="1939" spans="1:44" ht="16.8">
      <c r="A1939" s="70" t="s">
        <v>3730</v>
      </c>
      <c r="B1939" s="71">
        <v>747</v>
      </c>
      <c r="C1939" s="71" t="s">
        <v>3731</v>
      </c>
      <c r="D1939" s="19" t="s">
        <v>3732</v>
      </c>
      <c r="E1939" s="20" t="s">
        <v>414</v>
      </c>
      <c r="F1939" s="21">
        <v>1972</v>
      </c>
      <c r="G1939" s="40">
        <v>2021</v>
      </c>
      <c r="H1939" s="23">
        <v>1093976719440</v>
      </c>
      <c r="I1939" s="23">
        <v>1707096966861</v>
      </c>
      <c r="J1939" s="23">
        <v>439571410067</v>
      </c>
      <c r="K1939" s="23">
        <f>AVERAGE(J1941,478376329432)</f>
        <v>556611093313</v>
      </c>
      <c r="L1939" s="23">
        <v>439571410067</v>
      </c>
      <c r="M1939" s="23">
        <f t="shared" si="621"/>
        <v>1267525556794</v>
      </c>
      <c r="N1939" s="23">
        <v>2167897961446</v>
      </c>
      <c r="O1939" s="25">
        <f t="shared" si="643"/>
        <v>654405309373</v>
      </c>
      <c r="P1939" s="23">
        <v>264466856142</v>
      </c>
      <c r="Q1939" s="23">
        <v>820854976723</v>
      </c>
      <c r="R1939" s="25">
        <f t="shared" si="644"/>
        <v>1347042984723</v>
      </c>
      <c r="S1939" s="26">
        <f t="shared" si="645"/>
        <v>0.25749645075831945</v>
      </c>
      <c r="T1939" s="27">
        <f t="shared" si="646"/>
        <v>2.4887349231226272</v>
      </c>
      <c r="U1939" s="26">
        <f t="shared" si="647"/>
        <v>28.165815363552792</v>
      </c>
      <c r="V1939" s="26">
        <f t="shared" si="648"/>
        <v>3.8948163044011097</v>
      </c>
      <c r="W1939" s="23"/>
      <c r="X1939" s="23"/>
      <c r="Y1939" s="23"/>
      <c r="Z1939" s="30">
        <f t="shared" si="704"/>
        <v>0</v>
      </c>
      <c r="AA1939" s="31">
        <f t="shared" si="705"/>
        <v>49</v>
      </c>
      <c r="AB1939" s="32">
        <v>1.84E-2</v>
      </c>
      <c r="AC1939" s="32">
        <v>2.58E-2</v>
      </c>
      <c r="AD1939" s="33">
        <f t="shared" si="675"/>
        <v>0.38334395882403605</v>
      </c>
      <c r="AE1939" s="34">
        <f t="shared" si="676"/>
        <v>0.15492198819162575</v>
      </c>
      <c r="AF1939" s="33">
        <f t="shared" si="677"/>
        <v>0.7890840478733524</v>
      </c>
      <c r="AG1939" s="33">
        <f t="shared" si="678"/>
        <v>0</v>
      </c>
      <c r="AH1939" s="35">
        <f t="shared" si="679"/>
        <v>4.9318447737890105</v>
      </c>
      <c r="AI1939" s="36">
        <f t="shared" si="655"/>
        <v>8.2127256658281915</v>
      </c>
      <c r="AJ1939" s="23"/>
      <c r="AK1939" s="120">
        <v>1084</v>
      </c>
      <c r="AL1939" s="44"/>
      <c r="AM1939" s="44"/>
      <c r="AN1939" s="44"/>
      <c r="AO1939" s="44"/>
      <c r="AP1939" s="44"/>
      <c r="AQ1939" s="44"/>
      <c r="AR1939" s="44"/>
    </row>
    <row r="1940" spans="1:44" ht="16.8">
      <c r="A1940" s="74" t="s">
        <v>3733</v>
      </c>
      <c r="B1940" s="75"/>
      <c r="C1940" s="71" t="s">
        <v>3731</v>
      </c>
      <c r="D1940" s="19" t="s">
        <v>3732</v>
      </c>
      <c r="E1940" s="20" t="s">
        <v>414</v>
      </c>
      <c r="F1940" s="21">
        <v>1972</v>
      </c>
      <c r="G1940" s="40">
        <v>2022</v>
      </c>
      <c r="H1940" s="23">
        <v>1226498650955</v>
      </c>
      <c r="I1940" s="23">
        <v>1816265027249</v>
      </c>
      <c r="J1940" s="23">
        <v>435706116007</v>
      </c>
      <c r="K1940" s="23">
        <f t="shared" ref="K1940:K1941" si="708">AVERAGE(J1939:J1940)</f>
        <v>437638763037</v>
      </c>
      <c r="L1940" s="23">
        <v>435706116007</v>
      </c>
      <c r="M1940" s="23">
        <f t="shared" si="621"/>
        <v>1380558911242</v>
      </c>
      <c r="N1940" s="23">
        <v>2408434865422</v>
      </c>
      <c r="O1940" s="25">
        <f t="shared" si="643"/>
        <v>790792534948</v>
      </c>
      <c r="P1940" s="23">
        <v>293515477617</v>
      </c>
      <c r="Q1940" s="23">
        <v>992618493746</v>
      </c>
      <c r="R1940" s="25">
        <f t="shared" si="644"/>
        <v>1415816371676</v>
      </c>
      <c r="S1940" s="26">
        <f t="shared" si="645"/>
        <v>0.2398912655753444</v>
      </c>
      <c r="T1940" s="27">
        <f t="shared" si="646"/>
        <v>2.8149677176789853</v>
      </c>
      <c r="U1940" s="26">
        <f t="shared" si="647"/>
        <v>28.227803325574516</v>
      </c>
      <c r="V1940" s="26">
        <f t="shared" si="648"/>
        <v>5.5032484981646377</v>
      </c>
      <c r="W1940" s="23"/>
      <c r="X1940" s="23"/>
      <c r="Y1940" s="23"/>
      <c r="Z1940" s="30">
        <f t="shared" si="704"/>
        <v>0</v>
      </c>
      <c r="AA1940" s="31">
        <f t="shared" si="705"/>
        <v>50</v>
      </c>
      <c r="AB1940" s="32">
        <v>3.15E-2</v>
      </c>
      <c r="AC1940" s="32">
        <v>8.0199999999999994E-2</v>
      </c>
      <c r="AD1940" s="33">
        <f t="shared" si="675"/>
        <v>0.43539490277240617</v>
      </c>
      <c r="AE1940" s="34">
        <f t="shared" si="676"/>
        <v>0.1616038811591127</v>
      </c>
      <c r="AF1940" s="33">
        <f t="shared" si="677"/>
        <v>0.77952080254524403</v>
      </c>
      <c r="AG1940" s="33">
        <f t="shared" si="678"/>
        <v>0</v>
      </c>
      <c r="AH1940" s="35">
        <f t="shared" si="679"/>
        <v>5.5276590732623694</v>
      </c>
      <c r="AI1940" s="36">
        <f t="shared" si="655"/>
        <v>8.8487970386113197</v>
      </c>
      <c r="AJ1940" s="23"/>
      <c r="AK1940" s="120">
        <v>1085</v>
      </c>
    </row>
    <row r="1941" spans="1:44" ht="16.8">
      <c r="A1941" s="74" t="s">
        <v>3734</v>
      </c>
      <c r="B1941" s="75"/>
      <c r="C1941" s="71" t="s">
        <v>3731</v>
      </c>
      <c r="D1941" s="19" t="s">
        <v>3732</v>
      </c>
      <c r="E1941" s="20" t="s">
        <v>414</v>
      </c>
      <c r="F1941" s="21">
        <v>1972</v>
      </c>
      <c r="G1941" s="40">
        <v>2023</v>
      </c>
      <c r="H1941" s="23">
        <v>1530494506578</v>
      </c>
      <c r="I1941" s="23">
        <v>2123900644209</v>
      </c>
      <c r="J1941" s="23">
        <v>634845857194</v>
      </c>
      <c r="K1941" s="23">
        <f t="shared" si="708"/>
        <v>535275986600.5</v>
      </c>
      <c r="L1941" s="23">
        <v>634845857194</v>
      </c>
      <c r="M1941" s="23">
        <f t="shared" si="621"/>
        <v>1489054787015</v>
      </c>
      <c r="N1941" s="23">
        <v>2302413360021</v>
      </c>
      <c r="O1941" s="25">
        <f t="shared" si="643"/>
        <v>895648649384</v>
      </c>
      <c r="P1941" s="23">
        <v>285268918604</v>
      </c>
      <c r="Q1941" s="23">
        <v>911561308536</v>
      </c>
      <c r="R1941" s="25">
        <f t="shared" si="644"/>
        <v>1390852051485</v>
      </c>
      <c r="S1941" s="26">
        <f t="shared" si="645"/>
        <v>0.29890562862484293</v>
      </c>
      <c r="T1941" s="27">
        <f t="shared" si="646"/>
        <v>2.4108127811414581</v>
      </c>
      <c r="U1941" s="26">
        <f t="shared" si="647"/>
        <v>28.384275440534751</v>
      </c>
      <c r="V1941" s="26">
        <f t="shared" si="648"/>
        <v>4.3013574635459824</v>
      </c>
      <c r="W1941" s="23"/>
      <c r="X1941" s="23"/>
      <c r="Y1941" s="23"/>
      <c r="Z1941" s="30">
        <f t="shared" si="704"/>
        <v>0</v>
      </c>
      <c r="AA1941" s="31">
        <f t="shared" si="705"/>
        <v>51</v>
      </c>
      <c r="AB1941" s="32">
        <v>3.2500000000000001E-2</v>
      </c>
      <c r="AC1941" s="32">
        <v>5.0500000000000003E-2</v>
      </c>
      <c r="AD1941" s="33">
        <f t="shared" si="675"/>
        <v>0.42169988121905044</v>
      </c>
      <c r="AE1941" s="34">
        <f t="shared" si="676"/>
        <v>0.13431368335510915</v>
      </c>
      <c r="AF1941" s="33">
        <f t="shared" si="677"/>
        <v>0.65485739894532224</v>
      </c>
      <c r="AG1941" s="33">
        <f t="shared" si="678"/>
        <v>0</v>
      </c>
      <c r="AH1941" s="35">
        <f t="shared" si="679"/>
        <v>3.6267281796523005</v>
      </c>
      <c r="AI1941" s="36">
        <f t="shared" si="655"/>
        <v>6.481836610331877</v>
      </c>
      <c r="AJ1941" s="23"/>
      <c r="AK1941" s="120">
        <v>1086</v>
      </c>
    </row>
    <row r="1942" spans="1:44" ht="16.8">
      <c r="A1942" s="70" t="s">
        <v>3735</v>
      </c>
      <c r="B1942" s="71">
        <v>748</v>
      </c>
      <c r="C1942" s="71" t="s">
        <v>3736</v>
      </c>
      <c r="D1942" s="19" t="s">
        <v>3737</v>
      </c>
      <c r="E1942" s="20" t="s">
        <v>414</v>
      </c>
      <c r="F1942" s="21">
        <v>1908</v>
      </c>
      <c r="G1942" s="40">
        <v>2021</v>
      </c>
      <c r="H1942" s="23">
        <v>396556458665</v>
      </c>
      <c r="I1942" s="23">
        <v>1974220039436</v>
      </c>
      <c r="J1942" s="23">
        <v>413719638745</v>
      </c>
      <c r="K1942" s="23">
        <f>AVERAGE(J1944,421398609990)</f>
        <v>383475038666.5</v>
      </c>
      <c r="L1942" s="23">
        <v>180782721431</v>
      </c>
      <c r="M1942" s="23">
        <f t="shared" si="621"/>
        <v>1560500400691</v>
      </c>
      <c r="N1942" s="23">
        <v>417464154290</v>
      </c>
      <c r="O1942" s="25">
        <f t="shared" si="643"/>
        <v>215773737234</v>
      </c>
      <c r="P1942" s="23">
        <v>97217945620</v>
      </c>
      <c r="Q1942" s="23">
        <v>36956104620</v>
      </c>
      <c r="R1942" s="25">
        <f t="shared" si="644"/>
        <v>380508049670</v>
      </c>
      <c r="S1942" s="26">
        <f t="shared" si="645"/>
        <v>0.20956105726856691</v>
      </c>
      <c r="T1942" s="27">
        <f t="shared" si="646"/>
        <v>2.1935528767684533</v>
      </c>
      <c r="U1942" s="26">
        <f t="shared" si="647"/>
        <v>28.311194519540216</v>
      </c>
      <c r="V1942" s="26">
        <f t="shared" si="648"/>
        <v>1.0886344929821092</v>
      </c>
      <c r="W1942" s="23"/>
      <c r="X1942" s="23"/>
      <c r="Y1942" s="23"/>
      <c r="Z1942" s="30">
        <f t="shared" si="704"/>
        <v>0</v>
      </c>
      <c r="AA1942" s="31">
        <f t="shared" si="705"/>
        <v>113</v>
      </c>
      <c r="AB1942" s="32">
        <v>1.84E-2</v>
      </c>
      <c r="AC1942" s="32">
        <v>2.58E-2</v>
      </c>
      <c r="AD1942" s="33">
        <f t="shared" si="675"/>
        <v>0.1092956878786636</v>
      </c>
      <c r="AE1942" s="34">
        <f t="shared" si="676"/>
        <v>4.924372343407752E-2</v>
      </c>
      <c r="AF1942" s="33">
        <f t="shared" si="677"/>
        <v>0.19273841925883017</v>
      </c>
      <c r="AG1942" s="33">
        <f t="shared" si="678"/>
        <v>0</v>
      </c>
      <c r="AH1942" s="35">
        <f t="shared" si="679"/>
        <v>1.0090508527861013</v>
      </c>
      <c r="AI1942" s="36">
        <f t="shared" si="655"/>
        <v>1.8451836746023456</v>
      </c>
      <c r="AJ1942" s="23"/>
      <c r="AK1942" s="120">
        <v>1087</v>
      </c>
      <c r="AL1942" s="44"/>
      <c r="AM1942" s="44"/>
      <c r="AN1942" s="44"/>
      <c r="AO1942" s="44"/>
      <c r="AP1942" s="44"/>
      <c r="AQ1942" s="44"/>
      <c r="AR1942" s="44"/>
    </row>
    <row r="1943" spans="1:44" ht="16.8">
      <c r="A1943" s="74" t="s">
        <v>3738</v>
      </c>
      <c r="B1943" s="75"/>
      <c r="C1943" s="71" t="s">
        <v>3736</v>
      </c>
      <c r="D1943" s="19" t="s">
        <v>3737</v>
      </c>
      <c r="E1943" s="20" t="s">
        <v>414</v>
      </c>
      <c r="F1943" s="21">
        <v>1908</v>
      </c>
      <c r="G1943" s="40">
        <v>2022</v>
      </c>
      <c r="H1943" s="23">
        <v>376936325375</v>
      </c>
      <c r="I1943" s="23">
        <v>1982674568850</v>
      </c>
      <c r="J1943" s="23">
        <v>404716060394</v>
      </c>
      <c r="K1943" s="23">
        <f t="shared" ref="K1943:K1944" si="709">AVERAGE(J1942:J1943)</f>
        <v>409217849569.5</v>
      </c>
      <c r="L1943" s="23">
        <v>201267933925</v>
      </c>
      <c r="M1943" s="23">
        <f t="shared" si="621"/>
        <v>1577958508456</v>
      </c>
      <c r="N1943" s="23">
        <v>523464064910</v>
      </c>
      <c r="O1943" s="25">
        <f t="shared" si="643"/>
        <v>175668391450</v>
      </c>
      <c r="P1943" s="23">
        <v>74991485384</v>
      </c>
      <c r="Q1943" s="23">
        <v>40273090789</v>
      </c>
      <c r="R1943" s="25">
        <f t="shared" si="644"/>
        <v>483190974121</v>
      </c>
      <c r="S1943" s="26">
        <f t="shared" si="645"/>
        <v>0.20412631843497406</v>
      </c>
      <c r="T1943" s="27">
        <f t="shared" si="646"/>
        <v>1.8728086388339469</v>
      </c>
      <c r="U1943" s="26">
        <f t="shared" si="647"/>
        <v>28.315467841484232</v>
      </c>
      <c r="V1943" s="26">
        <f t="shared" si="648"/>
        <v>1.2791818965391852</v>
      </c>
      <c r="W1943" s="23"/>
      <c r="X1943" s="23"/>
      <c r="Y1943" s="23"/>
      <c r="Z1943" s="30">
        <f t="shared" si="704"/>
        <v>0</v>
      </c>
      <c r="AA1943" s="31">
        <f t="shared" si="705"/>
        <v>114</v>
      </c>
      <c r="AB1943" s="32">
        <v>3.15E-2</v>
      </c>
      <c r="AC1943" s="32">
        <v>8.0199999999999994E-2</v>
      </c>
      <c r="AD1943" s="33">
        <f t="shared" si="675"/>
        <v>8.8601727287949225E-2</v>
      </c>
      <c r="AE1943" s="34">
        <f t="shared" si="676"/>
        <v>3.7823396013747686E-2</v>
      </c>
      <c r="AF1943" s="33">
        <f t="shared" si="677"/>
        <v>0.24370664843966938</v>
      </c>
      <c r="AG1943" s="33">
        <f t="shared" si="678"/>
        <v>0</v>
      </c>
      <c r="AH1943" s="35">
        <f t="shared" si="679"/>
        <v>1.2934106553626663</v>
      </c>
      <c r="AI1943" s="36">
        <f t="shared" si="655"/>
        <v>2.2569174223783612</v>
      </c>
      <c r="AJ1943" s="23"/>
      <c r="AK1943" s="120">
        <v>1088</v>
      </c>
    </row>
    <row r="1944" spans="1:44" ht="16.8">
      <c r="A1944" s="74" t="s">
        <v>3739</v>
      </c>
      <c r="B1944" s="75"/>
      <c r="C1944" s="71" t="s">
        <v>3736</v>
      </c>
      <c r="D1944" s="19" t="s">
        <v>3737</v>
      </c>
      <c r="E1944" s="20" t="s">
        <v>414</v>
      </c>
      <c r="F1944" s="21">
        <v>1908</v>
      </c>
      <c r="G1944" s="40">
        <v>2023</v>
      </c>
      <c r="H1944" s="23">
        <v>393489447234</v>
      </c>
      <c r="I1944" s="23">
        <v>1996262028174</v>
      </c>
      <c r="J1944" s="23">
        <v>345551467343</v>
      </c>
      <c r="K1944" s="23">
        <f t="shared" si="709"/>
        <v>375133763868.5</v>
      </c>
      <c r="L1944" s="23">
        <v>176901742220</v>
      </c>
      <c r="M1944" s="23">
        <f t="shared" si="621"/>
        <v>1650710560831</v>
      </c>
      <c r="N1944" s="23">
        <v>562678529475</v>
      </c>
      <c r="O1944" s="25">
        <f t="shared" si="643"/>
        <v>216587705014</v>
      </c>
      <c r="P1944" s="23">
        <v>67591479772</v>
      </c>
      <c r="Q1944" s="23">
        <f>8294247566+44893591265</f>
        <v>53187838831</v>
      </c>
      <c r="R1944" s="25">
        <f t="shared" si="644"/>
        <v>509490690644</v>
      </c>
      <c r="S1944" s="26">
        <f t="shared" si="645"/>
        <v>0.17309925373828766</v>
      </c>
      <c r="T1944" s="27">
        <f t="shared" si="646"/>
        <v>2.224339016088634</v>
      </c>
      <c r="U1944" s="26">
        <f t="shared" si="647"/>
        <v>28.322297561842078</v>
      </c>
      <c r="V1944" s="26">
        <f t="shared" si="648"/>
        <v>1.4999410441557648</v>
      </c>
      <c r="W1944" s="23"/>
      <c r="X1944" s="23"/>
      <c r="Y1944" s="23"/>
      <c r="Z1944" s="30">
        <f t="shared" si="704"/>
        <v>0</v>
      </c>
      <c r="AA1944" s="31">
        <f t="shared" si="705"/>
        <v>115</v>
      </c>
      <c r="AB1944" s="32">
        <v>3.2500000000000001E-2</v>
      </c>
      <c r="AC1944" s="32">
        <v>5.0500000000000003E-2</v>
      </c>
      <c r="AD1944" s="33">
        <f t="shared" si="675"/>
        <v>0.10849663118228765</v>
      </c>
      <c r="AE1944" s="34">
        <f t="shared" si="676"/>
        <v>3.3859021920998301E-2</v>
      </c>
      <c r="AF1944" s="33">
        <f t="shared" si="677"/>
        <v>0.25522235230313728</v>
      </c>
      <c r="AG1944" s="33">
        <f t="shared" si="678"/>
        <v>0</v>
      </c>
      <c r="AH1944" s="35">
        <f t="shared" si="679"/>
        <v>1.6283494143478088</v>
      </c>
      <c r="AI1944" s="36">
        <f t="shared" si="655"/>
        <v>2.6481817650563046</v>
      </c>
      <c r="AJ1944" s="23"/>
      <c r="AK1944" s="120">
        <v>1089</v>
      </c>
    </row>
    <row r="1945" spans="1:44" ht="16.8">
      <c r="A1945" s="70" t="s">
        <v>3740</v>
      </c>
      <c r="B1945" s="71">
        <v>751</v>
      </c>
      <c r="C1945" s="71" t="s">
        <v>3741</v>
      </c>
      <c r="D1945" s="19" t="s">
        <v>3742</v>
      </c>
      <c r="E1945" s="20" t="s">
        <v>414</v>
      </c>
      <c r="F1945" s="21">
        <v>1976</v>
      </c>
      <c r="G1945" s="40">
        <v>2021</v>
      </c>
      <c r="H1945" s="23">
        <v>1014841084931</v>
      </c>
      <c r="I1945" s="23">
        <v>2303481940568</v>
      </c>
      <c r="J1945" s="23">
        <v>288881279277</v>
      </c>
      <c r="K1945" s="23">
        <f>AVERAGE(J1945,156822792996)</f>
        <v>222852036136.5</v>
      </c>
      <c r="L1945" s="23">
        <v>274343416279</v>
      </c>
      <c r="M1945" s="23">
        <f t="shared" si="621"/>
        <v>2014600661291</v>
      </c>
      <c r="N1945" s="23">
        <v>522034004870</v>
      </c>
      <c r="O1945" s="25">
        <f t="shared" si="643"/>
        <v>740497668652</v>
      </c>
      <c r="P1945" s="23">
        <v>132055251176</v>
      </c>
      <c r="Q1945" s="23">
        <f>65198616934+51172675186</f>
        <v>116371292120</v>
      </c>
      <c r="R1945" s="25">
        <f t="shared" si="644"/>
        <v>405662712750</v>
      </c>
      <c r="S1945" s="26">
        <f t="shared" si="645"/>
        <v>0.12541069855566861</v>
      </c>
      <c r="T1945" s="27">
        <f t="shared" si="646"/>
        <v>3.6991632556581329</v>
      </c>
      <c r="U1945" s="26">
        <f t="shared" si="647"/>
        <v>28.465442981295123</v>
      </c>
      <c r="V1945" s="26">
        <f t="shared" si="648"/>
        <v>2.3425139564363096</v>
      </c>
      <c r="W1945" s="23"/>
      <c r="X1945" s="23"/>
      <c r="Y1945" s="23"/>
      <c r="Z1945" s="30">
        <f t="shared" si="704"/>
        <v>0</v>
      </c>
      <c r="AA1945" s="31">
        <f t="shared" si="705"/>
        <v>45</v>
      </c>
      <c r="AB1945" s="32">
        <v>1.84E-2</v>
      </c>
      <c r="AC1945" s="32">
        <v>2.58E-2</v>
      </c>
      <c r="AD1945" s="33">
        <f t="shared" si="675"/>
        <v>0.32146884054554631</v>
      </c>
      <c r="AE1945" s="34">
        <f t="shared" si="676"/>
        <v>5.7328537658705235E-2</v>
      </c>
      <c r="AF1945" s="33">
        <f t="shared" si="677"/>
        <v>0.17610848411946758</v>
      </c>
      <c r="AG1945" s="33">
        <f t="shared" si="678"/>
        <v>0</v>
      </c>
      <c r="AH1945" s="35">
        <f t="shared" si="679"/>
        <v>1.8070883865390133</v>
      </c>
      <c r="AI1945" s="36">
        <f t="shared" si="655"/>
        <v>2.8542689455100989</v>
      </c>
      <c r="AJ1945" s="23"/>
      <c r="AK1945" s="120">
        <v>1090</v>
      </c>
      <c r="AL1945" s="44"/>
      <c r="AM1945" s="44"/>
      <c r="AN1945" s="44"/>
      <c r="AO1945" s="44"/>
      <c r="AP1945" s="44"/>
      <c r="AQ1945" s="44"/>
      <c r="AR1945" s="44"/>
    </row>
    <row r="1946" spans="1:44" ht="16.8">
      <c r="A1946" s="70" t="s">
        <v>3743</v>
      </c>
      <c r="B1946" s="71"/>
      <c r="C1946" s="71" t="s">
        <v>3741</v>
      </c>
      <c r="D1946" s="19" t="s">
        <v>3742</v>
      </c>
      <c r="E1946" s="20" t="s">
        <v>414</v>
      </c>
      <c r="F1946" s="21">
        <v>1976</v>
      </c>
      <c r="G1946" s="40">
        <v>2022</v>
      </c>
      <c r="H1946" s="23">
        <v>1535362838271</v>
      </c>
      <c r="I1946" s="23">
        <v>2723736901130</v>
      </c>
      <c r="J1946" s="23">
        <v>226175289738</v>
      </c>
      <c r="K1946" s="23">
        <f t="shared" ref="K1946:K1947" si="710">AVERAGE(J1945:J1946)</f>
        <v>257528284507.5</v>
      </c>
      <c r="L1946" s="23">
        <v>207106350124</v>
      </c>
      <c r="M1946" s="23">
        <f t="shared" si="621"/>
        <v>2497561611392</v>
      </c>
      <c r="N1946" s="23">
        <v>912134986057</v>
      </c>
      <c r="O1946" s="25">
        <f t="shared" si="643"/>
        <v>1328256488147</v>
      </c>
      <c r="P1946" s="23">
        <v>-46422663104</v>
      </c>
      <c r="Q1946" s="23">
        <f>117233179460+121501443370</f>
        <v>238734622830</v>
      </c>
      <c r="R1946" s="25">
        <f t="shared" si="644"/>
        <v>673400363227</v>
      </c>
      <c r="S1946" s="26">
        <f t="shared" si="645"/>
        <v>8.3038596585509564E-2</v>
      </c>
      <c r="T1946" s="27">
        <f t="shared" si="646"/>
        <v>7.4134030045517099</v>
      </c>
      <c r="U1946" s="26">
        <f t="shared" si="647"/>
        <v>28.633025914062884</v>
      </c>
      <c r="V1946" s="26">
        <f t="shared" si="648"/>
        <v>3.5418827403808373</v>
      </c>
      <c r="W1946" s="23"/>
      <c r="X1946" s="23"/>
      <c r="Y1946" s="23"/>
      <c r="Z1946" s="30">
        <f t="shared" si="704"/>
        <v>0</v>
      </c>
      <c r="AA1946" s="31">
        <f t="shared" si="705"/>
        <v>46</v>
      </c>
      <c r="AB1946" s="32">
        <v>3.15E-2</v>
      </c>
      <c r="AC1946" s="32">
        <v>8.0199999999999994E-2</v>
      </c>
      <c r="AD1946" s="33">
        <f t="shared" si="675"/>
        <v>0.48765961484603915</v>
      </c>
      <c r="AE1946" s="34">
        <f t="shared" si="676"/>
        <v>-1.7043739828446931E-2</v>
      </c>
      <c r="AF1946" s="33">
        <f t="shared" si="677"/>
        <v>0.24723399787535486</v>
      </c>
      <c r="AG1946" s="33">
        <f t="shared" si="678"/>
        <v>0</v>
      </c>
      <c r="AH1946" s="35">
        <f t="shared" si="679"/>
        <v>4.0328675476158837</v>
      </c>
      <c r="AI1946" s="36">
        <f t="shared" si="655"/>
        <v>5.4100700426599762</v>
      </c>
      <c r="AJ1946" s="23"/>
      <c r="AK1946" s="120">
        <v>1091</v>
      </c>
      <c r="AL1946" s="44"/>
      <c r="AM1946" s="44"/>
      <c r="AN1946" s="44"/>
      <c r="AO1946" s="44"/>
      <c r="AP1946" s="44"/>
      <c r="AQ1946" s="44"/>
      <c r="AR1946" s="44"/>
    </row>
    <row r="1947" spans="1:44" ht="16.8">
      <c r="A1947" s="70" t="s">
        <v>3744</v>
      </c>
      <c r="B1947" s="71"/>
      <c r="C1947" s="71" t="s">
        <v>3741</v>
      </c>
      <c r="D1947" s="19" t="s">
        <v>3742</v>
      </c>
      <c r="E1947" s="20" t="s">
        <v>414</v>
      </c>
      <c r="F1947" s="21">
        <v>1976</v>
      </c>
      <c r="G1947" s="40">
        <v>2023</v>
      </c>
      <c r="H1947" s="23">
        <v>1850500756366</v>
      </c>
      <c r="I1947" s="23">
        <v>2974588196170</v>
      </c>
      <c r="J1947" s="23">
        <v>488226767884</v>
      </c>
      <c r="K1947" s="23">
        <f t="shared" si="710"/>
        <v>357201028811</v>
      </c>
      <c r="L1947" s="23">
        <v>456542310939</v>
      </c>
      <c r="M1947" s="23">
        <f t="shared" si="621"/>
        <v>2486361428286</v>
      </c>
      <c r="N1947" s="23">
        <v>477533713075</v>
      </c>
      <c r="O1947" s="25">
        <f t="shared" si="643"/>
        <v>1393958445427</v>
      </c>
      <c r="P1947" s="23">
        <v>-11200183106</v>
      </c>
      <c r="Q1947" s="23">
        <f>40784397319+93509679408</f>
        <v>134294076727</v>
      </c>
      <c r="R1947" s="25">
        <f t="shared" si="644"/>
        <v>343239636348</v>
      </c>
      <c r="S1947" s="26">
        <f t="shared" si="645"/>
        <v>0.16413255741168734</v>
      </c>
      <c r="T1947" s="27">
        <f t="shared" si="646"/>
        <v>4.0532951974592581</v>
      </c>
      <c r="U1947" s="26">
        <f t="shared" si="647"/>
        <v>28.721126723889544</v>
      </c>
      <c r="V1947" s="26">
        <f t="shared" si="648"/>
        <v>1.3368766452452456</v>
      </c>
      <c r="W1947" s="23"/>
      <c r="X1947" s="23"/>
      <c r="Y1947" s="23"/>
      <c r="Z1947" s="30">
        <f t="shared" si="704"/>
        <v>0</v>
      </c>
      <c r="AA1947" s="31">
        <f t="shared" si="705"/>
        <v>47</v>
      </c>
      <c r="AB1947" s="32">
        <v>3.2500000000000001E-2</v>
      </c>
      <c r="AC1947" s="32">
        <v>5.0500000000000003E-2</v>
      </c>
      <c r="AD1947" s="33">
        <f t="shared" si="675"/>
        <v>0.46862232803243942</v>
      </c>
      <c r="AE1947" s="34">
        <f t="shared" si="676"/>
        <v>-3.7652886273202642E-3</v>
      </c>
      <c r="AF1947" s="33">
        <f t="shared" si="677"/>
        <v>0.11539064022036602</v>
      </c>
      <c r="AG1947" s="33">
        <f t="shared" si="678"/>
        <v>0</v>
      </c>
      <c r="AH1947" s="35">
        <f t="shared" si="679"/>
        <v>0.97809817995980797</v>
      </c>
      <c r="AI1947" s="36">
        <f t="shared" si="655"/>
        <v>1.9159626822476947</v>
      </c>
      <c r="AJ1947" s="23"/>
      <c r="AK1947" s="120">
        <v>1092</v>
      </c>
      <c r="AL1947" s="44"/>
      <c r="AM1947" s="44"/>
      <c r="AN1947" s="44"/>
      <c r="AO1947" s="44"/>
      <c r="AP1947" s="44"/>
      <c r="AQ1947" s="44"/>
      <c r="AR1947" s="44"/>
    </row>
    <row r="1948" spans="1:44" ht="16.8">
      <c r="A1948" s="70" t="s">
        <v>3745</v>
      </c>
      <c r="B1948" s="71">
        <v>752</v>
      </c>
      <c r="C1948" s="71" t="s">
        <v>3746</v>
      </c>
      <c r="D1948" s="19" t="s">
        <v>3747</v>
      </c>
      <c r="E1948" s="20" t="s">
        <v>414</v>
      </c>
      <c r="F1948" s="21">
        <v>2000</v>
      </c>
      <c r="G1948" s="40">
        <v>2021</v>
      </c>
      <c r="H1948" s="23">
        <v>2089721996200</v>
      </c>
      <c r="I1948" s="23">
        <v>2838339379135</v>
      </c>
      <c r="J1948" s="23">
        <v>2383068543372</v>
      </c>
      <c r="K1948" s="23">
        <f>AVERAGE(2825685710923,J1948)</f>
        <v>2604377127147.5</v>
      </c>
      <c r="L1948" s="23">
        <v>2341539684975</v>
      </c>
      <c r="M1948" s="23">
        <f t="shared" si="621"/>
        <v>455270835763</v>
      </c>
      <c r="N1948" s="23">
        <v>1626523010460</v>
      </c>
      <c r="O1948" s="25">
        <f t="shared" si="643"/>
        <v>-251817688775</v>
      </c>
      <c r="P1948" s="23">
        <v>2511778987</v>
      </c>
      <c r="Q1948" s="23">
        <f>148426035871+139907428420</f>
        <v>288333464291</v>
      </c>
      <c r="R1948" s="25">
        <f t="shared" si="644"/>
        <v>1338189546169</v>
      </c>
      <c r="S1948" s="26">
        <f t="shared" si="645"/>
        <v>0.83959957744667368</v>
      </c>
      <c r="T1948" s="27">
        <f t="shared" si="646"/>
        <v>0.89245636518960447</v>
      </c>
      <c r="U1948" s="26">
        <f t="shared" si="647"/>
        <v>28.674240271426257</v>
      </c>
      <c r="V1948" s="26">
        <f t="shared" si="648"/>
        <v>0.62453436313253308</v>
      </c>
      <c r="W1948" s="23"/>
      <c r="X1948" s="23"/>
      <c r="Y1948" s="23"/>
      <c r="Z1948" s="30">
        <f t="shared" si="704"/>
        <v>0</v>
      </c>
      <c r="AA1948" s="31">
        <f t="shared" si="705"/>
        <v>21</v>
      </c>
      <c r="AB1948" s="32">
        <v>1.84E-2</v>
      </c>
      <c r="AC1948" s="32">
        <v>2.58E-2</v>
      </c>
      <c r="AD1948" s="33">
        <f t="shared" si="675"/>
        <v>-8.8720077178276999E-2</v>
      </c>
      <c r="AE1948" s="34">
        <f t="shared" si="676"/>
        <v>8.8494667179845102E-4</v>
      </c>
      <c r="AF1948" s="33">
        <f t="shared" si="677"/>
        <v>0.47146918229941226</v>
      </c>
      <c r="AG1948" s="33">
        <f t="shared" si="678"/>
        <v>0</v>
      </c>
      <c r="AH1948" s="35">
        <f t="shared" si="679"/>
        <v>0.68253303707265534</v>
      </c>
      <c r="AI1948" s="36">
        <f t="shared" si="655"/>
        <v>2.1331561713873013</v>
      </c>
      <c r="AJ1948" s="23"/>
      <c r="AK1948" s="120">
        <v>1093</v>
      </c>
      <c r="AL1948" s="44"/>
      <c r="AM1948" s="44"/>
      <c r="AN1948" s="44"/>
      <c r="AO1948" s="44"/>
      <c r="AP1948" s="44"/>
      <c r="AQ1948" s="44"/>
      <c r="AR1948" s="44"/>
    </row>
    <row r="1949" spans="1:44" ht="16.8">
      <c r="A1949" s="70" t="s">
        <v>3748</v>
      </c>
      <c r="B1949" s="71"/>
      <c r="C1949" s="71" t="s">
        <v>3746</v>
      </c>
      <c r="D1949" s="19" t="s">
        <v>3747</v>
      </c>
      <c r="E1949" s="20" t="s">
        <v>414</v>
      </c>
      <c r="F1949" s="21">
        <v>2000</v>
      </c>
      <c r="G1949" s="40">
        <v>2022</v>
      </c>
      <c r="H1949" s="23">
        <v>1944595766531</v>
      </c>
      <c r="I1949" s="23">
        <v>3006065063958</v>
      </c>
      <c r="J1949" s="23">
        <v>2573203819247</v>
      </c>
      <c r="K1949" s="23">
        <f t="shared" ref="K1949:K1950" si="711">AVERAGE(J1948:J1949)</f>
        <v>2478136181309.5</v>
      </c>
      <c r="L1949" s="23">
        <v>1503524419340</v>
      </c>
      <c r="M1949" s="23">
        <f t="shared" si="621"/>
        <v>432861244711</v>
      </c>
      <c r="N1949" s="23">
        <v>2014424647092</v>
      </c>
      <c r="O1949" s="25">
        <f t="shared" si="643"/>
        <v>441071347191</v>
      </c>
      <c r="P1949" s="23">
        <v>-1229591052</v>
      </c>
      <c r="Q1949" s="23">
        <f>156942769660+117135333153</f>
        <v>274078102813</v>
      </c>
      <c r="R1949" s="25">
        <f t="shared" si="644"/>
        <v>1740346544279</v>
      </c>
      <c r="S1949" s="26">
        <f t="shared" si="645"/>
        <v>0.85600403334548458</v>
      </c>
      <c r="T1949" s="27">
        <f t="shared" si="646"/>
        <v>1.2933582863819508</v>
      </c>
      <c r="U1949" s="26">
        <f t="shared" si="647"/>
        <v>28.731653051721693</v>
      </c>
      <c r="V1949" s="26">
        <f t="shared" si="648"/>
        <v>0.81287891371148746</v>
      </c>
      <c r="W1949" s="23"/>
      <c r="X1949" s="23"/>
      <c r="Y1949" s="23"/>
      <c r="Z1949" s="30">
        <f t="shared" si="704"/>
        <v>0</v>
      </c>
      <c r="AA1949" s="31">
        <f t="shared" si="705"/>
        <v>22</v>
      </c>
      <c r="AB1949" s="32">
        <v>3.15E-2</v>
      </c>
      <c r="AC1949" s="32">
        <v>8.0199999999999994E-2</v>
      </c>
      <c r="AD1949" s="33">
        <f t="shared" si="675"/>
        <v>0.14672714588893626</v>
      </c>
      <c r="AE1949" s="34">
        <f t="shared" si="676"/>
        <v>-4.0903673933824725E-4</v>
      </c>
      <c r="AF1949" s="33">
        <f t="shared" si="677"/>
        <v>0.57894506847018656</v>
      </c>
      <c r="AG1949" s="33">
        <f t="shared" si="678"/>
        <v>0</v>
      </c>
      <c r="AH1949" s="35">
        <f t="shared" si="679"/>
        <v>0.78284690548978109</v>
      </c>
      <c r="AI1949" s="36">
        <f t="shared" si="655"/>
        <v>2.8688655550730466</v>
      </c>
      <c r="AJ1949" s="23"/>
      <c r="AK1949" s="120">
        <v>1094</v>
      </c>
      <c r="AL1949" s="44"/>
      <c r="AM1949" s="44"/>
      <c r="AN1949" s="44"/>
      <c r="AO1949" s="44"/>
      <c r="AP1949" s="44"/>
      <c r="AQ1949" s="44"/>
      <c r="AR1949" s="44"/>
    </row>
    <row r="1950" spans="1:44" ht="16.8">
      <c r="A1950" s="70" t="s">
        <v>3749</v>
      </c>
      <c r="B1950" s="71"/>
      <c r="C1950" s="71" t="s">
        <v>3746</v>
      </c>
      <c r="D1950" s="19" t="s">
        <v>3747</v>
      </c>
      <c r="E1950" s="20" t="s">
        <v>414</v>
      </c>
      <c r="F1950" s="21">
        <v>2000</v>
      </c>
      <c r="G1950" s="40">
        <v>2023</v>
      </c>
      <c r="H1950" s="23">
        <v>1820761290124</v>
      </c>
      <c r="I1950" s="23">
        <v>2850460549706</v>
      </c>
      <c r="J1950" s="23">
        <v>2583330815919</v>
      </c>
      <c r="K1950" s="23">
        <f t="shared" si="711"/>
        <v>2578267317583</v>
      </c>
      <c r="L1950" s="23">
        <v>1517748460774</v>
      </c>
      <c r="M1950" s="23">
        <f t="shared" si="621"/>
        <v>267129733787</v>
      </c>
      <c r="N1950" s="23">
        <v>1567371979837</v>
      </c>
      <c r="O1950" s="25">
        <f t="shared" si="643"/>
        <v>303012829350</v>
      </c>
      <c r="P1950" s="23">
        <v>-144246908185</v>
      </c>
      <c r="Q1950" s="23">
        <f>124491488446+130496898117</f>
        <v>254988386563</v>
      </c>
      <c r="R1950" s="25">
        <f t="shared" si="644"/>
        <v>1312383593274</v>
      </c>
      <c r="S1950" s="26">
        <f t="shared" si="645"/>
        <v>0.90628541278547003</v>
      </c>
      <c r="T1950" s="27">
        <f t="shared" si="646"/>
        <v>1.199646276824734</v>
      </c>
      <c r="U1950" s="26">
        <f t="shared" si="647"/>
        <v>28.678501693541886</v>
      </c>
      <c r="V1950" s="26">
        <f t="shared" si="648"/>
        <v>0.60791678548923112</v>
      </c>
      <c r="W1950" s="23"/>
      <c r="X1950" s="23"/>
      <c r="Y1950" s="23"/>
      <c r="Z1950" s="30">
        <f t="shared" si="704"/>
        <v>0</v>
      </c>
      <c r="AA1950" s="31">
        <f t="shared" si="705"/>
        <v>23</v>
      </c>
      <c r="AB1950" s="32">
        <v>3.2500000000000001E-2</v>
      </c>
      <c r="AC1950" s="32">
        <v>5.0500000000000003E-2</v>
      </c>
      <c r="AD1950" s="33">
        <f t="shared" si="675"/>
        <v>0.10630311280093076</v>
      </c>
      <c r="AE1950" s="34">
        <f t="shared" si="676"/>
        <v>-5.0604772691864759E-2</v>
      </c>
      <c r="AF1950" s="33">
        <f t="shared" si="677"/>
        <v>0.46041107055818081</v>
      </c>
      <c r="AG1950" s="33">
        <f t="shared" si="678"/>
        <v>0</v>
      </c>
      <c r="AH1950" s="35">
        <f t="shared" si="679"/>
        <v>0.60672522859965938</v>
      </c>
      <c r="AI1950" s="36">
        <f t="shared" si="655"/>
        <v>2.1827988150341624</v>
      </c>
      <c r="AJ1950" s="23"/>
      <c r="AK1950" s="120">
        <v>1095</v>
      </c>
      <c r="AL1950" s="44"/>
      <c r="AM1950" s="44"/>
      <c r="AN1950" s="44"/>
      <c r="AO1950" s="44"/>
      <c r="AP1950" s="44"/>
      <c r="AQ1950" s="44"/>
      <c r="AR1950" s="44"/>
    </row>
    <row r="1951" spans="1:44" ht="16.8">
      <c r="A1951" s="70" t="s">
        <v>3750</v>
      </c>
      <c r="B1951" s="71">
        <v>754</v>
      </c>
      <c r="C1951" s="71" t="s">
        <v>3751</v>
      </c>
      <c r="D1951" s="19" t="s">
        <v>3752</v>
      </c>
      <c r="E1951" s="20" t="s">
        <v>414</v>
      </c>
      <c r="F1951" s="21">
        <v>2006</v>
      </c>
      <c r="G1951" s="40">
        <v>2021</v>
      </c>
      <c r="H1951" s="23">
        <v>7145152054428</v>
      </c>
      <c r="I1951" s="23">
        <v>7187117250469</v>
      </c>
      <c r="J1951" s="23">
        <v>5432205078550</v>
      </c>
      <c r="K1951" s="23">
        <f>AVERAGE(J1951,2602902888790)</f>
        <v>4017553983670</v>
      </c>
      <c r="L1951" s="23">
        <v>5404524430534</v>
      </c>
      <c r="M1951" s="23">
        <f t="shared" si="621"/>
        <v>1754912171919</v>
      </c>
      <c r="N1951" s="23">
        <v>1042045787994</v>
      </c>
      <c r="O1951" s="25">
        <f t="shared" si="643"/>
        <v>1740627623894</v>
      </c>
      <c r="P1951" s="23">
        <v>517092174911</v>
      </c>
      <c r="Q1951" s="23">
        <v>211276842110</v>
      </c>
      <c r="R1951" s="25">
        <f t="shared" si="644"/>
        <v>830768945884</v>
      </c>
      <c r="S1951" s="26">
        <f t="shared" si="645"/>
        <v>0.7558253036981577</v>
      </c>
      <c r="T1951" s="27">
        <f t="shared" si="646"/>
        <v>1.3220686012741394</v>
      </c>
      <c r="U1951" s="26">
        <f t="shared" si="647"/>
        <v>29.603311268525413</v>
      </c>
      <c r="V1951" s="26">
        <f t="shared" si="648"/>
        <v>0.2593731888182621</v>
      </c>
      <c r="W1951" s="23"/>
      <c r="X1951" s="23"/>
      <c r="Y1951" s="23"/>
      <c r="Z1951" s="30">
        <f t="shared" si="704"/>
        <v>0</v>
      </c>
      <c r="AA1951" s="31">
        <f t="shared" si="705"/>
        <v>15</v>
      </c>
      <c r="AB1951" s="32">
        <v>1.84E-2</v>
      </c>
      <c r="AC1951" s="32">
        <v>2.58E-2</v>
      </c>
      <c r="AD1951" s="33">
        <f t="shared" si="675"/>
        <v>0.24218717508475518</v>
      </c>
      <c r="AE1951" s="34">
        <f t="shared" si="676"/>
        <v>7.1947090452330775E-2</v>
      </c>
      <c r="AF1951" s="33">
        <f t="shared" si="677"/>
        <v>0.11559140013053044</v>
      </c>
      <c r="AG1951" s="33">
        <f t="shared" si="678"/>
        <v>0</v>
      </c>
      <c r="AH1951" s="35">
        <f t="shared" si="679"/>
        <v>0.19182740211865304</v>
      </c>
      <c r="AI1951" s="36">
        <f t="shared" si="655"/>
        <v>0.96462955928437277</v>
      </c>
      <c r="AJ1951" s="23"/>
      <c r="AK1951" s="120">
        <v>1096</v>
      </c>
      <c r="AL1951" s="44"/>
      <c r="AM1951" s="44"/>
      <c r="AN1951" s="44"/>
      <c r="AO1951" s="44"/>
      <c r="AP1951" s="44"/>
      <c r="AQ1951" s="44"/>
      <c r="AR1951" s="44"/>
    </row>
    <row r="1952" spans="1:44" ht="16.8">
      <c r="A1952" s="70" t="s">
        <v>3753</v>
      </c>
      <c r="B1952" s="71"/>
      <c r="C1952" s="71" t="s">
        <v>3751</v>
      </c>
      <c r="D1952" s="19" t="s">
        <v>3752</v>
      </c>
      <c r="E1952" s="20" t="s">
        <v>414</v>
      </c>
      <c r="F1952" s="21">
        <v>2006</v>
      </c>
      <c r="G1952" s="40">
        <v>2022</v>
      </c>
      <c r="H1952" s="23">
        <v>9415358289099</v>
      </c>
      <c r="I1952" s="23">
        <v>9459575377956</v>
      </c>
      <c r="J1952" s="23">
        <v>7691092986859</v>
      </c>
      <c r="K1952" s="23">
        <f t="shared" ref="K1952:K1953" si="712">AVERAGE(J1951:J1952)</f>
        <v>6561649032704.5</v>
      </c>
      <c r="L1952" s="23">
        <v>7494936961231</v>
      </c>
      <c r="M1952" s="23">
        <f t="shared" si="621"/>
        <v>1768482391097</v>
      </c>
      <c r="N1952" s="23">
        <v>1022130310362</v>
      </c>
      <c r="O1952" s="25">
        <f t="shared" si="643"/>
        <v>1920421327868</v>
      </c>
      <c r="P1952" s="23">
        <v>31950212288</v>
      </c>
      <c r="Q1952" s="23">
        <v>492789731038</v>
      </c>
      <c r="R1952" s="25">
        <f t="shared" si="644"/>
        <v>529340579324</v>
      </c>
      <c r="S1952" s="26">
        <f t="shared" si="645"/>
        <v>0.81304843817639427</v>
      </c>
      <c r="T1952" s="27">
        <f t="shared" si="646"/>
        <v>1.2562291501318488</v>
      </c>
      <c r="U1952" s="26">
        <f t="shared" si="647"/>
        <v>29.878048611933764</v>
      </c>
      <c r="V1952" s="26">
        <f t="shared" si="648"/>
        <v>0.15577338947382116</v>
      </c>
      <c r="W1952" s="23"/>
      <c r="X1952" s="23"/>
      <c r="Y1952" s="23"/>
      <c r="Z1952" s="30">
        <f t="shared" si="704"/>
        <v>0</v>
      </c>
      <c r="AA1952" s="31">
        <f t="shared" si="705"/>
        <v>16</v>
      </c>
      <c r="AB1952" s="32">
        <v>3.15E-2</v>
      </c>
      <c r="AC1952" s="32">
        <v>8.0199999999999994E-2</v>
      </c>
      <c r="AD1952" s="33">
        <f t="shared" si="675"/>
        <v>0.20301348116990844</v>
      </c>
      <c r="AE1952" s="34">
        <f t="shared" si="676"/>
        <v>3.3775524811034082E-3</v>
      </c>
      <c r="AF1952" s="33">
        <f t="shared" si="677"/>
        <v>5.5958175517850622E-2</v>
      </c>
      <c r="AG1952" s="33">
        <f t="shared" si="678"/>
        <v>0</v>
      </c>
      <c r="AH1952" s="35">
        <f t="shared" si="679"/>
        <v>0.13289792648566487</v>
      </c>
      <c r="AI1952" s="36">
        <f t="shared" si="655"/>
        <v>0.56590465657200684</v>
      </c>
      <c r="AJ1952" s="23"/>
      <c r="AK1952" s="120">
        <v>1097</v>
      </c>
      <c r="AL1952" s="44"/>
      <c r="AM1952" s="44"/>
      <c r="AN1952" s="44"/>
      <c r="AO1952" s="44"/>
      <c r="AP1952" s="44"/>
      <c r="AQ1952" s="44"/>
      <c r="AR1952" s="44"/>
    </row>
    <row r="1953" spans="1:44" ht="16.8">
      <c r="A1953" s="70" t="s">
        <v>3754</v>
      </c>
      <c r="B1953" s="71"/>
      <c r="C1953" s="71" t="s">
        <v>3751</v>
      </c>
      <c r="D1953" s="19" t="s">
        <v>3752</v>
      </c>
      <c r="E1953" s="20" t="s">
        <v>414</v>
      </c>
      <c r="F1953" s="21">
        <v>2006</v>
      </c>
      <c r="G1953" s="40">
        <v>2023</v>
      </c>
      <c r="H1953" s="23">
        <v>11575344841280</v>
      </c>
      <c r="I1953" s="23">
        <v>13529106412115</v>
      </c>
      <c r="J1953" s="23">
        <v>11473690369338</v>
      </c>
      <c r="K1953" s="23">
        <f t="shared" si="712"/>
        <v>9582391678098.5</v>
      </c>
      <c r="L1953" s="23">
        <v>11275423630107</v>
      </c>
      <c r="M1953" s="23">
        <f t="shared" si="621"/>
        <v>2055416042777</v>
      </c>
      <c r="N1953" s="23">
        <v>1332482343355</v>
      </c>
      <c r="O1953" s="25">
        <f t="shared" si="643"/>
        <v>299921211173</v>
      </c>
      <c r="P1953" s="23">
        <v>961317011</v>
      </c>
      <c r="Q1953" s="23">
        <v>334840980324</v>
      </c>
      <c r="R1953" s="25">
        <f t="shared" si="644"/>
        <v>997641363031</v>
      </c>
      <c r="S1953" s="26">
        <f t="shared" si="645"/>
        <v>0.84807451577611792</v>
      </c>
      <c r="T1953" s="27">
        <f t="shared" si="646"/>
        <v>1.0265995514680413</v>
      </c>
      <c r="U1953" s="26">
        <f t="shared" si="647"/>
        <v>30.235864511001505</v>
      </c>
      <c r="V1953" s="26">
        <f t="shared" si="648"/>
        <v>0.13905529935710306</v>
      </c>
      <c r="W1953" s="23"/>
      <c r="X1953" s="23"/>
      <c r="Y1953" s="23"/>
      <c r="Z1953" s="30">
        <f t="shared" si="704"/>
        <v>0</v>
      </c>
      <c r="AA1953" s="31">
        <f t="shared" si="705"/>
        <v>17</v>
      </c>
      <c r="AB1953" s="32">
        <v>3.2500000000000001E-2</v>
      </c>
      <c r="AC1953" s="32">
        <v>5.0500000000000003E-2</v>
      </c>
      <c r="AD1953" s="33">
        <f t="shared" si="675"/>
        <v>2.2168589856343176E-2</v>
      </c>
      <c r="AE1953" s="34">
        <f t="shared" si="676"/>
        <v>7.1055469719652947E-5</v>
      </c>
      <c r="AF1953" s="33">
        <f t="shared" si="677"/>
        <v>7.3740373727686506E-2</v>
      </c>
      <c r="AG1953" s="33">
        <f t="shared" si="678"/>
        <v>0</v>
      </c>
      <c r="AH1953" s="35">
        <f t="shared" si="679"/>
        <v>0.11613371988108483</v>
      </c>
      <c r="AI1953" s="36">
        <f t="shared" si="655"/>
        <v>0.38617873866766961</v>
      </c>
      <c r="AJ1953" s="23"/>
      <c r="AK1953" s="120">
        <v>1098</v>
      </c>
      <c r="AL1953" s="44"/>
      <c r="AM1953" s="44"/>
      <c r="AN1953" s="44"/>
      <c r="AO1953" s="44"/>
      <c r="AP1953" s="44"/>
      <c r="AQ1953" s="44"/>
      <c r="AR1953" s="44"/>
    </row>
    <row r="1954" spans="1:44" ht="16.8">
      <c r="A1954" s="70" t="s">
        <v>3755</v>
      </c>
      <c r="B1954" s="71">
        <v>755</v>
      </c>
      <c r="C1954" s="71" t="s">
        <v>3756</v>
      </c>
      <c r="D1954" s="19" t="s">
        <v>3757</v>
      </c>
      <c r="E1954" s="20" t="s">
        <v>414</v>
      </c>
      <c r="F1954" s="21">
        <v>1992</v>
      </c>
      <c r="G1954" s="40">
        <v>2021</v>
      </c>
      <c r="H1954" s="23">
        <v>1115070776979</v>
      </c>
      <c r="I1954" s="23">
        <v>1215935258927</v>
      </c>
      <c r="J1954" s="23">
        <v>726704226363</v>
      </c>
      <c r="K1954" s="23">
        <f>AVERAGE(J1954,414427003746)</f>
        <v>570565615054.5</v>
      </c>
      <c r="L1954" s="23">
        <v>726704226363</v>
      </c>
      <c r="M1954" s="23">
        <f t="shared" si="621"/>
        <v>489231032564</v>
      </c>
      <c r="N1954" s="23">
        <v>2127113291305</v>
      </c>
      <c r="O1954" s="25">
        <f t="shared" si="643"/>
        <v>388366550616</v>
      </c>
      <c r="P1954" s="23">
        <v>66979107976</v>
      </c>
      <c r="Q1954" s="23">
        <f>26726948808+41117639330</f>
        <v>67844588138</v>
      </c>
      <c r="R1954" s="25">
        <f t="shared" si="644"/>
        <v>2059268703167</v>
      </c>
      <c r="S1954" s="26">
        <f t="shared" si="645"/>
        <v>0.59765042672113888</v>
      </c>
      <c r="T1954" s="27">
        <f t="shared" si="646"/>
        <v>1.5344217585739</v>
      </c>
      <c r="U1954" s="26">
        <f t="shared" si="647"/>
        <v>27.82653465704119</v>
      </c>
      <c r="V1954" s="26">
        <f t="shared" si="648"/>
        <v>3.7280783054229789</v>
      </c>
      <c r="W1954" s="23"/>
      <c r="X1954" s="23"/>
      <c r="Y1954" s="23"/>
      <c r="Z1954" s="30">
        <f t="shared" si="704"/>
        <v>0</v>
      </c>
      <c r="AA1954" s="31">
        <f t="shared" si="705"/>
        <v>29</v>
      </c>
      <c r="AB1954" s="32">
        <v>1.84E-2</v>
      </c>
      <c r="AC1954" s="32">
        <v>2.58E-2</v>
      </c>
      <c r="AD1954" s="33">
        <f t="shared" si="675"/>
        <v>0.31939739206075279</v>
      </c>
      <c r="AE1954" s="34">
        <f t="shared" si="676"/>
        <v>5.5084436020965126E-2</v>
      </c>
      <c r="AF1954" s="33">
        <f t="shared" si="677"/>
        <v>1.6935677192091609</v>
      </c>
      <c r="AG1954" s="33">
        <f t="shared" si="678"/>
        <v>0</v>
      </c>
      <c r="AH1954" s="35">
        <f t="shared" si="679"/>
        <v>2.9270688323236391</v>
      </c>
      <c r="AI1954" s="36">
        <f t="shared" si="655"/>
        <v>8.9762373866161251</v>
      </c>
      <c r="AJ1954" s="23"/>
      <c r="AK1954" s="120">
        <v>1099</v>
      </c>
      <c r="AL1954" s="44"/>
      <c r="AM1954" s="44"/>
      <c r="AN1954" s="44"/>
      <c r="AO1954" s="44"/>
      <c r="AP1954" s="44"/>
      <c r="AQ1954" s="44"/>
      <c r="AR1954" s="44"/>
    </row>
    <row r="1955" spans="1:44" ht="16.8">
      <c r="A1955" s="70" t="s">
        <v>3758</v>
      </c>
      <c r="B1955" s="71"/>
      <c r="C1955" s="71" t="s">
        <v>3756</v>
      </c>
      <c r="D1955" s="19" t="s">
        <v>3757</v>
      </c>
      <c r="E1955" s="20" t="s">
        <v>414</v>
      </c>
      <c r="F1955" s="21">
        <v>1992</v>
      </c>
      <c r="G1955" s="40">
        <v>2022</v>
      </c>
      <c r="H1955" s="23">
        <v>957649381406</v>
      </c>
      <c r="I1955" s="23">
        <v>1047597639383</v>
      </c>
      <c r="J1955" s="23">
        <v>555736885584</v>
      </c>
      <c r="K1955" s="23">
        <f t="shared" ref="K1955:K1962" si="713">AVERAGE(J1954:J1955)</f>
        <v>641220555973.5</v>
      </c>
      <c r="L1955" s="23">
        <v>555736885584</v>
      </c>
      <c r="M1955" s="23">
        <f t="shared" si="621"/>
        <v>491860753799</v>
      </c>
      <c r="N1955" s="23">
        <v>2087710406510</v>
      </c>
      <c r="O1955" s="25">
        <f t="shared" si="643"/>
        <v>401912495822</v>
      </c>
      <c r="P1955" s="23">
        <v>31950212288</v>
      </c>
      <c r="Q1955" s="23">
        <f>26794697015+42181009275</f>
        <v>68975706290</v>
      </c>
      <c r="R1955" s="25">
        <f t="shared" si="644"/>
        <v>2018734700220</v>
      </c>
      <c r="S1955" s="26">
        <f t="shared" si="645"/>
        <v>0.53048695862975637</v>
      </c>
      <c r="T1955" s="27">
        <f t="shared" si="646"/>
        <v>1.7232064421990767</v>
      </c>
      <c r="U1955" s="26">
        <f t="shared" si="647"/>
        <v>27.677520696220231</v>
      </c>
      <c r="V1955" s="26">
        <f t="shared" si="648"/>
        <v>3.2558382401519261</v>
      </c>
      <c r="W1955" s="23"/>
      <c r="X1955" s="23"/>
      <c r="Y1955" s="23"/>
      <c r="Z1955" s="30">
        <f t="shared" si="704"/>
        <v>0</v>
      </c>
      <c r="AA1955" s="31">
        <f t="shared" si="705"/>
        <v>30</v>
      </c>
      <c r="AB1955" s="32">
        <v>3.15E-2</v>
      </c>
      <c r="AC1955" s="32">
        <v>8.0199999999999994E-2</v>
      </c>
      <c r="AD1955" s="33">
        <f t="shared" si="675"/>
        <v>0.38365158598363491</v>
      </c>
      <c r="AE1955" s="34">
        <f t="shared" si="676"/>
        <v>3.0498553153305699E-2</v>
      </c>
      <c r="AF1955" s="33">
        <f t="shared" si="677"/>
        <v>1.9270134108062398</v>
      </c>
      <c r="AG1955" s="33">
        <f t="shared" si="678"/>
        <v>0</v>
      </c>
      <c r="AH1955" s="35">
        <f t="shared" si="679"/>
        <v>3.7566525826625936</v>
      </c>
      <c r="AI1955" s="36">
        <f t="shared" si="655"/>
        <v>10.618876715918175</v>
      </c>
      <c r="AJ1955" s="23"/>
      <c r="AK1955" s="120">
        <v>1100</v>
      </c>
      <c r="AL1955" s="44"/>
      <c r="AM1955" s="44"/>
      <c r="AN1955" s="44"/>
      <c r="AO1955" s="44"/>
      <c r="AP1955" s="44"/>
      <c r="AQ1955" s="44"/>
      <c r="AR1955" s="44"/>
    </row>
    <row r="1956" spans="1:44" ht="16.8">
      <c r="A1956" s="70" t="s">
        <v>3759</v>
      </c>
      <c r="B1956" s="71"/>
      <c r="C1956" s="71" t="s">
        <v>3756</v>
      </c>
      <c r="D1956" s="19" t="s">
        <v>3757</v>
      </c>
      <c r="E1956" s="20" t="s">
        <v>414</v>
      </c>
      <c r="F1956" s="21">
        <v>1992</v>
      </c>
      <c r="G1956" s="40">
        <v>2023</v>
      </c>
      <c r="H1956" s="23">
        <v>871637531405</v>
      </c>
      <c r="I1956" s="23">
        <v>955342703130</v>
      </c>
      <c r="J1956" s="23">
        <v>475607595533</v>
      </c>
      <c r="K1956" s="23">
        <f t="shared" si="713"/>
        <v>515672240558.5</v>
      </c>
      <c r="L1956" s="23">
        <v>475607595533</v>
      </c>
      <c r="M1956" s="23">
        <f t="shared" si="621"/>
        <v>479735107597</v>
      </c>
      <c r="N1956" s="23">
        <v>1467791489154</v>
      </c>
      <c r="O1956" s="25">
        <f t="shared" si="643"/>
        <v>396029935872</v>
      </c>
      <c r="P1956" s="23">
        <v>961317011</v>
      </c>
      <c r="Q1956" s="23">
        <f>24626645792+43053385641</f>
        <v>67680031433</v>
      </c>
      <c r="R1956" s="25">
        <f t="shared" si="644"/>
        <v>1400111457721</v>
      </c>
      <c r="S1956" s="26">
        <f t="shared" si="645"/>
        <v>0.49783977411955049</v>
      </c>
      <c r="T1956" s="27">
        <f t="shared" si="646"/>
        <v>1.8326821093514716</v>
      </c>
      <c r="U1956" s="26">
        <f t="shared" si="647"/>
        <v>27.585335964500388</v>
      </c>
      <c r="V1956" s="26">
        <f t="shared" si="648"/>
        <v>2.8463651399274568</v>
      </c>
      <c r="W1956" s="23"/>
      <c r="X1956" s="23"/>
      <c r="Y1956" s="23"/>
      <c r="Z1956" s="30">
        <f t="shared" si="704"/>
        <v>0</v>
      </c>
      <c r="AA1956" s="31">
        <f t="shared" si="705"/>
        <v>31</v>
      </c>
      <c r="AB1956" s="32">
        <v>3.2500000000000001E-2</v>
      </c>
      <c r="AC1956" s="32">
        <v>5.0500000000000003E-2</v>
      </c>
      <c r="AD1956" s="33">
        <f t="shared" si="675"/>
        <v>0.41454227323292747</v>
      </c>
      <c r="AE1956" s="34">
        <f t="shared" si="676"/>
        <v>1.0062535756545021E-3</v>
      </c>
      <c r="AF1956" s="33">
        <f t="shared" si="677"/>
        <v>1.4655593779423857</v>
      </c>
      <c r="AG1956" s="33">
        <f t="shared" si="678"/>
        <v>0</v>
      </c>
      <c r="AH1956" s="35">
        <f t="shared" si="679"/>
        <v>3.0861397146298462</v>
      </c>
      <c r="AI1956" s="36">
        <f t="shared" si="655"/>
        <v>8.4213451447251479</v>
      </c>
      <c r="AJ1956" s="23"/>
      <c r="AK1956" s="120">
        <v>1101</v>
      </c>
      <c r="AL1956" s="44"/>
      <c r="AM1956" s="44"/>
      <c r="AN1956" s="44"/>
      <c r="AO1956" s="44"/>
      <c r="AP1956" s="44"/>
      <c r="AQ1956" s="44"/>
      <c r="AR1956" s="44"/>
    </row>
    <row r="1957" spans="1:44" ht="16.8">
      <c r="A1957" s="74" t="s">
        <v>3760</v>
      </c>
      <c r="B1957" s="71">
        <v>757</v>
      </c>
      <c r="C1957" s="71" t="s">
        <v>3761</v>
      </c>
      <c r="D1957" s="19" t="s">
        <v>3762</v>
      </c>
      <c r="E1957" s="20" t="s">
        <v>414</v>
      </c>
      <c r="F1957" s="21">
        <v>2000</v>
      </c>
      <c r="G1957" s="40">
        <v>2021</v>
      </c>
      <c r="H1957" s="23">
        <v>236849459928</v>
      </c>
      <c r="I1957" s="23">
        <v>447524236478</v>
      </c>
      <c r="J1957" s="23">
        <v>114343577065</v>
      </c>
      <c r="K1957" s="23">
        <f t="shared" si="713"/>
        <v>294975586299</v>
      </c>
      <c r="L1957" s="23">
        <v>113160831261</v>
      </c>
      <c r="M1957" s="23">
        <f t="shared" si="621"/>
        <v>333180659413</v>
      </c>
      <c r="N1957" s="23">
        <v>2472642977366</v>
      </c>
      <c r="O1957" s="25">
        <f t="shared" si="643"/>
        <v>123688628667</v>
      </c>
      <c r="P1957" s="23">
        <v>55172684115</v>
      </c>
      <c r="Q1957" s="23">
        <v>23746315905</v>
      </c>
      <c r="R1957" s="25">
        <f t="shared" si="644"/>
        <v>2448896661461</v>
      </c>
      <c r="S1957" s="26">
        <f t="shared" si="645"/>
        <v>0.25550253538194923</v>
      </c>
      <c r="T1957" s="27">
        <f t="shared" si="646"/>
        <v>2.0930339348755589</v>
      </c>
      <c r="U1957" s="26">
        <f t="shared" si="647"/>
        <v>26.826996532922109</v>
      </c>
      <c r="V1957" s="26">
        <f t="shared" si="648"/>
        <v>8.3825343256021956</v>
      </c>
      <c r="W1957" s="23"/>
      <c r="X1957" s="23"/>
      <c r="Y1957" s="23"/>
      <c r="Z1957" s="30">
        <f t="shared" si="704"/>
        <v>0</v>
      </c>
      <c r="AA1957" s="31">
        <f t="shared" si="705"/>
        <v>21</v>
      </c>
      <c r="AB1957" s="32">
        <v>1.84E-2</v>
      </c>
      <c r="AC1957" s="32">
        <v>2.58E-2</v>
      </c>
      <c r="AD1957" s="33">
        <f t="shared" si="675"/>
        <v>0.27638420131259295</v>
      </c>
      <c r="AE1957" s="34">
        <f t="shared" si="676"/>
        <v>0.12328423718278832</v>
      </c>
      <c r="AF1957" s="33">
        <f t="shared" si="677"/>
        <v>5.4720984068566443</v>
      </c>
      <c r="AG1957" s="33">
        <f t="shared" si="678"/>
        <v>0</v>
      </c>
      <c r="AH1957" s="35">
        <f t="shared" si="679"/>
        <v>21.624677492469875</v>
      </c>
      <c r="AI1957" s="36">
        <f t="shared" si="655"/>
        <v>40.186861208727819</v>
      </c>
      <c r="AJ1957" s="23"/>
      <c r="AK1957" s="120">
        <v>1102</v>
      </c>
      <c r="AL1957" s="44"/>
      <c r="AM1957" s="44"/>
      <c r="AN1957" s="44"/>
      <c r="AO1957" s="44"/>
      <c r="AP1957" s="44"/>
      <c r="AQ1957" s="44"/>
      <c r="AR1957" s="44"/>
    </row>
    <row r="1958" spans="1:44" ht="16.8">
      <c r="A1958" s="70" t="s">
        <v>3763</v>
      </c>
      <c r="B1958" s="71"/>
      <c r="C1958" s="71" t="s">
        <v>3761</v>
      </c>
      <c r="D1958" s="19" t="s">
        <v>3762</v>
      </c>
      <c r="E1958" s="20" t="s">
        <v>414</v>
      </c>
      <c r="F1958" s="21">
        <v>2000</v>
      </c>
      <c r="G1958" s="40">
        <v>2022</v>
      </c>
      <c r="H1958" s="23">
        <v>268134690633</v>
      </c>
      <c r="I1958" s="23">
        <v>484489613563</v>
      </c>
      <c r="J1958" s="23">
        <v>125144909714</v>
      </c>
      <c r="K1958" s="23">
        <f t="shared" si="713"/>
        <v>119744243389.5</v>
      </c>
      <c r="L1958" s="23">
        <v>124894653967</v>
      </c>
      <c r="M1958" s="23">
        <f t="shared" si="621"/>
        <v>359344703849</v>
      </c>
      <c r="N1958" s="23">
        <v>2546694864168</v>
      </c>
      <c r="O1958" s="25">
        <f t="shared" si="643"/>
        <v>143240036666</v>
      </c>
      <c r="P1958" s="23">
        <v>51819224959</v>
      </c>
      <c r="Q1958" s="23">
        <v>25932015132</v>
      </c>
      <c r="R1958" s="25">
        <f t="shared" si="644"/>
        <v>2520762849036</v>
      </c>
      <c r="S1958" s="26">
        <f t="shared" si="645"/>
        <v>0.25830256461777984</v>
      </c>
      <c r="T1958" s="27">
        <f t="shared" si="646"/>
        <v>2.1468868531702507</v>
      </c>
      <c r="U1958" s="26">
        <f t="shared" si="647"/>
        <v>26.90636183061298</v>
      </c>
      <c r="V1958" s="26">
        <f t="shared" si="648"/>
        <v>21.267785340496058</v>
      </c>
      <c r="W1958" s="23"/>
      <c r="X1958" s="23"/>
      <c r="Y1958" s="23"/>
      <c r="Z1958" s="30">
        <f t="shared" si="704"/>
        <v>0</v>
      </c>
      <c r="AA1958" s="31">
        <f t="shared" si="705"/>
        <v>22</v>
      </c>
      <c r="AB1958" s="32">
        <v>3.15E-2</v>
      </c>
      <c r="AC1958" s="32">
        <v>8.0199999999999994E-2</v>
      </c>
      <c r="AD1958" s="33">
        <f t="shared" si="675"/>
        <v>0.29565140852575567</v>
      </c>
      <c r="AE1958" s="34">
        <f t="shared" si="676"/>
        <v>0.10695631755222705</v>
      </c>
      <c r="AF1958" s="33">
        <f t="shared" si="677"/>
        <v>5.2029244352587467</v>
      </c>
      <c r="AG1958" s="33">
        <f t="shared" si="678"/>
        <v>0</v>
      </c>
      <c r="AH1958" s="35">
        <f t="shared" si="679"/>
        <v>20.349967649408121</v>
      </c>
      <c r="AI1958" s="36">
        <f t="shared" si="655"/>
        <v>38.024138820566009</v>
      </c>
      <c r="AJ1958" s="23"/>
      <c r="AK1958" s="120">
        <v>1103</v>
      </c>
      <c r="AL1958" s="44"/>
      <c r="AM1958" s="44"/>
      <c r="AN1958" s="44"/>
      <c r="AO1958" s="44"/>
      <c r="AP1958" s="44"/>
      <c r="AQ1958" s="44"/>
      <c r="AR1958" s="44"/>
    </row>
    <row r="1959" spans="1:44" ht="16.8">
      <c r="A1959" s="74" t="s">
        <v>3764</v>
      </c>
      <c r="B1959" s="71"/>
      <c r="C1959" s="71" t="s">
        <v>3761</v>
      </c>
      <c r="D1959" s="19" t="s">
        <v>3762</v>
      </c>
      <c r="E1959" s="20" t="s">
        <v>414</v>
      </c>
      <c r="F1959" s="21">
        <v>2000</v>
      </c>
      <c r="G1959" s="40">
        <v>2023</v>
      </c>
      <c r="H1959" s="23">
        <v>347646670143</v>
      </c>
      <c r="I1959" s="23">
        <v>570753235216</v>
      </c>
      <c r="J1959" s="23">
        <v>163790548705</v>
      </c>
      <c r="K1959" s="23">
        <f t="shared" si="713"/>
        <v>144467729209.5</v>
      </c>
      <c r="L1959" s="23">
        <v>152089020683</v>
      </c>
      <c r="M1959" s="23">
        <f t="shared" si="621"/>
        <v>406962686511</v>
      </c>
      <c r="N1959" s="23">
        <v>2450028021042</v>
      </c>
      <c r="O1959" s="25">
        <f t="shared" si="643"/>
        <v>195557649460</v>
      </c>
      <c r="P1959" s="23">
        <v>48654367161</v>
      </c>
      <c r="Q1959" s="23">
        <v>24758583420</v>
      </c>
      <c r="R1959" s="25">
        <f t="shared" si="644"/>
        <v>2425269437622</v>
      </c>
      <c r="S1959" s="26">
        <f t="shared" si="645"/>
        <v>0.28697261548244035</v>
      </c>
      <c r="T1959" s="27">
        <f t="shared" si="646"/>
        <v>2.2858104324808686</v>
      </c>
      <c r="U1959" s="26">
        <f t="shared" si="647"/>
        <v>27.070222790699429</v>
      </c>
      <c r="V1959" s="26">
        <f t="shared" si="648"/>
        <v>16.958998625146865</v>
      </c>
      <c r="W1959" s="23"/>
      <c r="X1959" s="23"/>
      <c r="Y1959" s="23"/>
      <c r="Z1959" s="30">
        <f t="shared" si="704"/>
        <v>0</v>
      </c>
      <c r="AA1959" s="31">
        <f t="shared" si="705"/>
        <v>23</v>
      </c>
      <c r="AB1959" s="32">
        <v>3.2500000000000001E-2</v>
      </c>
      <c r="AC1959" s="32">
        <v>5.0500000000000003E-2</v>
      </c>
      <c r="AD1959" s="33">
        <f t="shared" si="675"/>
        <v>0.3426308208064589</v>
      </c>
      <c r="AE1959" s="34">
        <f t="shared" si="676"/>
        <v>8.5245889394892152E-2</v>
      </c>
      <c r="AF1959" s="33">
        <f t="shared" si="677"/>
        <v>4.2492434347816941</v>
      </c>
      <c r="AG1959" s="33">
        <f t="shared" si="678"/>
        <v>0</v>
      </c>
      <c r="AH1959" s="35">
        <f t="shared" si="679"/>
        <v>14.958299122953049</v>
      </c>
      <c r="AI1959" s="36">
        <f t="shared" si="655"/>
        <v>29.511303687853236</v>
      </c>
      <c r="AJ1959" s="23"/>
      <c r="AK1959" s="120">
        <v>1104</v>
      </c>
      <c r="AL1959" s="44"/>
      <c r="AM1959" s="44"/>
      <c r="AN1959" s="44"/>
      <c r="AO1959" s="44"/>
      <c r="AP1959" s="44"/>
      <c r="AQ1959" s="44"/>
      <c r="AR1959" s="44"/>
    </row>
    <row r="1960" spans="1:44" ht="16.8">
      <c r="A1960" s="74" t="s">
        <v>3765</v>
      </c>
      <c r="B1960" s="71">
        <v>758</v>
      </c>
      <c r="C1960" s="71" t="s">
        <v>3766</v>
      </c>
      <c r="D1960" s="19" t="s">
        <v>3767</v>
      </c>
      <c r="E1960" s="20" t="s">
        <v>414</v>
      </c>
      <c r="F1960" s="21">
        <v>1960</v>
      </c>
      <c r="G1960" s="40">
        <v>2021</v>
      </c>
      <c r="H1960" s="23">
        <v>563957851345</v>
      </c>
      <c r="I1960" s="23">
        <v>666614848262</v>
      </c>
      <c r="J1960" s="23">
        <v>203303815310</v>
      </c>
      <c r="K1960" s="23">
        <f t="shared" si="713"/>
        <v>183547182007.5</v>
      </c>
      <c r="L1960" s="23">
        <v>203303815310</v>
      </c>
      <c r="M1960" s="23">
        <f t="shared" si="621"/>
        <v>463311032952</v>
      </c>
      <c r="N1960" s="23">
        <v>839036038685</v>
      </c>
      <c r="O1960" s="25">
        <f t="shared" si="643"/>
        <v>360654036035</v>
      </c>
      <c r="P1960" s="23">
        <v>27980337068</v>
      </c>
      <c r="Q1960" s="23">
        <f>128478497046+29195090015</f>
        <v>157673587061</v>
      </c>
      <c r="R1960" s="25">
        <f t="shared" si="644"/>
        <v>681362451624</v>
      </c>
      <c r="S1960" s="26">
        <f t="shared" si="645"/>
        <v>0.30497942828614488</v>
      </c>
      <c r="T1960" s="27">
        <f t="shared" si="646"/>
        <v>2.7739659016485776</v>
      </c>
      <c r="U1960" s="26">
        <f t="shared" si="647"/>
        <v>27.225478277192437</v>
      </c>
      <c r="V1960" s="26">
        <f t="shared" si="648"/>
        <v>4.5712281142551987</v>
      </c>
      <c r="W1960" s="23"/>
      <c r="X1960" s="23"/>
      <c r="Y1960" s="23"/>
      <c r="Z1960" s="30">
        <f t="shared" si="704"/>
        <v>0</v>
      </c>
      <c r="AA1960" s="31">
        <f t="shared" si="705"/>
        <v>61</v>
      </c>
      <c r="AB1960" s="32">
        <v>1.84E-2</v>
      </c>
      <c r="AC1960" s="32">
        <v>2.58E-2</v>
      </c>
      <c r="AD1960" s="33">
        <f t="shared" si="675"/>
        <v>0.54102310648389873</v>
      </c>
      <c r="AE1960" s="34">
        <f t="shared" si="676"/>
        <v>4.1973768122552942E-2</v>
      </c>
      <c r="AF1960" s="33">
        <f t="shared" si="677"/>
        <v>1.0221231246205362</v>
      </c>
      <c r="AG1960" s="33">
        <f t="shared" si="678"/>
        <v>0</v>
      </c>
      <c r="AH1960" s="35">
        <f t="shared" si="679"/>
        <v>4.1270058675762096</v>
      </c>
      <c r="AI1960" s="36">
        <f t="shared" si="655"/>
        <v>8.2080031819762311</v>
      </c>
      <c r="AJ1960" s="23"/>
      <c r="AK1960" s="120">
        <v>1105</v>
      </c>
      <c r="AL1960" s="44"/>
      <c r="AM1960" s="44"/>
      <c r="AN1960" s="44"/>
      <c r="AO1960" s="44"/>
      <c r="AP1960" s="44"/>
      <c r="AQ1960" s="44"/>
      <c r="AR1960" s="44"/>
    </row>
    <row r="1961" spans="1:44" ht="16.8">
      <c r="A1961" s="74" t="s">
        <v>3768</v>
      </c>
      <c r="B1961" s="71"/>
      <c r="C1961" s="71" t="s">
        <v>3766</v>
      </c>
      <c r="D1961" s="19" t="s">
        <v>3767</v>
      </c>
      <c r="E1961" s="20" t="s">
        <v>414</v>
      </c>
      <c r="F1961" s="21">
        <v>1960</v>
      </c>
      <c r="G1961" s="40">
        <v>2022</v>
      </c>
      <c r="H1961" s="23">
        <v>504978704084</v>
      </c>
      <c r="I1961" s="23">
        <v>612707039397</v>
      </c>
      <c r="J1961" s="23">
        <v>137406485074</v>
      </c>
      <c r="K1961" s="23">
        <f t="shared" si="713"/>
        <v>170355150192</v>
      </c>
      <c r="L1961" s="23">
        <v>137406485074</v>
      </c>
      <c r="M1961" s="23">
        <f t="shared" si="621"/>
        <v>475300554323</v>
      </c>
      <c r="N1961" s="23">
        <v>913041618398</v>
      </c>
      <c r="O1961" s="25">
        <f t="shared" si="643"/>
        <v>367572219010</v>
      </c>
      <c r="P1961" s="23">
        <v>37867212736</v>
      </c>
      <c r="Q1961" s="23">
        <f>164681454645+49744687070</f>
        <v>214426141715</v>
      </c>
      <c r="R1961" s="25">
        <f t="shared" si="644"/>
        <v>698615476683</v>
      </c>
      <c r="S1961" s="26">
        <f t="shared" si="645"/>
        <v>0.2242613128930746</v>
      </c>
      <c r="T1961" s="27">
        <f t="shared" si="646"/>
        <v>3.6750718411292209</v>
      </c>
      <c r="U1961" s="26">
        <f t="shared" si="647"/>
        <v>27.141152745753526</v>
      </c>
      <c r="V1961" s="26">
        <f t="shared" si="648"/>
        <v>5.3596361329196673</v>
      </c>
      <c r="W1961" s="23"/>
      <c r="X1961" s="23"/>
      <c r="Y1961" s="23"/>
      <c r="Z1961" s="30">
        <f t="shared" si="704"/>
        <v>0</v>
      </c>
      <c r="AA1961" s="31">
        <f t="shared" si="705"/>
        <v>62</v>
      </c>
      <c r="AB1961" s="32">
        <v>3.15E-2</v>
      </c>
      <c r="AC1961" s="32">
        <v>8.0199999999999994E-2</v>
      </c>
      <c r="AD1961" s="33">
        <f t="shared" si="675"/>
        <v>0.59991512317493334</v>
      </c>
      <c r="AE1961" s="34">
        <f t="shared" si="676"/>
        <v>6.1803129882867493E-2</v>
      </c>
      <c r="AF1961" s="33">
        <f t="shared" si="677"/>
        <v>1.1402112784121876</v>
      </c>
      <c r="AG1961" s="33">
        <f t="shared" si="678"/>
        <v>0</v>
      </c>
      <c r="AH1961" s="35">
        <f t="shared" si="679"/>
        <v>6.6448218794497453</v>
      </c>
      <c r="AI1961" s="36">
        <f t="shared" si="655"/>
        <v>11.213941627855899</v>
      </c>
      <c r="AJ1961" s="23"/>
      <c r="AK1961" s="120">
        <v>1106</v>
      </c>
      <c r="AL1961" s="44"/>
      <c r="AM1961" s="44"/>
      <c r="AN1961" s="44"/>
      <c r="AO1961" s="44"/>
      <c r="AP1961" s="44"/>
      <c r="AQ1961" s="44"/>
      <c r="AR1961" s="44"/>
    </row>
    <row r="1962" spans="1:44" ht="16.8">
      <c r="A1962" s="74" t="s">
        <v>3769</v>
      </c>
      <c r="B1962" s="71"/>
      <c r="C1962" s="71" t="s">
        <v>3766</v>
      </c>
      <c r="D1962" s="19" t="s">
        <v>3767</v>
      </c>
      <c r="E1962" s="20" t="s">
        <v>414</v>
      </c>
      <c r="F1962" s="21">
        <v>1960</v>
      </c>
      <c r="G1962" s="40">
        <v>2023</v>
      </c>
      <c r="H1962" s="23">
        <v>551208903245</v>
      </c>
      <c r="I1962" s="23">
        <v>660530246613</v>
      </c>
      <c r="J1962" s="23">
        <v>155628366592</v>
      </c>
      <c r="K1962" s="23">
        <f t="shared" si="713"/>
        <v>146517425833</v>
      </c>
      <c r="L1962" s="23">
        <v>147705680691</v>
      </c>
      <c r="M1962" s="23">
        <f t="shared" si="621"/>
        <v>504901880021</v>
      </c>
      <c r="N1962" s="23">
        <v>1001606092818</v>
      </c>
      <c r="O1962" s="25">
        <f t="shared" si="643"/>
        <v>403503222554</v>
      </c>
      <c r="P1962" s="23">
        <v>63197613834</v>
      </c>
      <c r="Q1962" s="23">
        <f>171124937945+25284247627</f>
        <v>196409185572</v>
      </c>
      <c r="R1962" s="25">
        <f t="shared" si="644"/>
        <v>805196907246</v>
      </c>
      <c r="S1962" s="26">
        <f t="shared" si="645"/>
        <v>0.23561126441978297</v>
      </c>
      <c r="T1962" s="27">
        <f t="shared" si="646"/>
        <v>3.7318057143525034</v>
      </c>
      <c r="U1962" s="26">
        <f t="shared" si="647"/>
        <v>27.216308753369763</v>
      </c>
      <c r="V1962" s="26">
        <f t="shared" si="648"/>
        <v>6.8360885206898647</v>
      </c>
      <c r="W1962" s="23"/>
      <c r="X1962" s="23"/>
      <c r="Y1962" s="23"/>
      <c r="Z1962" s="30">
        <f t="shared" si="704"/>
        <v>0</v>
      </c>
      <c r="AA1962" s="31">
        <f t="shared" si="705"/>
        <v>63</v>
      </c>
      <c r="AB1962" s="32">
        <v>3.2500000000000001E-2</v>
      </c>
      <c r="AC1962" s="32">
        <v>5.0500000000000003E-2</v>
      </c>
      <c r="AD1962" s="33">
        <f t="shared" si="675"/>
        <v>0.61087773742844165</v>
      </c>
      <c r="AE1962" s="34">
        <f t="shared" si="676"/>
        <v>9.5677092999235561E-2</v>
      </c>
      <c r="AF1962" s="33">
        <f t="shared" si="677"/>
        <v>1.2190159517672461</v>
      </c>
      <c r="AG1962" s="33">
        <f t="shared" si="678"/>
        <v>0</v>
      </c>
      <c r="AH1962" s="35">
        <f t="shared" si="679"/>
        <v>6.4358838607092794</v>
      </c>
      <c r="AI1962" s="36">
        <f t="shared" si="655"/>
        <v>11.325637716654251</v>
      </c>
      <c r="AJ1962" s="23"/>
      <c r="AK1962" s="120">
        <v>1107</v>
      </c>
      <c r="AL1962" s="44"/>
      <c r="AM1962" s="44"/>
      <c r="AN1962" s="44"/>
      <c r="AO1962" s="44"/>
      <c r="AP1962" s="44"/>
      <c r="AQ1962" s="44"/>
      <c r="AR1962" s="44"/>
    </row>
    <row r="1963" spans="1:44" ht="16.8">
      <c r="A1963" s="70" t="s">
        <v>3770</v>
      </c>
      <c r="B1963" s="71">
        <v>759</v>
      </c>
      <c r="C1963" s="71" t="s">
        <v>3771</v>
      </c>
      <c r="D1963" s="19" t="s">
        <v>3772</v>
      </c>
      <c r="E1963" s="20" t="s">
        <v>414</v>
      </c>
      <c r="F1963" s="21">
        <v>1963</v>
      </c>
      <c r="G1963" s="40">
        <v>2021</v>
      </c>
      <c r="H1963" s="23">
        <v>266330242000000</v>
      </c>
      <c r="I1963" s="23">
        <v>1414986259000000</v>
      </c>
      <c r="J1963" s="23">
        <v>1305799830000000</v>
      </c>
      <c r="K1963" s="23">
        <f>AVERAGE(J1963,1232135113000000)</f>
        <v>1268967471500000</v>
      </c>
      <c r="L1963" s="23">
        <v>1305799830000000</v>
      </c>
      <c r="M1963" s="23">
        <f t="shared" si="621"/>
        <v>109186429000000</v>
      </c>
      <c r="N1963" s="23">
        <v>70621957000000</v>
      </c>
      <c r="O1963" s="25">
        <f t="shared" si="643"/>
        <v>-1039469588000000</v>
      </c>
      <c r="P1963" s="23">
        <v>22016833000000</v>
      </c>
      <c r="Q1963" s="23">
        <v>17665925000000</v>
      </c>
      <c r="R1963" s="25">
        <f t="shared" si="644"/>
        <v>52956032000000</v>
      </c>
      <c r="S1963" s="26">
        <f t="shared" si="645"/>
        <v>0.92283569659739006</v>
      </c>
      <c r="T1963" s="27">
        <f t="shared" si="646"/>
        <v>0.20395947057214733</v>
      </c>
      <c r="U1963" s="26">
        <f t="shared" si="647"/>
        <v>34.885896215004671</v>
      </c>
      <c r="V1963" s="26">
        <f t="shared" si="648"/>
        <v>5.5653086927847227E-2</v>
      </c>
      <c r="W1963" s="23"/>
      <c r="X1963" s="23"/>
      <c r="Y1963" s="23"/>
      <c r="Z1963" s="30">
        <f t="shared" si="704"/>
        <v>0</v>
      </c>
      <c r="AA1963" s="31">
        <f t="shared" si="705"/>
        <v>58</v>
      </c>
      <c r="AB1963" s="32">
        <v>1.84E-2</v>
      </c>
      <c r="AC1963" s="32">
        <v>2.58E-2</v>
      </c>
      <c r="AD1963" s="33">
        <f t="shared" si="675"/>
        <v>-0.73461461649430759</v>
      </c>
      <c r="AE1963" s="34">
        <f t="shared" si="676"/>
        <v>1.555975039330753E-2</v>
      </c>
      <c r="AF1963" s="33">
        <f t="shared" si="677"/>
        <v>3.7425121030804302E-2</v>
      </c>
      <c r="AG1963" s="33">
        <f t="shared" si="678"/>
        <v>0</v>
      </c>
      <c r="AH1963" s="35">
        <f t="shared" si="679"/>
        <v>5.4083294680778139E-2</v>
      </c>
      <c r="AI1963" s="36">
        <f t="shared" si="655"/>
        <v>-0.68216769516010622</v>
      </c>
      <c r="AJ1963" s="23"/>
      <c r="AK1963" s="120">
        <v>1108</v>
      </c>
      <c r="AL1963" s="44"/>
      <c r="AM1963" s="44"/>
      <c r="AN1963" s="44"/>
      <c r="AO1963" s="44"/>
      <c r="AP1963" s="44"/>
      <c r="AQ1963" s="44"/>
      <c r="AR1963" s="44"/>
    </row>
    <row r="1964" spans="1:44" ht="16.8">
      <c r="A1964" s="70" t="s">
        <v>3773</v>
      </c>
      <c r="B1964" s="71"/>
      <c r="C1964" s="71" t="s">
        <v>3771</v>
      </c>
      <c r="D1964" s="19" t="s">
        <v>3772</v>
      </c>
      <c r="E1964" s="20" t="s">
        <v>414</v>
      </c>
      <c r="F1964" s="21">
        <v>1963</v>
      </c>
      <c r="G1964" s="40">
        <v>2022</v>
      </c>
      <c r="H1964" s="23">
        <v>424543787000000</v>
      </c>
      <c r="I1964" s="23">
        <v>1813815170000000</v>
      </c>
      <c r="J1964" s="23">
        <v>1678169085000000</v>
      </c>
      <c r="K1964" s="23">
        <f t="shared" ref="K1964:K1969" si="714">AVERAGE(J1963:J1964)</f>
        <v>1491984457500000</v>
      </c>
      <c r="L1964" s="23">
        <v>1678169085000000</v>
      </c>
      <c r="M1964" s="23">
        <f t="shared" si="621"/>
        <v>135646085000000</v>
      </c>
      <c r="N1964" s="23">
        <v>88112700000000</v>
      </c>
      <c r="O1964" s="25">
        <f t="shared" si="643"/>
        <v>-1253625298000000</v>
      </c>
      <c r="P1964" s="23">
        <v>29919054000000</v>
      </c>
      <c r="Q1964" s="23">
        <v>21250512000000</v>
      </c>
      <c r="R1964" s="25">
        <f t="shared" si="644"/>
        <v>66862188000000</v>
      </c>
      <c r="S1964" s="26">
        <f t="shared" si="645"/>
        <v>0.9252150454778697</v>
      </c>
      <c r="T1964" s="27">
        <f t="shared" si="646"/>
        <v>0.25298034077418369</v>
      </c>
      <c r="U1964" s="26">
        <f t="shared" si="647"/>
        <v>35.134208850563454</v>
      </c>
      <c r="V1964" s="26">
        <f t="shared" si="648"/>
        <v>5.9057384651073012E-2</v>
      </c>
      <c r="W1964" s="23"/>
      <c r="X1964" s="23"/>
      <c r="Y1964" s="23"/>
      <c r="Z1964" s="30">
        <f t="shared" si="704"/>
        <v>0</v>
      </c>
      <c r="AA1964" s="31">
        <f t="shared" si="705"/>
        <v>59</v>
      </c>
      <c r="AB1964" s="32">
        <v>3.15E-2</v>
      </c>
      <c r="AC1964" s="32">
        <v>8.0199999999999994E-2</v>
      </c>
      <c r="AD1964" s="33">
        <f t="shared" si="675"/>
        <v>-0.69115382798347635</v>
      </c>
      <c r="AE1964" s="34">
        <f t="shared" si="676"/>
        <v>1.6495095252731844E-2</v>
      </c>
      <c r="AF1964" s="33">
        <f t="shared" si="677"/>
        <v>3.6862735027185817E-2</v>
      </c>
      <c r="AG1964" s="33">
        <f t="shared" si="678"/>
        <v>0</v>
      </c>
      <c r="AH1964" s="35">
        <f t="shared" si="679"/>
        <v>5.2505257537860076E-2</v>
      </c>
      <c r="AI1964" s="36">
        <f t="shared" si="655"/>
        <v>-0.63213917709877376</v>
      </c>
      <c r="AJ1964" s="23"/>
      <c r="AK1964" s="120">
        <v>1109</v>
      </c>
      <c r="AL1964" s="44"/>
      <c r="AM1964" s="44"/>
      <c r="AN1964" s="44"/>
      <c r="AO1964" s="44"/>
      <c r="AP1964" s="44"/>
      <c r="AQ1964" s="44"/>
      <c r="AR1964" s="44"/>
    </row>
    <row r="1965" spans="1:44" ht="16.8">
      <c r="A1965" s="70" t="s">
        <v>3774</v>
      </c>
      <c r="B1965" s="71"/>
      <c r="C1965" s="71" t="s">
        <v>3771</v>
      </c>
      <c r="D1965" s="19" t="s">
        <v>3772</v>
      </c>
      <c r="E1965" s="20" t="s">
        <v>414</v>
      </c>
      <c r="F1965" s="21">
        <v>1963</v>
      </c>
      <c r="G1965" s="40">
        <v>2023</v>
      </c>
      <c r="H1965" s="23">
        <v>409077959000000</v>
      </c>
      <c r="I1965" s="23">
        <v>1839613198000000</v>
      </c>
      <c r="J1965" s="23">
        <v>1674600532000000</v>
      </c>
      <c r="K1965" s="23">
        <f t="shared" si="714"/>
        <v>1676384808500000</v>
      </c>
      <c r="L1965" s="23">
        <v>1674600532000000</v>
      </c>
      <c r="M1965" s="23">
        <f t="shared" si="621"/>
        <v>165012666000000</v>
      </c>
      <c r="N1965" s="23">
        <v>108122278000000</v>
      </c>
      <c r="O1965" s="25">
        <f t="shared" si="643"/>
        <v>-1265522573000000</v>
      </c>
      <c r="P1965" s="23">
        <v>33054448000000</v>
      </c>
      <c r="Q1965" s="23">
        <v>21914899000000</v>
      </c>
      <c r="R1965" s="25">
        <f t="shared" si="644"/>
        <v>86207379000000</v>
      </c>
      <c r="S1965" s="26">
        <f t="shared" si="645"/>
        <v>0.91030034673625992</v>
      </c>
      <c r="T1965" s="27">
        <f t="shared" si="646"/>
        <v>0.24428390603186551</v>
      </c>
      <c r="U1965" s="26">
        <f t="shared" si="647"/>
        <v>35.148331725954314</v>
      </c>
      <c r="V1965" s="26">
        <f t="shared" si="648"/>
        <v>6.4497290509776178E-2</v>
      </c>
      <c r="W1965" s="23"/>
      <c r="X1965" s="23"/>
      <c r="Y1965" s="23"/>
      <c r="Z1965" s="30">
        <f t="shared" si="704"/>
        <v>0</v>
      </c>
      <c r="AA1965" s="31">
        <f t="shared" si="705"/>
        <v>60</v>
      </c>
      <c r="AB1965" s="32">
        <v>3.2500000000000001E-2</v>
      </c>
      <c r="AC1965" s="32">
        <v>5.0500000000000003E-2</v>
      </c>
      <c r="AD1965" s="33">
        <f t="shared" si="675"/>
        <v>-0.68792862237336483</v>
      </c>
      <c r="AE1965" s="34">
        <f t="shared" si="676"/>
        <v>1.7968151150435485E-2</v>
      </c>
      <c r="AF1965" s="33">
        <f t="shared" si="677"/>
        <v>4.6861687605700683E-2</v>
      </c>
      <c r="AG1965" s="33">
        <f t="shared" si="678"/>
        <v>0</v>
      </c>
      <c r="AH1965" s="35">
        <f t="shared" si="679"/>
        <v>6.4566011973534954E-2</v>
      </c>
      <c r="AI1965" s="36">
        <f t="shared" si="655"/>
        <v>-0.58114935416508096</v>
      </c>
      <c r="AJ1965" s="23"/>
      <c r="AK1965" s="120">
        <v>1110</v>
      </c>
      <c r="AL1965" s="44"/>
      <c r="AM1965" s="44"/>
      <c r="AN1965" s="44"/>
      <c r="AO1965" s="44"/>
      <c r="AP1965" s="44"/>
      <c r="AQ1965" s="44"/>
      <c r="AR1965" s="44"/>
    </row>
    <row r="1966" spans="1:44" ht="16.8">
      <c r="A1966" s="74" t="s">
        <v>3775</v>
      </c>
      <c r="B1966" s="71">
        <v>760</v>
      </c>
      <c r="C1966" s="71" t="s">
        <v>3776</v>
      </c>
      <c r="D1966" s="19" t="s">
        <v>3777</v>
      </c>
      <c r="E1966" s="20" t="s">
        <v>414</v>
      </c>
      <c r="F1966" s="21">
        <v>1969</v>
      </c>
      <c r="G1966" s="40">
        <v>2021</v>
      </c>
      <c r="H1966" s="23">
        <v>1496987596788</v>
      </c>
      <c r="I1966" s="23">
        <v>1945577678281</v>
      </c>
      <c r="J1966" s="23">
        <v>683087147133</v>
      </c>
      <c r="K1966" s="23">
        <f t="shared" si="714"/>
        <v>837641809573566.5</v>
      </c>
      <c r="L1966" s="23">
        <v>676081729395</v>
      </c>
      <c r="M1966" s="23">
        <f t="shared" si="621"/>
        <v>1262490531148</v>
      </c>
      <c r="N1966" s="23">
        <v>2219081722078</v>
      </c>
      <c r="O1966" s="25">
        <f t="shared" si="643"/>
        <v>820905867393</v>
      </c>
      <c r="P1966" s="23">
        <v>428532166192</v>
      </c>
      <c r="Q1966" s="23">
        <f>15680623301+48731906164</f>
        <v>64412529465</v>
      </c>
      <c r="R1966" s="25">
        <f t="shared" si="644"/>
        <v>2154669192613</v>
      </c>
      <c r="S1966" s="26">
        <f t="shared" si="645"/>
        <v>0.35109733975594143</v>
      </c>
      <c r="T1966" s="27">
        <f t="shared" si="646"/>
        <v>2.2142109921053446</v>
      </c>
      <c r="U1966" s="26">
        <f t="shared" si="647"/>
        <v>28.296580055729439</v>
      </c>
      <c r="V1966" s="26">
        <f t="shared" si="648"/>
        <v>2.6492012417667025E-3</v>
      </c>
      <c r="W1966" s="23"/>
      <c r="X1966" s="23"/>
      <c r="Y1966" s="23"/>
      <c r="Z1966" s="30">
        <f t="shared" si="704"/>
        <v>0</v>
      </c>
      <c r="AA1966" s="31">
        <f t="shared" si="705"/>
        <v>52</v>
      </c>
      <c r="AB1966" s="32">
        <v>1.84E-2</v>
      </c>
      <c r="AC1966" s="32">
        <v>2.58E-2</v>
      </c>
      <c r="AD1966" s="33">
        <f t="shared" si="675"/>
        <v>0.42193425456973016</v>
      </c>
      <c r="AE1966" s="34">
        <f t="shared" si="676"/>
        <v>0.22025960257244842</v>
      </c>
      <c r="AF1966" s="33">
        <f t="shared" si="677"/>
        <v>1.107470144557138</v>
      </c>
      <c r="AG1966" s="33">
        <f t="shared" si="678"/>
        <v>0</v>
      </c>
      <c r="AH1966" s="35">
        <f t="shared" si="679"/>
        <v>3.2486070502010707</v>
      </c>
      <c r="AI1966" s="36">
        <f t="shared" si="655"/>
        <v>7.7179430763247296</v>
      </c>
      <c r="AJ1966" s="23"/>
      <c r="AK1966" s="120">
        <v>1111</v>
      </c>
      <c r="AL1966" s="44"/>
      <c r="AM1966" s="44"/>
      <c r="AN1966" s="44"/>
      <c r="AO1966" s="44"/>
      <c r="AP1966" s="44"/>
      <c r="AQ1966" s="44"/>
      <c r="AR1966" s="44"/>
    </row>
    <row r="1967" spans="1:44" ht="16.8">
      <c r="A1967" s="74" t="s">
        <v>3778</v>
      </c>
      <c r="B1967" s="71"/>
      <c r="C1967" s="71" t="s">
        <v>3776</v>
      </c>
      <c r="D1967" s="19" t="s">
        <v>3777</v>
      </c>
      <c r="E1967" s="20" t="s">
        <v>414</v>
      </c>
      <c r="F1967" s="21">
        <v>1969</v>
      </c>
      <c r="G1967" s="40">
        <v>2022</v>
      </c>
      <c r="H1967" s="23">
        <v>1770245687000</v>
      </c>
      <c r="I1967" s="23">
        <v>2106250037270</v>
      </c>
      <c r="J1967" s="23">
        <v>443418098090</v>
      </c>
      <c r="K1967" s="23">
        <f t="shared" si="714"/>
        <v>563252622611.5</v>
      </c>
      <c r="L1967" s="23">
        <v>438501046840</v>
      </c>
      <c r="M1967" s="23">
        <f t="shared" si="621"/>
        <v>1662831939180</v>
      </c>
      <c r="N1967" s="23">
        <v>2212293318845</v>
      </c>
      <c r="O1967" s="25">
        <f t="shared" si="643"/>
        <v>1331744640160</v>
      </c>
      <c r="P1967" s="23">
        <v>319106724991</v>
      </c>
      <c r="Q1967" s="23">
        <f>11970360986+31185203989</f>
        <v>43155564975</v>
      </c>
      <c r="R1967" s="25">
        <f t="shared" si="644"/>
        <v>2169137753870</v>
      </c>
      <c r="S1967" s="26">
        <f t="shared" si="645"/>
        <v>0.21052490931453371</v>
      </c>
      <c r="T1967" s="27">
        <f t="shared" si="646"/>
        <v>4.0370386792849011</v>
      </c>
      <c r="U1967" s="26">
        <f t="shared" si="647"/>
        <v>28.375930248742037</v>
      </c>
      <c r="V1967" s="26">
        <f t="shared" si="648"/>
        <v>3.9277106400104871</v>
      </c>
      <c r="W1967" s="23"/>
      <c r="X1967" s="23"/>
      <c r="Y1967" s="23"/>
      <c r="Z1967" s="30">
        <f t="shared" si="704"/>
        <v>0</v>
      </c>
      <c r="AA1967" s="31">
        <f t="shared" si="705"/>
        <v>53</v>
      </c>
      <c r="AB1967" s="32">
        <v>3.15E-2</v>
      </c>
      <c r="AC1967" s="32">
        <v>8.0199999999999994E-2</v>
      </c>
      <c r="AD1967" s="33">
        <f t="shared" si="675"/>
        <v>0.63228231054947814</v>
      </c>
      <c r="AE1967" s="34">
        <f t="shared" si="676"/>
        <v>0.15150467387272204</v>
      </c>
      <c r="AF1967" s="33">
        <f t="shared" si="677"/>
        <v>1.0298576690740437</v>
      </c>
      <c r="AG1967" s="33">
        <f t="shared" si="678"/>
        <v>0</v>
      </c>
      <c r="AH1967" s="35">
        <f t="shared" si="679"/>
        <v>4.9891813806751157</v>
      </c>
      <c r="AI1967" s="36">
        <f t="shared" si="655"/>
        <v>9.3585570047006446</v>
      </c>
      <c r="AJ1967" s="23"/>
      <c r="AK1967" s="120">
        <v>1112</v>
      </c>
      <c r="AL1967" s="44"/>
      <c r="AM1967" s="44"/>
      <c r="AN1967" s="44"/>
      <c r="AO1967" s="44"/>
      <c r="AP1967" s="44"/>
      <c r="AQ1967" s="44"/>
      <c r="AR1967" s="44"/>
    </row>
    <row r="1968" spans="1:44" ht="16.8">
      <c r="A1968" s="74" t="s">
        <v>3779</v>
      </c>
      <c r="B1968" s="71"/>
      <c r="C1968" s="71" t="s">
        <v>3776</v>
      </c>
      <c r="D1968" s="19" t="s">
        <v>3777</v>
      </c>
      <c r="E1968" s="20" t="s">
        <v>414</v>
      </c>
      <c r="F1968" s="21">
        <v>1969</v>
      </c>
      <c r="G1968" s="40">
        <v>2023</v>
      </c>
      <c r="H1968" s="23">
        <v>1791913748146</v>
      </c>
      <c r="I1968" s="23">
        <v>2658406811294</v>
      </c>
      <c r="J1968" s="23">
        <v>545622042359</v>
      </c>
      <c r="K1968" s="23">
        <f t="shared" si="714"/>
        <v>494520070224.5</v>
      </c>
      <c r="L1968" s="23">
        <v>540932348109</v>
      </c>
      <c r="M1968" s="23">
        <f t="shared" si="621"/>
        <v>2112784768935</v>
      </c>
      <c r="N1968" s="23">
        <v>2372453654448</v>
      </c>
      <c r="O1968" s="25">
        <f t="shared" si="643"/>
        <v>1250981400037</v>
      </c>
      <c r="P1968" s="23">
        <v>449952829755</v>
      </c>
      <c r="Q1968" s="23">
        <f>8108421446+22259427344</f>
        <v>30367848790</v>
      </c>
      <c r="R1968" s="25">
        <f t="shared" si="644"/>
        <v>2342085805658</v>
      </c>
      <c r="S1968" s="26">
        <f t="shared" si="645"/>
        <v>0.20524399803708532</v>
      </c>
      <c r="T1968" s="27">
        <f t="shared" si="646"/>
        <v>3.3126392873530319</v>
      </c>
      <c r="U1968" s="26">
        <f t="shared" si="647"/>
        <v>28.608748116161514</v>
      </c>
      <c r="V1968" s="26">
        <f t="shared" si="648"/>
        <v>4.7974870936400302</v>
      </c>
      <c r="W1968" s="23"/>
      <c r="X1968" s="23"/>
      <c r="Y1968" s="23"/>
      <c r="Z1968" s="30">
        <f t="shared" si="704"/>
        <v>0</v>
      </c>
      <c r="AA1968" s="31">
        <f t="shared" si="705"/>
        <v>54</v>
      </c>
      <c r="AB1968" s="32">
        <v>3.2500000000000001E-2</v>
      </c>
      <c r="AC1968" s="32">
        <v>5.0500000000000003E-2</v>
      </c>
      <c r="AD1968" s="33">
        <f t="shared" si="675"/>
        <v>0.4705756074361227</v>
      </c>
      <c r="AE1968" s="34">
        <f t="shared" si="676"/>
        <v>0.16925657421708981</v>
      </c>
      <c r="AF1968" s="33">
        <f t="shared" si="677"/>
        <v>0.88101106110165728</v>
      </c>
      <c r="AG1968" s="33">
        <f t="shared" si="678"/>
        <v>0</v>
      </c>
      <c r="AH1968" s="35">
        <f t="shared" si="679"/>
        <v>4.3481631427328029</v>
      </c>
      <c r="AI1968" s="36">
        <f t="shared" si="655"/>
        <v>8.0571495771955455</v>
      </c>
      <c r="AJ1968" s="23"/>
      <c r="AK1968" s="120">
        <v>1113</v>
      </c>
      <c r="AL1968" s="44"/>
      <c r="AM1968" s="44"/>
      <c r="AN1968" s="44"/>
      <c r="AO1968" s="44"/>
      <c r="AP1968" s="44"/>
      <c r="AQ1968" s="44"/>
      <c r="AR1968" s="44"/>
    </row>
    <row r="1969" spans="1:44" ht="16.8">
      <c r="A1969" s="74" t="s">
        <v>3780</v>
      </c>
      <c r="B1969" s="71">
        <v>761</v>
      </c>
      <c r="C1969" s="71" t="s">
        <v>3781</v>
      </c>
      <c r="D1969" s="19" t="s">
        <v>3782</v>
      </c>
      <c r="E1969" s="20" t="s">
        <v>414</v>
      </c>
      <c r="F1969" s="21">
        <v>1993</v>
      </c>
      <c r="G1969" s="40">
        <v>2021</v>
      </c>
      <c r="H1969" s="23">
        <v>1530821203973</v>
      </c>
      <c r="I1969" s="23">
        <v>1899745184773</v>
      </c>
      <c r="J1969" s="23">
        <v>880797350780</v>
      </c>
      <c r="K1969" s="23">
        <f t="shared" si="714"/>
        <v>713209696569.5</v>
      </c>
      <c r="L1969" s="23">
        <v>843981375179</v>
      </c>
      <c r="M1969" s="23">
        <f t="shared" si="621"/>
        <v>1018947833993</v>
      </c>
      <c r="N1969" s="23">
        <v>2224437842861</v>
      </c>
      <c r="O1969" s="25">
        <f t="shared" si="643"/>
        <v>686839828794</v>
      </c>
      <c r="P1969" s="23">
        <v>165051187390</v>
      </c>
      <c r="Q1969" s="23">
        <f>272368161162+38700263685</f>
        <v>311068424847</v>
      </c>
      <c r="R1969" s="25">
        <f t="shared" si="644"/>
        <v>1913369418014</v>
      </c>
      <c r="S1969" s="26">
        <f t="shared" si="645"/>
        <v>0.46363973328625452</v>
      </c>
      <c r="T1969" s="27">
        <f t="shared" si="646"/>
        <v>1.8138092249350031</v>
      </c>
      <c r="U1969" s="26">
        <f t="shared" si="647"/>
        <v>28.272740879829584</v>
      </c>
      <c r="V1969" s="26">
        <f t="shared" si="648"/>
        <v>3.1189113854739015</v>
      </c>
      <c r="W1969" s="23"/>
      <c r="X1969" s="23"/>
      <c r="Y1969" s="23"/>
      <c r="Z1969" s="30">
        <f t="shared" si="704"/>
        <v>0</v>
      </c>
      <c r="AA1969" s="31">
        <f t="shared" si="705"/>
        <v>28</v>
      </c>
      <c r="AB1969" s="32">
        <v>1.84E-2</v>
      </c>
      <c r="AC1969" s="32">
        <v>2.58E-2</v>
      </c>
      <c r="AD1969" s="33">
        <f t="shared" si="675"/>
        <v>0.36154313446835784</v>
      </c>
      <c r="AE1969" s="34">
        <f t="shared" si="676"/>
        <v>8.6880697849865546E-2</v>
      </c>
      <c r="AF1969" s="33">
        <f t="shared" si="677"/>
        <v>1.00717161088245</v>
      </c>
      <c r="AG1969" s="33">
        <f t="shared" si="678"/>
        <v>0</v>
      </c>
      <c r="AH1969" s="35">
        <f t="shared" si="679"/>
        <v>2.5254819861698312</v>
      </c>
      <c r="AI1969" s="36">
        <f t="shared" si="655"/>
        <v>6.4046330404337573</v>
      </c>
      <c r="AJ1969" s="23"/>
      <c r="AK1969" s="120">
        <v>1114</v>
      </c>
      <c r="AL1969" s="44"/>
      <c r="AM1969" s="44"/>
      <c r="AN1969" s="44"/>
      <c r="AO1969" s="44"/>
      <c r="AP1969" s="44"/>
      <c r="AQ1969" s="44"/>
      <c r="AR1969" s="44"/>
    </row>
    <row r="1970" spans="1:44" ht="16.8">
      <c r="A1970" s="74" t="s">
        <v>3783</v>
      </c>
      <c r="B1970" s="75"/>
      <c r="C1970" s="71" t="s">
        <v>3781</v>
      </c>
      <c r="D1970" s="19" t="s">
        <v>3782</v>
      </c>
      <c r="E1970" s="20" t="s">
        <v>414</v>
      </c>
      <c r="F1970" s="21">
        <v>1993</v>
      </c>
      <c r="G1970" s="40">
        <v>2022</v>
      </c>
      <c r="H1970" s="23">
        <v>2387283735919</v>
      </c>
      <c r="I1970" s="23">
        <v>2756470776119</v>
      </c>
      <c r="J1970" s="23">
        <v>1617174053920</v>
      </c>
      <c r="K1970" s="23">
        <f t="shared" ref="K1970:K1971" si="715">AVERAGE(J1970)</f>
        <v>1617174053920</v>
      </c>
      <c r="L1970" s="23">
        <v>1614862991244</v>
      </c>
      <c r="M1970" s="23">
        <f t="shared" si="621"/>
        <v>1139296722199</v>
      </c>
      <c r="N1970" s="23">
        <v>3250924265573</v>
      </c>
      <c r="O1970" s="25">
        <f t="shared" si="643"/>
        <v>772420744675</v>
      </c>
      <c r="P1970" s="23">
        <v>229164235398</v>
      </c>
      <c r="Q1970" s="23">
        <f>388581305582+54535187552</f>
        <v>443116493134</v>
      </c>
      <c r="R1970" s="25">
        <f t="shared" si="644"/>
        <v>2807807772439</v>
      </c>
      <c r="S1970" s="26">
        <f t="shared" si="645"/>
        <v>0.58668282208197975</v>
      </c>
      <c r="T1970" s="27">
        <f t="shared" si="646"/>
        <v>1.4783196771881992</v>
      </c>
      <c r="U1970" s="26">
        <f t="shared" si="647"/>
        <v>28.644972273112948</v>
      </c>
      <c r="V1970" s="26">
        <f t="shared" si="648"/>
        <v>2.0102500764792879</v>
      </c>
      <c r="W1970" s="23"/>
      <c r="X1970" s="23"/>
      <c r="Y1970" s="23"/>
      <c r="Z1970" s="30">
        <f t="shared" si="704"/>
        <v>0</v>
      </c>
      <c r="AA1970" s="31">
        <f t="shared" si="705"/>
        <v>29</v>
      </c>
      <c r="AB1970" s="32">
        <v>3.15E-2</v>
      </c>
      <c r="AC1970" s="32">
        <v>8.0199999999999994E-2</v>
      </c>
      <c r="AD1970" s="33">
        <f t="shared" si="675"/>
        <v>0.28022090833211638</v>
      </c>
      <c r="AE1970" s="34">
        <f t="shared" si="676"/>
        <v>8.3136827490931736E-2</v>
      </c>
      <c r="AF1970" s="33">
        <f t="shared" si="677"/>
        <v>1.0186241757992736</v>
      </c>
      <c r="AG1970" s="33">
        <f t="shared" si="678"/>
        <v>0</v>
      </c>
      <c r="AH1970" s="35">
        <f t="shared" si="679"/>
        <v>2.0102500764792879</v>
      </c>
      <c r="AI1970" s="36">
        <f t="shared" si="655"/>
        <v>5.8243665051027342</v>
      </c>
      <c r="AJ1970" s="23"/>
      <c r="AK1970" s="120">
        <v>1115</v>
      </c>
    </row>
    <row r="1971" spans="1:44" ht="16.8">
      <c r="A1971" s="74" t="s">
        <v>3784</v>
      </c>
      <c r="B1971" s="75"/>
      <c r="C1971" s="71" t="s">
        <v>3781</v>
      </c>
      <c r="D1971" s="19" t="s">
        <v>3782</v>
      </c>
      <c r="E1971" s="20" t="s">
        <v>414</v>
      </c>
      <c r="F1971" s="21">
        <v>1993</v>
      </c>
      <c r="G1971" s="40">
        <v>2023</v>
      </c>
      <c r="H1971" s="23">
        <v>2572762883973</v>
      </c>
      <c r="I1971" s="23">
        <v>2945607648935</v>
      </c>
      <c r="J1971" s="23">
        <v>1699980061130</v>
      </c>
      <c r="K1971" s="23">
        <f t="shared" si="715"/>
        <v>1699980061130</v>
      </c>
      <c r="L1971" s="23">
        <v>1697986612054</v>
      </c>
      <c r="M1971" s="23">
        <f t="shared" si="621"/>
        <v>1245627587805</v>
      </c>
      <c r="N1971" s="23">
        <v>3557307559071</v>
      </c>
      <c r="O1971" s="25">
        <f t="shared" si="643"/>
        <v>874776271919</v>
      </c>
      <c r="P1971" s="23">
        <v>295577433645</v>
      </c>
      <c r="Q1971" s="23">
        <f>353026887379+81595742730</f>
        <v>434622630109</v>
      </c>
      <c r="R1971" s="25">
        <f t="shared" si="644"/>
        <v>3122684928962</v>
      </c>
      <c r="S1971" s="26">
        <f t="shared" si="645"/>
        <v>0.57712372581074634</v>
      </c>
      <c r="T1971" s="27">
        <f t="shared" si="646"/>
        <v>1.5151844341462806</v>
      </c>
      <c r="U1971" s="26">
        <f t="shared" si="647"/>
        <v>28.711336244154268</v>
      </c>
      <c r="V1971" s="26">
        <f t="shared" si="648"/>
        <v>2.0925584013652543</v>
      </c>
      <c r="W1971" s="23"/>
      <c r="X1971" s="23"/>
      <c r="Y1971" s="23"/>
      <c r="Z1971" s="30">
        <f t="shared" si="704"/>
        <v>0</v>
      </c>
      <c r="AA1971" s="31">
        <f t="shared" si="705"/>
        <v>30</v>
      </c>
      <c r="AB1971" s="32">
        <v>3.2500000000000001E-2</v>
      </c>
      <c r="AC1971" s="32">
        <v>5.0500000000000003E-2</v>
      </c>
      <c r="AD1971" s="33">
        <f t="shared" si="675"/>
        <v>0.29697650745688414</v>
      </c>
      <c r="AE1971" s="34">
        <f t="shared" si="676"/>
        <v>0.10034514737625277</v>
      </c>
      <c r="AF1971" s="33">
        <f t="shared" si="677"/>
        <v>1.0601157048499052</v>
      </c>
      <c r="AG1971" s="33">
        <f t="shared" si="678"/>
        <v>0</v>
      </c>
      <c r="AH1971" s="35">
        <f t="shared" si="679"/>
        <v>2.0925584013652543</v>
      </c>
      <c r="AI1971" s="36">
        <f t="shared" si="655"/>
        <v>6.0877952426449564</v>
      </c>
      <c r="AJ1971" s="23"/>
      <c r="AK1971" s="120">
        <v>1116</v>
      </c>
    </row>
    <row r="1972" spans="1:44" ht="16.8">
      <c r="A1972" s="70" t="s">
        <v>3785</v>
      </c>
      <c r="B1972" s="71">
        <v>762</v>
      </c>
      <c r="C1972" s="71" t="s">
        <v>3786</v>
      </c>
      <c r="D1972" s="19" t="s">
        <v>3787</v>
      </c>
      <c r="E1972" s="20" t="s">
        <v>414</v>
      </c>
      <c r="F1972" s="21">
        <v>1997</v>
      </c>
      <c r="G1972" s="40">
        <v>2021</v>
      </c>
      <c r="H1972" s="23">
        <v>5542588932391</v>
      </c>
      <c r="I1972" s="23">
        <v>8737627021932</v>
      </c>
      <c r="J1972" s="23">
        <v>2853677750684</v>
      </c>
      <c r="K1972" s="23">
        <f>AVERAGE(J1972,2026131280738)</f>
        <v>2439904515711</v>
      </c>
      <c r="L1972" s="23">
        <v>2680066010105</v>
      </c>
      <c r="M1972" s="23">
        <f t="shared" si="621"/>
        <v>5883949271248</v>
      </c>
      <c r="N1972" s="23">
        <v>9060328594014</v>
      </c>
      <c r="O1972" s="25">
        <f t="shared" si="643"/>
        <v>2862522922286</v>
      </c>
      <c r="P1972" s="23">
        <v>1106553957697</v>
      </c>
      <c r="Q1972" s="23">
        <f>343526224004+213089480647</f>
        <v>556615704651</v>
      </c>
      <c r="R1972" s="25">
        <f t="shared" si="644"/>
        <v>8503712889363</v>
      </c>
      <c r="S1972" s="26">
        <f t="shared" si="645"/>
        <v>0.32659642526753396</v>
      </c>
      <c r="T1972" s="27">
        <f t="shared" si="646"/>
        <v>2.0680792605454714</v>
      </c>
      <c r="U1972" s="26">
        <f t="shared" si="647"/>
        <v>29.798659760942979</v>
      </c>
      <c r="V1972" s="26">
        <f t="shared" si="648"/>
        <v>3.7133947397010232</v>
      </c>
      <c r="W1972" s="23"/>
      <c r="X1972" s="23"/>
      <c r="Y1972" s="23"/>
      <c r="Z1972" s="30">
        <f t="shared" si="704"/>
        <v>0</v>
      </c>
      <c r="AA1972" s="31">
        <f t="shared" si="705"/>
        <v>24</v>
      </c>
      <c r="AB1972" s="32">
        <v>1.84E-2</v>
      </c>
      <c r="AC1972" s="32">
        <v>2.58E-2</v>
      </c>
      <c r="AD1972" s="33">
        <f t="shared" si="675"/>
        <v>0.3276087334811712</v>
      </c>
      <c r="AE1972" s="34">
        <f t="shared" si="676"/>
        <v>0.1266423887079958</v>
      </c>
      <c r="AF1972" s="33">
        <f t="shared" si="677"/>
        <v>0.97322910076364433</v>
      </c>
      <c r="AG1972" s="33">
        <f t="shared" si="678"/>
        <v>0</v>
      </c>
      <c r="AH1972" s="35">
        <f t="shared" si="679"/>
        <v>3.1749655656958198</v>
      </c>
      <c r="AI1972" s="36">
        <f t="shared" si="655"/>
        <v>6.9570514225844455</v>
      </c>
      <c r="AJ1972" s="23"/>
      <c r="AK1972" s="120">
        <v>1117</v>
      </c>
      <c r="AL1972" s="44"/>
      <c r="AM1972" s="44"/>
      <c r="AN1972" s="44"/>
      <c r="AO1972" s="44"/>
      <c r="AP1972" s="44"/>
      <c r="AQ1972" s="44"/>
      <c r="AR1972" s="44"/>
    </row>
    <row r="1973" spans="1:44" ht="16.8">
      <c r="A1973" s="74" t="s">
        <v>3788</v>
      </c>
      <c r="B1973" s="75"/>
      <c r="C1973" s="71" t="s">
        <v>3786</v>
      </c>
      <c r="D1973" s="19" t="s">
        <v>3787</v>
      </c>
      <c r="E1973" s="20" t="s">
        <v>414</v>
      </c>
      <c r="F1973" s="21">
        <v>1997</v>
      </c>
      <c r="G1973" s="40">
        <v>2022</v>
      </c>
      <c r="H1973" s="23">
        <v>7640362198885</v>
      </c>
      <c r="I1973" s="23">
        <v>11583289702919</v>
      </c>
      <c r="J1973" s="23">
        <v>3888901503932</v>
      </c>
      <c r="K1973" s="23">
        <f t="shared" ref="K1973:K1974" si="716">AVERAGE(J1972,J1973)</f>
        <v>3371289627308</v>
      </c>
      <c r="L1973" s="23">
        <v>3698134021801</v>
      </c>
      <c r="M1973" s="23">
        <f t="shared" si="621"/>
        <v>7694388198987</v>
      </c>
      <c r="N1973" s="23">
        <v>13463916114123</v>
      </c>
      <c r="O1973" s="25">
        <f t="shared" si="643"/>
        <v>3942228177084</v>
      </c>
      <c r="P1973" s="23">
        <v>2012919885158</v>
      </c>
      <c r="Q1973" s="23">
        <f>349389329477+372098136496</f>
        <v>721487465973</v>
      </c>
      <c r="R1973" s="25">
        <f t="shared" si="644"/>
        <v>12742428648150</v>
      </c>
      <c r="S1973" s="26">
        <f t="shared" si="645"/>
        <v>0.33573376852967712</v>
      </c>
      <c r="T1973" s="27">
        <f t="shared" si="646"/>
        <v>2.066004680696814</v>
      </c>
      <c r="U1973" s="26">
        <f t="shared" si="647"/>
        <v>30.080584632609671</v>
      </c>
      <c r="V1973" s="26">
        <f t="shared" si="648"/>
        <v>3.9936990299092274</v>
      </c>
      <c r="W1973" s="23"/>
      <c r="X1973" s="23"/>
      <c r="Y1973" s="23"/>
      <c r="Z1973" s="30">
        <f t="shared" si="704"/>
        <v>0</v>
      </c>
      <c r="AA1973" s="31">
        <f t="shared" si="705"/>
        <v>25</v>
      </c>
      <c r="AB1973" s="32">
        <v>3.15E-2</v>
      </c>
      <c r="AC1973" s="32">
        <v>8.0199999999999994E-2</v>
      </c>
      <c r="AD1973" s="33">
        <f t="shared" si="675"/>
        <v>0.34033752743752532</v>
      </c>
      <c r="AE1973" s="34">
        <f t="shared" si="676"/>
        <v>0.17377791083397856</v>
      </c>
      <c r="AF1973" s="33">
        <f t="shared" si="677"/>
        <v>1.1000699261574107</v>
      </c>
      <c r="AG1973" s="33">
        <f t="shared" si="678"/>
        <v>0</v>
      </c>
      <c r="AH1973" s="35">
        <f t="shared" si="679"/>
        <v>3.4621386271958472</v>
      </c>
      <c r="AI1973" s="36">
        <f t="shared" si="655"/>
        <v>7.7440634916079034</v>
      </c>
      <c r="AJ1973" s="23"/>
      <c r="AK1973" s="120">
        <v>1118</v>
      </c>
    </row>
    <row r="1974" spans="1:44" ht="16.8">
      <c r="A1974" s="74" t="s">
        <v>3789</v>
      </c>
      <c r="B1974" s="75"/>
      <c r="C1974" s="71" t="s">
        <v>3786</v>
      </c>
      <c r="D1974" s="19" t="s">
        <v>3787</v>
      </c>
      <c r="E1974" s="20" t="s">
        <v>414</v>
      </c>
      <c r="F1974" s="21">
        <v>1997</v>
      </c>
      <c r="G1974" s="40">
        <v>2023</v>
      </c>
      <c r="H1974" s="23">
        <v>7888156657832</v>
      </c>
      <c r="I1974" s="23">
        <v>11942549471150</v>
      </c>
      <c r="J1974" s="23">
        <v>3351493695011</v>
      </c>
      <c r="K1974" s="23">
        <f t="shared" si="716"/>
        <v>3620197599471.5</v>
      </c>
      <c r="L1974" s="23">
        <v>3232914913265</v>
      </c>
      <c r="M1974" s="23">
        <f t="shared" si="621"/>
        <v>8591055776139</v>
      </c>
      <c r="N1974" s="23">
        <v>10075768816568</v>
      </c>
      <c r="O1974" s="25">
        <f t="shared" si="643"/>
        <v>4655241744567</v>
      </c>
      <c r="P1974" s="23">
        <v>973756841307</v>
      </c>
      <c r="Q1974" s="23">
        <f>216294674914+307655327848</f>
        <v>523950002762</v>
      </c>
      <c r="R1974" s="25">
        <f t="shared" si="644"/>
        <v>9551818813806</v>
      </c>
      <c r="S1974" s="26">
        <f t="shared" si="645"/>
        <v>0.28063469220766563</v>
      </c>
      <c r="T1974" s="27">
        <f t="shared" si="646"/>
        <v>2.4399518296834968</v>
      </c>
      <c r="U1974" s="26">
        <f t="shared" si="647"/>
        <v>30.111128724646996</v>
      </c>
      <c r="V1974" s="26">
        <f t="shared" si="648"/>
        <v>2.7832096286785357</v>
      </c>
      <c r="W1974" s="23"/>
      <c r="X1974" s="23"/>
      <c r="Y1974" s="23"/>
      <c r="Z1974" s="30">
        <f t="shared" si="704"/>
        <v>0</v>
      </c>
      <c r="AA1974" s="31">
        <f t="shared" si="705"/>
        <v>26</v>
      </c>
      <c r="AB1974" s="32">
        <v>3.2500000000000001E-2</v>
      </c>
      <c r="AC1974" s="32">
        <v>5.0500000000000003E-2</v>
      </c>
      <c r="AD1974" s="33">
        <f t="shared" si="675"/>
        <v>0.38980301114203603</v>
      </c>
      <c r="AE1974" s="34">
        <f t="shared" si="676"/>
        <v>8.1536764294704051E-2</v>
      </c>
      <c r="AF1974" s="33">
        <f t="shared" si="677"/>
        <v>0.79981404614489016</v>
      </c>
      <c r="AG1974" s="33">
        <f t="shared" si="678"/>
        <v>0</v>
      </c>
      <c r="AH1974" s="35">
        <f t="shared" si="679"/>
        <v>3.0063517146300138</v>
      </c>
      <c r="AI1974" s="36">
        <f t="shared" si="655"/>
        <v>6.2276531502911805</v>
      </c>
      <c r="AJ1974" s="23"/>
      <c r="AK1974" s="120">
        <v>1119</v>
      </c>
    </row>
    <row r="1975" spans="1:44" ht="16.8">
      <c r="A1975" s="145"/>
      <c r="B1975" s="145">
        <v>749</v>
      </c>
      <c r="C1975" s="145" t="s">
        <v>3790</v>
      </c>
      <c r="D1975" s="146" t="s">
        <v>3791</v>
      </c>
      <c r="E1975" s="147" t="s">
        <v>1371</v>
      </c>
      <c r="F1975" s="148"/>
      <c r="G1975" s="148"/>
      <c r="H1975" s="149"/>
      <c r="I1975" s="149"/>
      <c r="J1975" s="149"/>
      <c r="K1975" s="149"/>
      <c r="L1975" s="149"/>
      <c r="M1975" s="149"/>
      <c r="N1975" s="149"/>
      <c r="O1975" s="149">
        <f t="shared" si="643"/>
        <v>0</v>
      </c>
      <c r="P1975" s="149"/>
      <c r="Q1975" s="149"/>
      <c r="R1975" s="149">
        <f t="shared" si="644"/>
        <v>0</v>
      </c>
      <c r="S1975" s="150" t="e">
        <f t="shared" si="645"/>
        <v>#DIV/0!</v>
      </c>
      <c r="T1975" s="151" t="e">
        <f t="shared" si="646"/>
        <v>#DIV/0!</v>
      </c>
      <c r="U1975" s="150" t="e">
        <f t="shared" si="647"/>
        <v>#NUM!</v>
      </c>
      <c r="V1975" s="150" t="e">
        <f t="shared" si="648"/>
        <v>#DIV/0!</v>
      </c>
      <c r="W1975" s="152"/>
      <c r="X1975" s="152"/>
      <c r="Y1975" s="152"/>
      <c r="Z1975" s="153">
        <f t="shared" ref="Z1975:Z1979" si="717">W1975*Y1975</f>
        <v>0</v>
      </c>
      <c r="AA1975" s="148">
        <f t="shared" si="705"/>
        <v>0</v>
      </c>
      <c r="AB1975" s="149"/>
      <c r="AC1975" s="149"/>
      <c r="AD1975" s="150" t="e">
        <f t="shared" si="675"/>
        <v>#DIV/0!</v>
      </c>
      <c r="AE1975" s="154" t="e">
        <f t="shared" si="676"/>
        <v>#DIV/0!</v>
      </c>
      <c r="AF1975" s="150" t="e">
        <f t="shared" si="677"/>
        <v>#DIV/0!</v>
      </c>
      <c r="AG1975" s="150" t="e">
        <f t="shared" si="678"/>
        <v>#DIV/0!</v>
      </c>
      <c r="AH1975" s="155" t="e">
        <f t="shared" si="679"/>
        <v>#DIV/0!</v>
      </c>
      <c r="AI1975" s="156" t="e">
        <f t="shared" si="655"/>
        <v>#DIV/0!</v>
      </c>
      <c r="AJ1975" s="149"/>
      <c r="AK1975" s="149"/>
      <c r="AL1975" s="157"/>
      <c r="AM1975" s="157"/>
      <c r="AN1975" s="157"/>
      <c r="AO1975" s="157"/>
      <c r="AP1975" s="157"/>
      <c r="AQ1975" s="157"/>
      <c r="AR1975" s="157"/>
    </row>
    <row r="1976" spans="1:44" ht="16.8">
      <c r="A1976" s="145"/>
      <c r="B1976" s="145">
        <v>750</v>
      </c>
      <c r="C1976" s="145" t="s">
        <v>3792</v>
      </c>
      <c r="D1976" s="146" t="s">
        <v>3793</v>
      </c>
      <c r="E1976" s="147" t="s">
        <v>178</v>
      </c>
      <c r="F1976" s="148"/>
      <c r="G1976" s="148"/>
      <c r="H1976" s="149"/>
      <c r="I1976" s="149"/>
      <c r="J1976" s="149"/>
      <c r="K1976" s="149"/>
      <c r="L1976" s="149"/>
      <c r="M1976" s="149"/>
      <c r="N1976" s="149"/>
      <c r="O1976" s="149">
        <f t="shared" si="643"/>
        <v>0</v>
      </c>
      <c r="P1976" s="149"/>
      <c r="Q1976" s="149"/>
      <c r="R1976" s="149">
        <f t="shared" si="644"/>
        <v>0</v>
      </c>
      <c r="S1976" s="150" t="e">
        <f t="shared" si="645"/>
        <v>#DIV/0!</v>
      </c>
      <c r="T1976" s="151" t="e">
        <f t="shared" si="646"/>
        <v>#DIV/0!</v>
      </c>
      <c r="U1976" s="150" t="e">
        <f t="shared" si="647"/>
        <v>#NUM!</v>
      </c>
      <c r="V1976" s="150" t="e">
        <f t="shared" si="648"/>
        <v>#DIV/0!</v>
      </c>
      <c r="W1976" s="149"/>
      <c r="X1976" s="149"/>
      <c r="Y1976" s="149"/>
      <c r="Z1976" s="149">
        <f t="shared" si="717"/>
        <v>0</v>
      </c>
      <c r="AA1976" s="149">
        <f t="shared" si="705"/>
        <v>0</v>
      </c>
      <c r="AB1976" s="149"/>
      <c r="AC1976" s="149"/>
      <c r="AD1976" s="150" t="e">
        <f t="shared" si="675"/>
        <v>#DIV/0!</v>
      </c>
      <c r="AE1976" s="154" t="e">
        <f t="shared" si="676"/>
        <v>#DIV/0!</v>
      </c>
      <c r="AF1976" s="150" t="e">
        <f t="shared" si="677"/>
        <v>#DIV/0!</v>
      </c>
      <c r="AG1976" s="150" t="e">
        <f t="shared" si="678"/>
        <v>#DIV/0!</v>
      </c>
      <c r="AH1976" s="155" t="e">
        <f t="shared" si="679"/>
        <v>#DIV/0!</v>
      </c>
      <c r="AI1976" s="156" t="e">
        <f t="shared" si="655"/>
        <v>#DIV/0!</v>
      </c>
      <c r="AJ1976" s="149"/>
      <c r="AK1976" s="149"/>
      <c r="AL1976" s="157"/>
      <c r="AM1976" s="157"/>
      <c r="AN1976" s="157"/>
      <c r="AO1976" s="157"/>
      <c r="AP1976" s="157"/>
      <c r="AQ1976" s="157"/>
      <c r="AR1976" s="157"/>
    </row>
    <row r="1977" spans="1:44" ht="16.8">
      <c r="A1977" s="145"/>
      <c r="B1977" s="145">
        <v>753</v>
      </c>
      <c r="C1977" s="145" t="s">
        <v>3794</v>
      </c>
      <c r="D1977" s="146" t="s">
        <v>3795</v>
      </c>
      <c r="E1977" s="147" t="s">
        <v>178</v>
      </c>
      <c r="F1977" s="148"/>
      <c r="G1977" s="148"/>
      <c r="H1977" s="149"/>
      <c r="I1977" s="149"/>
      <c r="J1977" s="149"/>
      <c r="K1977" s="149"/>
      <c r="L1977" s="149"/>
      <c r="M1977" s="149"/>
      <c r="N1977" s="149"/>
      <c r="O1977" s="149">
        <f t="shared" si="643"/>
        <v>0</v>
      </c>
      <c r="P1977" s="149"/>
      <c r="Q1977" s="149"/>
      <c r="R1977" s="149">
        <f t="shared" si="644"/>
        <v>0</v>
      </c>
      <c r="S1977" s="150" t="e">
        <f t="shared" si="645"/>
        <v>#DIV/0!</v>
      </c>
      <c r="T1977" s="151" t="e">
        <f t="shared" si="646"/>
        <v>#DIV/0!</v>
      </c>
      <c r="U1977" s="150" t="e">
        <f t="shared" si="647"/>
        <v>#NUM!</v>
      </c>
      <c r="V1977" s="150" t="e">
        <f t="shared" si="648"/>
        <v>#DIV/0!</v>
      </c>
      <c r="W1977" s="149"/>
      <c r="X1977" s="149"/>
      <c r="Y1977" s="149"/>
      <c r="Z1977" s="149">
        <f t="shared" si="717"/>
        <v>0</v>
      </c>
      <c r="AA1977" s="149">
        <f t="shared" si="705"/>
        <v>0</v>
      </c>
      <c r="AB1977" s="149"/>
      <c r="AC1977" s="149"/>
      <c r="AD1977" s="150" t="e">
        <f t="shared" si="675"/>
        <v>#DIV/0!</v>
      </c>
      <c r="AE1977" s="154" t="e">
        <f t="shared" si="676"/>
        <v>#DIV/0!</v>
      </c>
      <c r="AF1977" s="150" t="e">
        <f t="shared" si="677"/>
        <v>#DIV/0!</v>
      </c>
      <c r="AG1977" s="150" t="e">
        <f t="shared" si="678"/>
        <v>#DIV/0!</v>
      </c>
      <c r="AH1977" s="155" t="e">
        <f t="shared" si="679"/>
        <v>#DIV/0!</v>
      </c>
      <c r="AI1977" s="156" t="e">
        <f t="shared" si="655"/>
        <v>#DIV/0!</v>
      </c>
      <c r="AJ1977" s="149"/>
      <c r="AK1977" s="149"/>
      <c r="AL1977" s="157"/>
      <c r="AM1977" s="157"/>
      <c r="AN1977" s="157"/>
      <c r="AO1977" s="157"/>
      <c r="AP1977" s="157"/>
      <c r="AQ1977" s="157"/>
      <c r="AR1977" s="157"/>
    </row>
    <row r="1978" spans="1:44" ht="16.8">
      <c r="A1978" s="145"/>
      <c r="B1978" s="145">
        <v>763</v>
      </c>
      <c r="C1978" s="145" t="s">
        <v>3796</v>
      </c>
      <c r="D1978" s="146" t="s">
        <v>3797</v>
      </c>
      <c r="E1978" s="147" t="s">
        <v>178</v>
      </c>
      <c r="F1978" s="148"/>
      <c r="G1978" s="148"/>
      <c r="H1978" s="149"/>
      <c r="I1978" s="149"/>
      <c r="J1978" s="149"/>
      <c r="K1978" s="149"/>
      <c r="L1978" s="149"/>
      <c r="M1978" s="149"/>
      <c r="N1978" s="149"/>
      <c r="O1978" s="149">
        <f t="shared" si="643"/>
        <v>0</v>
      </c>
      <c r="P1978" s="149"/>
      <c r="Q1978" s="149"/>
      <c r="R1978" s="149">
        <f t="shared" si="644"/>
        <v>0</v>
      </c>
      <c r="S1978" s="150" t="e">
        <f t="shared" si="645"/>
        <v>#DIV/0!</v>
      </c>
      <c r="T1978" s="151" t="e">
        <f t="shared" si="646"/>
        <v>#DIV/0!</v>
      </c>
      <c r="U1978" s="150" t="e">
        <f t="shared" si="647"/>
        <v>#NUM!</v>
      </c>
      <c r="V1978" s="150" t="e">
        <f t="shared" si="648"/>
        <v>#DIV/0!</v>
      </c>
      <c r="W1978" s="149"/>
      <c r="X1978" s="149"/>
      <c r="Y1978" s="149"/>
      <c r="Z1978" s="149">
        <f t="shared" si="717"/>
        <v>0</v>
      </c>
      <c r="AA1978" s="149">
        <f t="shared" si="705"/>
        <v>0</v>
      </c>
      <c r="AB1978" s="149"/>
      <c r="AC1978" s="149"/>
      <c r="AD1978" s="150" t="e">
        <f t="shared" si="675"/>
        <v>#DIV/0!</v>
      </c>
      <c r="AE1978" s="154" t="e">
        <f t="shared" si="676"/>
        <v>#DIV/0!</v>
      </c>
      <c r="AF1978" s="150" t="e">
        <f t="shared" si="677"/>
        <v>#DIV/0!</v>
      </c>
      <c r="AG1978" s="150" t="e">
        <f t="shared" si="678"/>
        <v>#DIV/0!</v>
      </c>
      <c r="AH1978" s="155" t="e">
        <f t="shared" si="679"/>
        <v>#DIV/0!</v>
      </c>
      <c r="AI1978" s="156" t="e">
        <f t="shared" si="655"/>
        <v>#DIV/0!</v>
      </c>
      <c r="AJ1978" s="149"/>
      <c r="AK1978" s="149"/>
      <c r="AL1978" s="157"/>
      <c r="AM1978" s="157"/>
      <c r="AN1978" s="157"/>
      <c r="AO1978" s="157"/>
      <c r="AP1978" s="157"/>
      <c r="AQ1978" s="157"/>
      <c r="AR1978" s="157"/>
    </row>
    <row r="1979" spans="1:44" ht="16.8">
      <c r="A1979" s="145"/>
      <c r="B1979" s="145">
        <v>756</v>
      </c>
      <c r="C1979" s="145" t="s">
        <v>3798</v>
      </c>
      <c r="D1979" s="146" t="s">
        <v>3799</v>
      </c>
      <c r="E1979" s="147" t="s">
        <v>178</v>
      </c>
      <c r="F1979" s="148"/>
      <c r="G1979" s="148"/>
      <c r="H1979" s="149"/>
      <c r="I1979" s="149"/>
      <c r="J1979" s="149"/>
      <c r="K1979" s="149"/>
      <c r="L1979" s="149"/>
      <c r="M1979" s="149"/>
      <c r="N1979" s="149"/>
      <c r="O1979" s="149">
        <f t="shared" si="643"/>
        <v>0</v>
      </c>
      <c r="P1979" s="149"/>
      <c r="Q1979" s="149"/>
      <c r="R1979" s="149">
        <f t="shared" si="644"/>
        <v>0</v>
      </c>
      <c r="S1979" s="150" t="e">
        <f t="shared" si="645"/>
        <v>#DIV/0!</v>
      </c>
      <c r="T1979" s="151" t="e">
        <f t="shared" si="646"/>
        <v>#DIV/0!</v>
      </c>
      <c r="U1979" s="150" t="e">
        <f t="shared" si="647"/>
        <v>#NUM!</v>
      </c>
      <c r="V1979" s="150" t="e">
        <f t="shared" si="648"/>
        <v>#DIV/0!</v>
      </c>
      <c r="W1979" s="149"/>
      <c r="X1979" s="149"/>
      <c r="Y1979" s="149"/>
      <c r="Z1979" s="149">
        <f t="shared" si="717"/>
        <v>0</v>
      </c>
      <c r="AA1979" s="149">
        <f t="shared" si="705"/>
        <v>0</v>
      </c>
      <c r="AB1979" s="149"/>
      <c r="AC1979" s="149"/>
      <c r="AD1979" s="150" t="e">
        <f t="shared" si="675"/>
        <v>#DIV/0!</v>
      </c>
      <c r="AE1979" s="154" t="e">
        <f t="shared" si="676"/>
        <v>#DIV/0!</v>
      </c>
      <c r="AF1979" s="150" t="e">
        <f t="shared" si="677"/>
        <v>#DIV/0!</v>
      </c>
      <c r="AG1979" s="150" t="e">
        <f t="shared" si="678"/>
        <v>#DIV/0!</v>
      </c>
      <c r="AH1979" s="155" t="e">
        <f t="shared" si="679"/>
        <v>#DIV/0!</v>
      </c>
      <c r="AI1979" s="156" t="e">
        <f t="shared" si="655"/>
        <v>#DIV/0!</v>
      </c>
      <c r="AJ1979" s="149"/>
      <c r="AK1979" s="149"/>
      <c r="AL1979" s="157"/>
      <c r="AM1979" s="157"/>
      <c r="AN1979" s="157"/>
      <c r="AO1979" s="157"/>
      <c r="AP1979" s="157"/>
      <c r="AQ1979" s="157"/>
      <c r="AR1979" s="157"/>
    </row>
    <row r="1980" spans="1:44" ht="16.8">
      <c r="A1980" s="70" t="s">
        <v>3800</v>
      </c>
      <c r="B1980" s="71">
        <v>764</v>
      </c>
      <c r="C1980" s="71" t="s">
        <v>3801</v>
      </c>
      <c r="D1980" s="19" t="s">
        <v>3802</v>
      </c>
      <c r="E1980" s="20" t="s">
        <v>414</v>
      </c>
      <c r="F1980" s="21">
        <v>2002</v>
      </c>
      <c r="G1980" s="40">
        <v>2021</v>
      </c>
      <c r="H1980" s="23">
        <v>161374270000000</v>
      </c>
      <c r="I1980" s="23">
        <v>428384465000000</v>
      </c>
      <c r="J1980" s="23">
        <v>268812599000000</v>
      </c>
      <c r="K1980" s="23">
        <f>AVERAGE(J1980,286975562000000)</f>
        <v>277894080500000</v>
      </c>
      <c r="L1980" s="23">
        <v>146445324000000</v>
      </c>
      <c r="M1980" s="23">
        <f t="shared" ref="M1980:M1989" si="718">I1980-J1980</f>
        <v>159571866000000</v>
      </c>
      <c r="N1980" s="23">
        <v>125780761000000</v>
      </c>
      <c r="O1980" s="25">
        <f t="shared" si="643"/>
        <v>14928946000000</v>
      </c>
      <c r="P1980" s="23">
        <v>7558164000000</v>
      </c>
      <c r="Q1980" s="23">
        <f>6909908000000+24034459000000</f>
        <v>30944367000000</v>
      </c>
      <c r="R1980" s="25">
        <f t="shared" si="644"/>
        <v>94836394000000</v>
      </c>
      <c r="S1980" s="26">
        <f t="shared" si="645"/>
        <v>0.6275031448677767</v>
      </c>
      <c r="T1980" s="27">
        <f t="shared" si="646"/>
        <v>1.1019421145874211</v>
      </c>
      <c r="U1980" s="26">
        <f t="shared" si="647"/>
        <v>33.691042191006161</v>
      </c>
      <c r="V1980" s="26">
        <f t="shared" si="648"/>
        <v>0.45262123170702084</v>
      </c>
      <c r="W1980" s="23"/>
      <c r="X1980" s="23"/>
      <c r="Y1980" s="23"/>
      <c r="Z1980" s="30">
        <f t="shared" ref="Z1980:Z1988" si="719">X1980*Y1980</f>
        <v>0</v>
      </c>
      <c r="AA1980" s="31">
        <f t="shared" si="705"/>
        <v>19</v>
      </c>
      <c r="AB1980" s="32">
        <v>1.84E-2</v>
      </c>
      <c r="AC1980" s="32">
        <v>2.58E-2</v>
      </c>
      <c r="AD1980" s="33">
        <f t="shared" si="675"/>
        <v>3.4849410330507667E-2</v>
      </c>
      <c r="AE1980" s="34">
        <f t="shared" si="676"/>
        <v>1.7643412909476072E-2</v>
      </c>
      <c r="AF1980" s="33">
        <f t="shared" si="677"/>
        <v>0.22138149664227436</v>
      </c>
      <c r="AG1980" s="33">
        <f t="shared" si="678"/>
        <v>0</v>
      </c>
      <c r="AH1980" s="35">
        <f t="shared" si="679"/>
        <v>0.46791244706502766</v>
      </c>
      <c r="AI1980" s="36">
        <f t="shared" si="655"/>
        <v>1.2649914564544087</v>
      </c>
      <c r="AJ1980" s="23"/>
      <c r="AK1980" s="120">
        <v>1120</v>
      </c>
      <c r="AL1980" s="44"/>
      <c r="AM1980" s="44"/>
      <c r="AN1980" s="44"/>
      <c r="AO1980" s="44"/>
      <c r="AP1980" s="44"/>
      <c r="AQ1980" s="44"/>
      <c r="AR1980" s="44"/>
    </row>
    <row r="1981" spans="1:44" ht="16.8">
      <c r="A1981" s="74" t="s">
        <v>3803</v>
      </c>
      <c r="B1981" s="75"/>
      <c r="C1981" s="71" t="s">
        <v>3801</v>
      </c>
      <c r="D1981" s="19" t="s">
        <v>3802</v>
      </c>
      <c r="E1981" s="20" t="s">
        <v>414</v>
      </c>
      <c r="F1981" s="21">
        <v>2002</v>
      </c>
      <c r="G1981" s="40">
        <v>2022</v>
      </c>
      <c r="H1981" s="23">
        <v>283116653000000</v>
      </c>
      <c r="I1981" s="23">
        <v>577407240000000</v>
      </c>
      <c r="J1981" s="23">
        <v>441751791000000</v>
      </c>
      <c r="K1981" s="23">
        <f t="shared" ref="K1981:K1982" si="720">AVERAGE(J1980:J1981)</f>
        <v>355282195000000</v>
      </c>
      <c r="L1981" s="23">
        <v>298411509000000</v>
      </c>
      <c r="M1981" s="23">
        <f t="shared" si="718"/>
        <v>135655449000000</v>
      </c>
      <c r="N1981" s="23">
        <v>101809529000000</v>
      </c>
      <c r="O1981" s="25">
        <f t="shared" si="643"/>
        <v>-15294856000000</v>
      </c>
      <c r="P1981" s="23">
        <v>2044344000000</v>
      </c>
      <c r="Q1981" s="23">
        <f>9371097000000+15953649000000</f>
        <v>25324746000000</v>
      </c>
      <c r="R1981" s="25">
        <f t="shared" si="644"/>
        <v>76484783000000</v>
      </c>
      <c r="S1981" s="26">
        <f t="shared" si="645"/>
        <v>0.76506105292340987</v>
      </c>
      <c r="T1981" s="27">
        <f t="shared" si="646"/>
        <v>0.94874575698754304</v>
      </c>
      <c r="U1981" s="26">
        <f t="shared" si="647"/>
        <v>33.989568922046558</v>
      </c>
      <c r="V1981" s="26">
        <f t="shared" si="648"/>
        <v>0.28655961495621812</v>
      </c>
      <c r="W1981" s="23"/>
      <c r="X1981" s="23"/>
      <c r="Y1981" s="23"/>
      <c r="Z1981" s="30">
        <f t="shared" si="719"/>
        <v>0</v>
      </c>
      <c r="AA1981" s="31">
        <f t="shared" si="705"/>
        <v>20</v>
      </c>
      <c r="AB1981" s="32">
        <v>3.15E-2</v>
      </c>
      <c r="AC1981" s="32">
        <v>8.0199999999999994E-2</v>
      </c>
      <c r="AD1981" s="33">
        <f t="shared" si="675"/>
        <v>-2.6488853863349548E-2</v>
      </c>
      <c r="AE1981" s="34">
        <f t="shared" si="676"/>
        <v>3.5405583068199836E-3</v>
      </c>
      <c r="AF1981" s="33">
        <f t="shared" si="677"/>
        <v>0.13246245925146349</v>
      </c>
      <c r="AG1981" s="33">
        <f t="shared" si="678"/>
        <v>0</v>
      </c>
      <c r="AH1981" s="35">
        <f t="shared" si="679"/>
        <v>0.23046772208785454</v>
      </c>
      <c r="AI1981" s="36">
        <f t="shared" si="655"/>
        <v>0.64076399461121247</v>
      </c>
      <c r="AJ1981" s="23"/>
      <c r="AK1981" s="120">
        <v>1121</v>
      </c>
    </row>
    <row r="1982" spans="1:44" ht="16.8">
      <c r="A1982" s="74" t="s">
        <v>3804</v>
      </c>
      <c r="B1982" s="75"/>
      <c r="C1982" s="71" t="s">
        <v>3801</v>
      </c>
      <c r="D1982" s="19" t="s">
        <v>3802</v>
      </c>
      <c r="E1982" s="20" t="s">
        <v>414</v>
      </c>
      <c r="F1982" s="21">
        <v>2002</v>
      </c>
      <c r="G1982" s="40">
        <v>2023</v>
      </c>
      <c r="H1982" s="23">
        <v>343536472000000</v>
      </c>
      <c r="I1982" s="23">
        <v>667655767000000</v>
      </c>
      <c r="J1982" s="23">
        <v>519434081000000</v>
      </c>
      <c r="K1982" s="23">
        <f t="shared" si="720"/>
        <v>480592936000000</v>
      </c>
      <c r="L1982" s="23">
        <v>401298366000000</v>
      </c>
      <c r="M1982" s="23">
        <f t="shared" si="718"/>
        <v>148221686000000</v>
      </c>
      <c r="N1982" s="23">
        <v>161452751000000</v>
      </c>
      <c r="O1982" s="25">
        <f t="shared" si="643"/>
        <v>-57761894000000</v>
      </c>
      <c r="P1982" s="23">
        <v>2056061000000</v>
      </c>
      <c r="Q1982" s="23">
        <f>12513907000000+13463255000000</f>
        <v>25977162000000</v>
      </c>
      <c r="R1982" s="25">
        <f t="shared" si="644"/>
        <v>135475589000000</v>
      </c>
      <c r="S1982" s="26">
        <f t="shared" si="645"/>
        <v>0.77799684609029973</v>
      </c>
      <c r="T1982" s="27">
        <f t="shared" si="646"/>
        <v>0.85606247397478807</v>
      </c>
      <c r="U1982" s="26">
        <f t="shared" si="647"/>
        <v>34.134793837780521</v>
      </c>
      <c r="V1982" s="26">
        <f t="shared" si="648"/>
        <v>0.33594491076747746</v>
      </c>
      <c r="W1982" s="23"/>
      <c r="X1982" s="23"/>
      <c r="Y1982" s="23"/>
      <c r="Z1982" s="30">
        <f t="shared" si="719"/>
        <v>0</v>
      </c>
      <c r="AA1982" s="31">
        <f t="shared" si="705"/>
        <v>21</v>
      </c>
      <c r="AB1982" s="32">
        <v>3.2500000000000001E-2</v>
      </c>
      <c r="AC1982" s="32">
        <v>5.0500000000000003E-2</v>
      </c>
      <c r="AD1982" s="33">
        <f t="shared" si="675"/>
        <v>-8.6514483742937548E-2</v>
      </c>
      <c r="AE1982" s="34">
        <f t="shared" si="676"/>
        <v>3.0795225648069628E-3</v>
      </c>
      <c r="AF1982" s="33">
        <f t="shared" si="677"/>
        <v>0.20291233251640586</v>
      </c>
      <c r="AG1982" s="33">
        <f t="shared" si="678"/>
        <v>0</v>
      </c>
      <c r="AH1982" s="35">
        <f t="shared" si="679"/>
        <v>0.3108243315286045</v>
      </c>
      <c r="AI1982" s="36">
        <f t="shared" si="655"/>
        <v>0.88092897993194863</v>
      </c>
      <c r="AJ1982" s="23"/>
      <c r="AK1982" s="120">
        <v>1122</v>
      </c>
    </row>
    <row r="1983" spans="1:44" ht="16.8">
      <c r="A1983" s="70" t="s">
        <v>3805</v>
      </c>
      <c r="B1983" s="71">
        <v>765</v>
      </c>
      <c r="C1983" s="71" t="s">
        <v>3806</v>
      </c>
      <c r="D1983" s="19" t="s">
        <v>3807</v>
      </c>
      <c r="E1983" s="20" t="s">
        <v>414</v>
      </c>
      <c r="F1983" s="21">
        <v>1974</v>
      </c>
      <c r="G1983" s="40">
        <v>2021</v>
      </c>
      <c r="H1983" s="23">
        <v>676976245146</v>
      </c>
      <c r="I1983" s="23">
        <v>1168857320005</v>
      </c>
      <c r="J1983" s="23">
        <v>624750210138</v>
      </c>
      <c r="K1983" s="23">
        <f>AVERAGE(J1983,43034935360)</f>
        <v>333892572749</v>
      </c>
      <c r="L1983" s="23">
        <v>624750210138</v>
      </c>
      <c r="M1983" s="23">
        <f t="shared" si="718"/>
        <v>544107109867</v>
      </c>
      <c r="N1983" s="23">
        <v>1063513531840</v>
      </c>
      <c r="O1983" s="25">
        <f t="shared" si="643"/>
        <v>52226035008</v>
      </c>
      <c r="P1983" s="23">
        <v>64997315662</v>
      </c>
      <c r="Q1983" s="23">
        <f>16001135997+40252673374</f>
        <v>56253809371</v>
      </c>
      <c r="R1983" s="25">
        <f t="shared" si="644"/>
        <v>1007259722469</v>
      </c>
      <c r="S1983" s="26">
        <f t="shared" si="645"/>
        <v>0.53449655440864885</v>
      </c>
      <c r="T1983" s="27">
        <f t="shared" si="646"/>
        <v>1.0835950659327731</v>
      </c>
      <c r="U1983" s="26">
        <f t="shared" si="647"/>
        <v>27.787047737936895</v>
      </c>
      <c r="V1983" s="26">
        <f t="shared" si="648"/>
        <v>3.1851967328410278</v>
      </c>
      <c r="W1983" s="23"/>
      <c r="X1983" s="23"/>
      <c r="Y1983" s="23"/>
      <c r="Z1983" s="30">
        <f t="shared" si="719"/>
        <v>0</v>
      </c>
      <c r="AA1983" s="31">
        <f t="shared" si="705"/>
        <v>47</v>
      </c>
      <c r="AB1983" s="32">
        <v>1.84E-2</v>
      </c>
      <c r="AC1983" s="32">
        <v>2.58E-2</v>
      </c>
      <c r="AD1983" s="33">
        <f t="shared" si="675"/>
        <v>4.468127470663108E-2</v>
      </c>
      <c r="AE1983" s="34">
        <f t="shared" si="676"/>
        <v>5.5607570359162369E-2</v>
      </c>
      <c r="AF1983" s="33">
        <f t="shared" si="677"/>
        <v>0.8617473708978366</v>
      </c>
      <c r="AG1983" s="33">
        <f t="shared" si="678"/>
        <v>0</v>
      </c>
      <c r="AH1983" s="35">
        <f t="shared" si="679"/>
        <v>1.7023019993944177</v>
      </c>
      <c r="AI1983" s="36">
        <f t="shared" si="655"/>
        <v>4.6775364515080629</v>
      </c>
      <c r="AJ1983" s="23"/>
      <c r="AK1983" s="120">
        <v>1123</v>
      </c>
      <c r="AL1983" s="44"/>
      <c r="AM1983" s="44"/>
      <c r="AN1983" s="44"/>
      <c r="AO1983" s="44"/>
      <c r="AP1983" s="44"/>
      <c r="AQ1983" s="44"/>
      <c r="AR1983" s="44"/>
    </row>
    <row r="1984" spans="1:44" ht="16.8">
      <c r="A1984" s="70" t="s">
        <v>3808</v>
      </c>
      <c r="B1984" s="71"/>
      <c r="C1984" s="71" t="s">
        <v>3806</v>
      </c>
      <c r="D1984" s="19" t="s">
        <v>3807</v>
      </c>
      <c r="E1984" s="20" t="s">
        <v>414</v>
      </c>
      <c r="F1984" s="21">
        <v>1974</v>
      </c>
      <c r="G1984" s="40">
        <v>2022</v>
      </c>
      <c r="H1984" s="23">
        <v>731623893347</v>
      </c>
      <c r="I1984" s="23">
        <v>1211710188922</v>
      </c>
      <c r="J1984" s="23">
        <v>627077271178</v>
      </c>
      <c r="K1984" s="23">
        <f t="shared" ref="K1984:K1985" si="721">AVERAGE(J1983:J1984)</f>
        <v>625913740658</v>
      </c>
      <c r="L1984" s="23">
        <v>625577271178</v>
      </c>
      <c r="M1984" s="23">
        <f t="shared" si="718"/>
        <v>584632917744</v>
      </c>
      <c r="N1984" s="23">
        <v>1386845828623</v>
      </c>
      <c r="O1984" s="25">
        <f t="shared" si="643"/>
        <v>106046622169</v>
      </c>
      <c r="P1984" s="23">
        <v>48760573490</v>
      </c>
      <c r="Q1984" s="23">
        <f>24882103171+38968957826</f>
        <v>63851060997</v>
      </c>
      <c r="R1984" s="25">
        <f t="shared" si="644"/>
        <v>1322994767626</v>
      </c>
      <c r="S1984" s="26">
        <f t="shared" si="645"/>
        <v>0.51751423476588931</v>
      </c>
      <c r="T1984" s="27">
        <f t="shared" si="646"/>
        <v>1.1695180228803834</v>
      </c>
      <c r="U1984" s="26">
        <f t="shared" si="647"/>
        <v>27.823053856931235</v>
      </c>
      <c r="V1984" s="26">
        <f t="shared" si="648"/>
        <v>2.2157139850693488</v>
      </c>
      <c r="W1984" s="23"/>
      <c r="X1984" s="23"/>
      <c r="Y1984" s="23"/>
      <c r="Z1984" s="30">
        <f t="shared" si="719"/>
        <v>0</v>
      </c>
      <c r="AA1984" s="31">
        <f t="shared" si="705"/>
        <v>48</v>
      </c>
      <c r="AB1984" s="32">
        <v>3.15E-2</v>
      </c>
      <c r="AC1984" s="32">
        <v>8.0199999999999994E-2</v>
      </c>
      <c r="AD1984" s="33">
        <f t="shared" si="675"/>
        <v>8.7518140177846121E-2</v>
      </c>
      <c r="AE1984" s="34">
        <f t="shared" si="676"/>
        <v>4.0241118656747392E-2</v>
      </c>
      <c r="AF1984" s="33">
        <f t="shared" si="677"/>
        <v>1.0918409201485748</v>
      </c>
      <c r="AG1984" s="33">
        <f t="shared" si="678"/>
        <v>0</v>
      </c>
      <c r="AH1984" s="35">
        <f t="shared" si="679"/>
        <v>2.2116027678976979</v>
      </c>
      <c r="AI1984" s="36">
        <f t="shared" si="655"/>
        <v>5.9760371387208568</v>
      </c>
      <c r="AJ1984" s="23"/>
      <c r="AK1984" s="120">
        <v>1124</v>
      </c>
      <c r="AL1984" s="44"/>
      <c r="AM1984" s="44"/>
      <c r="AN1984" s="44"/>
      <c r="AO1984" s="44"/>
      <c r="AP1984" s="44"/>
      <c r="AQ1984" s="44"/>
      <c r="AR1984" s="44"/>
    </row>
    <row r="1985" spans="1:44" ht="16.8">
      <c r="A1985" s="70" t="s">
        <v>3809</v>
      </c>
      <c r="B1985" s="71"/>
      <c r="C1985" s="71" t="s">
        <v>3806</v>
      </c>
      <c r="D1985" s="19" t="s">
        <v>3807</v>
      </c>
      <c r="E1985" s="20" t="s">
        <v>414</v>
      </c>
      <c r="F1985" s="21">
        <v>1974</v>
      </c>
      <c r="G1985" s="40">
        <v>2023</v>
      </c>
      <c r="H1985" s="23">
        <v>787259327376</v>
      </c>
      <c r="I1985" s="23">
        <v>1252768495626</v>
      </c>
      <c r="J1985" s="23">
        <v>604410921248</v>
      </c>
      <c r="K1985" s="23">
        <f t="shared" si="721"/>
        <v>615744096213</v>
      </c>
      <c r="L1985" s="23">
        <v>590410921248</v>
      </c>
      <c r="M1985" s="23">
        <f t="shared" si="718"/>
        <v>648357574378</v>
      </c>
      <c r="N1985" s="23">
        <v>1312326023917</v>
      </c>
      <c r="O1985" s="25">
        <f t="shared" si="643"/>
        <v>196848406128</v>
      </c>
      <c r="P1985" s="23">
        <v>38082723040</v>
      </c>
      <c r="Q1985" s="23">
        <f>32829308284+37165418889</f>
        <v>69994727173</v>
      </c>
      <c r="R1985" s="25">
        <f t="shared" si="644"/>
        <v>1242331296744</v>
      </c>
      <c r="S1985" s="26">
        <f t="shared" si="645"/>
        <v>0.48246018586696654</v>
      </c>
      <c r="T1985" s="27">
        <f t="shared" si="646"/>
        <v>1.3334091546137143</v>
      </c>
      <c r="U1985" s="26">
        <f t="shared" si="647"/>
        <v>27.856377014697213</v>
      </c>
      <c r="V1985" s="26">
        <f t="shared" si="648"/>
        <v>2.1312847853323733</v>
      </c>
      <c r="W1985" s="23"/>
      <c r="X1985" s="23"/>
      <c r="Y1985" s="23"/>
      <c r="Z1985" s="30">
        <f t="shared" si="719"/>
        <v>0</v>
      </c>
      <c r="AA1985" s="31">
        <f t="shared" si="705"/>
        <v>49</v>
      </c>
      <c r="AB1985" s="32">
        <v>3.2500000000000001E-2</v>
      </c>
      <c r="AC1985" s="32">
        <v>5.0500000000000003E-2</v>
      </c>
      <c r="AD1985" s="33">
        <f t="shared" si="675"/>
        <v>0.15713071235051787</v>
      </c>
      <c r="AE1985" s="34">
        <f t="shared" si="676"/>
        <v>3.0398851162816255E-2</v>
      </c>
      <c r="AF1985" s="33">
        <f t="shared" si="677"/>
        <v>0.99166869304389349</v>
      </c>
      <c r="AG1985" s="33">
        <f t="shared" si="678"/>
        <v>0</v>
      </c>
      <c r="AH1985" s="35">
        <f t="shared" si="679"/>
        <v>2.1712480330555288</v>
      </c>
      <c r="AI1985" s="36">
        <f t="shared" si="655"/>
        <v>5.6748699665489415</v>
      </c>
      <c r="AJ1985" s="23"/>
      <c r="AK1985" s="120">
        <v>1125</v>
      </c>
      <c r="AL1985" s="44"/>
      <c r="AM1985" s="44"/>
      <c r="AN1985" s="44"/>
      <c r="AO1985" s="44"/>
      <c r="AP1985" s="44"/>
      <c r="AQ1985" s="44"/>
      <c r="AR1985" s="44"/>
    </row>
    <row r="1986" spans="1:44" ht="16.8">
      <c r="A1986" s="70" t="s">
        <v>3810</v>
      </c>
      <c r="B1986" s="71">
        <v>766</v>
      </c>
      <c r="C1986" s="71" t="s">
        <v>3811</v>
      </c>
      <c r="D1986" s="19" t="s">
        <v>3812</v>
      </c>
      <c r="E1986" s="20" t="s">
        <v>414</v>
      </c>
      <c r="F1986" s="21">
        <v>2005</v>
      </c>
      <c r="G1986" s="40">
        <v>2021</v>
      </c>
      <c r="H1986" s="23">
        <v>745678159145</v>
      </c>
      <c r="I1986" s="23">
        <v>1472308328695</v>
      </c>
      <c r="J1986" s="23">
        <v>388603271258</v>
      </c>
      <c r="K1986" s="23">
        <f>AVERAGE(J1986,498490002187)</f>
        <v>443546636722.5</v>
      </c>
      <c r="L1986" s="23">
        <v>182939043376</v>
      </c>
      <c r="M1986" s="23">
        <f t="shared" si="718"/>
        <v>1083705057437</v>
      </c>
      <c r="N1986" s="23">
        <v>681572163182</v>
      </c>
      <c r="O1986" s="25">
        <f t="shared" si="643"/>
        <v>562739115769</v>
      </c>
      <c r="P1986" s="23">
        <v>10497184767</v>
      </c>
      <c r="Q1986" s="23">
        <f>4319992417+49412507582</f>
        <v>53732499999</v>
      </c>
      <c r="R1986" s="25">
        <f t="shared" si="644"/>
        <v>627839663183</v>
      </c>
      <c r="S1986" s="26">
        <f t="shared" si="645"/>
        <v>0.26394150171142727</v>
      </c>
      <c r="T1986" s="27">
        <f t="shared" si="646"/>
        <v>4.0761017734873892</v>
      </c>
      <c r="U1986" s="26">
        <f t="shared" si="647"/>
        <v>28.017852576729709</v>
      </c>
      <c r="V1986" s="26">
        <f t="shared" si="648"/>
        <v>1.5366414864924745</v>
      </c>
      <c r="W1986" s="23"/>
      <c r="X1986" s="23"/>
      <c r="Y1986" s="23"/>
      <c r="Z1986" s="30">
        <f t="shared" si="719"/>
        <v>0</v>
      </c>
      <c r="AA1986" s="31">
        <f t="shared" si="705"/>
        <v>16</v>
      </c>
      <c r="AB1986" s="32">
        <v>1.84E-2</v>
      </c>
      <c r="AC1986" s="32">
        <v>2.58E-2</v>
      </c>
      <c r="AD1986" s="33">
        <f t="shared" si="675"/>
        <v>0.3822155351574974</v>
      </c>
      <c r="AE1986" s="34">
        <f t="shared" si="676"/>
        <v>7.1297462375318615E-3</v>
      </c>
      <c r="AF1986" s="33">
        <f t="shared" si="677"/>
        <v>0.42643218879261113</v>
      </c>
      <c r="AG1986" s="33">
        <f t="shared" si="678"/>
        <v>0</v>
      </c>
      <c r="AH1986" s="35">
        <f t="shared" si="679"/>
        <v>1.7539022792463659</v>
      </c>
      <c r="AI1986" s="36">
        <f t="shared" si="655"/>
        <v>3.6297687891835242</v>
      </c>
      <c r="AJ1986" s="23"/>
      <c r="AK1986" s="120">
        <v>1126</v>
      </c>
      <c r="AL1986" s="44"/>
      <c r="AM1986" s="44"/>
      <c r="AN1986" s="44"/>
      <c r="AO1986" s="44"/>
      <c r="AP1986" s="44"/>
      <c r="AQ1986" s="44"/>
      <c r="AR1986" s="44"/>
    </row>
    <row r="1987" spans="1:44" ht="16.8">
      <c r="A1987" s="70" t="s">
        <v>3813</v>
      </c>
      <c r="B1987" s="71"/>
      <c r="C1987" s="71" t="s">
        <v>3811</v>
      </c>
      <c r="D1987" s="19" t="s">
        <v>3812</v>
      </c>
      <c r="E1987" s="20" t="s">
        <v>414</v>
      </c>
      <c r="F1987" s="21">
        <v>2005</v>
      </c>
      <c r="G1987" s="40">
        <v>2022</v>
      </c>
      <c r="H1987" s="23">
        <v>891313537869</v>
      </c>
      <c r="I1987" s="23">
        <v>1459307012948</v>
      </c>
      <c r="J1987" s="23">
        <v>162715901559</v>
      </c>
      <c r="K1987" s="23">
        <f t="shared" ref="K1987:K1989" si="722">AVERAGE(J1986:J1987)</f>
        <v>275659586408.5</v>
      </c>
      <c r="L1987" s="23">
        <v>126892969856</v>
      </c>
      <c r="M1987" s="23">
        <f t="shared" si="718"/>
        <v>1296591111389</v>
      </c>
      <c r="N1987" s="23">
        <v>876132151072</v>
      </c>
      <c r="O1987" s="25">
        <f t="shared" si="643"/>
        <v>764420568013</v>
      </c>
      <c r="P1987" s="23">
        <v>247545365617</v>
      </c>
      <c r="Q1987" s="23">
        <f>3979289395+49076516135</f>
        <v>53055805530</v>
      </c>
      <c r="R1987" s="25">
        <f t="shared" si="644"/>
        <v>823076345542</v>
      </c>
      <c r="S1987" s="26">
        <f t="shared" si="645"/>
        <v>0.11150217200031924</v>
      </c>
      <c r="T1987" s="27">
        <f t="shared" si="646"/>
        <v>7.0241364740731944</v>
      </c>
      <c r="U1987" s="26">
        <f t="shared" si="647"/>
        <v>28.008982790301705</v>
      </c>
      <c r="V1987" s="26">
        <f t="shared" si="648"/>
        <v>3.17831192626713</v>
      </c>
      <c r="W1987" s="23"/>
      <c r="X1987" s="23"/>
      <c r="Y1987" s="23"/>
      <c r="Z1987" s="30">
        <f t="shared" si="719"/>
        <v>0</v>
      </c>
      <c r="AA1987" s="31">
        <f t="shared" si="705"/>
        <v>17</v>
      </c>
      <c r="AB1987" s="32">
        <v>3.15E-2</v>
      </c>
      <c r="AC1987" s="32">
        <v>8.0199999999999994E-2</v>
      </c>
      <c r="AD1987" s="33">
        <f t="shared" si="675"/>
        <v>0.52382436405123944</v>
      </c>
      <c r="AE1987" s="34">
        <f t="shared" si="676"/>
        <v>0.16963213595261525</v>
      </c>
      <c r="AF1987" s="33">
        <f t="shared" si="677"/>
        <v>0.56401863229538862</v>
      </c>
      <c r="AG1987" s="33">
        <f t="shared" si="678"/>
        <v>0</v>
      </c>
      <c r="AH1987" s="35">
        <f t="shared" si="679"/>
        <v>5.3844285818268274</v>
      </c>
      <c r="AI1987" s="36">
        <f t="shared" si="655"/>
        <v>8.1117642955967586</v>
      </c>
      <c r="AJ1987" s="23"/>
      <c r="AK1987" s="120">
        <v>1127</v>
      </c>
      <c r="AL1987" s="44"/>
      <c r="AM1987" s="44"/>
      <c r="AN1987" s="44"/>
      <c r="AO1987" s="44"/>
      <c r="AP1987" s="44"/>
      <c r="AQ1987" s="44"/>
      <c r="AR1987" s="44"/>
    </row>
    <row r="1988" spans="1:44" ht="16.8">
      <c r="A1988" s="70" t="s">
        <v>3814</v>
      </c>
      <c r="B1988" s="71"/>
      <c r="C1988" s="71" t="s">
        <v>3811</v>
      </c>
      <c r="D1988" s="19" t="s">
        <v>3812</v>
      </c>
      <c r="E1988" s="20" t="s">
        <v>414</v>
      </c>
      <c r="F1988" s="21">
        <v>2005</v>
      </c>
      <c r="G1988" s="40">
        <v>2023</v>
      </c>
      <c r="H1988" s="23">
        <v>952336589221</v>
      </c>
      <c r="I1988" s="23">
        <v>1427393580648</v>
      </c>
      <c r="J1988" s="23">
        <v>152683345260</v>
      </c>
      <c r="K1988" s="23">
        <f t="shared" si="722"/>
        <v>157699623409.5</v>
      </c>
      <c r="L1988" s="23">
        <v>137115976875</v>
      </c>
      <c r="M1988" s="23">
        <f t="shared" si="718"/>
        <v>1274710235388</v>
      </c>
      <c r="N1988" s="23">
        <v>549613585467</v>
      </c>
      <c r="O1988" s="25">
        <f t="shared" si="643"/>
        <v>815220612346</v>
      </c>
      <c r="P1988" s="23">
        <v>86938072199</v>
      </c>
      <c r="Q1988" s="23">
        <f>3688228087+57772103383</f>
        <v>61460331470</v>
      </c>
      <c r="R1988" s="25">
        <f t="shared" si="644"/>
        <v>488153253997</v>
      </c>
      <c r="S1988" s="26">
        <f t="shared" si="645"/>
        <v>0.10696653489970558</v>
      </c>
      <c r="T1988" s="27">
        <f t="shared" si="646"/>
        <v>6.9454822911642546</v>
      </c>
      <c r="U1988" s="26">
        <f t="shared" si="647"/>
        <v>27.986871226239135</v>
      </c>
      <c r="V1988" s="26">
        <f t="shared" si="648"/>
        <v>3.4851927581324249</v>
      </c>
      <c r="W1988" s="23"/>
      <c r="X1988" s="23"/>
      <c r="Y1988" s="23"/>
      <c r="Z1988" s="30">
        <f t="shared" si="719"/>
        <v>0</v>
      </c>
      <c r="AA1988" s="31">
        <f t="shared" si="705"/>
        <v>18</v>
      </c>
      <c r="AB1988" s="32">
        <v>3.2500000000000001E-2</v>
      </c>
      <c r="AC1988" s="32">
        <v>5.0500000000000003E-2</v>
      </c>
      <c r="AD1988" s="33">
        <f t="shared" si="675"/>
        <v>0.57112531778089604</v>
      </c>
      <c r="AE1988" s="34">
        <f t="shared" si="676"/>
        <v>6.0906867858781001E-2</v>
      </c>
      <c r="AF1988" s="33">
        <f t="shared" si="677"/>
        <v>0.34198924572393757</v>
      </c>
      <c r="AG1988" s="33">
        <f t="shared" si="678"/>
        <v>0</v>
      </c>
      <c r="AH1988" s="35">
        <f t="shared" si="679"/>
        <v>3.59969572667588</v>
      </c>
      <c r="AI1988" s="36">
        <f t="shared" si="655"/>
        <v>5.4988802339042424</v>
      </c>
      <c r="AJ1988" s="23"/>
      <c r="AK1988" s="120">
        <v>1128</v>
      </c>
      <c r="AL1988" s="44"/>
      <c r="AM1988" s="44"/>
      <c r="AN1988" s="44"/>
      <c r="AO1988" s="44"/>
      <c r="AP1988" s="44"/>
      <c r="AQ1988" s="44"/>
      <c r="AR1988" s="44"/>
    </row>
    <row r="1989" spans="1:44" ht="16.8">
      <c r="A1989" s="145"/>
      <c r="B1989" s="145">
        <v>767</v>
      </c>
      <c r="C1989" s="145" t="s">
        <v>3815</v>
      </c>
      <c r="D1989" s="146" t="s">
        <v>3816</v>
      </c>
      <c r="E1989" s="147" t="s">
        <v>1371</v>
      </c>
      <c r="F1989" s="148"/>
      <c r="G1989" s="148"/>
      <c r="H1989" s="149"/>
      <c r="I1989" s="149"/>
      <c r="J1989" s="149"/>
      <c r="K1989" s="149">
        <f t="shared" si="722"/>
        <v>152683345260</v>
      </c>
      <c r="L1989" s="149"/>
      <c r="M1989" s="149">
        <f t="shared" si="718"/>
        <v>0</v>
      </c>
      <c r="N1989" s="149"/>
      <c r="O1989" s="149">
        <f t="shared" si="643"/>
        <v>0</v>
      </c>
      <c r="P1989" s="149"/>
      <c r="Q1989" s="149"/>
      <c r="R1989" s="149">
        <f t="shared" si="644"/>
        <v>0</v>
      </c>
      <c r="S1989" s="150" t="e">
        <f t="shared" si="645"/>
        <v>#DIV/0!</v>
      </c>
      <c r="T1989" s="151" t="e">
        <f t="shared" si="646"/>
        <v>#DIV/0!</v>
      </c>
      <c r="U1989" s="150" t="e">
        <f t="shared" si="647"/>
        <v>#NUM!</v>
      </c>
      <c r="V1989" s="150">
        <f t="shared" si="648"/>
        <v>0</v>
      </c>
      <c r="W1989" s="149"/>
      <c r="X1989" s="149"/>
      <c r="Y1989" s="149"/>
      <c r="Z1989" s="149">
        <f>W1989*Y1989</f>
        <v>0</v>
      </c>
      <c r="AA1989" s="149">
        <f t="shared" si="705"/>
        <v>0</v>
      </c>
      <c r="AB1989" s="149"/>
      <c r="AC1989" s="149"/>
      <c r="AD1989" s="150" t="e">
        <f t="shared" si="675"/>
        <v>#DIV/0!</v>
      </c>
      <c r="AE1989" s="154" t="e">
        <f t="shared" si="676"/>
        <v>#DIV/0!</v>
      </c>
      <c r="AF1989" s="150" t="e">
        <f t="shared" si="677"/>
        <v>#DIV/0!</v>
      </c>
      <c r="AG1989" s="150" t="e">
        <f t="shared" si="678"/>
        <v>#DIV/0!</v>
      </c>
      <c r="AH1989" s="155" t="e">
        <f t="shared" si="679"/>
        <v>#DIV/0!</v>
      </c>
      <c r="AI1989" s="156" t="e">
        <f t="shared" si="655"/>
        <v>#DIV/0!</v>
      </c>
      <c r="AJ1989" s="149"/>
      <c r="AK1989" s="149"/>
      <c r="AL1989" s="157"/>
      <c r="AM1989" s="157"/>
      <c r="AN1989" s="157"/>
      <c r="AO1989" s="157"/>
      <c r="AP1989" s="157"/>
      <c r="AQ1989" s="157"/>
      <c r="AR1989" s="157"/>
    </row>
    <row r="1990" spans="1:44" ht="16.8">
      <c r="A1990" s="70" t="s">
        <v>3817</v>
      </c>
      <c r="B1990" s="71">
        <v>768</v>
      </c>
      <c r="C1990" s="71" t="s">
        <v>3818</v>
      </c>
      <c r="D1990" s="19" t="s">
        <v>3819</v>
      </c>
      <c r="E1990" s="20" t="s">
        <v>414</v>
      </c>
      <c r="F1990" s="21">
        <v>2007</v>
      </c>
      <c r="G1990" s="40">
        <v>2021</v>
      </c>
      <c r="H1990" s="23">
        <v>26866732678773</v>
      </c>
      <c r="I1990" s="23">
        <v>51653704011340</v>
      </c>
      <c r="J1990" s="23">
        <v>34799493690860</v>
      </c>
      <c r="K1990" s="23">
        <f>AVERAGE(H1990,)</f>
        <v>13433366339386.5</v>
      </c>
      <c r="L1990" s="23">
        <v>15522180566553</v>
      </c>
      <c r="M1990" s="23">
        <f>I1990-H1990</f>
        <v>24786971332567</v>
      </c>
      <c r="N1990" s="23">
        <v>12874919725450</v>
      </c>
      <c r="O1990" s="25">
        <f t="shared" si="643"/>
        <v>11344552112220</v>
      </c>
      <c r="P1990" s="23">
        <v>79659307309</v>
      </c>
      <c r="Q1990" s="23">
        <f>607756237934+365729158499</f>
        <v>973485396433</v>
      </c>
      <c r="R1990" s="25">
        <f t="shared" si="644"/>
        <v>11901434329017</v>
      </c>
      <c r="S1990" s="26">
        <f t="shared" si="645"/>
        <v>0.67370761413780034</v>
      </c>
      <c r="T1990" s="27">
        <f t="shared" si="646"/>
        <v>1.7308607230523461</v>
      </c>
      <c r="U1990" s="26">
        <f t="shared" si="647"/>
        <v>31.575583022598401</v>
      </c>
      <c r="V1990" s="26">
        <f t="shared" si="648"/>
        <v>0.95842839390904278</v>
      </c>
      <c r="W1990" s="23"/>
      <c r="X1990" s="23"/>
      <c r="Y1990" s="23"/>
      <c r="Z1990" s="30">
        <f t="shared" ref="Z1990:Z2004" si="723">X1990*Y1990</f>
        <v>0</v>
      </c>
      <c r="AA1990" s="31">
        <f t="shared" si="705"/>
        <v>14</v>
      </c>
      <c r="AB1990" s="32">
        <v>1.84E-2</v>
      </c>
      <c r="AC1990" s="32">
        <v>2.58E-2</v>
      </c>
      <c r="AD1990" s="33">
        <f t="shared" si="675"/>
        <v>0.21962707862594769</v>
      </c>
      <c r="AE1990" s="34">
        <f t="shared" si="676"/>
        <v>1.5421799623800778E-3</v>
      </c>
      <c r="AF1990" s="33">
        <f t="shared" si="677"/>
        <v>0.23040814897619291</v>
      </c>
      <c r="AG1990" s="33">
        <f t="shared" si="678"/>
        <v>0</v>
      </c>
      <c r="AH1990" s="35">
        <f t="shared" si="679"/>
        <v>0.36997434042644034</v>
      </c>
      <c r="AI1990" s="36">
        <f t="shared" si="655"/>
        <v>1.3960327783463462</v>
      </c>
      <c r="AJ1990" s="23"/>
      <c r="AK1990" s="120">
        <v>1129</v>
      </c>
      <c r="AL1990" s="44"/>
      <c r="AM1990" s="44"/>
      <c r="AN1990" s="44"/>
      <c r="AO1990" s="44"/>
      <c r="AP1990" s="44"/>
      <c r="AQ1990" s="44"/>
      <c r="AR1990" s="44"/>
    </row>
    <row r="1991" spans="1:44" ht="16.8">
      <c r="A1991" s="74" t="s">
        <v>3820</v>
      </c>
      <c r="B1991" s="75"/>
      <c r="C1991" s="71" t="s">
        <v>3818</v>
      </c>
      <c r="D1991" s="19" t="s">
        <v>3819</v>
      </c>
      <c r="E1991" s="20" t="s">
        <v>414</v>
      </c>
      <c r="F1991" s="21">
        <v>2007</v>
      </c>
      <c r="G1991" s="40">
        <v>2022</v>
      </c>
      <c r="H1991" s="23">
        <v>33587472621916</v>
      </c>
      <c r="I1991" s="23">
        <v>68036964433312</v>
      </c>
      <c r="J1991" s="23">
        <v>53138669609828</v>
      </c>
      <c r="K1991" s="23">
        <f>AVERAGE(J1990:J1991)</f>
        <v>43969081650344</v>
      </c>
      <c r="L1991" s="23">
        <v>30417318604359</v>
      </c>
      <c r="M1991" s="23">
        <f t="shared" ref="M1991:M1992" si="724">I1991-L1991</f>
        <v>37619645828953</v>
      </c>
      <c r="N1991" s="23">
        <v>40141863488029</v>
      </c>
      <c r="O1991" s="25">
        <f t="shared" si="643"/>
        <v>3170154017557</v>
      </c>
      <c r="P1991" s="23">
        <v>-2261974843785</v>
      </c>
      <c r="Q1991" s="23">
        <f>936343663352+534452104416</f>
        <v>1470795767768</v>
      </c>
      <c r="R1991" s="25">
        <f t="shared" si="644"/>
        <v>38671067720261</v>
      </c>
      <c r="S1991" s="26">
        <f t="shared" si="645"/>
        <v>0.78102646190091407</v>
      </c>
      <c r="T1991" s="27">
        <f t="shared" si="646"/>
        <v>1.1042220078236185</v>
      </c>
      <c r="U1991" s="26">
        <f t="shared" si="647"/>
        <v>31.851072268018157</v>
      </c>
      <c r="V1991" s="26">
        <f t="shared" si="648"/>
        <v>0.91295660453519945</v>
      </c>
      <c r="W1991" s="23"/>
      <c r="X1991" s="23"/>
      <c r="Y1991" s="23"/>
      <c r="Z1991" s="30">
        <f t="shared" si="723"/>
        <v>0</v>
      </c>
      <c r="AA1991" s="31">
        <f t="shared" si="705"/>
        <v>15</v>
      </c>
      <c r="AB1991" s="32">
        <v>3.15E-2</v>
      </c>
      <c r="AC1991" s="32">
        <v>8.0199999999999994E-2</v>
      </c>
      <c r="AD1991" s="33">
        <f t="shared" si="675"/>
        <v>4.6594583458588891E-2</v>
      </c>
      <c r="AE1991" s="34">
        <f t="shared" si="676"/>
        <v>-3.3246263448483609E-2</v>
      </c>
      <c r="AF1991" s="33">
        <f t="shared" si="677"/>
        <v>0.56838320231299178</v>
      </c>
      <c r="AG1991" s="33">
        <f t="shared" si="678"/>
        <v>0</v>
      </c>
      <c r="AH1991" s="35">
        <f t="shared" si="679"/>
        <v>0.75541717138896458</v>
      </c>
      <c r="AI1991" s="36">
        <f t="shared" si="655"/>
        <v>2.6404504703442671</v>
      </c>
      <c r="AJ1991" s="23"/>
      <c r="AK1991" s="120">
        <v>1130</v>
      </c>
    </row>
    <row r="1992" spans="1:44" ht="16.8">
      <c r="A1992" s="74" t="s">
        <v>3809</v>
      </c>
      <c r="B1992" s="75"/>
      <c r="C1992" s="71" t="s">
        <v>3818</v>
      </c>
      <c r="D1992" s="19" t="s">
        <v>3819</v>
      </c>
      <c r="E1992" s="20" t="s">
        <v>414</v>
      </c>
      <c r="F1992" s="21">
        <v>2007</v>
      </c>
      <c r="G1992" s="40">
        <v>2023</v>
      </c>
      <c r="H1992" s="23">
        <v>40826968900401</v>
      </c>
      <c r="I1992" s="23">
        <v>86925420916769</v>
      </c>
      <c r="J1992" s="23">
        <v>71672280613334</v>
      </c>
      <c r="K1992" s="23">
        <f>AVERAGE(L1991:L1992)</f>
        <v>34639397199416</v>
      </c>
      <c r="L1992" s="23">
        <v>38861475794473</v>
      </c>
      <c r="M1992" s="23">
        <f t="shared" si="724"/>
        <v>48063945122296</v>
      </c>
      <c r="N1992" s="23">
        <v>58340618715308</v>
      </c>
      <c r="O1992" s="25">
        <f t="shared" si="643"/>
        <v>1965493105928</v>
      </c>
      <c r="P1992" s="23">
        <v>231413415351</v>
      </c>
      <c r="Q1992" s="23">
        <f>1950124205949+1099316843401</f>
        <v>3049441049350</v>
      </c>
      <c r="R1992" s="25">
        <f t="shared" si="644"/>
        <v>55291177665958</v>
      </c>
      <c r="S1992" s="26">
        <f t="shared" si="645"/>
        <v>0.82452612662019931</v>
      </c>
      <c r="T1992" s="27">
        <f t="shared" si="646"/>
        <v>1.0505769033662777</v>
      </c>
      <c r="U1992" s="26">
        <f t="shared" si="647"/>
        <v>32.096071636108924</v>
      </c>
      <c r="V1992" s="26">
        <f t="shared" si="648"/>
        <v>1.6842273085598496</v>
      </c>
      <c r="W1992" s="23"/>
      <c r="X1992" s="23"/>
      <c r="Y1992" s="23"/>
      <c r="Z1992" s="30">
        <f t="shared" si="723"/>
        <v>0</v>
      </c>
      <c r="AA1992" s="31">
        <f t="shared" si="705"/>
        <v>16</v>
      </c>
      <c r="AB1992" s="32">
        <v>3.2500000000000001E-2</v>
      </c>
      <c r="AC1992" s="32">
        <v>5.0500000000000003E-2</v>
      </c>
      <c r="AD1992" s="33">
        <f t="shared" si="675"/>
        <v>2.2611257848379678E-2</v>
      </c>
      <c r="AE1992" s="34">
        <f t="shared" si="676"/>
        <v>2.6622064398466143E-3</v>
      </c>
      <c r="AF1992" s="33">
        <f t="shared" si="677"/>
        <v>0.63607604177032684</v>
      </c>
      <c r="AG1992" s="33">
        <f t="shared" si="678"/>
        <v>0</v>
      </c>
      <c r="AH1992" s="35">
        <f t="shared" si="679"/>
        <v>0.81399138155029271</v>
      </c>
      <c r="AI1992" s="36">
        <f t="shared" si="655"/>
        <v>2.9439029178262119</v>
      </c>
      <c r="AJ1992" s="23"/>
      <c r="AK1992" s="120">
        <v>1131</v>
      </c>
    </row>
    <row r="1993" spans="1:44" ht="16.8">
      <c r="A1993" s="259" t="s">
        <v>3821</v>
      </c>
      <c r="B1993" s="79">
        <v>769</v>
      </c>
      <c r="C1993" s="79" t="s">
        <v>3822</v>
      </c>
      <c r="D1993" s="19" t="s">
        <v>3823</v>
      </c>
      <c r="E1993" s="20" t="s">
        <v>414</v>
      </c>
      <c r="F1993" s="21">
        <v>1984</v>
      </c>
      <c r="G1993" s="40">
        <v>2021</v>
      </c>
      <c r="H1993" s="23">
        <v>5275464010536</v>
      </c>
      <c r="I1993" s="23">
        <v>5527280532996</v>
      </c>
      <c r="J1993" s="23">
        <v>5129235853063</v>
      </c>
      <c r="K1993" s="23">
        <f>(J1993+7942056554408 )/2</f>
        <v>6535646203735.5</v>
      </c>
      <c r="L1993" s="23">
        <v>511111249206</v>
      </c>
      <c r="M1993" s="23">
        <f t="shared" ref="M1993:M2131" si="725">I1993-J1993</f>
        <v>398044679933</v>
      </c>
      <c r="N1993" s="23">
        <v>12454210705965</v>
      </c>
      <c r="O1993" s="25">
        <f t="shared" si="643"/>
        <v>4764352761330</v>
      </c>
      <c r="P1993" s="23">
        <v>20625506938</v>
      </c>
      <c r="Q1993" s="23">
        <f>100511220543 +816169616337</f>
        <v>916680836880</v>
      </c>
      <c r="R1993" s="25">
        <f t="shared" si="644"/>
        <v>11537529869085</v>
      </c>
      <c r="S1993" s="26">
        <f t="shared" si="645"/>
        <v>0.9279854392125011</v>
      </c>
      <c r="T1993" s="27">
        <f t="shared" si="646"/>
        <v>10.321557231877241</v>
      </c>
      <c r="U1993" s="26">
        <f t="shared" si="647"/>
        <v>29.340717044320971</v>
      </c>
      <c r="V1993" s="26">
        <f t="shared" si="648"/>
        <v>1.9055821440956668</v>
      </c>
      <c r="W1993" s="143"/>
      <c r="X1993" s="143"/>
      <c r="Y1993" s="143"/>
      <c r="Z1993" s="30">
        <f t="shared" si="723"/>
        <v>0</v>
      </c>
      <c r="AA1993" s="31">
        <f t="shared" si="705"/>
        <v>37</v>
      </c>
      <c r="AB1993" s="32">
        <v>1.84E-2</v>
      </c>
      <c r="AC1993" s="32">
        <v>2.58E-2</v>
      </c>
      <c r="AD1993" s="33">
        <f t="shared" si="675"/>
        <v>0.86197049939629833</v>
      </c>
      <c r="AE1993" s="34">
        <f t="shared" si="676"/>
        <v>3.7315831564677568E-3</v>
      </c>
      <c r="AF1993" s="33">
        <f t="shared" si="677"/>
        <v>2.0873791008453142</v>
      </c>
      <c r="AG1993" s="33">
        <f t="shared" si="678"/>
        <v>0</v>
      </c>
      <c r="AH1993" s="35">
        <f t="shared" si="679"/>
        <v>2.4280830639768265</v>
      </c>
      <c r="AI1993" s="36">
        <f t="shared" si="655"/>
        <v>10.356022912460976</v>
      </c>
      <c r="AJ1993" s="23"/>
      <c r="AK1993" s="120">
        <v>1132</v>
      </c>
      <c r="AL1993" s="44"/>
      <c r="AM1993" s="44"/>
      <c r="AN1993" s="44"/>
      <c r="AO1993" s="44"/>
      <c r="AP1993" s="44"/>
      <c r="AQ1993" s="44"/>
      <c r="AR1993" s="44"/>
    </row>
    <row r="1994" spans="1:44" ht="16.8">
      <c r="A1994" s="257"/>
      <c r="B1994" s="79"/>
      <c r="C1994" s="79" t="s">
        <v>3822</v>
      </c>
      <c r="D1994" s="19" t="s">
        <v>3823</v>
      </c>
      <c r="E1994" s="20" t="s">
        <v>414</v>
      </c>
      <c r="F1994" s="21">
        <v>1984</v>
      </c>
      <c r="G1994" s="40">
        <v>2022</v>
      </c>
      <c r="H1994" s="23">
        <v>2812320169158</v>
      </c>
      <c r="I1994" s="23">
        <v>3053521621409</v>
      </c>
      <c r="J1994" s="23">
        <v>2634819184941</v>
      </c>
      <c r="K1994" s="23">
        <f t="shared" ref="K1994:K1995" si="726">AVERAGE(J1993:J1994)</f>
        <v>3882027519002</v>
      </c>
      <c r="L1994" s="23">
        <v>2614073439602</v>
      </c>
      <c r="M1994" s="23">
        <f t="shared" si="725"/>
        <v>418702436468</v>
      </c>
      <c r="N1994" s="23">
        <v>7133722584680</v>
      </c>
      <c r="O1994" s="25">
        <f t="shared" si="643"/>
        <v>198246729556</v>
      </c>
      <c r="P1994" s="23">
        <v>35154236209</v>
      </c>
      <c r="Q1994" s="23">
        <f>68183196999 +444433987353</f>
        <v>512617184352</v>
      </c>
      <c r="R1994" s="25">
        <f t="shared" si="644"/>
        <v>6621105400328</v>
      </c>
      <c r="S1994" s="26">
        <f t="shared" si="645"/>
        <v>0.86287883683797328</v>
      </c>
      <c r="T1994" s="27">
        <f t="shared" si="646"/>
        <v>1.0758382402547129</v>
      </c>
      <c r="U1994" s="26">
        <f t="shared" si="647"/>
        <v>28.74731667044551</v>
      </c>
      <c r="V1994" s="26">
        <f t="shared" si="648"/>
        <v>1.8376280306518673</v>
      </c>
      <c r="W1994" s="143"/>
      <c r="X1994" s="143"/>
      <c r="Y1994" s="143"/>
      <c r="Z1994" s="30">
        <f t="shared" si="723"/>
        <v>0</v>
      </c>
      <c r="AA1994" s="31">
        <f t="shared" si="705"/>
        <v>38</v>
      </c>
      <c r="AB1994" s="32">
        <v>3.15E-2</v>
      </c>
      <c r="AC1994" s="32">
        <v>8.0199999999999994E-2</v>
      </c>
      <c r="AD1994" s="33">
        <f t="shared" si="675"/>
        <v>6.4923964568006601E-2</v>
      </c>
      <c r="AE1994" s="34">
        <f t="shared" si="676"/>
        <v>1.1512686192403192E-2</v>
      </c>
      <c r="AF1994" s="33">
        <f t="shared" si="677"/>
        <v>2.1683505870421165</v>
      </c>
      <c r="AG1994" s="33">
        <f t="shared" si="678"/>
        <v>0</v>
      </c>
      <c r="AH1994" s="35">
        <f t="shared" si="679"/>
        <v>2.7074808872851519</v>
      </c>
      <c r="AI1994" s="36">
        <f t="shared" si="655"/>
        <v>9.9570643426751086</v>
      </c>
      <c r="AJ1994" s="23"/>
      <c r="AK1994" s="120">
        <v>1133</v>
      </c>
      <c r="AL1994" s="44"/>
      <c r="AM1994" s="44"/>
      <c r="AN1994" s="44"/>
      <c r="AO1994" s="44"/>
      <c r="AP1994" s="44"/>
      <c r="AQ1994" s="44"/>
      <c r="AR1994" s="44"/>
    </row>
    <row r="1995" spans="1:44" ht="16.8">
      <c r="A1995" s="257"/>
      <c r="B1995" s="79"/>
      <c r="C1995" s="79" t="s">
        <v>3822</v>
      </c>
      <c r="D1995" s="19" t="s">
        <v>3823</v>
      </c>
      <c r="E1995" s="20" t="s">
        <v>414</v>
      </c>
      <c r="F1995" s="21">
        <v>1984</v>
      </c>
      <c r="G1995" s="40">
        <v>2023</v>
      </c>
      <c r="H1995" s="23">
        <v>1620040970228</v>
      </c>
      <c r="I1995" s="23">
        <v>1855798198593</v>
      </c>
      <c r="J1995" s="23">
        <v>1431817704339</v>
      </c>
      <c r="K1995" s="23">
        <f t="shared" si="726"/>
        <v>2033318444640</v>
      </c>
      <c r="L1995" s="23">
        <v>1411741175184</v>
      </c>
      <c r="M1995" s="23">
        <f t="shared" si="725"/>
        <v>423980494254</v>
      </c>
      <c r="N1995" s="23">
        <v>3552262700338</v>
      </c>
      <c r="O1995" s="25">
        <f t="shared" si="643"/>
        <v>208299795044</v>
      </c>
      <c r="P1995" s="23">
        <v>31189485627</v>
      </c>
      <c r="Q1995" s="23">
        <f>43118151871+207099870598</f>
        <v>250218022469</v>
      </c>
      <c r="R1995" s="25">
        <f t="shared" si="644"/>
        <v>3302044677869</v>
      </c>
      <c r="S1995" s="26">
        <f t="shared" si="645"/>
        <v>0.77153739314142733</v>
      </c>
      <c r="T1995" s="27">
        <f t="shared" si="646"/>
        <v>1.1475481474264226</v>
      </c>
      <c r="U1995" s="26">
        <f t="shared" si="647"/>
        <v>28.249336015174752</v>
      </c>
      <c r="V1995" s="26">
        <f t="shared" si="648"/>
        <v>1.7470272350610234</v>
      </c>
      <c r="W1995" s="143"/>
      <c r="X1995" s="143"/>
      <c r="Y1995" s="143"/>
      <c r="Z1995" s="30">
        <f t="shared" si="723"/>
        <v>0</v>
      </c>
      <c r="AA1995" s="31">
        <f t="shared" si="705"/>
        <v>39</v>
      </c>
      <c r="AB1995" s="32">
        <v>3.2500000000000001E-2</v>
      </c>
      <c r="AC1995" s="32">
        <v>5.0500000000000003E-2</v>
      </c>
      <c r="AD1995" s="33">
        <f t="shared" si="675"/>
        <v>0.11224269707876938</v>
      </c>
      <c r="AE1995" s="34">
        <f t="shared" si="676"/>
        <v>1.6806507114106885E-2</v>
      </c>
      <c r="AF1995" s="33">
        <f t="shared" si="677"/>
        <v>1.7793123629349854</v>
      </c>
      <c r="AG1995" s="33">
        <f t="shared" si="678"/>
        <v>0</v>
      </c>
      <c r="AH1995" s="35">
        <f t="shared" si="679"/>
        <v>2.4809462053536384</v>
      </c>
      <c r="AI1995" s="36">
        <f t="shared" si="655"/>
        <v>8.5108973494933622</v>
      </c>
      <c r="AJ1995" s="23"/>
      <c r="AK1995" s="120">
        <v>1134</v>
      </c>
      <c r="AL1995" s="44"/>
      <c r="AM1995" s="44"/>
      <c r="AN1995" s="44"/>
      <c r="AO1995" s="44"/>
      <c r="AP1995" s="44"/>
      <c r="AQ1995" s="44"/>
      <c r="AR1995" s="44"/>
    </row>
    <row r="1996" spans="1:44" ht="16.8">
      <c r="A1996" s="259" t="s">
        <v>3824</v>
      </c>
      <c r="B1996" s="79">
        <v>770</v>
      </c>
      <c r="C1996" s="79" t="s">
        <v>3825</v>
      </c>
      <c r="D1996" s="19" t="s">
        <v>3826</v>
      </c>
      <c r="E1996" s="20" t="s">
        <v>414</v>
      </c>
      <c r="F1996" s="21">
        <v>2006</v>
      </c>
      <c r="G1996" s="40">
        <v>2021</v>
      </c>
      <c r="H1996" s="23">
        <v>353944846810</v>
      </c>
      <c r="I1996" s="23">
        <v>713900004076</v>
      </c>
      <c r="J1996" s="23">
        <v>471617122782</v>
      </c>
      <c r="K1996" s="23">
        <f>(J1996+476180889293)/2</f>
        <v>473899006037.5</v>
      </c>
      <c r="L1996" s="23">
        <v>380545803948</v>
      </c>
      <c r="M1996" s="23">
        <f t="shared" si="725"/>
        <v>242282881294</v>
      </c>
      <c r="N1996" s="23">
        <v>853340639215</v>
      </c>
      <c r="O1996" s="25">
        <f t="shared" si="643"/>
        <v>-26600957138</v>
      </c>
      <c r="P1996" s="23">
        <v>177823956172</v>
      </c>
      <c r="Q1996" s="23">
        <f>34369761184+22335950.07</f>
        <v>34392097134.07</v>
      </c>
      <c r="R1996" s="25">
        <f t="shared" si="644"/>
        <v>818948542080.93005</v>
      </c>
      <c r="S1996" s="26">
        <f t="shared" si="645"/>
        <v>0.66062070330481859</v>
      </c>
      <c r="T1996" s="27">
        <f t="shared" si="646"/>
        <v>0.93009788345574584</v>
      </c>
      <c r="U1996" s="26">
        <f t="shared" si="647"/>
        <v>27.294008739164308</v>
      </c>
      <c r="V1996" s="26">
        <f t="shared" si="648"/>
        <v>1.8006803735466677</v>
      </c>
      <c r="W1996" s="143"/>
      <c r="X1996" s="143"/>
      <c r="Y1996" s="143"/>
      <c r="Z1996" s="30">
        <f t="shared" si="723"/>
        <v>0</v>
      </c>
      <c r="AA1996" s="31">
        <f t="shared" si="705"/>
        <v>15</v>
      </c>
      <c r="AB1996" s="32">
        <v>1.84E-2</v>
      </c>
      <c r="AC1996" s="32">
        <v>2.58E-2</v>
      </c>
      <c r="AD1996" s="33">
        <f t="shared" si="675"/>
        <v>-3.7261460969494724E-2</v>
      </c>
      <c r="AE1996" s="34">
        <f t="shared" si="676"/>
        <v>0.24908804476357632</v>
      </c>
      <c r="AF1996" s="33">
        <f t="shared" si="677"/>
        <v>1.1471474119696836</v>
      </c>
      <c r="AG1996" s="33">
        <f t="shared" si="678"/>
        <v>0</v>
      </c>
      <c r="AH1996" s="35">
        <f t="shared" si="679"/>
        <v>1.8093928273453457</v>
      </c>
      <c r="AI1996" s="36">
        <f t="shared" si="655"/>
        <v>5.8989887963509151</v>
      </c>
      <c r="AJ1996" s="23"/>
      <c r="AK1996" s="120">
        <v>1135</v>
      </c>
      <c r="AL1996" s="44"/>
      <c r="AM1996" s="44"/>
      <c r="AN1996" s="44"/>
      <c r="AO1996" s="44"/>
      <c r="AP1996" s="44"/>
      <c r="AQ1996" s="44"/>
      <c r="AR1996" s="44"/>
    </row>
    <row r="1997" spans="1:44" ht="16.8">
      <c r="A1997" s="257"/>
      <c r="B1997" s="79"/>
      <c r="C1997" s="79" t="s">
        <v>3825</v>
      </c>
      <c r="D1997" s="19" t="s">
        <v>3826</v>
      </c>
      <c r="E1997" s="20" t="s">
        <v>414</v>
      </c>
      <c r="F1997" s="21">
        <v>2006</v>
      </c>
      <c r="G1997" s="40">
        <v>2022</v>
      </c>
      <c r="H1997" s="23">
        <v>464283012220</v>
      </c>
      <c r="I1997" s="23">
        <v>734987397427</v>
      </c>
      <c r="J1997" s="23">
        <v>241076721288</v>
      </c>
      <c r="K1997" s="23">
        <f t="shared" ref="K1997:K1998" si="727">AVERAGE(J1996:J1997)</f>
        <v>356346922035</v>
      </c>
      <c r="L1997" s="23">
        <v>228755271288</v>
      </c>
      <c r="M1997" s="23">
        <f t="shared" si="725"/>
        <v>493910676139</v>
      </c>
      <c r="N1997" s="23">
        <v>1051592234779</v>
      </c>
      <c r="O1997" s="25">
        <f t="shared" si="643"/>
        <v>235527740932</v>
      </c>
      <c r="P1997" s="23">
        <v>251568597692</v>
      </c>
      <c r="Q1997" s="23">
        <f>46677519992+22237345500</f>
        <v>68914865492</v>
      </c>
      <c r="R1997" s="25">
        <f t="shared" si="644"/>
        <v>982677369287</v>
      </c>
      <c r="S1997" s="26">
        <f t="shared" si="645"/>
        <v>0.32800116319265743</v>
      </c>
      <c r="T1997" s="27">
        <f t="shared" si="646"/>
        <v>2.0296057424419898</v>
      </c>
      <c r="U1997" s="26">
        <f t="shared" si="647"/>
        <v>27.323119189654424</v>
      </c>
      <c r="V1997" s="26">
        <f t="shared" si="648"/>
        <v>2.9510349879652216</v>
      </c>
      <c r="W1997" s="143"/>
      <c r="X1997" s="143"/>
      <c r="Y1997" s="143"/>
      <c r="Z1997" s="30">
        <f t="shared" si="723"/>
        <v>0</v>
      </c>
      <c r="AA1997" s="31">
        <f t="shared" si="705"/>
        <v>16</v>
      </c>
      <c r="AB1997" s="32">
        <v>3.15E-2</v>
      </c>
      <c r="AC1997" s="32">
        <v>8.0199999999999994E-2</v>
      </c>
      <c r="AD1997" s="33">
        <f t="shared" si="675"/>
        <v>0.32045140060431165</v>
      </c>
      <c r="AE1997" s="34">
        <f t="shared" si="676"/>
        <v>0.34227606972946245</v>
      </c>
      <c r="AF1997" s="33">
        <f t="shared" si="677"/>
        <v>1.3369989372975621</v>
      </c>
      <c r="AG1997" s="33">
        <f t="shared" si="678"/>
        <v>0</v>
      </c>
      <c r="AH1997" s="35">
        <f t="shared" si="679"/>
        <v>4.3620646122971172</v>
      </c>
      <c r="AI1997" s="36">
        <f t="shared" si="655"/>
        <v>9.6378892837254924</v>
      </c>
      <c r="AJ1997" s="23"/>
      <c r="AK1997" s="120">
        <v>1136</v>
      </c>
      <c r="AL1997" s="44"/>
      <c r="AM1997" s="44"/>
      <c r="AN1997" s="44"/>
      <c r="AO1997" s="44"/>
      <c r="AP1997" s="44"/>
      <c r="AQ1997" s="44"/>
      <c r="AR1997" s="44"/>
    </row>
    <row r="1998" spans="1:44" ht="16.8">
      <c r="A1998" s="257"/>
      <c r="B1998" s="79"/>
      <c r="C1998" s="79" t="s">
        <v>3825</v>
      </c>
      <c r="D1998" s="19" t="s">
        <v>3826</v>
      </c>
      <c r="E1998" s="20" t="s">
        <v>414</v>
      </c>
      <c r="F1998" s="21">
        <v>2006</v>
      </c>
      <c r="G1998" s="40">
        <v>2023</v>
      </c>
      <c r="H1998" s="23">
        <v>385975274040</v>
      </c>
      <c r="I1998" s="23">
        <v>617951181166</v>
      </c>
      <c r="J1998" s="23">
        <v>101288491088</v>
      </c>
      <c r="K1998" s="23">
        <f t="shared" si="727"/>
        <v>171182606188</v>
      </c>
      <c r="L1998" s="23">
        <v>101082986473</v>
      </c>
      <c r="M1998" s="23">
        <f t="shared" si="725"/>
        <v>516662690078</v>
      </c>
      <c r="N1998" s="23">
        <v>593844082552</v>
      </c>
      <c r="O1998" s="25">
        <f t="shared" si="643"/>
        <v>284892287567</v>
      </c>
      <c r="P1998" s="23">
        <v>36031981329</v>
      </c>
      <c r="Q1998" s="23">
        <f>2380014778
+11841439097</f>
        <v>14221453875</v>
      </c>
      <c r="R1998" s="25">
        <f t="shared" si="644"/>
        <v>579622628677</v>
      </c>
      <c r="S1998" s="26">
        <f t="shared" si="645"/>
        <v>0.16391018283496234</v>
      </c>
      <c r="T1998" s="27">
        <f t="shared" si="646"/>
        <v>3.8183999850765864</v>
      </c>
      <c r="U1998" s="26">
        <f t="shared" si="647"/>
        <v>27.149675296406819</v>
      </c>
      <c r="V1998" s="26">
        <f t="shared" si="648"/>
        <v>3.4690678905765417</v>
      </c>
      <c r="W1998" s="143"/>
      <c r="X1998" s="143"/>
      <c r="Y1998" s="143"/>
      <c r="Z1998" s="30">
        <f t="shared" si="723"/>
        <v>0</v>
      </c>
      <c r="AA1998" s="31">
        <f t="shared" si="705"/>
        <v>17</v>
      </c>
      <c r="AB1998" s="32">
        <v>3.2500000000000001E-2</v>
      </c>
      <c r="AC1998" s="32">
        <v>5.0500000000000003E-2</v>
      </c>
      <c r="AD1998" s="33">
        <f t="shared" si="675"/>
        <v>0.4610271753659283</v>
      </c>
      <c r="AE1998" s="34">
        <f t="shared" si="676"/>
        <v>5.8308783002909648E-2</v>
      </c>
      <c r="AF1998" s="33">
        <f t="shared" si="677"/>
        <v>0.93797478885519947</v>
      </c>
      <c r="AG1998" s="33">
        <f t="shared" si="678"/>
        <v>0</v>
      </c>
      <c r="AH1998" s="35">
        <f t="shared" si="679"/>
        <v>5.8628979084708153</v>
      </c>
      <c r="AI1998" s="36">
        <f t="shared" si="655"/>
        <v>9.5930796183361604</v>
      </c>
      <c r="AJ1998" s="23"/>
      <c r="AK1998" s="120">
        <v>1137</v>
      </c>
      <c r="AL1998" s="44"/>
      <c r="AM1998" s="44"/>
      <c r="AN1998" s="44"/>
      <c r="AO1998" s="44"/>
      <c r="AP1998" s="44"/>
      <c r="AQ1998" s="44"/>
      <c r="AR1998" s="44"/>
    </row>
    <row r="1999" spans="1:44" ht="16.8">
      <c r="A1999" s="259" t="s">
        <v>3827</v>
      </c>
      <c r="B1999" s="79">
        <v>771</v>
      </c>
      <c r="C1999" s="79" t="s">
        <v>3828</v>
      </c>
      <c r="D1999" s="19" t="s">
        <v>3829</v>
      </c>
      <c r="E1999" s="20" t="s">
        <v>414</v>
      </c>
      <c r="F1999" s="21">
        <v>1988</v>
      </c>
      <c r="G1999" s="40">
        <v>2021</v>
      </c>
      <c r="H1999" s="23">
        <v>1563671556127</v>
      </c>
      <c r="I1999" s="23">
        <v>3483317004283</v>
      </c>
      <c r="J1999" s="23">
        <v>2459529270768</v>
      </c>
      <c r="K1999" s="23">
        <f>(J1999+1099025687694)/2</f>
        <v>1779277479231</v>
      </c>
      <c r="L1999" s="23">
        <v>2187576800539</v>
      </c>
      <c r="M1999" s="23">
        <f t="shared" si="725"/>
        <v>1023787733515</v>
      </c>
      <c r="N1999" s="23">
        <v>1999012660191</v>
      </c>
      <c r="O1999" s="25">
        <f t="shared" si="643"/>
        <v>-623905244412</v>
      </c>
      <c r="P1999" s="23">
        <v>9478890403</v>
      </c>
      <c r="Q1999" s="23">
        <f>54639367120+639405095</f>
        <v>55278772215</v>
      </c>
      <c r="R1999" s="25">
        <f t="shared" si="644"/>
        <v>1943733887976</v>
      </c>
      <c r="S1999" s="26">
        <f t="shared" si="645"/>
        <v>0.70608826809154146</v>
      </c>
      <c r="T1999" s="27">
        <f t="shared" si="646"/>
        <v>0.71479618715179505</v>
      </c>
      <c r="U1999" s="26">
        <f t="shared" si="647"/>
        <v>28.879006117894626</v>
      </c>
      <c r="V1999" s="26">
        <f t="shared" si="648"/>
        <v>1.1234968595538954</v>
      </c>
      <c r="W1999" s="143"/>
      <c r="X1999" s="143"/>
      <c r="Y1999" s="143"/>
      <c r="Z1999" s="30">
        <f t="shared" si="723"/>
        <v>0</v>
      </c>
      <c r="AA1999" s="31">
        <f t="shared" si="705"/>
        <v>33</v>
      </c>
      <c r="AB1999" s="32">
        <v>1.84E-2</v>
      </c>
      <c r="AC1999" s="32">
        <v>2.58E-2</v>
      </c>
      <c r="AD1999" s="33">
        <f t="shared" si="675"/>
        <v>-0.17911239305663584</v>
      </c>
      <c r="AE1999" s="34">
        <f t="shared" si="676"/>
        <v>2.7212253123517017E-3</v>
      </c>
      <c r="AF1999" s="33">
        <f t="shared" si="677"/>
        <v>0.55801234443664849</v>
      </c>
      <c r="AG1999" s="33">
        <f t="shared" si="678"/>
        <v>0</v>
      </c>
      <c r="AH1999" s="35">
        <f t="shared" si="679"/>
        <v>0.81276229722071924</v>
      </c>
      <c r="AI1999" s="36">
        <f t="shared" si="655"/>
        <v>2.4430778776309885</v>
      </c>
      <c r="AJ1999" s="23"/>
      <c r="AK1999" s="120">
        <v>1138</v>
      </c>
      <c r="AL1999" s="44"/>
      <c r="AM1999" s="44"/>
      <c r="AN1999" s="44"/>
      <c r="AO1999" s="44"/>
      <c r="AP1999" s="44"/>
      <c r="AQ1999" s="44"/>
      <c r="AR1999" s="44"/>
    </row>
    <row r="2000" spans="1:44" ht="16.8">
      <c r="A2000" s="257"/>
      <c r="B2000" s="79"/>
      <c r="C2000" s="79" t="s">
        <v>3828</v>
      </c>
      <c r="D2000" s="19" t="s">
        <v>3829</v>
      </c>
      <c r="E2000" s="20" t="s">
        <v>414</v>
      </c>
      <c r="F2000" s="21">
        <v>1988</v>
      </c>
      <c r="G2000" s="40">
        <v>2022</v>
      </c>
      <c r="H2000" s="23">
        <v>2217780561111</v>
      </c>
      <c r="I2000" s="23">
        <v>4010619955860</v>
      </c>
      <c r="J2000" s="23">
        <v>2976270313614</v>
      </c>
      <c r="K2000" s="23">
        <f t="shared" ref="K2000:K2001" si="728">AVERAGE(J1999:J2000)</f>
        <v>2717899792191</v>
      </c>
      <c r="L2000" s="23">
        <v>2203240805319</v>
      </c>
      <c r="M2000" s="23">
        <f t="shared" si="725"/>
        <v>1034349642246</v>
      </c>
      <c r="N2000" s="23">
        <v>2132864899915</v>
      </c>
      <c r="O2000" s="25">
        <f t="shared" si="643"/>
        <v>14539755792</v>
      </c>
      <c r="P2000" s="23">
        <v>10079356385</v>
      </c>
      <c r="Q2000" s="23">
        <f>19917774570 +421871256</f>
        <v>20339645826</v>
      </c>
      <c r="R2000" s="25">
        <f t="shared" si="644"/>
        <v>2112525254089</v>
      </c>
      <c r="S2000" s="26">
        <f t="shared" si="645"/>
        <v>0.74209731821268921</v>
      </c>
      <c r="T2000" s="27">
        <f t="shared" si="646"/>
        <v>1.0065992585816759</v>
      </c>
      <c r="U2000" s="26">
        <f t="shared" si="647"/>
        <v>29.019966947756149</v>
      </c>
      <c r="V2000" s="26">
        <f t="shared" si="648"/>
        <v>0.78474743846078976</v>
      </c>
      <c r="W2000" s="143"/>
      <c r="X2000" s="143"/>
      <c r="Y2000" s="143"/>
      <c r="Z2000" s="30">
        <f t="shared" si="723"/>
        <v>0</v>
      </c>
      <c r="AA2000" s="31">
        <f t="shared" si="705"/>
        <v>34</v>
      </c>
      <c r="AB2000" s="32">
        <v>3.15E-2</v>
      </c>
      <c r="AC2000" s="32">
        <v>8.0199999999999994E-2</v>
      </c>
      <c r="AD2000" s="33">
        <f t="shared" si="675"/>
        <v>3.6253137799196508E-3</v>
      </c>
      <c r="AE2000" s="34">
        <f t="shared" si="676"/>
        <v>2.5131666664832812E-3</v>
      </c>
      <c r="AF2000" s="33">
        <f t="shared" si="677"/>
        <v>0.52673284363489625</v>
      </c>
      <c r="AG2000" s="33">
        <f t="shared" si="678"/>
        <v>0</v>
      </c>
      <c r="AH2000" s="35">
        <f t="shared" si="679"/>
        <v>0.71662338268096459</v>
      </c>
      <c r="AI2000" s="36">
        <f t="shared" si="655"/>
        <v>2.4627105765451023</v>
      </c>
      <c r="AJ2000" s="23"/>
      <c r="AK2000" s="120">
        <v>1139</v>
      </c>
      <c r="AL2000" s="44"/>
      <c r="AM2000" s="44"/>
      <c r="AN2000" s="44"/>
      <c r="AO2000" s="44"/>
      <c r="AP2000" s="44"/>
      <c r="AQ2000" s="44"/>
      <c r="AR2000" s="44"/>
    </row>
    <row r="2001" spans="1:44" ht="16.8">
      <c r="A2001" s="257"/>
      <c r="B2001" s="79"/>
      <c r="C2001" s="79" t="s">
        <v>3828</v>
      </c>
      <c r="D2001" s="19" t="s">
        <v>3829</v>
      </c>
      <c r="E2001" s="20" t="s">
        <v>414</v>
      </c>
      <c r="F2001" s="21">
        <v>1988</v>
      </c>
      <c r="G2001" s="40">
        <v>2023</v>
      </c>
      <c r="H2001" s="23">
        <v>1968384072242</v>
      </c>
      <c r="I2001" s="23">
        <v>3754362024949</v>
      </c>
      <c r="J2001" s="23">
        <v>2747776376350</v>
      </c>
      <c r="K2001" s="23">
        <f t="shared" si="728"/>
        <v>2862023344982</v>
      </c>
      <c r="L2001" s="23">
        <v>2001216202969</v>
      </c>
      <c r="M2001" s="23">
        <f t="shared" si="725"/>
        <v>1006585648599</v>
      </c>
      <c r="N2001" s="23">
        <v>1057690626924</v>
      </c>
      <c r="O2001" s="25">
        <f t="shared" si="643"/>
        <v>-32832130727</v>
      </c>
      <c r="P2001" s="23">
        <v>-28540034583</v>
      </c>
      <c r="Q2001" s="23">
        <f>57052722273+319267651</f>
        <v>57371989924</v>
      </c>
      <c r="R2001" s="25">
        <f t="shared" si="644"/>
        <v>1000318637000</v>
      </c>
      <c r="S2001" s="26">
        <f t="shared" si="645"/>
        <v>0.73188902883901463</v>
      </c>
      <c r="T2001" s="27">
        <f t="shared" si="646"/>
        <v>0.98359391120345196</v>
      </c>
      <c r="U2001" s="26">
        <f t="shared" si="647"/>
        <v>28.953939486563243</v>
      </c>
      <c r="V2001" s="26">
        <f t="shared" si="648"/>
        <v>0.36956044707966984</v>
      </c>
      <c r="W2001" s="143"/>
      <c r="X2001" s="143"/>
      <c r="Y2001" s="143"/>
      <c r="Z2001" s="30">
        <f t="shared" si="723"/>
        <v>0</v>
      </c>
      <c r="AA2001" s="31">
        <f t="shared" si="705"/>
        <v>35</v>
      </c>
      <c r="AB2001" s="32">
        <v>3.2500000000000001E-2</v>
      </c>
      <c r="AC2001" s="32">
        <v>5.0500000000000003E-2</v>
      </c>
      <c r="AD2001" s="33">
        <f t="shared" si="675"/>
        <v>-8.7450625455988088E-3</v>
      </c>
      <c r="AE2001" s="34">
        <f t="shared" si="676"/>
        <v>-7.6018333856303303E-3</v>
      </c>
      <c r="AF2001" s="33">
        <f t="shared" si="677"/>
        <v>0.26644170976388154</v>
      </c>
      <c r="AG2001" s="33">
        <f t="shared" si="678"/>
        <v>0</v>
      </c>
      <c r="AH2001" s="35">
        <f t="shared" si="679"/>
        <v>0.38492602091913314</v>
      </c>
      <c r="AI2001" s="36">
        <f t="shared" si="655"/>
        <v>1.2430470213453411</v>
      </c>
      <c r="AJ2001" s="23"/>
      <c r="AK2001" s="120">
        <v>1140</v>
      </c>
      <c r="AL2001" s="44"/>
      <c r="AM2001" s="44"/>
      <c r="AN2001" s="44"/>
      <c r="AO2001" s="44"/>
      <c r="AP2001" s="44"/>
      <c r="AQ2001" s="44"/>
      <c r="AR2001" s="44"/>
    </row>
    <row r="2002" spans="1:44" ht="16.8">
      <c r="A2002" s="259" t="s">
        <v>3830</v>
      </c>
      <c r="B2002" s="79">
        <v>772</v>
      </c>
      <c r="C2002" s="79" t="s">
        <v>3831</v>
      </c>
      <c r="D2002" s="19" t="s">
        <v>3832</v>
      </c>
      <c r="E2002" s="20" t="s">
        <v>414</v>
      </c>
      <c r="F2002" s="21">
        <v>1990</v>
      </c>
      <c r="G2002" s="40">
        <v>2021</v>
      </c>
      <c r="H2002" s="23">
        <v>594685410439</v>
      </c>
      <c r="I2002" s="23">
        <v>2285628531079</v>
      </c>
      <c r="J2002" s="23">
        <v>1173279426159</v>
      </c>
      <c r="K2002" s="23">
        <f>(J2002+1015052044658)/2</f>
        <v>1094165735408.5</v>
      </c>
      <c r="L2002" s="23">
        <v>573317466324</v>
      </c>
      <c r="M2002" s="23">
        <f t="shared" si="725"/>
        <v>1112349104920</v>
      </c>
      <c r="N2002" s="23">
        <v>182478693347</v>
      </c>
      <c r="O2002" s="25">
        <f t="shared" si="643"/>
        <v>21367944115</v>
      </c>
      <c r="P2002" s="23">
        <v>3120612175</v>
      </c>
      <c r="Q2002" s="23">
        <f>68147221627+14099491771</f>
        <v>82246713398</v>
      </c>
      <c r="R2002" s="25">
        <f t="shared" si="644"/>
        <v>100231979949</v>
      </c>
      <c r="S2002" s="26">
        <f t="shared" si="645"/>
        <v>0.5133290078441215</v>
      </c>
      <c r="T2002" s="27">
        <f t="shared" si="646"/>
        <v>1.0372707014352922</v>
      </c>
      <c r="U2002" s="26">
        <f t="shared" si="647"/>
        <v>28.457662170756272</v>
      </c>
      <c r="V2002" s="26">
        <f t="shared" si="648"/>
        <v>0.16677427143052759</v>
      </c>
      <c r="W2002" s="143"/>
      <c r="X2002" s="143"/>
      <c r="Y2002" s="143"/>
      <c r="Z2002" s="30">
        <f t="shared" si="723"/>
        <v>0</v>
      </c>
      <c r="AA2002" s="31">
        <f t="shared" si="705"/>
        <v>31</v>
      </c>
      <c r="AB2002" s="32">
        <v>1.84E-2</v>
      </c>
      <c r="AC2002" s="32">
        <v>2.58E-2</v>
      </c>
      <c r="AD2002" s="33">
        <f t="shared" si="675"/>
        <v>9.3488262963328586E-3</v>
      </c>
      <c r="AE2002" s="34">
        <f t="shared" si="676"/>
        <v>1.3653190501287716E-3</v>
      </c>
      <c r="AF2002" s="33">
        <f t="shared" si="677"/>
        <v>4.3853136494442717E-2</v>
      </c>
      <c r="AG2002" s="33">
        <f t="shared" si="678"/>
        <v>0</v>
      </c>
      <c r="AH2002" s="35">
        <f t="shared" si="679"/>
        <v>0.155528759201366</v>
      </c>
      <c r="AI2002" s="36">
        <f t="shared" si="655"/>
        <v>0.31337414785880668</v>
      </c>
      <c r="AJ2002" s="23"/>
      <c r="AK2002" s="120">
        <v>1141</v>
      </c>
      <c r="AL2002" s="44"/>
      <c r="AM2002" s="44"/>
      <c r="AN2002" s="44"/>
      <c r="AO2002" s="44"/>
      <c r="AP2002" s="44"/>
      <c r="AQ2002" s="44"/>
      <c r="AR2002" s="44"/>
    </row>
    <row r="2003" spans="1:44" ht="16.8">
      <c r="A2003" s="257"/>
      <c r="B2003" s="79"/>
      <c r="C2003" s="79" t="s">
        <v>3831</v>
      </c>
      <c r="D2003" s="19" t="s">
        <v>3832</v>
      </c>
      <c r="E2003" s="20" t="s">
        <v>414</v>
      </c>
      <c r="F2003" s="21">
        <v>1990</v>
      </c>
      <c r="G2003" s="40">
        <v>2022</v>
      </c>
      <c r="H2003" s="23">
        <v>731626926336</v>
      </c>
      <c r="I2003" s="23">
        <v>2847226208898</v>
      </c>
      <c r="J2003" s="23">
        <v>1731511250698</v>
      </c>
      <c r="K2003" s="23">
        <f t="shared" ref="K2003:K2004" si="729">AVERAGE(J2002:J2003)</f>
        <v>1452395338428.5</v>
      </c>
      <c r="L2003" s="23">
        <v>596202530039</v>
      </c>
      <c r="M2003" s="23">
        <f t="shared" si="725"/>
        <v>1115714958200</v>
      </c>
      <c r="N2003" s="23">
        <v>618986338986</v>
      </c>
      <c r="O2003" s="25">
        <f t="shared" si="643"/>
        <v>135424396297</v>
      </c>
      <c r="P2003" s="23">
        <v>3262039267</v>
      </c>
      <c r="Q2003" s="23">
        <f>82948200955+28644153236</f>
        <v>111592354191</v>
      </c>
      <c r="R2003" s="25">
        <f t="shared" si="644"/>
        <v>507393984795</v>
      </c>
      <c r="S2003" s="26">
        <f t="shared" si="645"/>
        <v>0.60813968531435014</v>
      </c>
      <c r="T2003" s="27">
        <f t="shared" si="646"/>
        <v>1.2271449540614014</v>
      </c>
      <c r="U2003" s="26">
        <f t="shared" si="647"/>
        <v>28.677366376248244</v>
      </c>
      <c r="V2003" s="26">
        <f t="shared" si="648"/>
        <v>0.42618309396100562</v>
      </c>
      <c r="W2003" s="143"/>
      <c r="X2003" s="143"/>
      <c r="Y2003" s="143"/>
      <c r="Z2003" s="30">
        <f t="shared" si="723"/>
        <v>0</v>
      </c>
      <c r="AA2003" s="31">
        <f t="shared" si="705"/>
        <v>32</v>
      </c>
      <c r="AB2003" s="32">
        <v>3.15E-2</v>
      </c>
      <c r="AC2003" s="32">
        <v>8.0199999999999994E-2</v>
      </c>
      <c r="AD2003" s="33">
        <f t="shared" si="675"/>
        <v>4.7563623808244977E-2</v>
      </c>
      <c r="AE2003" s="34">
        <f t="shared" si="676"/>
        <v>1.1456902359235274E-3</v>
      </c>
      <c r="AF2003" s="33">
        <f t="shared" si="677"/>
        <v>0.17820641830611114</v>
      </c>
      <c r="AG2003" s="33">
        <f t="shared" si="678"/>
        <v>0</v>
      </c>
      <c r="AH2003" s="35">
        <f t="shared" si="679"/>
        <v>0.35748329023936554</v>
      </c>
      <c r="AI2003" s="36">
        <f t="shared" si="655"/>
        <v>1.0042447855497192</v>
      </c>
      <c r="AJ2003" s="23"/>
      <c r="AK2003" s="120">
        <v>1142</v>
      </c>
      <c r="AL2003" s="44"/>
      <c r="AM2003" s="44"/>
      <c r="AN2003" s="44"/>
      <c r="AO2003" s="44"/>
      <c r="AP2003" s="44"/>
      <c r="AQ2003" s="44"/>
      <c r="AR2003" s="44"/>
    </row>
    <row r="2004" spans="1:44" ht="16.8">
      <c r="A2004" s="257"/>
      <c r="B2004" s="79"/>
      <c r="C2004" s="79" t="s">
        <v>3831</v>
      </c>
      <c r="D2004" s="19" t="s">
        <v>3832</v>
      </c>
      <c r="E2004" s="20" t="s">
        <v>414</v>
      </c>
      <c r="F2004" s="21">
        <v>1990</v>
      </c>
      <c r="G2004" s="40">
        <v>2023</v>
      </c>
      <c r="H2004" s="23">
        <v>778503910789</v>
      </c>
      <c r="I2004" s="23">
        <v>3910037254337</v>
      </c>
      <c r="J2004" s="23">
        <v>2790928220581</v>
      </c>
      <c r="K2004" s="23">
        <f t="shared" si="729"/>
        <v>2261219735639.5</v>
      </c>
      <c r="L2004" s="23">
        <v>718003989590</v>
      </c>
      <c r="M2004" s="23">
        <f t="shared" si="725"/>
        <v>1119109033756</v>
      </c>
      <c r="N2004" s="23">
        <v>742665720816</v>
      </c>
      <c r="O2004" s="25">
        <f t="shared" si="643"/>
        <v>60499921199</v>
      </c>
      <c r="P2004" s="23">
        <v>3394075556</v>
      </c>
      <c r="Q2004" s="23">
        <f>92597901012
+29334415121</f>
        <v>121932316133</v>
      </c>
      <c r="R2004" s="25">
        <f t="shared" si="644"/>
        <v>620733404683</v>
      </c>
      <c r="S2004" s="26">
        <f t="shared" si="645"/>
        <v>0.71378558285737859</v>
      </c>
      <c r="T2004" s="27">
        <f t="shared" si="646"/>
        <v>1.084261260489022</v>
      </c>
      <c r="U2004" s="26">
        <f t="shared" si="647"/>
        <v>28.994568017843861</v>
      </c>
      <c r="V2004" s="26">
        <f t="shared" si="648"/>
        <v>0.32843589197047462</v>
      </c>
      <c r="W2004" s="143"/>
      <c r="X2004" s="143"/>
      <c r="Y2004" s="143"/>
      <c r="Z2004" s="30">
        <f t="shared" si="723"/>
        <v>0</v>
      </c>
      <c r="AA2004" s="31">
        <f t="shared" si="705"/>
        <v>33</v>
      </c>
      <c r="AB2004" s="32">
        <v>3.2500000000000001E-2</v>
      </c>
      <c r="AC2004" s="32">
        <v>5.0500000000000003E-2</v>
      </c>
      <c r="AD2004" s="33">
        <f t="shared" si="675"/>
        <v>1.5472978200372309E-2</v>
      </c>
      <c r="AE2004" s="34">
        <f t="shared" si="676"/>
        <v>8.6804174365226396E-4</v>
      </c>
      <c r="AF2004" s="33">
        <f t="shared" si="677"/>
        <v>0.15875383386551742</v>
      </c>
      <c r="AG2004" s="33">
        <f t="shared" si="678"/>
        <v>0</v>
      </c>
      <c r="AH2004" s="35">
        <f t="shared" si="679"/>
        <v>0.26609990014769924</v>
      </c>
      <c r="AI2004" s="36">
        <f t="shared" si="655"/>
        <v>0.80977038418546665</v>
      </c>
      <c r="AJ2004" s="23"/>
      <c r="AK2004" s="120">
        <v>1143</v>
      </c>
      <c r="AL2004" s="44"/>
      <c r="AM2004" s="44"/>
      <c r="AN2004" s="44"/>
      <c r="AO2004" s="44"/>
      <c r="AP2004" s="44"/>
      <c r="AQ2004" s="44"/>
      <c r="AR2004" s="44"/>
    </row>
    <row r="2005" spans="1:44" ht="16.8">
      <c r="A2005" s="145">
        <v>5</v>
      </c>
      <c r="B2005" s="145">
        <v>773</v>
      </c>
      <c r="C2005" s="145" t="s">
        <v>3833</v>
      </c>
      <c r="D2005" s="146" t="s">
        <v>3834</v>
      </c>
      <c r="E2005" s="147" t="s">
        <v>178</v>
      </c>
      <c r="F2005" s="148"/>
      <c r="G2005" s="148"/>
      <c r="H2005" s="149"/>
      <c r="I2005" s="149"/>
      <c r="J2005" s="149"/>
      <c r="K2005" s="149"/>
      <c r="L2005" s="149"/>
      <c r="M2005" s="149">
        <f t="shared" si="725"/>
        <v>0</v>
      </c>
      <c r="N2005" s="149"/>
      <c r="O2005" s="149">
        <f t="shared" si="643"/>
        <v>0</v>
      </c>
      <c r="P2005" s="149"/>
      <c r="Q2005" s="149"/>
      <c r="R2005" s="149">
        <f t="shared" si="644"/>
        <v>0</v>
      </c>
      <c r="S2005" s="150" t="e">
        <f t="shared" si="645"/>
        <v>#DIV/0!</v>
      </c>
      <c r="T2005" s="151" t="e">
        <f t="shared" si="646"/>
        <v>#DIV/0!</v>
      </c>
      <c r="U2005" s="150" t="e">
        <f t="shared" si="647"/>
        <v>#NUM!</v>
      </c>
      <c r="V2005" s="150" t="e">
        <f t="shared" si="648"/>
        <v>#DIV/0!</v>
      </c>
      <c r="W2005" s="152"/>
      <c r="X2005" s="152"/>
      <c r="Y2005" s="152"/>
      <c r="Z2005" s="153">
        <f>W2005*Y2005</f>
        <v>0</v>
      </c>
      <c r="AA2005" s="148">
        <f t="shared" si="705"/>
        <v>0</v>
      </c>
      <c r="AB2005" s="149"/>
      <c r="AC2005" s="149"/>
      <c r="AD2005" s="150" t="e">
        <f t="shared" si="675"/>
        <v>#DIV/0!</v>
      </c>
      <c r="AE2005" s="154" t="e">
        <f t="shared" si="676"/>
        <v>#DIV/0!</v>
      </c>
      <c r="AF2005" s="150" t="e">
        <f t="shared" si="677"/>
        <v>#DIV/0!</v>
      </c>
      <c r="AG2005" s="150" t="e">
        <f t="shared" si="678"/>
        <v>#DIV/0!</v>
      </c>
      <c r="AH2005" s="155" t="e">
        <f t="shared" si="679"/>
        <v>#DIV/0!</v>
      </c>
      <c r="AI2005" s="156" t="e">
        <f t="shared" si="655"/>
        <v>#DIV/0!</v>
      </c>
      <c r="AJ2005" s="149"/>
      <c r="AK2005" s="149"/>
      <c r="AL2005" s="157"/>
      <c r="AM2005" s="157"/>
      <c r="AN2005" s="157"/>
      <c r="AO2005" s="157"/>
      <c r="AP2005" s="157"/>
      <c r="AQ2005" s="157"/>
      <c r="AR2005" s="157"/>
    </row>
    <row r="2006" spans="1:44" ht="16.8">
      <c r="A2006" s="78" t="s">
        <v>3835</v>
      </c>
      <c r="B2006" s="79">
        <v>774</v>
      </c>
      <c r="C2006" s="79" t="s">
        <v>3836</v>
      </c>
      <c r="D2006" s="19" t="s">
        <v>3837</v>
      </c>
      <c r="E2006" s="20" t="s">
        <v>414</v>
      </c>
      <c r="F2006" s="21">
        <v>1975</v>
      </c>
      <c r="G2006" s="40">
        <v>2021</v>
      </c>
      <c r="H2006" s="23">
        <v>317473377885</v>
      </c>
      <c r="I2006" s="23">
        <v>405913533703</v>
      </c>
      <c r="J2006" s="23">
        <v>186964781147</v>
      </c>
      <c r="K2006" s="23">
        <f>(J2006+181655004932)/2</f>
        <v>184309893039.5</v>
      </c>
      <c r="L2006" s="23">
        <v>144602481147</v>
      </c>
      <c r="M2006" s="23">
        <f t="shared" si="725"/>
        <v>218948752556</v>
      </c>
      <c r="N2006" s="23">
        <v>1464037245332</v>
      </c>
      <c r="O2006" s="25">
        <f t="shared" si="643"/>
        <v>172870896738</v>
      </c>
      <c r="P2006" s="23">
        <v>37743118162</v>
      </c>
      <c r="Q2006" s="23">
        <v>19063053615</v>
      </c>
      <c r="R2006" s="25">
        <f t="shared" si="644"/>
        <v>1444974191717</v>
      </c>
      <c r="S2006" s="26">
        <f t="shared" si="645"/>
        <v>0.4606024821133432</v>
      </c>
      <c r="T2006" s="27">
        <f t="shared" si="646"/>
        <v>2.195490529393219</v>
      </c>
      <c r="U2006" s="26">
        <f t="shared" si="647"/>
        <v>26.729406002691686</v>
      </c>
      <c r="V2006" s="26">
        <f t="shared" si="648"/>
        <v>7.9433459657981453</v>
      </c>
      <c r="W2006" s="143"/>
      <c r="X2006" s="143"/>
      <c r="Y2006" s="143"/>
      <c r="Z2006" s="30">
        <f t="shared" ref="Z2006:Z2020" si="730">X2006*Y2006</f>
        <v>0</v>
      </c>
      <c r="AA2006" s="31">
        <f t="shared" si="705"/>
        <v>46</v>
      </c>
      <c r="AB2006" s="32">
        <v>1.84E-2</v>
      </c>
      <c r="AC2006" s="32">
        <v>2.58E-2</v>
      </c>
      <c r="AD2006" s="33">
        <f t="shared" si="675"/>
        <v>0.42588108644952616</v>
      </c>
      <c r="AE2006" s="34">
        <f t="shared" si="676"/>
        <v>9.2983147956865103E-2</v>
      </c>
      <c r="AF2006" s="33">
        <f t="shared" si="677"/>
        <v>3.5598078697574613</v>
      </c>
      <c r="AG2006" s="33">
        <f t="shared" si="678"/>
        <v>0</v>
      </c>
      <c r="AH2006" s="35">
        <f t="shared" si="679"/>
        <v>7.8305509537697855</v>
      </c>
      <c r="AI2006" s="36">
        <f t="shared" si="655"/>
        <v>20.21915063484845</v>
      </c>
      <c r="AJ2006" s="23"/>
      <c r="AK2006" s="120">
        <v>1144</v>
      </c>
      <c r="AL2006" s="44"/>
      <c r="AM2006" s="44"/>
      <c r="AN2006" s="44"/>
      <c r="AO2006" s="44"/>
      <c r="AP2006" s="44"/>
      <c r="AQ2006" s="44"/>
      <c r="AR2006" s="44"/>
    </row>
    <row r="2007" spans="1:44" ht="16.8">
      <c r="A2007" s="78" t="s">
        <v>3838</v>
      </c>
      <c r="B2007" s="79"/>
      <c r="C2007" s="79" t="s">
        <v>3836</v>
      </c>
      <c r="D2007" s="19" t="s">
        <v>3837</v>
      </c>
      <c r="E2007" s="20" t="s">
        <v>414</v>
      </c>
      <c r="F2007" s="21">
        <v>1975</v>
      </c>
      <c r="G2007" s="40">
        <v>2022</v>
      </c>
      <c r="H2007" s="23">
        <v>273647046036</v>
      </c>
      <c r="I2007" s="23">
        <v>360834413609</v>
      </c>
      <c r="J2007" s="23">
        <v>112964716209</v>
      </c>
      <c r="K2007" s="23">
        <f t="shared" ref="K2007:K2008" si="731">AVERAGE(J2006:J2007)</f>
        <v>149964748678</v>
      </c>
      <c r="L2007" s="23">
        <v>70605391209</v>
      </c>
      <c r="M2007" s="23">
        <f t="shared" si="725"/>
        <v>247869697400</v>
      </c>
      <c r="N2007" s="23">
        <v>1096727838424</v>
      </c>
      <c r="O2007" s="25">
        <f t="shared" si="643"/>
        <v>203041654827</v>
      </c>
      <c r="P2007" s="23">
        <v>43913344844</v>
      </c>
      <c r="Q2007" s="23">
        <v>25465675915</v>
      </c>
      <c r="R2007" s="25">
        <f t="shared" si="644"/>
        <v>1071262162509</v>
      </c>
      <c r="S2007" s="26">
        <f t="shared" si="645"/>
        <v>0.31306525084220077</v>
      </c>
      <c r="T2007" s="27">
        <f t="shared" si="646"/>
        <v>3.8757245211767692</v>
      </c>
      <c r="U2007" s="26">
        <f t="shared" si="647"/>
        <v>26.611685001986032</v>
      </c>
      <c r="V2007" s="26">
        <f t="shared" si="648"/>
        <v>7.313237598116225</v>
      </c>
      <c r="W2007" s="143"/>
      <c r="X2007" s="143"/>
      <c r="Y2007" s="143"/>
      <c r="Z2007" s="30">
        <f t="shared" si="730"/>
        <v>0</v>
      </c>
      <c r="AA2007" s="31">
        <f t="shared" si="705"/>
        <v>47</v>
      </c>
      <c r="AB2007" s="32">
        <v>3.15E-2</v>
      </c>
      <c r="AC2007" s="32">
        <v>8.0199999999999994E-2</v>
      </c>
      <c r="AD2007" s="33">
        <f t="shared" si="675"/>
        <v>0.56270036107757682</v>
      </c>
      <c r="AE2007" s="34">
        <f t="shared" si="676"/>
        <v>0.12169943660524708</v>
      </c>
      <c r="AF2007" s="33">
        <f t="shared" si="677"/>
        <v>2.9688469893833882</v>
      </c>
      <c r="AG2007" s="33">
        <f t="shared" si="678"/>
        <v>0</v>
      </c>
      <c r="AH2007" s="35">
        <f t="shared" si="679"/>
        <v>9.7085875592774045</v>
      </c>
      <c r="AI2007" s="36">
        <f t="shared" si="655"/>
        <v>20.351402268783023</v>
      </c>
      <c r="AJ2007" s="23"/>
      <c r="AK2007" s="120">
        <v>1145</v>
      </c>
      <c r="AL2007" s="44"/>
      <c r="AM2007" s="44"/>
      <c r="AN2007" s="44"/>
      <c r="AO2007" s="44"/>
      <c r="AP2007" s="44"/>
      <c r="AQ2007" s="44"/>
      <c r="AR2007" s="44"/>
    </row>
    <row r="2008" spans="1:44" ht="16.8">
      <c r="A2008" s="78" t="s">
        <v>3839</v>
      </c>
      <c r="B2008" s="79"/>
      <c r="C2008" s="79" t="s">
        <v>3836</v>
      </c>
      <c r="D2008" s="19" t="s">
        <v>3837</v>
      </c>
      <c r="E2008" s="20" t="s">
        <v>414</v>
      </c>
      <c r="F2008" s="21">
        <v>1975</v>
      </c>
      <c r="G2008" s="40">
        <v>2023</v>
      </c>
      <c r="H2008" s="23">
        <v>294763771975</v>
      </c>
      <c r="I2008" s="23">
        <v>390499684823</v>
      </c>
      <c r="J2008" s="23">
        <v>120806155870</v>
      </c>
      <c r="K2008" s="23">
        <f t="shared" si="731"/>
        <v>116885436039.5</v>
      </c>
      <c r="L2008" s="23">
        <v>78445105870</v>
      </c>
      <c r="M2008" s="23">
        <f t="shared" si="725"/>
        <v>269693528953</v>
      </c>
      <c r="N2008" s="23">
        <v>729154403208</v>
      </c>
      <c r="O2008" s="25">
        <f t="shared" si="643"/>
        <v>216318666105</v>
      </c>
      <c r="P2008" s="23">
        <v>37313675053</v>
      </c>
      <c r="Q2008" s="23">
        <v>25054178037</v>
      </c>
      <c r="R2008" s="25">
        <f t="shared" si="644"/>
        <v>704100225171</v>
      </c>
      <c r="S2008" s="26">
        <f t="shared" si="645"/>
        <v>0.30936300479924139</v>
      </c>
      <c r="T2008" s="27">
        <f t="shared" si="646"/>
        <v>3.7575801409903815</v>
      </c>
      <c r="U2008" s="26">
        <f t="shared" si="647"/>
        <v>26.690692999114429</v>
      </c>
      <c r="V2008" s="26">
        <f t="shared" si="648"/>
        <v>6.238197228965217</v>
      </c>
      <c r="W2008" s="143"/>
      <c r="X2008" s="143"/>
      <c r="Y2008" s="143"/>
      <c r="Z2008" s="30">
        <f t="shared" si="730"/>
        <v>0</v>
      </c>
      <c r="AA2008" s="31">
        <f t="shared" si="705"/>
        <v>48</v>
      </c>
      <c r="AB2008" s="32">
        <v>3.2500000000000001E-2</v>
      </c>
      <c r="AC2008" s="32">
        <v>5.0500000000000003E-2</v>
      </c>
      <c r="AD2008" s="33">
        <f t="shared" si="675"/>
        <v>0.55395349730704591</v>
      </c>
      <c r="AE2008" s="34">
        <f t="shared" si="676"/>
        <v>9.5553662405420375E-2</v>
      </c>
      <c r="AF2008" s="33">
        <f t="shared" si="677"/>
        <v>1.8030750152593447</v>
      </c>
      <c r="AG2008" s="33">
        <f t="shared" si="678"/>
        <v>0</v>
      </c>
      <c r="AH2008" s="35">
        <f t="shared" si="679"/>
        <v>6.0357388078190821</v>
      </c>
      <c r="AI2008" s="36">
        <f t="shared" si="655"/>
        <v>12.784405682310961</v>
      </c>
      <c r="AJ2008" s="23"/>
      <c r="AK2008" s="120">
        <v>1146</v>
      </c>
      <c r="AL2008" s="44"/>
      <c r="AM2008" s="44"/>
      <c r="AN2008" s="44"/>
      <c r="AO2008" s="44"/>
      <c r="AP2008" s="44"/>
      <c r="AQ2008" s="44"/>
      <c r="AR2008" s="44"/>
    </row>
    <row r="2009" spans="1:44" ht="16.8">
      <c r="A2009" s="78" t="s">
        <v>3840</v>
      </c>
      <c r="B2009" s="79">
        <v>775</v>
      </c>
      <c r="C2009" s="79" t="s">
        <v>3841</v>
      </c>
      <c r="D2009" s="19" t="s">
        <v>3842</v>
      </c>
      <c r="E2009" s="20" t="s">
        <v>414</v>
      </c>
      <c r="F2009" s="21">
        <v>1976</v>
      </c>
      <c r="G2009" s="40">
        <v>2021</v>
      </c>
      <c r="H2009" s="23">
        <v>36109910649785</v>
      </c>
      <c r="I2009" s="23">
        <v>53332403438219</v>
      </c>
      <c r="J2009" s="23">
        <v>17482289188835</v>
      </c>
      <c r="K2009" s="23">
        <f>(J2009+14785358443806)/2</f>
        <v>16133823816320.5</v>
      </c>
      <c r="L2009" s="23">
        <v>17068416995519</v>
      </c>
      <c r="M2009" s="23">
        <f t="shared" si="725"/>
        <v>35850114249384</v>
      </c>
      <c r="N2009" s="23">
        <v>61012074147764</v>
      </c>
      <c r="O2009" s="25">
        <f t="shared" si="643"/>
        <v>19041493654266</v>
      </c>
      <c r="P2009" s="23">
        <v>10632535972478</v>
      </c>
      <c r="Q2009" s="23">
        <f>12950670402404+1567312426985</f>
        <v>14517982829389</v>
      </c>
      <c r="R2009" s="25">
        <f t="shared" si="644"/>
        <v>46494091318375</v>
      </c>
      <c r="S2009" s="26">
        <f t="shared" si="645"/>
        <v>0.32779863763474915</v>
      </c>
      <c r="T2009" s="27">
        <f t="shared" si="646"/>
        <v>2.115598104924727</v>
      </c>
      <c r="U2009" s="26">
        <f t="shared" si="647"/>
        <v>31.607565206808871</v>
      </c>
      <c r="V2009" s="26">
        <f t="shared" si="648"/>
        <v>3.7816251647700518</v>
      </c>
      <c r="W2009" s="143"/>
      <c r="X2009" s="143"/>
      <c r="Y2009" s="143"/>
      <c r="Z2009" s="30">
        <f t="shared" si="730"/>
        <v>0</v>
      </c>
      <c r="AA2009" s="31">
        <f t="shared" si="705"/>
        <v>45</v>
      </c>
      <c r="AB2009" s="32">
        <v>1.84E-2</v>
      </c>
      <c r="AC2009" s="32">
        <v>2.58E-2</v>
      </c>
      <c r="AD2009" s="33">
        <f t="shared" si="675"/>
        <v>0.35703423109974652</v>
      </c>
      <c r="AE2009" s="34">
        <f t="shared" si="676"/>
        <v>0.19936352549336875</v>
      </c>
      <c r="AF2009" s="33">
        <f t="shared" si="677"/>
        <v>0.8717794121585839</v>
      </c>
      <c r="AG2009" s="33">
        <f t="shared" si="678"/>
        <v>0</v>
      </c>
      <c r="AH2009" s="35">
        <f t="shared" si="679"/>
        <v>3.4899362142304073</v>
      </c>
      <c r="AI2009" s="36">
        <f t="shared" si="655"/>
        <v>7.0743582873641468</v>
      </c>
      <c r="AJ2009" s="23"/>
      <c r="AK2009" s="120">
        <v>1147</v>
      </c>
      <c r="AL2009" s="44"/>
      <c r="AM2009" s="44"/>
      <c r="AN2009" s="44"/>
      <c r="AO2009" s="44"/>
      <c r="AP2009" s="44"/>
      <c r="AQ2009" s="44"/>
      <c r="AR2009" s="44"/>
    </row>
    <row r="2010" spans="1:44" ht="16.8">
      <c r="A2010" s="78" t="s">
        <v>3843</v>
      </c>
      <c r="B2010" s="79"/>
      <c r="C2010" s="79" t="s">
        <v>3841</v>
      </c>
      <c r="D2010" s="19" t="s">
        <v>3842</v>
      </c>
      <c r="E2010" s="20" t="s">
        <v>414</v>
      </c>
      <c r="F2010" s="21">
        <v>1976</v>
      </c>
      <c r="G2010" s="40">
        <v>2022</v>
      </c>
      <c r="H2010" s="23">
        <v>31560382174201</v>
      </c>
      <c r="I2010" s="23">
        <v>48482664236220</v>
      </c>
      <c r="J2010" s="23">
        <v>15666145881135</v>
      </c>
      <c r="K2010" s="23">
        <f t="shared" ref="K2010:K2011" si="732">AVERAGE(J2009:J2010)</f>
        <v>16574217534985</v>
      </c>
      <c r="L2010" s="23">
        <v>15308423081524</v>
      </c>
      <c r="M2010" s="23">
        <f t="shared" si="725"/>
        <v>32816518355085</v>
      </c>
      <c r="N2010" s="23">
        <v>60074730223299</v>
      </c>
      <c r="O2010" s="25">
        <f t="shared" si="643"/>
        <v>16251959092677</v>
      </c>
      <c r="P2010" s="23">
        <v>8577575319708</v>
      </c>
      <c r="Q2010" s="23">
        <f>12548212246871+1595845681078</f>
        <v>14144057927949</v>
      </c>
      <c r="R2010" s="25">
        <f t="shared" si="644"/>
        <v>45930672295350</v>
      </c>
      <c r="S2010" s="26">
        <f t="shared" si="645"/>
        <v>0.3231288157929092</v>
      </c>
      <c r="T2010" s="27">
        <f t="shared" si="646"/>
        <v>2.0616350884822205</v>
      </c>
      <c r="U2010" s="26">
        <f t="shared" si="647"/>
        <v>31.51222741154719</v>
      </c>
      <c r="V2010" s="26">
        <f t="shared" si="648"/>
        <v>3.6245892209688177</v>
      </c>
      <c r="W2010" s="143"/>
      <c r="X2010" s="143"/>
      <c r="Y2010" s="143"/>
      <c r="Z2010" s="30">
        <f t="shared" si="730"/>
        <v>0</v>
      </c>
      <c r="AA2010" s="31">
        <f t="shared" si="705"/>
        <v>46</v>
      </c>
      <c r="AB2010" s="32">
        <v>3.15E-2</v>
      </c>
      <c r="AC2010" s="32">
        <v>8.0199999999999994E-2</v>
      </c>
      <c r="AD2010" s="33">
        <f t="shared" si="675"/>
        <v>0.33521175761903838</v>
      </c>
      <c r="AE2010" s="34">
        <f t="shared" si="676"/>
        <v>0.17692046125839639</v>
      </c>
      <c r="AF2010" s="33">
        <f t="shared" si="677"/>
        <v>0.94736279490673125</v>
      </c>
      <c r="AG2010" s="33">
        <f t="shared" si="678"/>
        <v>0</v>
      </c>
      <c r="AH2010" s="35">
        <f t="shared" si="679"/>
        <v>3.8346847194650682</v>
      </c>
      <c r="AI2010" s="36">
        <f t="shared" si="655"/>
        <v>7.6109246975618818</v>
      </c>
      <c r="AJ2010" s="23"/>
      <c r="AK2010" s="120">
        <v>1148</v>
      </c>
      <c r="AL2010" s="44"/>
      <c r="AM2010" s="44"/>
      <c r="AN2010" s="44"/>
      <c r="AO2010" s="44"/>
      <c r="AP2010" s="44"/>
      <c r="AQ2010" s="44"/>
      <c r="AR2010" s="44"/>
    </row>
    <row r="2011" spans="1:44" ht="16.8">
      <c r="A2011" s="78" t="s">
        <v>3844</v>
      </c>
      <c r="B2011" s="79"/>
      <c r="C2011" s="79" t="s">
        <v>3841</v>
      </c>
      <c r="D2011" s="19" t="s">
        <v>3842</v>
      </c>
      <c r="E2011" s="20" t="s">
        <v>414</v>
      </c>
      <c r="F2011" s="21">
        <v>1976</v>
      </c>
      <c r="G2011" s="40">
        <v>2023</v>
      </c>
      <c r="H2011" s="23">
        <v>35935879621477</v>
      </c>
      <c r="I2011" s="23">
        <v>52673371104460</v>
      </c>
      <c r="J2011" s="23">
        <v>17647627338990</v>
      </c>
      <c r="K2011" s="23">
        <f t="shared" si="732"/>
        <v>16656886610062.5</v>
      </c>
      <c r="L2011" s="23">
        <v>17138689974862</v>
      </c>
      <c r="M2011" s="23">
        <f t="shared" si="725"/>
        <v>35025743765470</v>
      </c>
      <c r="N2011" s="23">
        <v>60478912566740</v>
      </c>
      <c r="O2011" s="25">
        <f t="shared" si="643"/>
        <v>18797189646615</v>
      </c>
      <c r="P2011" s="23">
        <v>9019354165051</v>
      </c>
      <c r="Q2011" s="23">
        <f>13018093111879+1755619128197</f>
        <v>14773712240076</v>
      </c>
      <c r="R2011" s="25">
        <f t="shared" si="644"/>
        <v>45705200326664</v>
      </c>
      <c r="S2011" s="26">
        <f t="shared" si="645"/>
        <v>0.33503888148703903</v>
      </c>
      <c r="T2011" s="27">
        <f t="shared" si="646"/>
        <v>2.0967693373405778</v>
      </c>
      <c r="U2011" s="26">
        <f t="shared" si="647"/>
        <v>31.59513115163729</v>
      </c>
      <c r="V2011" s="26">
        <f t="shared" si="648"/>
        <v>3.6308653581278758</v>
      </c>
      <c r="W2011" s="143"/>
      <c r="X2011" s="143"/>
      <c r="Y2011" s="143"/>
      <c r="Z2011" s="30">
        <f t="shared" si="730"/>
        <v>0</v>
      </c>
      <c r="AA2011" s="31">
        <f t="shared" si="705"/>
        <v>47</v>
      </c>
      <c r="AB2011" s="32">
        <v>3.2500000000000001E-2</v>
      </c>
      <c r="AC2011" s="32">
        <v>5.0500000000000003E-2</v>
      </c>
      <c r="AD2011" s="33">
        <f t="shared" si="675"/>
        <v>0.3568632356819742</v>
      </c>
      <c r="AE2011" s="34">
        <f t="shared" si="676"/>
        <v>0.17123176238642729</v>
      </c>
      <c r="AF2011" s="33">
        <f t="shared" si="677"/>
        <v>0.86770980038515166</v>
      </c>
      <c r="AG2011" s="33">
        <f t="shared" si="678"/>
        <v>0</v>
      </c>
      <c r="AH2011" s="35">
        <f t="shared" si="679"/>
        <v>3.4270279740733294</v>
      </c>
      <c r="AI2011" s="36">
        <f t="shared" si="655"/>
        <v>6.9584306655036965</v>
      </c>
      <c r="AJ2011" s="23"/>
      <c r="AK2011" s="120">
        <v>1149</v>
      </c>
      <c r="AL2011" s="44"/>
      <c r="AM2011" s="44"/>
      <c r="AN2011" s="44"/>
      <c r="AO2011" s="44"/>
      <c r="AP2011" s="44"/>
      <c r="AQ2011" s="44"/>
      <c r="AR2011" s="44"/>
    </row>
    <row r="2012" spans="1:44" ht="16.8">
      <c r="A2012" s="78" t="s">
        <v>3845</v>
      </c>
      <c r="B2012" s="79">
        <v>776</v>
      </c>
      <c r="C2012" s="79" t="s">
        <v>3846</v>
      </c>
      <c r="D2012" s="19" t="s">
        <v>3847</v>
      </c>
      <c r="E2012" s="20" t="s">
        <v>414</v>
      </c>
      <c r="F2012" s="21">
        <v>2003</v>
      </c>
      <c r="G2012" s="40">
        <v>2021</v>
      </c>
      <c r="H2012" s="23">
        <v>627505986271</v>
      </c>
      <c r="I2012" s="23">
        <v>1571671829657</v>
      </c>
      <c r="J2012" s="23">
        <v>365479424566</v>
      </c>
      <c r="K2012" s="23">
        <f>(J2012+574350143680)/2</f>
        <v>469914784123</v>
      </c>
      <c r="L2012" s="23">
        <v>226044826195</v>
      </c>
      <c r="M2012" s="23">
        <f t="shared" si="725"/>
        <v>1206192405091</v>
      </c>
      <c r="N2012" s="23">
        <v>484679945755</v>
      </c>
      <c r="O2012" s="25">
        <f t="shared" si="643"/>
        <v>401461160076</v>
      </c>
      <c r="P2012" s="23">
        <v>-277167079001</v>
      </c>
      <c r="Q2012" s="23">
        <f>63767668492+62931173687</f>
        <v>126698842179</v>
      </c>
      <c r="R2012" s="25">
        <f t="shared" si="644"/>
        <v>357981103576</v>
      </c>
      <c r="S2012" s="26">
        <f t="shared" si="645"/>
        <v>0.23254181799883875</v>
      </c>
      <c r="T2012" s="27">
        <f t="shared" si="646"/>
        <v>2.7760245471386069</v>
      </c>
      <c r="U2012" s="26">
        <f t="shared" si="647"/>
        <v>28.083161028382033</v>
      </c>
      <c r="V2012" s="26">
        <f t="shared" si="648"/>
        <v>1.031420934456353</v>
      </c>
      <c r="W2012" s="143"/>
      <c r="X2012" s="143"/>
      <c r="Y2012" s="143"/>
      <c r="Z2012" s="30">
        <f t="shared" si="730"/>
        <v>0</v>
      </c>
      <c r="AA2012" s="31">
        <f t="shared" si="705"/>
        <v>18</v>
      </c>
      <c r="AB2012" s="32">
        <v>1.84E-2</v>
      </c>
      <c r="AC2012" s="32">
        <v>2.58E-2</v>
      </c>
      <c r="AD2012" s="33">
        <f t="shared" si="675"/>
        <v>0.25543574205539743</v>
      </c>
      <c r="AE2012" s="34">
        <f t="shared" si="676"/>
        <v>-0.17635175090049723</v>
      </c>
      <c r="AF2012" s="33">
        <f t="shared" si="677"/>
        <v>0.22777089772877421</v>
      </c>
      <c r="AG2012" s="33">
        <f t="shared" si="678"/>
        <v>0</v>
      </c>
      <c r="AH2012" s="35">
        <f t="shared" si="679"/>
        <v>1.3261483771091858</v>
      </c>
      <c r="AI2012" s="36">
        <f t="shared" si="655"/>
        <v>2.1374227788199214</v>
      </c>
      <c r="AJ2012" s="23"/>
      <c r="AK2012" s="120">
        <v>1150</v>
      </c>
      <c r="AL2012" s="44"/>
      <c r="AM2012" s="44"/>
      <c r="AN2012" s="44"/>
      <c r="AO2012" s="44"/>
      <c r="AP2012" s="44"/>
      <c r="AQ2012" s="44"/>
      <c r="AR2012" s="44"/>
    </row>
    <row r="2013" spans="1:44" ht="16.8">
      <c r="A2013" s="78" t="s">
        <v>3848</v>
      </c>
      <c r="B2013" s="79"/>
      <c r="C2013" s="79" t="s">
        <v>3846</v>
      </c>
      <c r="D2013" s="19" t="s">
        <v>3847</v>
      </c>
      <c r="E2013" s="20" t="s">
        <v>414</v>
      </c>
      <c r="F2013" s="21">
        <v>2003</v>
      </c>
      <c r="G2013" s="40">
        <v>2022</v>
      </c>
      <c r="H2013" s="23">
        <v>717776251097</v>
      </c>
      <c r="I2013" s="23">
        <v>1836573333633</v>
      </c>
      <c r="J2013" s="23">
        <v>451655907912</v>
      </c>
      <c r="K2013" s="23">
        <f t="shared" ref="K2013:K2014" si="733">AVERAGE(J2012:J2013)</f>
        <v>408567666239</v>
      </c>
      <c r="L2013" s="23">
        <v>175568576128</v>
      </c>
      <c r="M2013" s="23">
        <f t="shared" si="725"/>
        <v>1384917425721</v>
      </c>
      <c r="N2013" s="23">
        <v>1089175149694</v>
      </c>
      <c r="O2013" s="25">
        <f t="shared" si="643"/>
        <v>542207674969</v>
      </c>
      <c r="P2013" s="23">
        <v>185350736288</v>
      </c>
      <c r="Q2013" s="23">
        <f>60496456731+87640779562</f>
        <v>148137236293</v>
      </c>
      <c r="R2013" s="25">
        <f t="shared" si="644"/>
        <v>941037913401</v>
      </c>
      <c r="S2013" s="26">
        <f t="shared" si="645"/>
        <v>0.24592315462762446</v>
      </c>
      <c r="T2013" s="27">
        <f t="shared" si="646"/>
        <v>4.0882956786851095</v>
      </c>
      <c r="U2013" s="26">
        <f t="shared" si="647"/>
        <v>28.2389226326003</v>
      </c>
      <c r="V2013" s="26">
        <f t="shared" si="648"/>
        <v>2.6658378518305574</v>
      </c>
      <c r="W2013" s="143"/>
      <c r="X2013" s="143"/>
      <c r="Y2013" s="143"/>
      <c r="Z2013" s="30">
        <f t="shared" si="730"/>
        <v>0</v>
      </c>
      <c r="AA2013" s="31">
        <f t="shared" si="705"/>
        <v>19</v>
      </c>
      <c r="AB2013" s="32">
        <v>3.15E-2</v>
      </c>
      <c r="AC2013" s="32">
        <v>8.0199999999999994E-2</v>
      </c>
      <c r="AD2013" s="33">
        <f t="shared" si="675"/>
        <v>0.29522789264093097</v>
      </c>
      <c r="AE2013" s="34">
        <f t="shared" si="676"/>
        <v>0.10092204481775319</v>
      </c>
      <c r="AF2013" s="33">
        <f t="shared" si="677"/>
        <v>0.51238787810312747</v>
      </c>
      <c r="AG2013" s="33">
        <f t="shared" si="678"/>
        <v>0</v>
      </c>
      <c r="AH2013" s="35">
        <f t="shared" si="679"/>
        <v>2.4115153385887145</v>
      </c>
      <c r="AI2013" s="36">
        <f t="shared" si="655"/>
        <v>4.5979596702430072</v>
      </c>
      <c r="AJ2013" s="23"/>
      <c r="AK2013" s="120">
        <v>1151</v>
      </c>
      <c r="AL2013" s="44"/>
      <c r="AM2013" s="44"/>
      <c r="AN2013" s="44"/>
      <c r="AO2013" s="44"/>
      <c r="AP2013" s="44"/>
      <c r="AQ2013" s="44"/>
      <c r="AR2013" s="44"/>
    </row>
    <row r="2014" spans="1:44" ht="16.8">
      <c r="A2014" s="78" t="s">
        <v>3849</v>
      </c>
      <c r="B2014" s="79"/>
      <c r="C2014" s="79" t="s">
        <v>3846</v>
      </c>
      <c r="D2014" s="19" t="s">
        <v>3847</v>
      </c>
      <c r="E2014" s="20" t="s">
        <v>414</v>
      </c>
      <c r="F2014" s="21">
        <v>2003</v>
      </c>
      <c r="G2014" s="40">
        <v>2023</v>
      </c>
      <c r="H2014" s="23">
        <v>549222011937</v>
      </c>
      <c r="I2014" s="23">
        <v>1653047310810</v>
      </c>
      <c r="J2014" s="23">
        <v>485123022691</v>
      </c>
      <c r="K2014" s="23">
        <f t="shared" si="733"/>
        <v>468389465301.5</v>
      </c>
      <c r="L2014" s="23">
        <v>177465070994</v>
      </c>
      <c r="M2014" s="23">
        <f t="shared" si="725"/>
        <v>1167924288119</v>
      </c>
      <c r="N2014" s="23">
        <v>1218799728959</v>
      </c>
      <c r="O2014" s="25">
        <f t="shared" si="643"/>
        <v>371756940943</v>
      </c>
      <c r="P2014" s="23">
        <v>151204579998</v>
      </c>
      <c r="Q2014" s="23">
        <f>73167413574+85747343490</f>
        <v>158914757064</v>
      </c>
      <c r="R2014" s="25">
        <f t="shared" si="644"/>
        <v>1059884971895</v>
      </c>
      <c r="S2014" s="26">
        <f t="shared" si="645"/>
        <v>0.29347195299164652</v>
      </c>
      <c r="T2014" s="27">
        <f t="shared" si="646"/>
        <v>3.0948175258418535</v>
      </c>
      <c r="U2014" s="26">
        <f t="shared" si="647"/>
        <v>28.13364155553753</v>
      </c>
      <c r="V2014" s="26">
        <f t="shared" si="648"/>
        <v>2.6021074751851319</v>
      </c>
      <c r="W2014" s="143"/>
      <c r="X2014" s="143"/>
      <c r="Y2014" s="143"/>
      <c r="Z2014" s="30">
        <f t="shared" si="730"/>
        <v>0</v>
      </c>
      <c r="AA2014" s="31">
        <f t="shared" si="705"/>
        <v>20</v>
      </c>
      <c r="AB2014" s="32">
        <v>3.2500000000000001E-2</v>
      </c>
      <c r="AC2014" s="32">
        <v>5.0500000000000003E-2</v>
      </c>
      <c r="AD2014" s="33">
        <f t="shared" si="675"/>
        <v>0.22489189420769667</v>
      </c>
      <c r="AE2014" s="34">
        <f t="shared" si="676"/>
        <v>9.1470207179919813E-2</v>
      </c>
      <c r="AF2014" s="33">
        <f t="shared" si="677"/>
        <v>0.64117037967633972</v>
      </c>
      <c r="AG2014" s="33">
        <f t="shared" si="678"/>
        <v>0</v>
      </c>
      <c r="AH2014" s="35">
        <f t="shared" si="679"/>
        <v>2.5123518611799973</v>
      </c>
      <c r="AI2014" s="36">
        <f t="shared" si="655"/>
        <v>5.0261426772130422</v>
      </c>
      <c r="AJ2014" s="23"/>
      <c r="AK2014" s="120">
        <v>1152</v>
      </c>
      <c r="AL2014" s="44"/>
      <c r="AM2014" s="44"/>
      <c r="AN2014" s="44"/>
      <c r="AO2014" s="44"/>
      <c r="AP2014" s="44"/>
      <c r="AQ2014" s="44"/>
      <c r="AR2014" s="44"/>
    </row>
    <row r="2015" spans="1:44" ht="16.8">
      <c r="A2015" s="78" t="s">
        <v>3850</v>
      </c>
      <c r="B2015" s="79">
        <v>777</v>
      </c>
      <c r="C2015" s="79" t="s">
        <v>3851</v>
      </c>
      <c r="D2015" s="19" t="s">
        <v>3852</v>
      </c>
      <c r="E2015" s="20" t="s">
        <v>414</v>
      </c>
      <c r="F2015" s="21">
        <v>1970</v>
      </c>
      <c r="G2015" s="40">
        <v>2021</v>
      </c>
      <c r="H2015" s="23">
        <v>1092054865666</v>
      </c>
      <c r="I2015" s="23">
        <v>2746617755126</v>
      </c>
      <c r="J2015" s="23">
        <v>1737507624950</v>
      </c>
      <c r="K2015" s="23">
        <f>(J2015+2287458806640)/2</f>
        <v>2012483215795</v>
      </c>
      <c r="L2015" s="23">
        <v>726956203637</v>
      </c>
      <c r="M2015" s="23">
        <f t="shared" si="725"/>
        <v>1009110130176</v>
      </c>
      <c r="N2015" s="23">
        <v>1423851692370</v>
      </c>
      <c r="O2015" s="25">
        <f t="shared" si="643"/>
        <v>365098662029</v>
      </c>
      <c r="P2015" s="23">
        <v>490303890988</v>
      </c>
      <c r="Q2015" s="23">
        <v>148346134065</v>
      </c>
      <c r="R2015" s="25">
        <f t="shared" si="644"/>
        <v>1275505558305</v>
      </c>
      <c r="S2015" s="26">
        <f t="shared" si="645"/>
        <v>0.63259899260000685</v>
      </c>
      <c r="T2015" s="27">
        <f t="shared" si="646"/>
        <v>1.5022292404994857</v>
      </c>
      <c r="U2015" s="26">
        <f t="shared" si="647"/>
        <v>28.641391363423505</v>
      </c>
      <c r="V2015" s="26">
        <f t="shared" si="648"/>
        <v>0.70750984713555964</v>
      </c>
      <c r="W2015" s="143"/>
      <c r="X2015" s="143"/>
      <c r="Y2015" s="143"/>
      <c r="Z2015" s="30">
        <f t="shared" si="730"/>
        <v>0</v>
      </c>
      <c r="AA2015" s="31">
        <f t="shared" si="705"/>
        <v>51</v>
      </c>
      <c r="AB2015" s="32">
        <v>1.84E-2</v>
      </c>
      <c r="AC2015" s="32">
        <v>2.58E-2</v>
      </c>
      <c r="AD2015" s="33">
        <f t="shared" si="675"/>
        <v>0.13292663726054274</v>
      </c>
      <c r="AE2015" s="34">
        <f t="shared" si="676"/>
        <v>0.17851187704330101</v>
      </c>
      <c r="AF2015" s="33">
        <f t="shared" si="677"/>
        <v>0.46439136131139103</v>
      </c>
      <c r="AG2015" s="33">
        <f t="shared" si="678"/>
        <v>0</v>
      </c>
      <c r="AH2015" s="35">
        <f t="shared" si="679"/>
        <v>0.81947939216150145</v>
      </c>
      <c r="AI2015" s="36">
        <f t="shared" si="655"/>
        <v>2.7613994770623642</v>
      </c>
      <c r="AJ2015" s="23"/>
      <c r="AK2015" s="120">
        <v>1153</v>
      </c>
      <c r="AL2015" s="44"/>
      <c r="AM2015" s="44"/>
      <c r="AN2015" s="44"/>
      <c r="AO2015" s="44"/>
      <c r="AP2015" s="44"/>
      <c r="AQ2015" s="44"/>
      <c r="AR2015" s="44"/>
    </row>
    <row r="2016" spans="1:44" ht="16.8">
      <c r="A2016" s="78" t="s">
        <v>3853</v>
      </c>
      <c r="B2016" s="79"/>
      <c r="C2016" s="79" t="s">
        <v>3851</v>
      </c>
      <c r="D2016" s="19" t="s">
        <v>3852</v>
      </c>
      <c r="E2016" s="20" t="s">
        <v>414</v>
      </c>
      <c r="F2016" s="21">
        <v>1970</v>
      </c>
      <c r="G2016" s="40">
        <v>2022</v>
      </c>
      <c r="H2016" s="23">
        <v>1198397077745</v>
      </c>
      <c r="I2016" s="23">
        <v>2678096571588</v>
      </c>
      <c r="J2016" s="23">
        <v>1150042455151</v>
      </c>
      <c r="K2016" s="23">
        <f t="shared" ref="K2016:K2017" si="734">AVERAGE(J2015:J2016)</f>
        <v>1443775040050.5</v>
      </c>
      <c r="L2016" s="23">
        <v>631249177347</v>
      </c>
      <c r="M2016" s="23">
        <f t="shared" si="725"/>
        <v>1528054116437</v>
      </c>
      <c r="N2016" s="23">
        <v>2420426096521</v>
      </c>
      <c r="O2016" s="25">
        <f t="shared" si="643"/>
        <v>567147900398</v>
      </c>
      <c r="P2016" s="23">
        <v>487942030923</v>
      </c>
      <c r="Q2016" s="23">
        <f>79172062563+105769941928</f>
        <v>184942004491</v>
      </c>
      <c r="R2016" s="25">
        <f t="shared" si="644"/>
        <v>2235484092030</v>
      </c>
      <c r="S2016" s="26">
        <f t="shared" si="645"/>
        <v>0.42942531175008097</v>
      </c>
      <c r="T2016" s="27">
        <f t="shared" si="646"/>
        <v>1.8984532903180906</v>
      </c>
      <c r="U2016" s="26">
        <f t="shared" si="647"/>
        <v>28.61612742363323</v>
      </c>
      <c r="V2016" s="26">
        <f t="shared" si="648"/>
        <v>1.6764565319236568</v>
      </c>
      <c r="W2016" s="143"/>
      <c r="X2016" s="143"/>
      <c r="Y2016" s="143"/>
      <c r="Z2016" s="30">
        <f t="shared" si="730"/>
        <v>0</v>
      </c>
      <c r="AA2016" s="31">
        <f t="shared" si="705"/>
        <v>52</v>
      </c>
      <c r="AB2016" s="32">
        <v>3.15E-2</v>
      </c>
      <c r="AC2016" s="32">
        <v>8.0199999999999994E-2</v>
      </c>
      <c r="AD2016" s="33">
        <f t="shared" si="675"/>
        <v>0.21177275921073482</v>
      </c>
      <c r="AE2016" s="34">
        <f t="shared" si="676"/>
        <v>0.18219732480881773</v>
      </c>
      <c r="AF2016" s="33">
        <f t="shared" si="677"/>
        <v>0.83472870834693269</v>
      </c>
      <c r="AG2016" s="33">
        <f t="shared" si="678"/>
        <v>0</v>
      </c>
      <c r="AH2016" s="35">
        <f t="shared" si="679"/>
        <v>2.1046406466822125</v>
      </c>
      <c r="AI2016" s="36">
        <f t="shared" si="655"/>
        <v>5.3684489500123167</v>
      </c>
      <c r="AJ2016" s="23"/>
      <c r="AK2016" s="120">
        <v>1154</v>
      </c>
      <c r="AL2016" s="44"/>
      <c r="AM2016" s="44"/>
      <c r="AN2016" s="44"/>
      <c r="AO2016" s="44"/>
      <c r="AP2016" s="44"/>
      <c r="AQ2016" s="44"/>
      <c r="AR2016" s="44"/>
    </row>
    <row r="2017" spans="1:44" ht="16.8">
      <c r="A2017" s="78" t="s">
        <v>3854</v>
      </c>
      <c r="B2017" s="79"/>
      <c r="C2017" s="79" t="s">
        <v>3851</v>
      </c>
      <c r="D2017" s="19" t="s">
        <v>3852</v>
      </c>
      <c r="E2017" s="20" t="s">
        <v>414</v>
      </c>
      <c r="F2017" s="21">
        <v>1970</v>
      </c>
      <c r="G2017" s="40">
        <v>2023</v>
      </c>
      <c r="H2017" s="23">
        <v>1581022452852</v>
      </c>
      <c r="I2017" s="23">
        <v>2715145833095</v>
      </c>
      <c r="J2017" s="23">
        <v>1043003752202</v>
      </c>
      <c r="K2017" s="23">
        <f t="shared" si="734"/>
        <v>1096523103676.5</v>
      </c>
      <c r="L2017" s="23">
        <v>524269916748</v>
      </c>
      <c r="M2017" s="23">
        <f t="shared" si="725"/>
        <v>1672142080893</v>
      </c>
      <c r="N2017" s="23">
        <v>3188690186869</v>
      </c>
      <c r="O2017" s="25">
        <f t="shared" si="643"/>
        <v>1056752536104</v>
      </c>
      <c r="P2017" s="23">
        <v>155371166443</v>
      </c>
      <c r="Q2017" s="23">
        <f>59837274408+75556618491</f>
        <v>135393892899</v>
      </c>
      <c r="R2017" s="25">
        <f t="shared" si="644"/>
        <v>3053296293970</v>
      </c>
      <c r="S2017" s="26">
        <f t="shared" si="645"/>
        <v>0.38414281085339641</v>
      </c>
      <c r="T2017" s="27">
        <f t="shared" si="646"/>
        <v>3.015665027394558</v>
      </c>
      <c r="U2017" s="26">
        <f t="shared" si="647"/>
        <v>28.629866781719056</v>
      </c>
      <c r="V2017" s="26">
        <f t="shared" si="648"/>
        <v>2.9080009132299489</v>
      </c>
      <c r="W2017" s="143"/>
      <c r="X2017" s="143"/>
      <c r="Y2017" s="143"/>
      <c r="Z2017" s="30">
        <f t="shared" si="730"/>
        <v>0</v>
      </c>
      <c r="AA2017" s="31">
        <f t="shared" si="705"/>
        <v>53</v>
      </c>
      <c r="AB2017" s="32">
        <v>3.2500000000000001E-2</v>
      </c>
      <c r="AC2017" s="32">
        <v>5.0500000000000003E-2</v>
      </c>
      <c r="AD2017" s="33">
        <f t="shared" si="675"/>
        <v>0.38920654766429458</v>
      </c>
      <c r="AE2017" s="34">
        <f t="shared" si="676"/>
        <v>5.7223875251625846E-2</v>
      </c>
      <c r="AF2017" s="33">
        <f t="shared" si="677"/>
        <v>1.1245422830528191</v>
      </c>
      <c r="AG2017" s="33">
        <f t="shared" si="678"/>
        <v>0</v>
      </c>
      <c r="AH2017" s="35">
        <f t="shared" si="679"/>
        <v>3.0572183274863636</v>
      </c>
      <c r="AI2017" s="36">
        <f t="shared" si="655"/>
        <v>7.3153691441100968</v>
      </c>
      <c r="AJ2017" s="23"/>
      <c r="AK2017" s="120">
        <v>1155</v>
      </c>
      <c r="AL2017" s="44"/>
      <c r="AM2017" s="44"/>
      <c r="AN2017" s="44"/>
      <c r="AO2017" s="44"/>
      <c r="AP2017" s="44"/>
      <c r="AQ2017" s="44"/>
      <c r="AR2017" s="44"/>
    </row>
    <row r="2018" spans="1:44" ht="16.8">
      <c r="A2018" s="78" t="s">
        <v>3855</v>
      </c>
      <c r="B2018" s="79">
        <v>778</v>
      </c>
      <c r="C2018" s="79" t="s">
        <v>3856</v>
      </c>
      <c r="D2018" s="19" t="s">
        <v>3857</v>
      </c>
      <c r="E2018" s="20" t="s">
        <v>414</v>
      </c>
      <c r="F2018" s="21">
        <v>1999</v>
      </c>
      <c r="G2018" s="40">
        <v>2021</v>
      </c>
      <c r="H2018" s="23">
        <v>1642895554687</v>
      </c>
      <c r="I2018" s="23">
        <v>2051054645539</v>
      </c>
      <c r="J2018" s="23">
        <v>982578581209</v>
      </c>
      <c r="K2018" s="23">
        <f>(J2018+1051159896216)/2</f>
        <v>1016869238712.5</v>
      </c>
      <c r="L2018" s="23">
        <v>982066413209</v>
      </c>
      <c r="M2018" s="23">
        <f t="shared" si="725"/>
        <v>1068476064330</v>
      </c>
      <c r="N2018" s="23">
        <v>292477561659</v>
      </c>
      <c r="O2018" s="25">
        <f t="shared" si="643"/>
        <v>660829141478</v>
      </c>
      <c r="P2018" s="23">
        <v>83368189118</v>
      </c>
      <c r="Q2018" s="23">
        <f>17048442425+51640811493</f>
        <v>68689253918</v>
      </c>
      <c r="R2018" s="25">
        <f t="shared" si="644"/>
        <v>223788307741</v>
      </c>
      <c r="S2018" s="26">
        <f t="shared" si="645"/>
        <v>0.47906016709310373</v>
      </c>
      <c r="T2018" s="27">
        <f t="shared" si="646"/>
        <v>1.6728965908921321</v>
      </c>
      <c r="U2018" s="26">
        <f t="shared" si="647"/>
        <v>28.349375238027587</v>
      </c>
      <c r="V2018" s="26">
        <f t="shared" si="648"/>
        <v>0.28762553780200678</v>
      </c>
      <c r="W2018" s="143"/>
      <c r="X2018" s="143"/>
      <c r="Y2018" s="143"/>
      <c r="Z2018" s="30">
        <f t="shared" si="730"/>
        <v>0</v>
      </c>
      <c r="AA2018" s="31">
        <f t="shared" si="705"/>
        <v>22</v>
      </c>
      <c r="AB2018" s="32">
        <v>1.84E-2</v>
      </c>
      <c r="AC2018" s="32">
        <v>2.58E-2</v>
      </c>
      <c r="AD2018" s="33">
        <f t="shared" si="675"/>
        <v>0.32218992454213213</v>
      </c>
      <c r="AE2018" s="34">
        <f t="shared" si="676"/>
        <v>4.0646498278007377E-2</v>
      </c>
      <c r="AF2018" s="33">
        <f t="shared" si="677"/>
        <v>0.10910889586863752</v>
      </c>
      <c r="AG2018" s="33">
        <f t="shared" si="678"/>
        <v>0</v>
      </c>
      <c r="AH2018" s="35">
        <f t="shared" si="679"/>
        <v>0.29766327828877065</v>
      </c>
      <c r="AI2018" s="36">
        <f t="shared" si="655"/>
        <v>1.1012556416950434</v>
      </c>
      <c r="AJ2018" s="23"/>
      <c r="AK2018" s="120">
        <v>1156</v>
      </c>
      <c r="AL2018" s="44"/>
      <c r="AM2018" s="44"/>
      <c r="AN2018" s="44"/>
      <c r="AO2018" s="44"/>
      <c r="AP2018" s="44"/>
      <c r="AQ2018" s="44"/>
      <c r="AR2018" s="44"/>
    </row>
    <row r="2019" spans="1:44" ht="16.8">
      <c r="A2019" s="78" t="s">
        <v>3858</v>
      </c>
      <c r="B2019" s="79"/>
      <c r="C2019" s="79" t="s">
        <v>3856</v>
      </c>
      <c r="D2019" s="19" t="s">
        <v>3857</v>
      </c>
      <c r="E2019" s="20" t="s">
        <v>414</v>
      </c>
      <c r="F2019" s="21">
        <v>1999</v>
      </c>
      <c r="G2019" s="40">
        <v>2022</v>
      </c>
      <c r="H2019" s="23">
        <v>1835799551690</v>
      </c>
      <c r="I2019" s="23">
        <v>2242856353377</v>
      </c>
      <c r="J2019" s="23">
        <v>1220932956655</v>
      </c>
      <c r="K2019" s="23">
        <f t="shared" ref="K2019:K2020" si="735">AVERAGE(J2018:J2019)</f>
        <v>1101755768932</v>
      </c>
      <c r="L2019" s="23">
        <v>1220420788655</v>
      </c>
      <c r="M2019" s="23">
        <f t="shared" si="725"/>
        <v>1021923396722</v>
      </c>
      <c r="N2019" s="23">
        <v>162549785679</v>
      </c>
      <c r="O2019" s="25">
        <f t="shared" si="643"/>
        <v>615378763035</v>
      </c>
      <c r="P2019" s="23">
        <v>19777587392</v>
      </c>
      <c r="Q2019" s="23">
        <f>10285211872+53371561633</f>
        <v>63656773505</v>
      </c>
      <c r="R2019" s="25">
        <f t="shared" si="644"/>
        <v>98893012174</v>
      </c>
      <c r="S2019" s="26">
        <f t="shared" si="645"/>
        <v>0.54436520413653722</v>
      </c>
      <c r="T2019" s="27">
        <f t="shared" si="646"/>
        <v>1.5042349071365753</v>
      </c>
      <c r="U2019" s="26">
        <f t="shared" si="647"/>
        <v>28.438771327229919</v>
      </c>
      <c r="V2019" s="26">
        <f t="shared" si="648"/>
        <v>0.14753704066062623</v>
      </c>
      <c r="W2019" s="143"/>
      <c r="X2019" s="143"/>
      <c r="Y2019" s="143"/>
      <c r="Z2019" s="30">
        <f t="shared" si="730"/>
        <v>0</v>
      </c>
      <c r="AA2019" s="31">
        <f t="shared" si="705"/>
        <v>23</v>
      </c>
      <c r="AB2019" s="32">
        <v>3.15E-2</v>
      </c>
      <c r="AC2019" s="32">
        <v>8.0199999999999994E-2</v>
      </c>
      <c r="AD2019" s="33">
        <f t="shared" si="675"/>
        <v>0.27437279347312771</v>
      </c>
      <c r="AE2019" s="34">
        <f t="shared" si="676"/>
        <v>8.8180356990858969E-3</v>
      </c>
      <c r="AF2019" s="33">
        <f t="shared" si="677"/>
        <v>4.4092441330493511E-2</v>
      </c>
      <c r="AG2019" s="33">
        <f t="shared" si="678"/>
        <v>0</v>
      </c>
      <c r="AH2019" s="35">
        <f t="shared" si="679"/>
        <v>0.13313571788932538</v>
      </c>
      <c r="AI2019" s="36">
        <f t="shared" si="655"/>
        <v>0.6202333764264274</v>
      </c>
      <c r="AJ2019" s="23"/>
      <c r="AK2019" s="120">
        <v>1157</v>
      </c>
      <c r="AL2019" s="44"/>
      <c r="AM2019" s="44"/>
      <c r="AN2019" s="44"/>
      <c r="AO2019" s="44"/>
      <c r="AP2019" s="44"/>
      <c r="AQ2019" s="44"/>
      <c r="AR2019" s="44"/>
    </row>
    <row r="2020" spans="1:44" ht="16.8">
      <c r="A2020" s="78" t="s">
        <v>3859</v>
      </c>
      <c r="B2020" s="79"/>
      <c r="C2020" s="79" t="s">
        <v>3856</v>
      </c>
      <c r="D2020" s="19" t="s">
        <v>3857</v>
      </c>
      <c r="E2020" s="20" t="s">
        <v>414</v>
      </c>
      <c r="F2020" s="21">
        <v>1999</v>
      </c>
      <c r="G2020" s="40">
        <v>2023</v>
      </c>
      <c r="H2020" s="23">
        <v>1907514573186</v>
      </c>
      <c r="I2020" s="23">
        <v>2366331086302</v>
      </c>
      <c r="J2020" s="23">
        <v>1345915325690</v>
      </c>
      <c r="K2020" s="23">
        <f t="shared" si="735"/>
        <v>1283424141172.5</v>
      </c>
      <c r="L2020" s="23">
        <v>1344608491190</v>
      </c>
      <c r="M2020" s="23">
        <f t="shared" si="725"/>
        <v>1020415760612</v>
      </c>
      <c r="N2020" s="23">
        <v>176123892180</v>
      </c>
      <c r="O2020" s="25">
        <f t="shared" si="643"/>
        <v>562906081996</v>
      </c>
      <c r="P2020" s="23">
        <v>-821558557</v>
      </c>
      <c r="Q2020" s="23">
        <f>2347845266+59474927156</f>
        <v>61822772422</v>
      </c>
      <c r="R2020" s="25">
        <f t="shared" si="644"/>
        <v>114301119758</v>
      </c>
      <c r="S2020" s="26">
        <f t="shared" si="645"/>
        <v>0.56877726598831035</v>
      </c>
      <c r="T2020" s="27">
        <f t="shared" si="646"/>
        <v>1.4186393925698173</v>
      </c>
      <c r="U2020" s="26">
        <f t="shared" si="647"/>
        <v>28.492361806733634</v>
      </c>
      <c r="V2020" s="26">
        <f t="shared" si="648"/>
        <v>0.1372296862197856</v>
      </c>
      <c r="W2020" s="143"/>
      <c r="X2020" s="143"/>
      <c r="Y2020" s="143"/>
      <c r="Z2020" s="30">
        <f t="shared" si="730"/>
        <v>0</v>
      </c>
      <c r="AA2020" s="31">
        <f t="shared" si="705"/>
        <v>24</v>
      </c>
      <c r="AB2020" s="32">
        <v>3.2500000000000001E-2</v>
      </c>
      <c r="AC2020" s="32">
        <v>5.0500000000000003E-2</v>
      </c>
      <c r="AD2020" s="33">
        <f t="shared" si="675"/>
        <v>0.23788137055482178</v>
      </c>
      <c r="AE2020" s="34">
        <f t="shared" si="676"/>
        <v>-3.4718664761485099E-4</v>
      </c>
      <c r="AF2020" s="33">
        <f t="shared" si="677"/>
        <v>4.8303096899523411E-2</v>
      </c>
      <c r="AG2020" s="33">
        <f t="shared" si="678"/>
        <v>0</v>
      </c>
      <c r="AH2020" s="35">
        <f t="shared" si="679"/>
        <v>0.1308580776355362</v>
      </c>
      <c r="AI2020" s="36">
        <f t="shared" si="655"/>
        <v>0.57522988076308867</v>
      </c>
      <c r="AJ2020" s="23"/>
      <c r="AK2020" s="120">
        <v>1158</v>
      </c>
      <c r="AL2020" s="44"/>
      <c r="AM2020" s="44"/>
      <c r="AN2020" s="44"/>
      <c r="AO2020" s="44"/>
      <c r="AP2020" s="44"/>
      <c r="AQ2020" s="44"/>
      <c r="AR2020" s="44"/>
    </row>
    <row r="2021" spans="1:44" ht="16.8">
      <c r="A2021" s="145">
        <v>11</v>
      </c>
      <c r="B2021" s="145">
        <v>779</v>
      </c>
      <c r="C2021" s="145" t="s">
        <v>3860</v>
      </c>
      <c r="D2021" s="146" t="s">
        <v>3861</v>
      </c>
      <c r="E2021" s="147" t="s">
        <v>949</v>
      </c>
      <c r="F2021" s="148"/>
      <c r="G2021" s="148"/>
      <c r="H2021" s="149"/>
      <c r="I2021" s="149"/>
      <c r="J2021" s="149"/>
      <c r="K2021" s="149"/>
      <c r="L2021" s="149"/>
      <c r="M2021" s="149">
        <f t="shared" si="725"/>
        <v>0</v>
      </c>
      <c r="N2021" s="149"/>
      <c r="O2021" s="149">
        <f t="shared" si="643"/>
        <v>0</v>
      </c>
      <c r="P2021" s="149"/>
      <c r="Q2021" s="149"/>
      <c r="R2021" s="149">
        <f t="shared" si="644"/>
        <v>0</v>
      </c>
      <c r="S2021" s="150" t="e">
        <f t="shared" si="645"/>
        <v>#DIV/0!</v>
      </c>
      <c r="T2021" s="151" t="e">
        <f t="shared" si="646"/>
        <v>#DIV/0!</v>
      </c>
      <c r="U2021" s="150" t="e">
        <f t="shared" si="647"/>
        <v>#NUM!</v>
      </c>
      <c r="V2021" s="150" t="e">
        <f t="shared" si="648"/>
        <v>#DIV/0!</v>
      </c>
      <c r="W2021" s="152"/>
      <c r="X2021" s="152"/>
      <c r="Y2021" s="152"/>
      <c r="Z2021" s="153">
        <f t="shared" ref="Z2021:Z2022" si="736">W2021*Y2021</f>
        <v>0</v>
      </c>
      <c r="AA2021" s="148">
        <f t="shared" si="705"/>
        <v>0</v>
      </c>
      <c r="AB2021" s="149"/>
      <c r="AC2021" s="149"/>
      <c r="AD2021" s="150" t="e">
        <f t="shared" si="675"/>
        <v>#DIV/0!</v>
      </c>
      <c r="AE2021" s="154" t="e">
        <f t="shared" si="676"/>
        <v>#DIV/0!</v>
      </c>
      <c r="AF2021" s="150" t="e">
        <f t="shared" si="677"/>
        <v>#DIV/0!</v>
      </c>
      <c r="AG2021" s="150" t="e">
        <f t="shared" si="678"/>
        <v>#DIV/0!</v>
      </c>
      <c r="AH2021" s="155" t="e">
        <f t="shared" si="679"/>
        <v>#DIV/0!</v>
      </c>
      <c r="AI2021" s="156" t="e">
        <f t="shared" si="655"/>
        <v>#DIV/0!</v>
      </c>
      <c r="AJ2021" s="149"/>
      <c r="AK2021" s="149"/>
      <c r="AL2021" s="157"/>
      <c r="AM2021" s="157"/>
      <c r="AN2021" s="157"/>
      <c r="AO2021" s="157"/>
      <c r="AP2021" s="157"/>
      <c r="AQ2021" s="157"/>
      <c r="AR2021" s="157"/>
    </row>
    <row r="2022" spans="1:44" ht="16.8">
      <c r="A2022" s="145">
        <v>12</v>
      </c>
      <c r="B2022" s="145">
        <v>780</v>
      </c>
      <c r="C2022" s="145" t="s">
        <v>3862</v>
      </c>
      <c r="D2022" s="146" t="s">
        <v>3863</v>
      </c>
      <c r="E2022" s="147" t="s">
        <v>1371</v>
      </c>
      <c r="F2022" s="148"/>
      <c r="G2022" s="148"/>
      <c r="H2022" s="149"/>
      <c r="I2022" s="149"/>
      <c r="J2022" s="149"/>
      <c r="K2022" s="149"/>
      <c r="L2022" s="149"/>
      <c r="M2022" s="149">
        <f t="shared" si="725"/>
        <v>0</v>
      </c>
      <c r="N2022" s="149"/>
      <c r="O2022" s="149">
        <f t="shared" si="643"/>
        <v>0</v>
      </c>
      <c r="P2022" s="149"/>
      <c r="Q2022" s="149"/>
      <c r="R2022" s="149">
        <f t="shared" si="644"/>
        <v>0</v>
      </c>
      <c r="S2022" s="150" t="e">
        <f t="shared" si="645"/>
        <v>#DIV/0!</v>
      </c>
      <c r="T2022" s="151" t="e">
        <f t="shared" si="646"/>
        <v>#DIV/0!</v>
      </c>
      <c r="U2022" s="150" t="e">
        <f t="shared" si="647"/>
        <v>#NUM!</v>
      </c>
      <c r="V2022" s="150" t="e">
        <f t="shared" si="648"/>
        <v>#DIV/0!</v>
      </c>
      <c r="W2022" s="152"/>
      <c r="X2022" s="152"/>
      <c r="Y2022" s="152"/>
      <c r="Z2022" s="153">
        <f t="shared" si="736"/>
        <v>0</v>
      </c>
      <c r="AA2022" s="148">
        <f t="shared" si="705"/>
        <v>0</v>
      </c>
      <c r="AB2022" s="149"/>
      <c r="AC2022" s="149"/>
      <c r="AD2022" s="150" t="e">
        <f t="shared" si="675"/>
        <v>#DIV/0!</v>
      </c>
      <c r="AE2022" s="154" t="e">
        <f t="shared" si="676"/>
        <v>#DIV/0!</v>
      </c>
      <c r="AF2022" s="150" t="e">
        <f t="shared" si="677"/>
        <v>#DIV/0!</v>
      </c>
      <c r="AG2022" s="150" t="e">
        <f t="shared" si="678"/>
        <v>#DIV/0!</v>
      </c>
      <c r="AH2022" s="155" t="e">
        <f t="shared" si="679"/>
        <v>#DIV/0!</v>
      </c>
      <c r="AI2022" s="156" t="e">
        <f t="shared" si="655"/>
        <v>#DIV/0!</v>
      </c>
      <c r="AJ2022" s="149"/>
      <c r="AK2022" s="149"/>
      <c r="AL2022" s="157"/>
      <c r="AM2022" s="157"/>
      <c r="AN2022" s="157"/>
      <c r="AO2022" s="157"/>
      <c r="AP2022" s="157"/>
      <c r="AQ2022" s="157"/>
      <c r="AR2022" s="157"/>
    </row>
    <row r="2023" spans="1:44" ht="16.8">
      <c r="A2023" s="78" t="s">
        <v>3864</v>
      </c>
      <c r="B2023" s="79">
        <v>781</v>
      </c>
      <c r="C2023" s="79" t="s">
        <v>3865</v>
      </c>
      <c r="D2023" s="19" t="s">
        <v>3866</v>
      </c>
      <c r="E2023" s="20" t="s">
        <v>414</v>
      </c>
      <c r="F2023" s="21">
        <v>1976</v>
      </c>
      <c r="G2023" s="40">
        <v>2021</v>
      </c>
      <c r="H2023" s="23">
        <v>361175157947</v>
      </c>
      <c r="I2023" s="23">
        <v>472838897788</v>
      </c>
      <c r="J2023" s="23">
        <v>140099902231</v>
      </c>
      <c r="K2023" s="23">
        <f>(J2023+1686767137070/2)</f>
        <v>983483470766</v>
      </c>
      <c r="L2023" s="23">
        <v>167154820880</v>
      </c>
      <c r="M2023" s="23">
        <f t="shared" si="725"/>
        <v>332738995557</v>
      </c>
      <c r="N2023" s="23">
        <v>584261133735</v>
      </c>
      <c r="O2023" s="25">
        <f t="shared" si="643"/>
        <v>194020337067</v>
      </c>
      <c r="P2023" s="23">
        <v>14644935154</v>
      </c>
      <c r="Q2023" s="23">
        <f>68422094323+55659530365</f>
        <v>124081624688</v>
      </c>
      <c r="R2023" s="25">
        <f t="shared" si="644"/>
        <v>460179509047</v>
      </c>
      <c r="S2023" s="26">
        <f t="shared" si="645"/>
        <v>0.29629521362646982</v>
      </c>
      <c r="T2023" s="27">
        <f t="shared" si="646"/>
        <v>2.1607223533581883</v>
      </c>
      <c r="U2023" s="26">
        <f t="shared" si="647"/>
        <v>26.882020570779428</v>
      </c>
      <c r="V2023" s="26">
        <f t="shared" si="648"/>
        <v>0.59407316045681979</v>
      </c>
      <c r="W2023" s="143"/>
      <c r="X2023" s="143"/>
      <c r="Y2023" s="143"/>
      <c r="Z2023" s="30">
        <f t="shared" ref="Z2023:Z2040" si="737">X2023*Y2023</f>
        <v>0</v>
      </c>
      <c r="AA2023" s="31">
        <f t="shared" si="705"/>
        <v>45</v>
      </c>
      <c r="AB2023" s="32">
        <v>1.84E-2</v>
      </c>
      <c r="AC2023" s="32">
        <v>2.58E-2</v>
      </c>
      <c r="AD2023" s="33">
        <f t="shared" si="675"/>
        <v>0.41033074473071401</v>
      </c>
      <c r="AE2023" s="34">
        <f t="shared" si="676"/>
        <v>3.0972357017391872E-2</v>
      </c>
      <c r="AF2023" s="33">
        <f t="shared" si="677"/>
        <v>0.97322684576031659</v>
      </c>
      <c r="AG2023" s="33">
        <f t="shared" si="678"/>
        <v>0</v>
      </c>
      <c r="AH2023" s="35">
        <f t="shared" si="679"/>
        <v>4.1703179262156551</v>
      </c>
      <c r="AI2023" s="36">
        <f t="shared" si="655"/>
        <v>7.9177247107259054</v>
      </c>
      <c r="AJ2023" s="23"/>
      <c r="AK2023" s="120">
        <v>1159</v>
      </c>
      <c r="AL2023" s="44"/>
      <c r="AM2023" s="44"/>
      <c r="AN2023" s="44"/>
      <c r="AO2023" s="44"/>
      <c r="AP2023" s="44"/>
      <c r="AQ2023" s="44"/>
      <c r="AR2023" s="44"/>
    </row>
    <row r="2024" spans="1:44" ht="16.8">
      <c r="A2024" s="78" t="s">
        <v>3867</v>
      </c>
      <c r="B2024" s="79"/>
      <c r="C2024" s="79" t="s">
        <v>3865</v>
      </c>
      <c r="D2024" s="19" t="s">
        <v>3866</v>
      </c>
      <c r="E2024" s="20" t="s">
        <v>414</v>
      </c>
      <c r="F2024" s="21">
        <v>1976</v>
      </c>
      <c r="G2024" s="40">
        <v>2022</v>
      </c>
      <c r="H2024" s="23">
        <v>408779897628</v>
      </c>
      <c r="I2024" s="23">
        <v>513310636349</v>
      </c>
      <c r="J2024" s="23">
        <v>178277091083</v>
      </c>
      <c r="K2024" s="23">
        <f t="shared" ref="K2024:K2025" si="738">AVERAGE(J2023:J2024)</f>
        <v>159188496657</v>
      </c>
      <c r="L2024" s="23">
        <v>174950951203</v>
      </c>
      <c r="M2024" s="23">
        <f t="shared" si="725"/>
        <v>335033545266</v>
      </c>
      <c r="N2024" s="23">
        <v>594008846504</v>
      </c>
      <c r="O2024" s="25">
        <f t="shared" si="643"/>
        <v>233828946425</v>
      </c>
      <c r="P2024" s="23">
        <v>18556684676</v>
      </c>
      <c r="Q2024" s="23">
        <f>74377866930+54706092956</f>
        <v>129083959886</v>
      </c>
      <c r="R2024" s="25">
        <f t="shared" si="644"/>
        <v>464924886618</v>
      </c>
      <c r="S2024" s="26">
        <f t="shared" si="645"/>
        <v>0.34730839078461911</v>
      </c>
      <c r="T2024" s="27">
        <f t="shared" si="646"/>
        <v>2.3365400120270419</v>
      </c>
      <c r="U2024" s="26">
        <f t="shared" si="647"/>
        <v>26.964147027803921</v>
      </c>
      <c r="V2024" s="26">
        <f t="shared" si="648"/>
        <v>3.7314809736780039</v>
      </c>
      <c r="W2024" s="143"/>
      <c r="X2024" s="143"/>
      <c r="Y2024" s="143"/>
      <c r="Z2024" s="30">
        <f t="shared" si="737"/>
        <v>0</v>
      </c>
      <c r="AA2024" s="31">
        <f t="shared" si="705"/>
        <v>46</v>
      </c>
      <c r="AB2024" s="32">
        <v>3.15E-2</v>
      </c>
      <c r="AC2024" s="32">
        <v>8.0199999999999994E-2</v>
      </c>
      <c r="AD2024" s="33">
        <f t="shared" si="675"/>
        <v>0.45553107585719238</v>
      </c>
      <c r="AE2024" s="34">
        <f t="shared" si="676"/>
        <v>3.6150984144780719E-2</v>
      </c>
      <c r="AF2024" s="33">
        <f t="shared" si="677"/>
        <v>0.90573787818785323</v>
      </c>
      <c r="AG2024" s="33">
        <f t="shared" si="678"/>
        <v>0</v>
      </c>
      <c r="AH2024" s="35">
        <f t="shared" si="679"/>
        <v>3.3319415461375734</v>
      </c>
      <c r="AI2024" s="36">
        <f t="shared" si="655"/>
        <v>6.9181252129888122</v>
      </c>
      <c r="AJ2024" s="23"/>
      <c r="AK2024" s="120">
        <v>1160</v>
      </c>
      <c r="AL2024" s="44"/>
      <c r="AM2024" s="44"/>
      <c r="AN2024" s="44"/>
      <c r="AO2024" s="44"/>
      <c r="AP2024" s="44"/>
      <c r="AQ2024" s="44"/>
      <c r="AR2024" s="44"/>
    </row>
    <row r="2025" spans="1:44" ht="16.8">
      <c r="A2025" s="78" t="s">
        <v>3868</v>
      </c>
      <c r="B2025" s="79"/>
      <c r="C2025" s="79" t="s">
        <v>3865</v>
      </c>
      <c r="D2025" s="19" t="s">
        <v>3866</v>
      </c>
      <c r="E2025" s="20" t="s">
        <v>414</v>
      </c>
      <c r="F2025" s="21">
        <v>1976</v>
      </c>
      <c r="G2025" s="40">
        <v>2023</v>
      </c>
      <c r="H2025" s="23">
        <v>433510205570</v>
      </c>
      <c r="I2025" s="23">
        <v>532157823063</v>
      </c>
      <c r="J2025" s="23">
        <v>198339230709</v>
      </c>
      <c r="K2025" s="23">
        <f t="shared" si="738"/>
        <v>188308160896</v>
      </c>
      <c r="L2025" s="23">
        <v>195013090829</v>
      </c>
      <c r="M2025" s="23">
        <f t="shared" si="725"/>
        <v>333818592354</v>
      </c>
      <c r="N2025" s="23">
        <v>563274070396</v>
      </c>
      <c r="O2025" s="25">
        <f t="shared" si="643"/>
        <v>238497114741</v>
      </c>
      <c r="P2025" s="23">
        <v>14281971137</v>
      </c>
      <c r="Q2025" s="23">
        <f>80928903555+55550927095</f>
        <v>136479830650</v>
      </c>
      <c r="R2025" s="25">
        <f t="shared" si="644"/>
        <v>426794239746</v>
      </c>
      <c r="S2025" s="26">
        <f t="shared" si="645"/>
        <v>0.37270753545892987</v>
      </c>
      <c r="T2025" s="27">
        <f t="shared" si="646"/>
        <v>2.2229800252236891</v>
      </c>
      <c r="U2025" s="26">
        <f t="shared" si="647"/>
        <v>27.000205942186067</v>
      </c>
      <c r="V2025" s="26">
        <f t="shared" si="648"/>
        <v>2.9912355774484385</v>
      </c>
      <c r="W2025" s="143"/>
      <c r="X2025" s="143"/>
      <c r="Y2025" s="143"/>
      <c r="Z2025" s="30">
        <f t="shared" si="737"/>
        <v>0</v>
      </c>
      <c r="AA2025" s="31">
        <f t="shared" si="705"/>
        <v>47</v>
      </c>
      <c r="AB2025" s="32">
        <v>3.2500000000000001E-2</v>
      </c>
      <c r="AC2025" s="32">
        <v>5.0500000000000003E-2</v>
      </c>
      <c r="AD2025" s="33">
        <f t="shared" si="675"/>
        <v>0.44816989322501288</v>
      </c>
      <c r="AE2025" s="34">
        <f t="shared" si="676"/>
        <v>2.6837848694576488E-2</v>
      </c>
      <c r="AF2025" s="33">
        <f t="shared" si="677"/>
        <v>0.80200688827508515</v>
      </c>
      <c r="AG2025" s="33">
        <f t="shared" si="678"/>
        <v>0</v>
      </c>
      <c r="AH2025" s="35">
        <f t="shared" si="679"/>
        <v>2.8399528846737652</v>
      </c>
      <c r="AI2025" s="36">
        <f t="shared" si="655"/>
        <v>6.0619524760239685</v>
      </c>
      <c r="AJ2025" s="23"/>
      <c r="AK2025" s="120">
        <v>1161</v>
      </c>
      <c r="AL2025" s="44"/>
      <c r="AM2025" s="44"/>
      <c r="AN2025" s="44"/>
      <c r="AO2025" s="44"/>
      <c r="AP2025" s="44"/>
      <c r="AQ2025" s="44"/>
      <c r="AR2025" s="44"/>
    </row>
    <row r="2026" spans="1:44" ht="16.8">
      <c r="A2026" s="78" t="s">
        <v>3869</v>
      </c>
      <c r="B2026" s="79">
        <v>782</v>
      </c>
      <c r="C2026" s="79" t="s">
        <v>3870</v>
      </c>
      <c r="D2026" s="19" t="s">
        <v>3871</v>
      </c>
      <c r="E2026" s="20" t="s">
        <v>414</v>
      </c>
      <c r="F2026" s="21">
        <v>1980</v>
      </c>
      <c r="G2026" s="40">
        <v>2021</v>
      </c>
      <c r="H2026" s="23">
        <v>1389433254809</v>
      </c>
      <c r="I2026" s="23">
        <v>1858068073258</v>
      </c>
      <c r="J2026" s="23">
        <v>596023493267</v>
      </c>
      <c r="K2026" s="23">
        <f>(J2026+423090292157)/2</f>
        <v>509556892712</v>
      </c>
      <c r="L2026" s="23">
        <v>67611593267</v>
      </c>
      <c r="M2026" s="23">
        <f t="shared" si="725"/>
        <v>1262044579991</v>
      </c>
      <c r="N2026" s="23">
        <v>3474130000</v>
      </c>
      <c r="O2026" s="25">
        <f t="shared" si="643"/>
        <v>1321821661542</v>
      </c>
      <c r="P2026" s="23">
        <v>491281687</v>
      </c>
      <c r="Q2026" s="23">
        <v>2523826361</v>
      </c>
      <c r="R2026" s="25">
        <f t="shared" si="644"/>
        <v>950303639</v>
      </c>
      <c r="S2026" s="26">
        <f t="shared" si="645"/>
        <v>0.32077591873257477</v>
      </c>
      <c r="T2026" s="27">
        <f t="shared" si="646"/>
        <v>20.550222050264232</v>
      </c>
      <c r="U2026" s="26">
        <f t="shared" si="647"/>
        <v>28.250558393570465</v>
      </c>
      <c r="V2026" s="26">
        <f t="shared" si="648"/>
        <v>6.8179432948296268E-3</v>
      </c>
      <c r="W2026" s="143"/>
      <c r="X2026" s="143"/>
      <c r="Y2026" s="143"/>
      <c r="Z2026" s="30">
        <f t="shared" si="737"/>
        <v>0</v>
      </c>
      <c r="AA2026" s="31">
        <f t="shared" si="705"/>
        <v>41</v>
      </c>
      <c r="AB2026" s="32">
        <v>1.84E-2</v>
      </c>
      <c r="AC2026" s="32">
        <v>2.58E-2</v>
      </c>
      <c r="AD2026" s="33">
        <f t="shared" si="675"/>
        <v>0.71139571287303416</v>
      </c>
      <c r="AE2026" s="34">
        <f t="shared" si="676"/>
        <v>2.6440456841743691E-4</v>
      </c>
      <c r="AF2026" s="33">
        <f t="shared" si="677"/>
        <v>5.1144715991686203E-4</v>
      </c>
      <c r="AG2026" s="33">
        <f t="shared" si="678"/>
        <v>0</v>
      </c>
      <c r="AH2026" s="35">
        <f t="shared" si="679"/>
        <v>5.8288474183411055E-3</v>
      </c>
      <c r="AI2026" s="36">
        <f t="shared" si="655"/>
        <v>0.86156164488949216</v>
      </c>
      <c r="AJ2026" s="23"/>
      <c r="AK2026" s="120">
        <v>1162</v>
      </c>
      <c r="AL2026" s="44"/>
      <c r="AM2026" s="44"/>
      <c r="AN2026" s="44"/>
      <c r="AO2026" s="44"/>
      <c r="AP2026" s="44"/>
      <c r="AQ2026" s="44"/>
      <c r="AR2026" s="44"/>
    </row>
    <row r="2027" spans="1:44" ht="16.8">
      <c r="A2027" s="78" t="s">
        <v>3872</v>
      </c>
      <c r="B2027" s="79"/>
      <c r="C2027" s="79" t="s">
        <v>3870</v>
      </c>
      <c r="D2027" s="19" t="s">
        <v>3871</v>
      </c>
      <c r="E2027" s="20" t="s">
        <v>414</v>
      </c>
      <c r="F2027" s="21">
        <v>1980</v>
      </c>
      <c r="G2027" s="40">
        <v>2022</v>
      </c>
      <c r="H2027" s="23">
        <v>1114661930179</v>
      </c>
      <c r="I2027" s="23">
        <v>1602388677335</v>
      </c>
      <c r="J2027" s="23">
        <v>342986684500</v>
      </c>
      <c r="K2027" s="23">
        <f t="shared" ref="K2027:K2028" si="739">AVERAGE(J2026:J2027)</f>
        <v>469505088883.5</v>
      </c>
      <c r="L2027" s="23">
        <v>242966684500</v>
      </c>
      <c r="M2027" s="23">
        <f t="shared" si="725"/>
        <v>1259401992835</v>
      </c>
      <c r="N2027" s="23">
        <v>3648444444</v>
      </c>
      <c r="O2027" s="25">
        <f t="shared" si="643"/>
        <v>871695245679</v>
      </c>
      <c r="P2027" s="23">
        <v>16713512504</v>
      </c>
      <c r="Q2027" s="23">
        <v>3997011708</v>
      </c>
      <c r="R2027" s="25">
        <f t="shared" si="644"/>
        <v>-348567264</v>
      </c>
      <c r="S2027" s="26">
        <f t="shared" si="645"/>
        <v>0.21404712186960506</v>
      </c>
      <c r="T2027" s="27">
        <f t="shared" si="646"/>
        <v>4.5877151119416126</v>
      </c>
      <c r="U2027" s="26">
        <f t="shared" si="647"/>
        <v>28.102516555206531</v>
      </c>
      <c r="V2027" s="26">
        <f t="shared" si="648"/>
        <v>7.7708304561216416E-3</v>
      </c>
      <c r="W2027" s="143"/>
      <c r="X2027" s="143"/>
      <c r="Y2027" s="143"/>
      <c r="Z2027" s="30">
        <f t="shared" si="737"/>
        <v>0</v>
      </c>
      <c r="AA2027" s="31">
        <f t="shared" si="705"/>
        <v>42</v>
      </c>
      <c r="AB2027" s="32">
        <v>3.15E-2</v>
      </c>
      <c r="AC2027" s="32">
        <v>8.0199999999999994E-2</v>
      </c>
      <c r="AD2027" s="33">
        <f t="shared" si="675"/>
        <v>0.54399738216370386</v>
      </c>
      <c r="AE2027" s="34">
        <f t="shared" si="676"/>
        <v>1.0430373566915703E-2</v>
      </c>
      <c r="AF2027" s="33">
        <f t="shared" si="677"/>
        <v>-2.1752978470848712E-4</v>
      </c>
      <c r="AG2027" s="33">
        <f t="shared" si="678"/>
        <v>0</v>
      </c>
      <c r="AH2027" s="35">
        <f t="shared" si="679"/>
        <v>1.0637277214766044E-2</v>
      </c>
      <c r="AI2027" s="36">
        <f t="shared" si="655"/>
        <v>0.6773188105153547</v>
      </c>
      <c r="AJ2027" s="23"/>
      <c r="AK2027" s="120">
        <v>1163</v>
      </c>
      <c r="AL2027" s="44"/>
      <c r="AM2027" s="44"/>
      <c r="AN2027" s="44"/>
      <c r="AO2027" s="44"/>
      <c r="AP2027" s="44"/>
      <c r="AQ2027" s="44"/>
      <c r="AR2027" s="44"/>
    </row>
    <row r="2028" spans="1:44" ht="16.8">
      <c r="A2028" s="78" t="s">
        <v>3873</v>
      </c>
      <c r="B2028" s="79"/>
      <c r="C2028" s="79" t="s">
        <v>3870</v>
      </c>
      <c r="D2028" s="19" t="s">
        <v>3871</v>
      </c>
      <c r="E2028" s="20" t="s">
        <v>414</v>
      </c>
      <c r="F2028" s="21">
        <v>1980</v>
      </c>
      <c r="G2028" s="40">
        <v>2023</v>
      </c>
      <c r="H2028" s="23">
        <v>1231429714366</v>
      </c>
      <c r="I2028" s="23">
        <v>1719157555286</v>
      </c>
      <c r="J2028" s="23">
        <v>459353018020</v>
      </c>
      <c r="K2028" s="23">
        <f t="shared" si="739"/>
        <v>401169851260</v>
      </c>
      <c r="L2028" s="23">
        <v>459353018020</v>
      </c>
      <c r="M2028" s="23">
        <f t="shared" si="725"/>
        <v>1259804537266</v>
      </c>
      <c r="N2028" s="23">
        <v>3911753367</v>
      </c>
      <c r="O2028" s="25">
        <f t="shared" si="643"/>
        <v>772076696346</v>
      </c>
      <c r="P2028" s="23">
        <v>405444431</v>
      </c>
      <c r="Q2028" s="23">
        <v>3268329789</v>
      </c>
      <c r="R2028" s="25">
        <f t="shared" si="644"/>
        <v>643423578</v>
      </c>
      <c r="S2028" s="26">
        <f t="shared" si="645"/>
        <v>0.26719657928245083</v>
      </c>
      <c r="T2028" s="27">
        <f t="shared" si="646"/>
        <v>2.6807916048401452</v>
      </c>
      <c r="U2028" s="26">
        <f t="shared" si="647"/>
        <v>28.17285549332755</v>
      </c>
      <c r="V2028" s="26">
        <f t="shared" si="648"/>
        <v>9.7508657610084828E-3</v>
      </c>
      <c r="W2028" s="143"/>
      <c r="X2028" s="143"/>
      <c r="Y2028" s="143"/>
      <c r="Z2028" s="30">
        <f t="shared" si="737"/>
        <v>0</v>
      </c>
      <c r="AA2028" s="31">
        <f t="shared" si="705"/>
        <v>43</v>
      </c>
      <c r="AB2028" s="32">
        <v>3.2500000000000001E-2</v>
      </c>
      <c r="AC2028" s="32">
        <v>5.0500000000000003E-2</v>
      </c>
      <c r="AD2028" s="33">
        <f t="shared" si="675"/>
        <v>0.44910176729994761</v>
      </c>
      <c r="AE2028" s="34">
        <f t="shared" si="676"/>
        <v>2.3583901879926884E-4</v>
      </c>
      <c r="AF2028" s="33">
        <f t="shared" si="677"/>
        <v>3.7426678899884759E-4</v>
      </c>
      <c r="AG2028" s="33">
        <f t="shared" si="678"/>
        <v>0</v>
      </c>
      <c r="AH2028" s="35">
        <f t="shared" si="679"/>
        <v>8.5157889761152804E-3</v>
      </c>
      <c r="AI2028" s="36">
        <f t="shared" si="655"/>
        <v>0.54900316476606759</v>
      </c>
      <c r="AJ2028" s="23"/>
      <c r="AK2028" s="120">
        <v>1164</v>
      </c>
      <c r="AL2028" s="44"/>
      <c r="AM2028" s="44"/>
      <c r="AN2028" s="44"/>
      <c r="AO2028" s="44"/>
      <c r="AP2028" s="44"/>
      <c r="AQ2028" s="44"/>
      <c r="AR2028" s="44"/>
    </row>
    <row r="2029" spans="1:44" ht="16.8">
      <c r="A2029" s="78" t="s">
        <v>3874</v>
      </c>
      <c r="B2029" s="79">
        <v>783</v>
      </c>
      <c r="C2029" s="79" t="s">
        <v>3875</v>
      </c>
      <c r="D2029" s="19" t="s">
        <v>3876</v>
      </c>
      <c r="E2029" s="20" t="s">
        <v>414</v>
      </c>
      <c r="F2029" s="21">
        <v>1985</v>
      </c>
      <c r="G2029" s="40">
        <v>2021</v>
      </c>
      <c r="H2029" s="23">
        <v>1442493727604</v>
      </c>
      <c r="I2029" s="23">
        <v>3266420441162</v>
      </c>
      <c r="J2029" s="23">
        <v>270292573599</v>
      </c>
      <c r="K2029" s="23">
        <f>(J2029+287446269234)/2</f>
        <v>278869421416.5</v>
      </c>
      <c r="L2029" s="23">
        <v>287416269234</v>
      </c>
      <c r="M2029" s="23">
        <f t="shared" si="725"/>
        <v>2996127867563</v>
      </c>
      <c r="N2029" s="23">
        <v>1892131002372</v>
      </c>
      <c r="O2029" s="25">
        <f t="shared" si="643"/>
        <v>1155077458370</v>
      </c>
      <c r="P2029" s="23">
        <v>413802537829</v>
      </c>
      <c r="Q2029" s="23">
        <f>48235093940+81204308213</f>
        <v>129439402153</v>
      </c>
      <c r="R2029" s="25">
        <f t="shared" si="644"/>
        <v>1762691600219</v>
      </c>
      <c r="S2029" s="26">
        <f t="shared" si="645"/>
        <v>8.2748861779362928E-2</v>
      </c>
      <c r="T2029" s="27">
        <f t="shared" si="646"/>
        <v>5.0188311588916825</v>
      </c>
      <c r="U2029" s="26">
        <f t="shared" si="647"/>
        <v>28.814715834941627</v>
      </c>
      <c r="V2029" s="26">
        <f t="shared" si="648"/>
        <v>6.7850070931443023</v>
      </c>
      <c r="W2029" s="143"/>
      <c r="X2029" s="143"/>
      <c r="Y2029" s="143"/>
      <c r="Z2029" s="30">
        <f t="shared" si="737"/>
        <v>0</v>
      </c>
      <c r="AA2029" s="31">
        <f t="shared" si="705"/>
        <v>36</v>
      </c>
      <c r="AB2029" s="32">
        <v>1.84E-2</v>
      </c>
      <c r="AC2029" s="32">
        <v>2.58E-2</v>
      </c>
      <c r="AD2029" s="33">
        <f t="shared" si="675"/>
        <v>0.35362179461474696</v>
      </c>
      <c r="AE2029" s="34">
        <f t="shared" si="676"/>
        <v>0.12668379508480954</v>
      </c>
      <c r="AF2029" s="33">
        <f t="shared" si="677"/>
        <v>0.53964014491408774</v>
      </c>
      <c r="AG2029" s="33">
        <f t="shared" si="678"/>
        <v>0</v>
      </c>
      <c r="AH2029" s="35">
        <f t="shared" si="679"/>
        <v>7.000307027225702</v>
      </c>
      <c r="AI2029" s="36">
        <f t="shared" si="655"/>
        <v>9.3828229720986212</v>
      </c>
      <c r="AJ2029" s="23"/>
      <c r="AK2029" s="120">
        <v>1165</v>
      </c>
      <c r="AL2029" s="44"/>
      <c r="AM2029" s="44"/>
      <c r="AN2029" s="44"/>
      <c r="AO2029" s="44"/>
      <c r="AP2029" s="44"/>
      <c r="AQ2029" s="44"/>
      <c r="AR2029" s="44"/>
    </row>
    <row r="2030" spans="1:44" ht="16.8">
      <c r="A2030" s="78" t="s">
        <v>3877</v>
      </c>
      <c r="B2030" s="79"/>
      <c r="C2030" s="79" t="s">
        <v>3875</v>
      </c>
      <c r="D2030" s="19" t="s">
        <v>3876</v>
      </c>
      <c r="E2030" s="20" t="s">
        <v>414</v>
      </c>
      <c r="F2030" s="21">
        <v>1985</v>
      </c>
      <c r="G2030" s="40">
        <v>2022</v>
      </c>
      <c r="H2030" s="23">
        <v>1305795538303</v>
      </c>
      <c r="I2030" s="23">
        <v>4366810324093</v>
      </c>
      <c r="J2030" s="23">
        <v>1165609976787</v>
      </c>
      <c r="K2030" s="23">
        <f t="shared" ref="K2030:K2031" si="740">AVERAGE(J2029:J2030)</f>
        <v>717951275193</v>
      </c>
      <c r="L2030" s="23">
        <v>433716636921</v>
      </c>
      <c r="M2030" s="23">
        <f t="shared" si="725"/>
        <v>3201200347306</v>
      </c>
      <c r="N2030" s="23">
        <v>2007397494749</v>
      </c>
      <c r="O2030" s="25">
        <f t="shared" si="643"/>
        <v>872078901382</v>
      </c>
      <c r="P2030" s="23">
        <v>393139126743</v>
      </c>
      <c r="Q2030" s="23">
        <f>79193978606+105390689465</f>
        <v>184584668071</v>
      </c>
      <c r="R2030" s="25">
        <f t="shared" si="644"/>
        <v>1822812826678</v>
      </c>
      <c r="S2030" s="26">
        <f t="shared" si="645"/>
        <v>0.26692480100543425</v>
      </c>
      <c r="T2030" s="27">
        <f t="shared" si="646"/>
        <v>3.0107112043775395</v>
      </c>
      <c r="U2030" s="26">
        <f t="shared" si="647"/>
        <v>29.105053955573648</v>
      </c>
      <c r="V2030" s="26">
        <f t="shared" si="648"/>
        <v>2.7960079800810584</v>
      </c>
      <c r="W2030" s="143"/>
      <c r="X2030" s="143"/>
      <c r="Y2030" s="143"/>
      <c r="Z2030" s="30">
        <f t="shared" si="737"/>
        <v>0</v>
      </c>
      <c r="AA2030" s="31">
        <f t="shared" si="705"/>
        <v>37</v>
      </c>
      <c r="AB2030" s="32">
        <v>3.15E-2</v>
      </c>
      <c r="AC2030" s="32">
        <v>8.0199999999999994E-2</v>
      </c>
      <c r="AD2030" s="33">
        <f t="shared" si="675"/>
        <v>0.19970615544496623</v>
      </c>
      <c r="AE2030" s="34">
        <f t="shared" si="676"/>
        <v>9.0028899257184061E-2</v>
      </c>
      <c r="AF2030" s="33">
        <f t="shared" si="677"/>
        <v>0.41742431921556011</v>
      </c>
      <c r="AG2030" s="33">
        <f t="shared" si="678"/>
        <v>0</v>
      </c>
      <c r="AH2030" s="35">
        <f t="shared" si="679"/>
        <v>1.7221862670413859</v>
      </c>
      <c r="AI2030" s="36">
        <f t="shared" si="655"/>
        <v>3.4653743659467513</v>
      </c>
      <c r="AJ2030" s="23"/>
      <c r="AK2030" s="120">
        <v>1166</v>
      </c>
      <c r="AL2030" s="44"/>
      <c r="AM2030" s="44"/>
      <c r="AN2030" s="44"/>
      <c r="AO2030" s="44"/>
      <c r="AP2030" s="44"/>
      <c r="AQ2030" s="44"/>
      <c r="AR2030" s="44"/>
    </row>
    <row r="2031" spans="1:44" ht="16.8">
      <c r="A2031" s="78" t="s">
        <v>3878</v>
      </c>
      <c r="B2031" s="79"/>
      <c r="C2031" s="79" t="s">
        <v>3875</v>
      </c>
      <c r="D2031" s="19" t="s">
        <v>3876</v>
      </c>
      <c r="E2031" s="20" t="s">
        <v>414</v>
      </c>
      <c r="F2031" s="21">
        <v>1985</v>
      </c>
      <c r="G2031" s="40">
        <v>2023</v>
      </c>
      <c r="H2031" s="23">
        <v>1346116796163</v>
      </c>
      <c r="I2031" s="23">
        <v>5190925854088</v>
      </c>
      <c r="J2031" s="23">
        <v>1896618956700</v>
      </c>
      <c r="K2031" s="23">
        <f t="shared" si="740"/>
        <v>1531114466743.5</v>
      </c>
      <c r="L2031" s="23">
        <v>403171566331</v>
      </c>
      <c r="M2031" s="23">
        <f t="shared" si="725"/>
        <v>3294306897388</v>
      </c>
      <c r="N2031" s="23">
        <v>2180945411694</v>
      </c>
      <c r="O2031" s="25">
        <f t="shared" si="643"/>
        <v>942945229832</v>
      </c>
      <c r="P2031" s="23">
        <v>199022025920</v>
      </c>
      <c r="Q2031" s="23">
        <f>94066467806+132883063453</f>
        <v>226949531259</v>
      </c>
      <c r="R2031" s="25">
        <f t="shared" si="644"/>
        <v>1953995880435</v>
      </c>
      <c r="S2031" s="26">
        <f t="shared" si="645"/>
        <v>0.36537199914083907</v>
      </c>
      <c r="T2031" s="27">
        <f t="shared" si="646"/>
        <v>3.3388187773585476</v>
      </c>
      <c r="U2031" s="26">
        <f t="shared" si="647"/>
        <v>29.277933189120869</v>
      </c>
      <c r="V2031" s="26">
        <f t="shared" si="648"/>
        <v>1.4244169584084811</v>
      </c>
      <c r="W2031" s="143"/>
      <c r="X2031" s="143"/>
      <c r="Y2031" s="143"/>
      <c r="Z2031" s="30">
        <f t="shared" si="737"/>
        <v>0</v>
      </c>
      <c r="AA2031" s="31">
        <f t="shared" si="705"/>
        <v>38</v>
      </c>
      <c r="AB2031" s="32">
        <v>3.2500000000000001E-2</v>
      </c>
      <c r="AC2031" s="32">
        <v>5.0500000000000003E-2</v>
      </c>
      <c r="AD2031" s="33">
        <f t="shared" si="675"/>
        <v>0.18165261002320118</v>
      </c>
      <c r="AE2031" s="34">
        <f t="shared" si="676"/>
        <v>3.8340371547257716E-2</v>
      </c>
      <c r="AF2031" s="33">
        <f t="shared" si="677"/>
        <v>0.37642531127586293</v>
      </c>
      <c r="AG2031" s="33">
        <f t="shared" si="678"/>
        <v>0</v>
      </c>
      <c r="AH2031" s="35">
        <f t="shared" si="679"/>
        <v>1.1499122709860026</v>
      </c>
      <c r="AI2031" s="36">
        <f t="shared" si="655"/>
        <v>2.6637754503903524</v>
      </c>
      <c r="AJ2031" s="23"/>
      <c r="AK2031" s="120">
        <v>1167</v>
      </c>
      <c r="AL2031" s="44"/>
      <c r="AM2031" s="44"/>
      <c r="AN2031" s="44"/>
      <c r="AO2031" s="44"/>
      <c r="AP2031" s="44"/>
      <c r="AQ2031" s="44"/>
      <c r="AR2031" s="44"/>
    </row>
    <row r="2032" spans="1:44" ht="16.8">
      <c r="A2032" s="78" t="s">
        <v>3879</v>
      </c>
      <c r="B2032" s="79">
        <v>784</v>
      </c>
      <c r="C2032" s="79" t="s">
        <v>3880</v>
      </c>
      <c r="D2032" s="19" t="s">
        <v>3881</v>
      </c>
      <c r="E2032" s="20" t="s">
        <v>414</v>
      </c>
      <c r="F2032" s="21">
        <v>1994</v>
      </c>
      <c r="G2032" s="40">
        <v>2021</v>
      </c>
      <c r="H2032" s="23">
        <v>691054794100</v>
      </c>
      <c r="I2032" s="23">
        <v>10016611517052</v>
      </c>
      <c r="J2032" s="23">
        <v>6006160526203</v>
      </c>
      <c r="K2032" s="23">
        <f>(J2032+6345908278467)/2</f>
        <v>6176034402335</v>
      </c>
      <c r="L2032" s="23">
        <v>877408931040</v>
      </c>
      <c r="M2032" s="23">
        <f t="shared" si="725"/>
        <v>4010450990849</v>
      </c>
      <c r="N2032" s="23">
        <v>1611300817624</v>
      </c>
      <c r="O2032" s="25">
        <f t="shared" si="643"/>
        <v>-186354136940</v>
      </c>
      <c r="P2032" s="23">
        <v>387272801213</v>
      </c>
      <c r="Q2032" s="23">
        <v>45357873674</v>
      </c>
      <c r="R2032" s="25">
        <f t="shared" si="644"/>
        <v>1565942943950</v>
      </c>
      <c r="S2032" s="26">
        <f t="shared" si="645"/>
        <v>0.59961999284671064</v>
      </c>
      <c r="T2032" s="27">
        <f t="shared" si="646"/>
        <v>0.78760857070475343</v>
      </c>
      <c r="U2032" s="26">
        <f t="shared" si="647"/>
        <v>29.93526598244134</v>
      </c>
      <c r="V2032" s="26">
        <f t="shared" si="648"/>
        <v>0.26089569983852562</v>
      </c>
      <c r="W2032" s="143"/>
      <c r="X2032" s="143"/>
      <c r="Y2032" s="143"/>
      <c r="Z2032" s="30">
        <f t="shared" si="737"/>
        <v>0</v>
      </c>
      <c r="AA2032" s="31">
        <f t="shared" si="705"/>
        <v>27</v>
      </c>
      <c r="AB2032" s="32">
        <v>1.84E-2</v>
      </c>
      <c r="AC2032" s="32">
        <v>2.58E-2</v>
      </c>
      <c r="AD2032" s="33">
        <f t="shared" si="675"/>
        <v>-1.8604508782511523E-2</v>
      </c>
      <c r="AE2032" s="34">
        <f t="shared" si="676"/>
        <v>3.8663054921688596E-2</v>
      </c>
      <c r="AF2032" s="33">
        <f t="shared" si="677"/>
        <v>0.15633459890943982</v>
      </c>
      <c r="AG2032" s="33">
        <f t="shared" si="678"/>
        <v>0</v>
      </c>
      <c r="AH2032" s="35">
        <f t="shared" si="679"/>
        <v>0.2682746840672004</v>
      </c>
      <c r="AI2032" s="36">
        <f t="shared" si="655"/>
        <v>0.81598172681970205</v>
      </c>
      <c r="AJ2032" s="23"/>
      <c r="AK2032" s="120">
        <v>1168</v>
      </c>
      <c r="AL2032" s="44"/>
      <c r="AM2032" s="44"/>
      <c r="AN2032" s="44"/>
      <c r="AO2032" s="44"/>
      <c r="AP2032" s="44"/>
      <c r="AQ2032" s="44"/>
      <c r="AR2032" s="44"/>
    </row>
    <row r="2033" spans="1:44" ht="16.8">
      <c r="A2033" s="78" t="s">
        <v>3882</v>
      </c>
      <c r="B2033" s="79"/>
      <c r="C2033" s="79" t="s">
        <v>3880</v>
      </c>
      <c r="D2033" s="19" t="s">
        <v>3881</v>
      </c>
      <c r="E2033" s="20" t="s">
        <v>414</v>
      </c>
      <c r="F2033" s="21">
        <v>1994</v>
      </c>
      <c r="G2033" s="40">
        <v>2022</v>
      </c>
      <c r="H2033" s="23">
        <v>1073888571905</v>
      </c>
      <c r="I2033" s="23">
        <v>9710316479989</v>
      </c>
      <c r="J2033" s="23">
        <v>4683946064429</v>
      </c>
      <c r="K2033" s="23">
        <f t="shared" ref="K2033:K2034" si="741">AVERAGE(J2032:J2033)</f>
        <v>5345053295316</v>
      </c>
      <c r="L2033" s="23">
        <v>567662419508</v>
      </c>
      <c r="M2033" s="23">
        <f t="shared" si="725"/>
        <v>5026370415560</v>
      </c>
      <c r="N2033" s="23">
        <v>3084636671457</v>
      </c>
      <c r="O2033" s="25">
        <f t="shared" si="643"/>
        <v>506226152397</v>
      </c>
      <c r="P2033" s="23">
        <v>1264844900711</v>
      </c>
      <c r="Q2033" s="23">
        <v>77277826927</v>
      </c>
      <c r="R2033" s="25">
        <f t="shared" si="644"/>
        <v>3007358844530</v>
      </c>
      <c r="S2033" s="26">
        <f t="shared" si="645"/>
        <v>0.48236801283270903</v>
      </c>
      <c r="T2033" s="27">
        <f t="shared" si="646"/>
        <v>1.8917732352896506</v>
      </c>
      <c r="U2033" s="26">
        <f t="shared" si="647"/>
        <v>29.904209990902384</v>
      </c>
      <c r="V2033" s="26">
        <f t="shared" si="648"/>
        <v>0.57710120012463528</v>
      </c>
      <c r="W2033" s="143"/>
      <c r="X2033" s="143"/>
      <c r="Y2033" s="143"/>
      <c r="Z2033" s="30">
        <f t="shared" si="737"/>
        <v>0</v>
      </c>
      <c r="AA2033" s="31">
        <f t="shared" si="705"/>
        <v>28</v>
      </c>
      <c r="AB2033" s="32">
        <v>3.15E-2</v>
      </c>
      <c r="AC2033" s="32">
        <v>8.0199999999999994E-2</v>
      </c>
      <c r="AD2033" s="33">
        <f t="shared" si="675"/>
        <v>5.213281703436029E-2</v>
      </c>
      <c r="AE2033" s="34">
        <f t="shared" si="676"/>
        <v>0.13025784518121419</v>
      </c>
      <c r="AF2033" s="33">
        <f t="shared" si="677"/>
        <v>0.30970760332349195</v>
      </c>
      <c r="AG2033" s="33">
        <f t="shared" si="678"/>
        <v>0</v>
      </c>
      <c r="AH2033" s="35">
        <f t="shared" si="679"/>
        <v>0.6585551219051099</v>
      </c>
      <c r="AI2033" s="36">
        <f t="shared" si="655"/>
        <v>1.9255105765675653</v>
      </c>
      <c r="AJ2033" s="23"/>
      <c r="AK2033" s="120">
        <v>1169</v>
      </c>
      <c r="AL2033" s="44"/>
      <c r="AM2033" s="44"/>
      <c r="AN2033" s="44"/>
      <c r="AO2033" s="44"/>
      <c r="AP2033" s="44"/>
      <c r="AQ2033" s="44"/>
      <c r="AR2033" s="44"/>
    </row>
    <row r="2034" spans="1:44" ht="16.8">
      <c r="A2034" s="78" t="s">
        <v>3883</v>
      </c>
      <c r="B2034" s="79"/>
      <c r="C2034" s="79" t="s">
        <v>3880</v>
      </c>
      <c r="D2034" s="19" t="s">
        <v>3881</v>
      </c>
      <c r="E2034" s="20" t="s">
        <v>414</v>
      </c>
      <c r="F2034" s="21">
        <v>1994</v>
      </c>
      <c r="G2034" s="40">
        <v>2023</v>
      </c>
      <c r="H2034" s="23">
        <v>1461950650001</v>
      </c>
      <c r="I2034" s="23">
        <v>9533198918198</v>
      </c>
      <c r="J2034" s="23">
        <v>4938334084728</v>
      </c>
      <c r="K2034" s="23">
        <f t="shared" si="741"/>
        <v>4811140074578.5</v>
      </c>
      <c r="L2034" s="23">
        <v>1193995410086</v>
      </c>
      <c r="M2034" s="23">
        <f t="shared" si="725"/>
        <v>4594864833470</v>
      </c>
      <c r="N2034" s="23">
        <v>2572042429434</v>
      </c>
      <c r="O2034" s="25">
        <f t="shared" si="643"/>
        <v>267955239915</v>
      </c>
      <c r="P2034" s="23">
        <v>993989892910</v>
      </c>
      <c r="Q2034" s="23">
        <v>60711589757</v>
      </c>
      <c r="R2034" s="25">
        <f t="shared" si="644"/>
        <v>2511330839677</v>
      </c>
      <c r="S2034" s="26">
        <f t="shared" si="645"/>
        <v>0.51801437556297858</v>
      </c>
      <c r="T2034" s="27">
        <f t="shared" si="646"/>
        <v>1.2244189865819501</v>
      </c>
      <c r="U2034" s="26">
        <f t="shared" si="647"/>
        <v>29.885801445497126</v>
      </c>
      <c r="V2034" s="26">
        <f t="shared" si="648"/>
        <v>0.53460144364209439</v>
      </c>
      <c r="W2034" s="143"/>
      <c r="X2034" s="143"/>
      <c r="Y2034" s="143"/>
      <c r="Z2034" s="30">
        <f t="shared" si="737"/>
        <v>0</v>
      </c>
      <c r="AA2034" s="31">
        <f t="shared" si="705"/>
        <v>29</v>
      </c>
      <c r="AB2034" s="32">
        <v>3.2500000000000001E-2</v>
      </c>
      <c r="AC2034" s="32">
        <v>5.0500000000000003E-2</v>
      </c>
      <c r="AD2034" s="33">
        <f t="shared" si="675"/>
        <v>2.8107589300743332E-2</v>
      </c>
      <c r="AE2034" s="34">
        <f t="shared" si="676"/>
        <v>0.10426614418089658</v>
      </c>
      <c r="AF2034" s="33">
        <f t="shared" si="677"/>
        <v>0.26343002608317556</v>
      </c>
      <c r="AG2034" s="33">
        <f t="shared" si="678"/>
        <v>0</v>
      </c>
      <c r="AH2034" s="35">
        <f t="shared" si="679"/>
        <v>0.52083200231190241</v>
      </c>
      <c r="AI2034" s="36">
        <f t="shared" si="655"/>
        <v>1.569852797400529</v>
      </c>
      <c r="AJ2034" s="23"/>
      <c r="AK2034" s="120">
        <v>1170</v>
      </c>
      <c r="AL2034" s="44"/>
      <c r="AM2034" s="44"/>
      <c r="AN2034" s="44"/>
      <c r="AO2034" s="44"/>
      <c r="AP2034" s="44"/>
      <c r="AQ2034" s="44"/>
      <c r="AR2034" s="44"/>
    </row>
    <row r="2035" spans="1:44" ht="16.8">
      <c r="A2035" s="78" t="s">
        <v>3884</v>
      </c>
      <c r="B2035" s="79">
        <v>785</v>
      </c>
      <c r="C2035" s="79" t="s">
        <v>3885</v>
      </c>
      <c r="D2035" s="19" t="s">
        <v>3886</v>
      </c>
      <c r="E2035" s="20" t="s">
        <v>414</v>
      </c>
      <c r="F2035" s="21">
        <v>2005</v>
      </c>
      <c r="G2035" s="40">
        <v>2021</v>
      </c>
      <c r="H2035" s="23">
        <v>198523109204</v>
      </c>
      <c r="I2035" s="23">
        <v>536162482377</v>
      </c>
      <c r="J2035" s="23">
        <v>318530884698</v>
      </c>
      <c r="K2035" s="23">
        <f>(J2035+451754343948)/2</f>
        <v>385142614323</v>
      </c>
      <c r="L2035" s="23">
        <v>96417506069</v>
      </c>
      <c r="M2035" s="23">
        <f t="shared" si="725"/>
        <v>217631597679</v>
      </c>
      <c r="N2035" s="23">
        <v>256613321612</v>
      </c>
      <c r="O2035" s="25">
        <f t="shared" si="643"/>
        <v>102105603135</v>
      </c>
      <c r="P2035" s="23">
        <v>49976648046</v>
      </c>
      <c r="Q2035" s="23">
        <f>376790471+23753860893</f>
        <v>24130651364</v>
      </c>
      <c r="R2035" s="25">
        <f t="shared" si="644"/>
        <v>232482670248</v>
      </c>
      <c r="S2035" s="26">
        <f t="shared" si="645"/>
        <v>0.59409394571182728</v>
      </c>
      <c r="T2035" s="27">
        <f t="shared" si="646"/>
        <v>2.0589944430001061</v>
      </c>
      <c r="U2035" s="26">
        <f t="shared" si="647"/>
        <v>27.007703090843002</v>
      </c>
      <c r="V2035" s="26">
        <f t="shared" si="648"/>
        <v>0.66628129962474403</v>
      </c>
      <c r="W2035" s="143"/>
      <c r="X2035" s="143"/>
      <c r="Y2035" s="143"/>
      <c r="Z2035" s="30">
        <f t="shared" si="737"/>
        <v>0</v>
      </c>
      <c r="AA2035" s="31">
        <f t="shared" si="705"/>
        <v>16</v>
      </c>
      <c r="AB2035" s="32">
        <v>1.84E-2</v>
      </c>
      <c r="AC2035" s="32">
        <v>2.58E-2</v>
      </c>
      <c r="AD2035" s="33">
        <f t="shared" si="675"/>
        <v>0.19043779915806372</v>
      </c>
      <c r="AE2035" s="34">
        <f t="shared" si="676"/>
        <v>9.3211758913894258E-2</v>
      </c>
      <c r="AF2035" s="33">
        <f t="shared" si="677"/>
        <v>0.43360488264177155</v>
      </c>
      <c r="AG2035" s="33">
        <f t="shared" si="678"/>
        <v>0</v>
      </c>
      <c r="AH2035" s="35">
        <f t="shared" si="679"/>
        <v>0.8056151975821616</v>
      </c>
      <c r="AI2035" s="36">
        <f t="shared" si="655"/>
        <v>2.5955331317691361</v>
      </c>
      <c r="AJ2035" s="23"/>
      <c r="AK2035" s="120">
        <v>1171</v>
      </c>
      <c r="AL2035" s="44"/>
      <c r="AM2035" s="44"/>
      <c r="AN2035" s="44"/>
      <c r="AO2035" s="44"/>
      <c r="AP2035" s="44"/>
      <c r="AQ2035" s="44"/>
      <c r="AR2035" s="44"/>
    </row>
    <row r="2036" spans="1:44" ht="16.8">
      <c r="A2036" s="78" t="s">
        <v>3887</v>
      </c>
      <c r="B2036" s="79"/>
      <c r="C2036" s="79" t="s">
        <v>3885</v>
      </c>
      <c r="D2036" s="19" t="s">
        <v>3886</v>
      </c>
      <c r="E2036" s="20" t="s">
        <v>414</v>
      </c>
      <c r="F2036" s="21">
        <v>2005</v>
      </c>
      <c r="G2036" s="40">
        <v>2022</v>
      </c>
      <c r="H2036" s="23">
        <v>216123270535</v>
      </c>
      <c r="I2036" s="23">
        <v>535089632928</v>
      </c>
      <c r="J2036" s="23">
        <v>336596481305</v>
      </c>
      <c r="K2036" s="23">
        <f t="shared" ref="K2036:K2037" si="742">AVERAGE(J2035:J2036)</f>
        <v>327563683001.5</v>
      </c>
      <c r="L2036" s="23">
        <v>144443037786</v>
      </c>
      <c r="M2036" s="23">
        <f t="shared" si="725"/>
        <v>198493151623</v>
      </c>
      <c r="N2036" s="23">
        <v>336741030865</v>
      </c>
      <c r="O2036" s="25">
        <f t="shared" si="643"/>
        <v>71680232749</v>
      </c>
      <c r="P2036" s="23">
        <v>24150867425</v>
      </c>
      <c r="Q2036" s="23">
        <f>383874370+22926721822</f>
        <v>23310596192</v>
      </c>
      <c r="R2036" s="25">
        <f t="shared" si="644"/>
        <v>313430434673</v>
      </c>
      <c r="S2036" s="26">
        <f t="shared" si="645"/>
        <v>0.62904691212788155</v>
      </c>
      <c r="T2036" s="27">
        <f t="shared" si="646"/>
        <v>1.4962525978939742</v>
      </c>
      <c r="U2036" s="26">
        <f t="shared" si="647"/>
        <v>27.005700107992642</v>
      </c>
      <c r="V2036" s="26">
        <f t="shared" si="648"/>
        <v>1.028016988267463</v>
      </c>
      <c r="W2036" s="143"/>
      <c r="X2036" s="143"/>
      <c r="Y2036" s="143"/>
      <c r="Z2036" s="30">
        <f t="shared" si="737"/>
        <v>0</v>
      </c>
      <c r="AA2036" s="31">
        <f t="shared" si="705"/>
        <v>17</v>
      </c>
      <c r="AB2036" s="32">
        <v>3.15E-2</v>
      </c>
      <c r="AC2036" s="32">
        <v>8.0199999999999994E-2</v>
      </c>
      <c r="AD2036" s="33">
        <f t="shared" si="675"/>
        <v>0.13395930015830651</v>
      </c>
      <c r="AE2036" s="34">
        <f t="shared" si="676"/>
        <v>4.5134246561360059E-2</v>
      </c>
      <c r="AF2036" s="33">
        <f t="shared" si="677"/>
        <v>0.58575314374512322</v>
      </c>
      <c r="AG2036" s="33">
        <f t="shared" si="678"/>
        <v>0</v>
      </c>
      <c r="AH2036" s="35">
        <f t="shared" si="679"/>
        <v>1.0004294446556292</v>
      </c>
      <c r="AI2036" s="36">
        <f t="shared" si="655"/>
        <v>3.1573539243904074</v>
      </c>
      <c r="AJ2036" s="23"/>
      <c r="AK2036" s="120">
        <v>1172</v>
      </c>
      <c r="AL2036" s="44"/>
      <c r="AM2036" s="44"/>
      <c r="AN2036" s="44"/>
      <c r="AO2036" s="44"/>
      <c r="AP2036" s="44"/>
      <c r="AQ2036" s="44"/>
      <c r="AR2036" s="44"/>
    </row>
    <row r="2037" spans="1:44" ht="16.8">
      <c r="A2037" s="78" t="s">
        <v>3888</v>
      </c>
      <c r="B2037" s="79"/>
      <c r="C2037" s="79" t="s">
        <v>3885</v>
      </c>
      <c r="D2037" s="19" t="s">
        <v>3886</v>
      </c>
      <c r="E2037" s="20" t="s">
        <v>414</v>
      </c>
      <c r="F2037" s="21">
        <v>2005</v>
      </c>
      <c r="G2037" s="40">
        <v>2023</v>
      </c>
      <c r="H2037" s="23">
        <v>211481178376</v>
      </c>
      <c r="I2037" s="23">
        <v>515971692469</v>
      </c>
      <c r="J2037" s="23">
        <v>321645461617</v>
      </c>
      <c r="K2037" s="23">
        <f t="shared" si="742"/>
        <v>329120971461</v>
      </c>
      <c r="L2037" s="23">
        <v>162696796851</v>
      </c>
      <c r="M2037" s="23">
        <f t="shared" si="725"/>
        <v>194326230852</v>
      </c>
      <c r="N2037" s="23">
        <v>465001073687</v>
      </c>
      <c r="O2037" s="25">
        <f t="shared" si="643"/>
        <v>48784381525</v>
      </c>
      <c r="P2037" s="23">
        <v>26653079229</v>
      </c>
      <c r="Q2037" s="23">
        <f>249158935+22922548648</f>
        <v>23171707583</v>
      </c>
      <c r="R2037" s="25">
        <f t="shared" si="644"/>
        <v>441829366104</v>
      </c>
      <c r="S2037" s="26">
        <f t="shared" si="645"/>
        <v>0.62337811610919858</v>
      </c>
      <c r="T2037" s="27">
        <f t="shared" si="646"/>
        <v>1.2998484448939547</v>
      </c>
      <c r="U2037" s="26">
        <f t="shared" si="647"/>
        <v>26.969317741366932</v>
      </c>
      <c r="V2037" s="26">
        <f t="shared" si="648"/>
        <v>1.412857623817817</v>
      </c>
      <c r="W2037" s="143"/>
      <c r="X2037" s="143"/>
      <c r="Y2037" s="143"/>
      <c r="Z2037" s="30">
        <f t="shared" si="737"/>
        <v>0</v>
      </c>
      <c r="AA2037" s="31">
        <f t="shared" si="705"/>
        <v>18</v>
      </c>
      <c r="AB2037" s="32">
        <v>3.2500000000000001E-2</v>
      </c>
      <c r="AC2037" s="32">
        <v>5.0500000000000003E-2</v>
      </c>
      <c r="AD2037" s="33">
        <f t="shared" si="675"/>
        <v>9.4548561940597173E-2</v>
      </c>
      <c r="AE2037" s="34">
        <f t="shared" si="676"/>
        <v>5.165608814983845E-2</v>
      </c>
      <c r="AF2037" s="33">
        <f t="shared" si="677"/>
        <v>0.85630543797816094</v>
      </c>
      <c r="AG2037" s="33">
        <f t="shared" si="678"/>
        <v>0</v>
      </c>
      <c r="AH2037" s="35">
        <f t="shared" si="679"/>
        <v>1.4456944965096414</v>
      </c>
      <c r="AI2037" s="36">
        <f t="shared" si="655"/>
        <v>4.4572792395760628</v>
      </c>
      <c r="AJ2037" s="23"/>
      <c r="AK2037" s="120">
        <v>1173</v>
      </c>
      <c r="AL2037" s="44"/>
      <c r="AM2037" s="44"/>
      <c r="AN2037" s="44"/>
      <c r="AO2037" s="44"/>
      <c r="AP2037" s="44"/>
      <c r="AQ2037" s="44"/>
      <c r="AR2037" s="44"/>
    </row>
    <row r="2038" spans="1:44" ht="16.8">
      <c r="A2038" s="78" t="s">
        <v>3889</v>
      </c>
      <c r="B2038" s="79">
        <v>786</v>
      </c>
      <c r="C2038" s="79" t="s">
        <v>3890</v>
      </c>
      <c r="D2038" s="19" t="s">
        <v>3891</v>
      </c>
      <c r="E2038" s="20" t="s">
        <v>414</v>
      </c>
      <c r="F2038" s="21">
        <v>2004</v>
      </c>
      <c r="G2038" s="40">
        <v>2021</v>
      </c>
      <c r="H2038" s="23">
        <v>150424026579</v>
      </c>
      <c r="I2038" s="23">
        <v>268570321929</v>
      </c>
      <c r="J2038" s="23">
        <v>71289745909</v>
      </c>
      <c r="K2038" s="23">
        <f>(J2038+97831088919)/2</f>
        <v>84560417414</v>
      </c>
      <c r="L2038" s="23">
        <v>82094136541</v>
      </c>
      <c r="M2038" s="23">
        <f t="shared" si="725"/>
        <v>197280576020</v>
      </c>
      <c r="N2038" s="23">
        <v>329748114327</v>
      </c>
      <c r="O2038" s="25">
        <f t="shared" si="643"/>
        <v>68329890038</v>
      </c>
      <c r="P2038" s="23">
        <v>7617432460</v>
      </c>
      <c r="Q2038" s="23">
        <f>57554817072+16035372751</f>
        <v>73590189823</v>
      </c>
      <c r="R2038" s="25">
        <f t="shared" si="644"/>
        <v>256157924504</v>
      </c>
      <c r="S2038" s="26">
        <f t="shared" si="645"/>
        <v>0.26544163702438556</v>
      </c>
      <c r="T2038" s="27">
        <f t="shared" si="646"/>
        <v>1.8323358149199149</v>
      </c>
      <c r="U2038" s="26">
        <f t="shared" si="647"/>
        <v>26.316378623229475</v>
      </c>
      <c r="V2038" s="26">
        <f t="shared" si="648"/>
        <v>3.8995563694131694</v>
      </c>
      <c r="W2038" s="143"/>
      <c r="X2038" s="143"/>
      <c r="Y2038" s="143"/>
      <c r="Z2038" s="30">
        <f t="shared" si="737"/>
        <v>0</v>
      </c>
      <c r="AA2038" s="31">
        <f t="shared" si="705"/>
        <v>17</v>
      </c>
      <c r="AB2038" s="32">
        <v>1.84E-2</v>
      </c>
      <c r="AC2038" s="32">
        <v>2.58E-2</v>
      </c>
      <c r="AD2038" s="33">
        <f t="shared" si="675"/>
        <v>0.25442085166827882</v>
      </c>
      <c r="AE2038" s="34">
        <f t="shared" si="676"/>
        <v>2.8362897304839832E-2</v>
      </c>
      <c r="AF2038" s="33">
        <f t="shared" si="677"/>
        <v>0.95378343617474837</v>
      </c>
      <c r="AG2038" s="33">
        <f t="shared" si="678"/>
        <v>0</v>
      </c>
      <c r="AH2038" s="35">
        <f t="shared" si="679"/>
        <v>4.6254634537190968</v>
      </c>
      <c r="AI2038" s="36">
        <f t="shared" si="655"/>
        <v>8.1179618713244768</v>
      </c>
      <c r="AJ2038" s="23"/>
      <c r="AK2038" s="120">
        <v>1174</v>
      </c>
      <c r="AL2038" s="44"/>
      <c r="AM2038" s="44"/>
      <c r="AN2038" s="44"/>
      <c r="AO2038" s="44"/>
      <c r="AP2038" s="44"/>
      <c r="AQ2038" s="44"/>
      <c r="AR2038" s="44"/>
    </row>
    <row r="2039" spans="1:44" ht="16.8">
      <c r="A2039" s="78" t="s">
        <v>3892</v>
      </c>
      <c r="B2039" s="79"/>
      <c r="C2039" s="79" t="s">
        <v>3890</v>
      </c>
      <c r="D2039" s="19" t="s">
        <v>3891</v>
      </c>
      <c r="E2039" s="20" t="s">
        <v>414</v>
      </c>
      <c r="F2039" s="21">
        <v>2004</v>
      </c>
      <c r="G2039" s="40">
        <v>2022</v>
      </c>
      <c r="H2039" s="23">
        <v>130836948099</v>
      </c>
      <c r="I2039" s="23">
        <v>234419714559</v>
      </c>
      <c r="J2039" s="23">
        <v>47037284376</v>
      </c>
      <c r="K2039" s="23">
        <f t="shared" ref="K2039:K2040" si="743">AVERAGE(J2038:J2039)</f>
        <v>59163515142.5</v>
      </c>
      <c r="L2039" s="23">
        <v>28261184439</v>
      </c>
      <c r="M2039" s="23">
        <f t="shared" si="725"/>
        <v>187382430183</v>
      </c>
      <c r="N2039" s="23">
        <v>249825833282</v>
      </c>
      <c r="O2039" s="25">
        <f t="shared" si="643"/>
        <v>102575763660</v>
      </c>
      <c r="P2039" s="23">
        <v>22043720694</v>
      </c>
      <c r="Q2039" s="23">
        <v>50566457878</v>
      </c>
      <c r="R2039" s="25">
        <f t="shared" si="644"/>
        <v>199259375404</v>
      </c>
      <c r="S2039" s="26">
        <f t="shared" si="645"/>
        <v>0.20065413211720898</v>
      </c>
      <c r="T2039" s="27">
        <f t="shared" si="646"/>
        <v>4.629563505429271</v>
      </c>
      <c r="U2039" s="26">
        <f t="shared" si="647"/>
        <v>26.180378997592893</v>
      </c>
      <c r="V2039" s="26">
        <f t="shared" si="648"/>
        <v>4.2226333692356643</v>
      </c>
      <c r="W2039" s="143"/>
      <c r="X2039" s="143"/>
      <c r="Y2039" s="143"/>
      <c r="Z2039" s="30">
        <f t="shared" si="737"/>
        <v>0</v>
      </c>
      <c r="AA2039" s="31">
        <f t="shared" si="705"/>
        <v>18</v>
      </c>
      <c r="AB2039" s="32">
        <v>3.15E-2</v>
      </c>
      <c r="AC2039" s="32">
        <v>8.0199999999999994E-2</v>
      </c>
      <c r="AD2039" s="33">
        <f t="shared" si="675"/>
        <v>0.43757311049102565</v>
      </c>
      <c r="AE2039" s="34">
        <f t="shared" si="676"/>
        <v>9.4035268046757728E-2</v>
      </c>
      <c r="AF2039" s="33">
        <f t="shared" si="677"/>
        <v>0.85001116812574795</v>
      </c>
      <c r="AG2039" s="33">
        <f t="shared" si="678"/>
        <v>0</v>
      </c>
      <c r="AH2039" s="35">
        <f t="shared" si="679"/>
        <v>5.3112299444197832</v>
      </c>
      <c r="AI2039" s="36">
        <f t="shared" si="655"/>
        <v>8.7730039070894428</v>
      </c>
      <c r="AJ2039" s="23"/>
      <c r="AK2039" s="120">
        <v>1175</v>
      </c>
      <c r="AL2039" s="44"/>
      <c r="AM2039" s="44"/>
      <c r="AN2039" s="44"/>
      <c r="AO2039" s="44"/>
      <c r="AP2039" s="44"/>
      <c r="AQ2039" s="44"/>
      <c r="AR2039" s="44"/>
    </row>
    <row r="2040" spans="1:44" ht="16.8">
      <c r="A2040" s="78" t="s">
        <v>3893</v>
      </c>
      <c r="B2040" s="79"/>
      <c r="C2040" s="79" t="s">
        <v>3890</v>
      </c>
      <c r="D2040" s="19" t="s">
        <v>3891</v>
      </c>
      <c r="E2040" s="20" t="s">
        <v>414</v>
      </c>
      <c r="F2040" s="21">
        <v>2004</v>
      </c>
      <c r="G2040" s="40">
        <v>2023</v>
      </c>
      <c r="H2040" s="23">
        <v>116288163550</v>
      </c>
      <c r="I2040" s="23">
        <v>230662145442</v>
      </c>
      <c r="J2040" s="23">
        <v>44231935622</v>
      </c>
      <c r="K2040" s="23">
        <f t="shared" si="743"/>
        <v>45634609999</v>
      </c>
      <c r="L2040" s="23">
        <v>21106930232</v>
      </c>
      <c r="M2040" s="23">
        <f t="shared" si="725"/>
        <v>186430209820</v>
      </c>
      <c r="N2040" s="23">
        <v>113424028887</v>
      </c>
      <c r="O2040" s="25">
        <f t="shared" si="643"/>
        <v>95181233318</v>
      </c>
      <c r="P2040" s="23">
        <v>10709597144</v>
      </c>
      <c r="Q2040" s="23">
        <v>61264183067</v>
      </c>
      <c r="R2040" s="25">
        <f t="shared" si="644"/>
        <v>52159845820</v>
      </c>
      <c r="S2040" s="26">
        <f t="shared" si="645"/>
        <v>0.19176070497931844</v>
      </c>
      <c r="T2040" s="27">
        <f t="shared" si="646"/>
        <v>5.5094778005044382</v>
      </c>
      <c r="U2040" s="26">
        <f t="shared" si="647"/>
        <v>26.164219903018903</v>
      </c>
      <c r="V2040" s="26">
        <f t="shared" si="648"/>
        <v>2.4854825951067729</v>
      </c>
      <c r="W2040" s="143"/>
      <c r="X2040" s="143"/>
      <c r="Y2040" s="143"/>
      <c r="Z2040" s="30">
        <f t="shared" si="737"/>
        <v>0</v>
      </c>
      <c r="AA2040" s="31">
        <f t="shared" si="705"/>
        <v>19</v>
      </c>
      <c r="AB2040" s="32">
        <v>3.2500000000000001E-2</v>
      </c>
      <c r="AC2040" s="32">
        <v>5.0500000000000003E-2</v>
      </c>
      <c r="AD2040" s="33">
        <f t="shared" si="675"/>
        <v>0.41264349265290834</v>
      </c>
      <c r="AE2040" s="34">
        <f t="shared" si="676"/>
        <v>4.6429799408472631E-2</v>
      </c>
      <c r="AF2040" s="33">
        <f t="shared" si="677"/>
        <v>0.22613093154080452</v>
      </c>
      <c r="AG2040" s="33">
        <f t="shared" si="678"/>
        <v>0</v>
      </c>
      <c r="AH2040" s="35">
        <f t="shared" si="679"/>
        <v>2.5643017266145902</v>
      </c>
      <c r="AI2040" s="36">
        <f t="shared" si="655"/>
        <v>3.8707077110545969</v>
      </c>
      <c r="AJ2040" s="23"/>
      <c r="AK2040" s="120">
        <v>1176</v>
      </c>
      <c r="AL2040" s="44"/>
      <c r="AM2040" s="44"/>
      <c r="AN2040" s="44"/>
      <c r="AO2040" s="44"/>
      <c r="AP2040" s="44"/>
      <c r="AQ2040" s="44"/>
      <c r="AR2040" s="44"/>
    </row>
    <row r="2041" spans="1:44" ht="16.8">
      <c r="A2041" s="145"/>
      <c r="B2041" s="145">
        <v>787</v>
      </c>
      <c r="C2041" s="145" t="s">
        <v>3894</v>
      </c>
      <c r="D2041" s="146" t="s">
        <v>3895</v>
      </c>
      <c r="E2041" s="147" t="s">
        <v>1371</v>
      </c>
      <c r="F2041" s="148"/>
      <c r="G2041" s="148"/>
      <c r="H2041" s="149"/>
      <c r="I2041" s="149"/>
      <c r="J2041" s="149"/>
      <c r="K2041" s="149"/>
      <c r="L2041" s="149"/>
      <c r="M2041" s="149">
        <f t="shared" si="725"/>
        <v>0</v>
      </c>
      <c r="N2041" s="149"/>
      <c r="O2041" s="149">
        <f t="shared" si="643"/>
        <v>0</v>
      </c>
      <c r="P2041" s="149"/>
      <c r="Q2041" s="149"/>
      <c r="R2041" s="149">
        <f t="shared" si="644"/>
        <v>0</v>
      </c>
      <c r="S2041" s="150" t="e">
        <f t="shared" si="645"/>
        <v>#DIV/0!</v>
      </c>
      <c r="T2041" s="151" t="e">
        <f t="shared" si="646"/>
        <v>#DIV/0!</v>
      </c>
      <c r="U2041" s="150" t="e">
        <f t="shared" si="647"/>
        <v>#NUM!</v>
      </c>
      <c r="V2041" s="150" t="e">
        <f t="shared" si="648"/>
        <v>#DIV/0!</v>
      </c>
      <c r="W2041" s="152"/>
      <c r="X2041" s="152"/>
      <c r="Y2041" s="152"/>
      <c r="Z2041" s="153">
        <f>W2041*Y2041</f>
        <v>0</v>
      </c>
      <c r="AA2041" s="148">
        <f t="shared" si="705"/>
        <v>0</v>
      </c>
      <c r="AB2041" s="149"/>
      <c r="AC2041" s="149"/>
      <c r="AD2041" s="150" t="e">
        <f t="shared" si="675"/>
        <v>#DIV/0!</v>
      </c>
      <c r="AE2041" s="154" t="e">
        <f t="shared" si="676"/>
        <v>#DIV/0!</v>
      </c>
      <c r="AF2041" s="150" t="e">
        <f t="shared" si="677"/>
        <v>#DIV/0!</v>
      </c>
      <c r="AG2041" s="150" t="e">
        <f t="shared" si="678"/>
        <v>#DIV/0!</v>
      </c>
      <c r="AH2041" s="155" t="e">
        <f t="shared" si="679"/>
        <v>#DIV/0!</v>
      </c>
      <c r="AI2041" s="156" t="e">
        <f t="shared" si="655"/>
        <v>#DIV/0!</v>
      </c>
      <c r="AJ2041" s="149"/>
      <c r="AK2041" s="149"/>
      <c r="AL2041" s="157"/>
      <c r="AM2041" s="157"/>
      <c r="AN2041" s="157"/>
      <c r="AO2041" s="157"/>
      <c r="AP2041" s="157"/>
      <c r="AQ2041" s="157"/>
      <c r="AR2041" s="157"/>
    </row>
    <row r="2042" spans="1:44" ht="16.8">
      <c r="A2042" s="78" t="s">
        <v>3896</v>
      </c>
      <c r="B2042" s="79">
        <v>788</v>
      </c>
      <c r="C2042" s="79" t="s">
        <v>3897</v>
      </c>
      <c r="D2042" s="19" t="s">
        <v>3898</v>
      </c>
      <c r="E2042" s="20" t="s">
        <v>414</v>
      </c>
      <c r="F2042" s="21">
        <v>1975</v>
      </c>
      <c r="G2042" s="40">
        <v>2021</v>
      </c>
      <c r="H2042" s="23">
        <v>750821857348</v>
      </c>
      <c r="I2042" s="23">
        <v>1756055704112</v>
      </c>
      <c r="J2042" s="23">
        <v>608388992794</v>
      </c>
      <c r="K2042" s="23">
        <f>(J2042+685330859695)/2</f>
        <v>646859926244.5</v>
      </c>
      <c r="L2042" s="23">
        <v>361751568544</v>
      </c>
      <c r="M2042" s="23">
        <f t="shared" si="725"/>
        <v>1147666711318</v>
      </c>
      <c r="N2042" s="23">
        <v>946220334284</v>
      </c>
      <c r="O2042" s="25">
        <f t="shared" ref="O2042:O2296" si="744">H2042-L2042</f>
        <v>389070288804</v>
      </c>
      <c r="P2042" s="23">
        <v>129305870609</v>
      </c>
      <c r="Q2042" s="23">
        <f>131255082+67946864019</f>
        <v>68078119101</v>
      </c>
      <c r="R2042" s="25">
        <f t="shared" ref="R2042:R2296" si="745">N2042-Q2042</f>
        <v>878142215183</v>
      </c>
      <c r="S2042" s="26">
        <f t="shared" ref="S2042:S2296" si="746">J2042/I2042</f>
        <v>0.34645198974576341</v>
      </c>
      <c r="T2042" s="27">
        <f t="shared" ref="T2042:T2296" si="747">H2042/L2042</f>
        <v>2.0755179040963223</v>
      </c>
      <c r="U2042" s="26">
        <f t="shared" ref="U2042:U2296" si="748">LN(I2042)</f>
        <v>28.19409133279779</v>
      </c>
      <c r="V2042" s="26">
        <f t="shared" ref="V2042:V2296" si="749">N2042/K2042</f>
        <v>1.4627901588795404</v>
      </c>
      <c r="W2042" s="143"/>
      <c r="X2042" s="143"/>
      <c r="Y2042" s="143"/>
      <c r="Z2042" s="30">
        <f t="shared" ref="Z2042:Z2086" si="750">X2042*Y2042</f>
        <v>0</v>
      </c>
      <c r="AA2042" s="31">
        <f t="shared" si="705"/>
        <v>46</v>
      </c>
      <c r="AB2042" s="32">
        <v>1.84E-2</v>
      </c>
      <c r="AC2042" s="32">
        <v>2.58E-2</v>
      </c>
      <c r="AD2042" s="33">
        <f t="shared" si="675"/>
        <v>0.22155919535635948</v>
      </c>
      <c r="AE2042" s="34">
        <f t="shared" si="676"/>
        <v>7.3634264736714167E-2</v>
      </c>
      <c r="AF2042" s="33">
        <f t="shared" si="677"/>
        <v>0.50006512499958411</v>
      </c>
      <c r="AG2042" s="33">
        <f t="shared" si="678"/>
        <v>0</v>
      </c>
      <c r="AH2042" s="35">
        <f t="shared" si="679"/>
        <v>1.5552883853774611</v>
      </c>
      <c r="AI2042" s="36">
        <f t="shared" si="655"/>
        <v>3.5744623029351197</v>
      </c>
      <c r="AJ2042" s="23"/>
      <c r="AK2042" s="120">
        <v>1177</v>
      </c>
      <c r="AL2042" s="44"/>
      <c r="AM2042" s="44"/>
      <c r="AN2042" s="44"/>
      <c r="AO2042" s="44"/>
      <c r="AP2042" s="44"/>
      <c r="AQ2042" s="44"/>
      <c r="AR2042" s="44"/>
    </row>
    <row r="2043" spans="1:44" ht="16.8">
      <c r="A2043" s="78" t="s">
        <v>3899</v>
      </c>
      <c r="B2043" s="79"/>
      <c r="C2043" s="79" t="s">
        <v>3897</v>
      </c>
      <c r="D2043" s="19" t="s">
        <v>3898</v>
      </c>
      <c r="E2043" s="20" t="s">
        <v>414</v>
      </c>
      <c r="F2043" s="21">
        <v>1975</v>
      </c>
      <c r="G2043" s="40">
        <v>2022</v>
      </c>
      <c r="H2043" s="23">
        <v>753729905015</v>
      </c>
      <c r="I2043" s="23">
        <v>1692466212704</v>
      </c>
      <c r="J2043" s="23">
        <v>541268264994</v>
      </c>
      <c r="K2043" s="23">
        <f t="shared" ref="K2043:K2044" si="751">AVERAGE(J2042:J2043)</f>
        <v>574828628894</v>
      </c>
      <c r="L2043" s="23">
        <v>253803478994</v>
      </c>
      <c r="M2043" s="23">
        <f t="shared" si="725"/>
        <v>1151197947710</v>
      </c>
      <c r="N2043" s="23">
        <v>1180182755160</v>
      </c>
      <c r="O2043" s="25">
        <f t="shared" si="744"/>
        <v>499926426021</v>
      </c>
      <c r="P2043" s="23">
        <v>73348040507</v>
      </c>
      <c r="Q2043" s="23">
        <f>1322371973+86073643283</f>
        <v>87396015256</v>
      </c>
      <c r="R2043" s="25">
        <f t="shared" si="745"/>
        <v>1092786739904</v>
      </c>
      <c r="S2043" s="26">
        <f t="shared" si="746"/>
        <v>0.3198103814014891</v>
      </c>
      <c r="T2043" s="27">
        <f t="shared" si="747"/>
        <v>2.9697382715262877</v>
      </c>
      <c r="U2043" s="26">
        <f t="shared" si="748"/>
        <v>28.157207878581733</v>
      </c>
      <c r="V2043" s="26">
        <f t="shared" si="749"/>
        <v>2.0531036483529581</v>
      </c>
      <c r="W2043" s="143"/>
      <c r="X2043" s="143"/>
      <c r="Y2043" s="143"/>
      <c r="Z2043" s="30">
        <f t="shared" si="750"/>
        <v>0</v>
      </c>
      <c r="AA2043" s="31">
        <f t="shared" si="705"/>
        <v>47</v>
      </c>
      <c r="AB2043" s="32">
        <v>3.15E-2</v>
      </c>
      <c r="AC2043" s="32">
        <v>8.0199999999999994E-2</v>
      </c>
      <c r="AD2043" s="33">
        <f t="shared" si="675"/>
        <v>0.2953834010206226</v>
      </c>
      <c r="AE2043" s="34">
        <f t="shared" si="676"/>
        <v>4.3337964419280277E-2</v>
      </c>
      <c r="AF2043" s="33">
        <f t="shared" si="677"/>
        <v>0.64567713771850666</v>
      </c>
      <c r="AG2043" s="33">
        <f t="shared" si="678"/>
        <v>0</v>
      </c>
      <c r="AH2043" s="35">
        <f t="shared" si="679"/>
        <v>2.1804026422518645</v>
      </c>
      <c r="AI2043" s="36">
        <f t="shared" si="655"/>
        <v>4.7262704281346757</v>
      </c>
      <c r="AJ2043" s="23"/>
      <c r="AK2043" s="120">
        <v>1178</v>
      </c>
      <c r="AL2043" s="44"/>
      <c r="AM2043" s="44"/>
      <c r="AN2043" s="44"/>
      <c r="AO2043" s="44"/>
      <c r="AP2043" s="44"/>
      <c r="AQ2043" s="44"/>
      <c r="AR2043" s="44"/>
    </row>
    <row r="2044" spans="1:44" ht="16.8">
      <c r="A2044" s="78" t="s">
        <v>3900</v>
      </c>
      <c r="B2044" s="79"/>
      <c r="C2044" s="79" t="s">
        <v>3897</v>
      </c>
      <c r="D2044" s="19" t="s">
        <v>3898</v>
      </c>
      <c r="E2044" s="20" t="s">
        <v>414</v>
      </c>
      <c r="F2044" s="21">
        <v>1975</v>
      </c>
      <c r="G2044" s="40">
        <v>2023</v>
      </c>
      <c r="H2044" s="23">
        <v>942109030886</v>
      </c>
      <c r="I2044" s="23">
        <v>2643850455279</v>
      </c>
      <c r="J2044" s="23">
        <v>499584128203</v>
      </c>
      <c r="K2044" s="23">
        <f t="shared" si="751"/>
        <v>520426196598.5</v>
      </c>
      <c r="L2044" s="23">
        <v>282640978015</v>
      </c>
      <c r="M2044" s="23">
        <f t="shared" si="725"/>
        <v>2144266327076</v>
      </c>
      <c r="N2044" s="23">
        <v>1076621967193</v>
      </c>
      <c r="O2044" s="25">
        <f t="shared" si="744"/>
        <v>659468052871</v>
      </c>
      <c r="P2044" s="23">
        <v>75599212863</v>
      </c>
      <c r="Q2044" s="23">
        <f>890254592+95090219110</f>
        <v>95980473702</v>
      </c>
      <c r="R2044" s="25">
        <f t="shared" si="745"/>
        <v>980641493491</v>
      </c>
      <c r="S2044" s="26">
        <f t="shared" si="746"/>
        <v>0.18896081176054261</v>
      </c>
      <c r="T2044" s="27">
        <f t="shared" si="747"/>
        <v>3.3332358156360522</v>
      </c>
      <c r="U2044" s="26">
        <f t="shared" si="748"/>
        <v>28.603257476287773</v>
      </c>
      <c r="V2044" s="26">
        <f t="shared" si="749"/>
        <v>2.0687313095109152</v>
      </c>
      <c r="W2044" s="143"/>
      <c r="X2044" s="143"/>
      <c r="Y2044" s="143"/>
      <c r="Z2044" s="30">
        <f t="shared" si="750"/>
        <v>0</v>
      </c>
      <c r="AA2044" s="31">
        <f t="shared" si="705"/>
        <v>48</v>
      </c>
      <c r="AB2044" s="32">
        <v>3.2500000000000001E-2</v>
      </c>
      <c r="AC2044" s="32">
        <v>5.0500000000000003E-2</v>
      </c>
      <c r="AD2044" s="33">
        <f t="shared" si="675"/>
        <v>0.24943470291757017</v>
      </c>
      <c r="AE2044" s="34">
        <f t="shared" si="676"/>
        <v>2.8594360438220084E-2</v>
      </c>
      <c r="AF2044" s="33">
        <f t="shared" si="677"/>
        <v>0.37091413076444785</v>
      </c>
      <c r="AG2044" s="33">
        <f t="shared" si="678"/>
        <v>0</v>
      </c>
      <c r="AH2044" s="35">
        <f t="shared" si="679"/>
        <v>2.1550363720833174</v>
      </c>
      <c r="AI2044" s="36">
        <f t="shared" si="655"/>
        <v>3.7184067517205879</v>
      </c>
      <c r="AJ2044" s="23"/>
      <c r="AK2044" s="120">
        <v>1179</v>
      </c>
      <c r="AL2044" s="44"/>
      <c r="AM2044" s="44"/>
      <c r="AN2044" s="44"/>
      <c r="AO2044" s="44"/>
      <c r="AP2044" s="44"/>
      <c r="AQ2044" s="44"/>
      <c r="AR2044" s="44"/>
    </row>
    <row r="2045" spans="1:44" ht="16.8">
      <c r="A2045" s="78" t="s">
        <v>3901</v>
      </c>
      <c r="B2045" s="79">
        <v>1314</v>
      </c>
      <c r="C2045" s="182" t="s">
        <v>3902</v>
      </c>
      <c r="D2045" s="183" t="s">
        <v>3903</v>
      </c>
      <c r="E2045" s="20" t="s">
        <v>414</v>
      </c>
      <c r="F2045" s="21">
        <v>2008</v>
      </c>
      <c r="G2045" s="40">
        <v>2021</v>
      </c>
      <c r="H2045" s="177">
        <f>(5271+487200+7905910)*1000000</f>
        <v>8398381000000</v>
      </c>
      <c r="I2045" s="23">
        <v>32387465000000</v>
      </c>
      <c r="J2045" s="23">
        <v>11467229000000</v>
      </c>
      <c r="K2045" s="23">
        <f>(J2045+12965360000000)/2</f>
        <v>12216294500000</v>
      </c>
      <c r="L2045" s="177">
        <v>11467229000000</v>
      </c>
      <c r="M2045" s="23">
        <f t="shared" si="725"/>
        <v>20920236000000</v>
      </c>
      <c r="N2045" s="23">
        <v>1771532000000</v>
      </c>
      <c r="O2045" s="25">
        <f t="shared" si="744"/>
        <v>-3068848000000</v>
      </c>
      <c r="P2045" s="23">
        <v>330571000000</v>
      </c>
      <c r="Q2045" s="23">
        <v>248631000000</v>
      </c>
      <c r="R2045" s="25">
        <f t="shared" si="745"/>
        <v>1522901000000</v>
      </c>
      <c r="S2045" s="26">
        <f t="shared" si="746"/>
        <v>0.35406380215308608</v>
      </c>
      <c r="T2045" s="27">
        <f t="shared" si="747"/>
        <v>0.73238103119768516</v>
      </c>
      <c r="U2045" s="26">
        <f t="shared" si="748"/>
        <v>31.108792581152358</v>
      </c>
      <c r="V2045" s="26">
        <f t="shared" si="749"/>
        <v>0.14501385833486577</v>
      </c>
      <c r="W2045" s="143"/>
      <c r="X2045" s="143"/>
      <c r="Y2045" s="143"/>
      <c r="Z2045" s="30">
        <f t="shared" si="750"/>
        <v>0</v>
      </c>
      <c r="AA2045" s="31">
        <f t="shared" si="705"/>
        <v>13</v>
      </c>
      <c r="AB2045" s="32">
        <v>1.84E-2</v>
      </c>
      <c r="AC2045" s="32">
        <v>2.58E-2</v>
      </c>
      <c r="AD2045" s="33">
        <f t="shared" si="675"/>
        <v>-9.4754189622435717E-2</v>
      </c>
      <c r="AE2045" s="34">
        <f t="shared" si="676"/>
        <v>1.0206757460023501E-2</v>
      </c>
      <c r="AF2045" s="33">
        <f t="shared" si="677"/>
        <v>4.7021309015694804E-2</v>
      </c>
      <c r="AG2045" s="33">
        <f t="shared" si="678"/>
        <v>0</v>
      </c>
      <c r="AH2045" s="35">
        <f t="shared" si="679"/>
        <v>0.15448649364201239</v>
      </c>
      <c r="AI2045" s="36">
        <f t="shared" si="655"/>
        <v>0.21024124629091528</v>
      </c>
      <c r="AJ2045" s="23"/>
      <c r="AK2045" s="120">
        <v>1180</v>
      </c>
      <c r="AL2045" s="44"/>
      <c r="AM2045" s="44"/>
      <c r="AN2045" s="44"/>
      <c r="AO2045" s="44"/>
      <c r="AP2045" s="44"/>
      <c r="AQ2045" s="44"/>
      <c r="AR2045" s="44"/>
    </row>
    <row r="2046" spans="1:44" ht="16.8">
      <c r="A2046" s="78" t="s">
        <v>3904</v>
      </c>
      <c r="B2046" s="79"/>
      <c r="C2046" s="182" t="s">
        <v>3905</v>
      </c>
      <c r="D2046" s="183" t="s">
        <v>3903</v>
      </c>
      <c r="E2046" s="20" t="s">
        <v>414</v>
      </c>
      <c r="F2046" s="21">
        <v>2008</v>
      </c>
      <c r="G2046" s="40">
        <v>2022</v>
      </c>
      <c r="H2046" s="177">
        <f>(2633+1178325+9883853)*1000000</f>
        <v>11064811000000</v>
      </c>
      <c r="I2046" s="23">
        <v>42197921000000</v>
      </c>
      <c r="J2046" s="23">
        <v>15062889000000</v>
      </c>
      <c r="K2046" s="23">
        <f t="shared" ref="K2046:K2047" si="752">AVERAGE(J2045:J2046)</f>
        <v>13265059000000</v>
      </c>
      <c r="L2046" s="177">
        <v>15062889000000</v>
      </c>
      <c r="M2046" s="23">
        <f t="shared" si="725"/>
        <v>27135032000000</v>
      </c>
      <c r="N2046" s="23">
        <v>2666756000000</v>
      </c>
      <c r="O2046" s="25">
        <f t="shared" si="744"/>
        <v>-3998078000000</v>
      </c>
      <c r="P2046" s="23">
        <v>365787000000</v>
      </c>
      <c r="Q2046" s="23">
        <v>327238000000</v>
      </c>
      <c r="R2046" s="25">
        <f t="shared" si="745"/>
        <v>2339518000000</v>
      </c>
      <c r="S2046" s="26">
        <f t="shared" si="746"/>
        <v>0.3569580833141045</v>
      </c>
      <c r="T2046" s="27">
        <f t="shared" si="747"/>
        <v>0.73457429049633172</v>
      </c>
      <c r="U2046" s="26">
        <f t="shared" si="748"/>
        <v>31.37339207035409</v>
      </c>
      <c r="V2046" s="26">
        <f t="shared" si="749"/>
        <v>0.20103612053289774</v>
      </c>
      <c r="W2046" s="143"/>
      <c r="X2046" s="143"/>
      <c r="Y2046" s="143"/>
      <c r="Z2046" s="30">
        <f t="shared" si="750"/>
        <v>0</v>
      </c>
      <c r="AA2046" s="31">
        <f t="shared" si="705"/>
        <v>14</v>
      </c>
      <c r="AB2046" s="32">
        <v>3.15E-2</v>
      </c>
      <c r="AC2046" s="32">
        <v>8.0199999999999994E-2</v>
      </c>
      <c r="AD2046" s="33">
        <f t="shared" si="675"/>
        <v>-9.4745852526715718E-2</v>
      </c>
      <c r="AE2046" s="34">
        <f t="shared" si="676"/>
        <v>8.6683654391409466E-3</v>
      </c>
      <c r="AF2046" s="33">
        <f t="shared" si="677"/>
        <v>5.5441546516000161E-2</v>
      </c>
      <c r="AG2046" s="33">
        <f t="shared" si="678"/>
        <v>0</v>
      </c>
      <c r="AH2046" s="35">
        <f t="shared" si="679"/>
        <v>0.17704146926927497</v>
      </c>
      <c r="AI2046" s="36">
        <f t="shared" si="655"/>
        <v>0.25843926135481399</v>
      </c>
      <c r="AJ2046" s="23"/>
      <c r="AK2046" s="120">
        <v>1181</v>
      </c>
      <c r="AL2046" s="44"/>
      <c r="AM2046" s="44"/>
      <c r="AN2046" s="44"/>
      <c r="AO2046" s="44"/>
      <c r="AP2046" s="44"/>
      <c r="AQ2046" s="44"/>
      <c r="AR2046" s="44"/>
    </row>
    <row r="2047" spans="1:44" ht="16.8">
      <c r="A2047" s="78" t="s">
        <v>3906</v>
      </c>
      <c r="B2047" s="79"/>
      <c r="C2047" s="182" t="s">
        <v>3907</v>
      </c>
      <c r="D2047" s="183" t="s">
        <v>3903</v>
      </c>
      <c r="E2047" s="20" t="s">
        <v>414</v>
      </c>
      <c r="F2047" s="21">
        <v>2008</v>
      </c>
      <c r="G2047" s="40">
        <v>2023</v>
      </c>
      <c r="H2047" s="177">
        <f>(1546+1304924+9956408)*1000000</f>
        <v>11262878000000</v>
      </c>
      <c r="I2047" s="23">
        <v>49221131000000</v>
      </c>
      <c r="J2047" s="23">
        <v>10911760000000</v>
      </c>
      <c r="K2047" s="23">
        <f t="shared" si="752"/>
        <v>12987324500000</v>
      </c>
      <c r="L2047" s="177">
        <v>10911760000000</v>
      </c>
      <c r="M2047" s="23">
        <f t="shared" si="725"/>
        <v>38309371000000</v>
      </c>
      <c r="N2047" s="23">
        <v>3993619000000</v>
      </c>
      <c r="O2047" s="25">
        <f t="shared" si="744"/>
        <v>351118000000</v>
      </c>
      <c r="P2047" s="23">
        <v>328379000000</v>
      </c>
      <c r="Q2047" s="23">
        <v>297004000000</v>
      </c>
      <c r="R2047" s="25">
        <f t="shared" si="745"/>
        <v>3696615000000</v>
      </c>
      <c r="S2047" s="26">
        <f t="shared" si="746"/>
        <v>0.22168852641764775</v>
      </c>
      <c r="T2047" s="27">
        <f t="shared" si="747"/>
        <v>1.0321779437964178</v>
      </c>
      <c r="U2047" s="26">
        <f t="shared" si="748"/>
        <v>31.527344139091497</v>
      </c>
      <c r="V2047" s="26">
        <f t="shared" si="749"/>
        <v>0.3075012871203765</v>
      </c>
      <c r="W2047" s="143"/>
      <c r="X2047" s="143"/>
      <c r="Y2047" s="143"/>
      <c r="Z2047" s="30">
        <f t="shared" si="750"/>
        <v>0</v>
      </c>
      <c r="AA2047" s="31">
        <f t="shared" si="705"/>
        <v>15</v>
      </c>
      <c r="AB2047" s="32">
        <v>3.2500000000000001E-2</v>
      </c>
      <c r="AC2047" s="32">
        <v>5.0500000000000003E-2</v>
      </c>
      <c r="AD2047" s="33">
        <f t="shared" si="675"/>
        <v>7.1334809433777537E-3</v>
      </c>
      <c r="AE2047" s="34">
        <f t="shared" si="676"/>
        <v>6.6715045617297989E-3</v>
      </c>
      <c r="AF2047" s="33">
        <f t="shared" si="677"/>
        <v>7.5102195437158889E-2</v>
      </c>
      <c r="AG2047" s="33">
        <f t="shared" si="678"/>
        <v>0</v>
      </c>
      <c r="AH2047" s="35">
        <f t="shared" si="679"/>
        <v>0.36599219557614904</v>
      </c>
      <c r="AI2047" s="36">
        <f t="shared" si="655"/>
        <v>0.63172972403724836</v>
      </c>
      <c r="AJ2047" s="23"/>
      <c r="AK2047" s="120">
        <v>1182</v>
      </c>
      <c r="AL2047" s="44"/>
      <c r="AM2047" s="44"/>
      <c r="AN2047" s="44"/>
      <c r="AO2047" s="44"/>
      <c r="AP2047" s="44"/>
      <c r="AQ2047" s="44"/>
      <c r="AR2047" s="44"/>
    </row>
    <row r="2048" spans="1:44" ht="16.8">
      <c r="A2048" s="78" t="s">
        <v>3908</v>
      </c>
      <c r="B2048" s="79">
        <v>1315</v>
      </c>
      <c r="C2048" s="182" t="s">
        <v>3909</v>
      </c>
      <c r="D2048" s="183" t="s">
        <v>3910</v>
      </c>
      <c r="E2048" s="184" t="s">
        <v>414</v>
      </c>
      <c r="F2048" s="21">
        <v>1989</v>
      </c>
      <c r="G2048" s="40">
        <v>2021</v>
      </c>
      <c r="H2048" s="177">
        <f>(2455611+11847980+55942644)*1000000</f>
        <v>70246235000000</v>
      </c>
      <c r="I2048" s="23">
        <v>374611571000000</v>
      </c>
      <c r="J2048" s="23">
        <v>92656000000</v>
      </c>
      <c r="K2048" s="23">
        <f>(J2048+142771000000)/2</f>
        <v>117713500000</v>
      </c>
      <c r="L2048" s="177">
        <v>343821458000000</v>
      </c>
      <c r="M2048" s="23">
        <f t="shared" si="725"/>
        <v>374518915000000</v>
      </c>
      <c r="N2048" s="23">
        <v>26176210000000</v>
      </c>
      <c r="O2048" s="25">
        <f t="shared" si="744"/>
        <v>-273575223000000</v>
      </c>
      <c r="P2048" s="23">
        <v>6453499000000</v>
      </c>
      <c r="Q2048" s="23">
        <v>6382768000000</v>
      </c>
      <c r="R2048" s="25">
        <f t="shared" si="745"/>
        <v>19793442000000</v>
      </c>
      <c r="S2048" s="26">
        <f t="shared" si="746"/>
        <v>2.473388628991388E-4</v>
      </c>
      <c r="T2048" s="27">
        <f t="shared" si="747"/>
        <v>0.20431021207524516</v>
      </c>
      <c r="U2048" s="26">
        <f t="shared" si="748"/>
        <v>33.556910794409696</v>
      </c>
      <c r="V2048" s="26">
        <f t="shared" si="749"/>
        <v>222.37220029988063</v>
      </c>
      <c r="W2048" s="143"/>
      <c r="X2048" s="143"/>
      <c r="Y2048" s="143"/>
      <c r="Z2048" s="30">
        <f t="shared" si="750"/>
        <v>0</v>
      </c>
      <c r="AA2048" s="31">
        <f t="shared" si="705"/>
        <v>32</v>
      </c>
      <c r="AB2048" s="32">
        <v>1.84E-2</v>
      </c>
      <c r="AC2048" s="32">
        <v>2.58E-2</v>
      </c>
      <c r="AD2048" s="33">
        <f t="shared" si="675"/>
        <v>-0.73029037055558543</v>
      </c>
      <c r="AE2048" s="34">
        <f t="shared" si="676"/>
        <v>1.7227174758037572E-2</v>
      </c>
      <c r="AF2048" s="33">
        <f t="shared" si="677"/>
        <v>5.2837241378216798E-2</v>
      </c>
      <c r="AG2048" s="33">
        <f t="shared" si="678"/>
        <v>0</v>
      </c>
      <c r="AH2048" s="35">
        <f t="shared" si="679"/>
        <v>282.50960542220685</v>
      </c>
      <c r="AI2048" s="36">
        <f t="shared" si="655"/>
        <v>281.83173791874952</v>
      </c>
      <c r="AJ2048" s="23"/>
      <c r="AK2048" s="120">
        <v>1183</v>
      </c>
      <c r="AL2048" s="44"/>
      <c r="AM2048" s="44"/>
      <c r="AN2048" s="44"/>
      <c r="AO2048" s="44"/>
      <c r="AP2048" s="44"/>
      <c r="AQ2048" s="44"/>
      <c r="AR2048" s="44"/>
    </row>
    <row r="2049" spans="1:44" ht="16.8">
      <c r="A2049" s="78" t="s">
        <v>3911</v>
      </c>
      <c r="B2049" s="79"/>
      <c r="C2049" s="182" t="s">
        <v>3909</v>
      </c>
      <c r="D2049" s="183" t="s">
        <v>3910</v>
      </c>
      <c r="E2049" s="184" t="s">
        <v>414</v>
      </c>
      <c r="F2049" s="21">
        <v>1989</v>
      </c>
      <c r="G2049" s="40">
        <v>2022</v>
      </c>
      <c r="H2049" s="177">
        <f>(2937994+11273345+49132317)*1000000</f>
        <v>63343656000000</v>
      </c>
      <c r="I2049" s="23">
        <v>416273023000000</v>
      </c>
      <c r="J2049" s="23">
        <v>377278137000000</v>
      </c>
      <c r="K2049" s="23">
        <f t="shared" ref="K2049:K2050" si="753">AVERAGE(J2048:J2049)</f>
        <v>188685396500000</v>
      </c>
      <c r="L2049" s="177">
        <f t="shared" ref="L2049:L2086" si="754">J2049</f>
        <v>377278137000000</v>
      </c>
      <c r="M2049" s="23">
        <f t="shared" si="725"/>
        <v>38994886000000</v>
      </c>
      <c r="N2049" s="23">
        <v>33323404000000</v>
      </c>
      <c r="O2049" s="25">
        <f t="shared" si="744"/>
        <v>-313934481000000</v>
      </c>
      <c r="P2049" s="23">
        <v>8209470000000</v>
      </c>
      <c r="Q2049" s="23">
        <v>8630709000000</v>
      </c>
      <c r="R2049" s="25">
        <f t="shared" si="745"/>
        <v>24692695000000</v>
      </c>
      <c r="S2049" s="26">
        <f t="shared" si="746"/>
        <v>0.90632377347210413</v>
      </c>
      <c r="T2049" s="27">
        <f t="shared" si="747"/>
        <v>0.16789643975579746</v>
      </c>
      <c r="U2049" s="26">
        <f t="shared" si="748"/>
        <v>33.662362466204144</v>
      </c>
      <c r="V2049" s="26">
        <f t="shared" si="749"/>
        <v>0.17660828351387545</v>
      </c>
      <c r="W2049" s="143"/>
      <c r="X2049" s="143"/>
      <c r="Y2049" s="143"/>
      <c r="Z2049" s="30">
        <f t="shared" si="750"/>
        <v>0</v>
      </c>
      <c r="AA2049" s="31">
        <f t="shared" si="705"/>
        <v>33</v>
      </c>
      <c r="AB2049" s="32">
        <v>3.15E-2</v>
      </c>
      <c r="AC2049" s="32">
        <v>8.0199999999999994E-2</v>
      </c>
      <c r="AD2049" s="33">
        <f t="shared" si="675"/>
        <v>-0.75415523864009804</v>
      </c>
      <c r="AE2049" s="34">
        <f t="shared" si="676"/>
        <v>1.9721359651980137E-2</v>
      </c>
      <c r="AF2049" s="33">
        <f t="shared" si="677"/>
        <v>5.931850885278242E-2</v>
      </c>
      <c r="AG2049" s="33">
        <f t="shared" si="678"/>
        <v>0</v>
      </c>
      <c r="AH2049" s="35">
        <f t="shared" si="679"/>
        <v>8.8325828432512646E-2</v>
      </c>
      <c r="AI2049" s="36">
        <f t="shared" si="655"/>
        <v>-0.59329947520865078</v>
      </c>
      <c r="AJ2049" s="23"/>
      <c r="AK2049" s="120">
        <v>1184</v>
      </c>
      <c r="AL2049" s="44"/>
      <c r="AM2049" s="44"/>
      <c r="AN2049" s="44"/>
      <c r="AO2049" s="44"/>
      <c r="AP2049" s="44"/>
      <c r="AQ2049" s="44"/>
      <c r="AR2049" s="44"/>
    </row>
    <row r="2050" spans="1:44" ht="16.8">
      <c r="A2050" s="78" t="s">
        <v>3912</v>
      </c>
      <c r="B2050" s="79"/>
      <c r="C2050" s="182" t="s">
        <v>3909</v>
      </c>
      <c r="D2050" s="183" t="s">
        <v>3910</v>
      </c>
      <c r="E2050" s="184" t="s">
        <v>414</v>
      </c>
      <c r="F2050" s="21">
        <v>1989</v>
      </c>
      <c r="G2050" s="40">
        <v>2023</v>
      </c>
      <c r="H2050" s="177">
        <f>(2810044+41481638+96514863)*1000000</f>
        <v>140806545000000</v>
      </c>
      <c r="I2050" s="23">
        <v>602314859000000</v>
      </c>
      <c r="J2050" s="23">
        <v>555914537000000</v>
      </c>
      <c r="K2050" s="23">
        <f t="shared" si="753"/>
        <v>466596337000000</v>
      </c>
      <c r="L2050" s="177">
        <f t="shared" si="754"/>
        <v>555914537000000</v>
      </c>
      <c r="M2050" s="23">
        <f t="shared" si="725"/>
        <v>46400322000000</v>
      </c>
      <c r="N2050" s="23">
        <v>52640577000000</v>
      </c>
      <c r="O2050" s="25">
        <f t="shared" si="744"/>
        <v>-415107992000000</v>
      </c>
      <c r="P2050" s="23">
        <v>10336013000000</v>
      </c>
      <c r="Q2050" s="23">
        <v>9129202000000</v>
      </c>
      <c r="R2050" s="25">
        <f t="shared" si="745"/>
        <v>43511375000000</v>
      </c>
      <c r="S2050" s="26">
        <f t="shared" si="746"/>
        <v>0.92296334499029853</v>
      </c>
      <c r="T2050" s="27">
        <f t="shared" si="747"/>
        <v>0.25328811468011675</v>
      </c>
      <c r="U2050" s="26">
        <f t="shared" si="748"/>
        <v>34.031801446103934</v>
      </c>
      <c r="V2050" s="26">
        <f t="shared" si="749"/>
        <v>0.1128182388624281</v>
      </c>
      <c r="W2050" s="143"/>
      <c r="X2050" s="143"/>
      <c r="Y2050" s="143"/>
      <c r="Z2050" s="30">
        <f t="shared" si="750"/>
        <v>0</v>
      </c>
      <c r="AA2050" s="31">
        <f t="shared" si="705"/>
        <v>34</v>
      </c>
      <c r="AB2050" s="32">
        <v>3.2500000000000001E-2</v>
      </c>
      <c r="AC2050" s="32">
        <v>5.0500000000000003E-2</v>
      </c>
      <c r="AD2050" s="33">
        <f t="shared" si="675"/>
        <v>-0.68918769941885161</v>
      </c>
      <c r="AE2050" s="34">
        <f t="shared" si="676"/>
        <v>1.7160481508227243E-2</v>
      </c>
      <c r="AF2050" s="33">
        <f t="shared" si="677"/>
        <v>7.2240248351568559E-2</v>
      </c>
      <c r="AG2050" s="33">
        <f t="shared" si="678"/>
        <v>0</v>
      </c>
      <c r="AH2050" s="35">
        <f t="shared" si="679"/>
        <v>9.4691851888017819E-2</v>
      </c>
      <c r="AI2050" s="36">
        <f t="shared" si="655"/>
        <v>-0.46991589374290982</v>
      </c>
      <c r="AJ2050" s="23"/>
      <c r="AK2050" s="120">
        <v>1185</v>
      </c>
      <c r="AL2050" s="44"/>
      <c r="AM2050" s="44"/>
      <c r="AN2050" s="44"/>
      <c r="AO2050" s="44"/>
      <c r="AP2050" s="44"/>
      <c r="AQ2050" s="44"/>
      <c r="AR2050" s="44"/>
    </row>
    <row r="2051" spans="1:44" ht="16.8">
      <c r="A2051" s="78" t="s">
        <v>3913</v>
      </c>
      <c r="B2051" s="79">
        <v>1317</v>
      </c>
      <c r="C2051" s="182" t="s">
        <v>3914</v>
      </c>
      <c r="D2051" s="183" t="s">
        <v>3915</v>
      </c>
      <c r="E2051" s="184" t="s">
        <v>414</v>
      </c>
      <c r="F2051" s="21">
        <v>2008</v>
      </c>
      <c r="G2051" s="40">
        <v>2021</v>
      </c>
      <c r="H2051" s="177">
        <f>(2751278+9867646+22438493)*1000000</f>
        <v>35057417000000</v>
      </c>
      <c r="I2051" s="23">
        <v>289193879000000</v>
      </c>
      <c r="J2051" s="23">
        <v>272392002000000</v>
      </c>
      <c r="K2051" s="23">
        <f>(J2051+228111225)/2</f>
        <v>136196115055612.5</v>
      </c>
      <c r="L2051" s="177">
        <f t="shared" si="754"/>
        <v>272392002000000</v>
      </c>
      <c r="M2051" s="23">
        <f t="shared" si="725"/>
        <v>16801877000000</v>
      </c>
      <c r="N2051" s="23">
        <v>20925551000000</v>
      </c>
      <c r="O2051" s="25">
        <f t="shared" si="744"/>
        <v>-237334585000000</v>
      </c>
      <c r="P2051" s="23">
        <v>2873248000000</v>
      </c>
      <c r="Q2051" s="23">
        <v>5090421000000</v>
      </c>
      <c r="R2051" s="25">
        <f t="shared" si="745"/>
        <v>15835130000000</v>
      </c>
      <c r="S2051" s="26">
        <f t="shared" si="746"/>
        <v>0.94190099369288516</v>
      </c>
      <c r="T2051" s="27">
        <f t="shared" si="747"/>
        <v>0.12870207914548093</v>
      </c>
      <c r="U2051" s="26">
        <f t="shared" si="748"/>
        <v>33.298118440705629</v>
      </c>
      <c r="V2051" s="26">
        <f t="shared" si="749"/>
        <v>0.15364278923415356</v>
      </c>
      <c r="W2051" s="143"/>
      <c r="X2051" s="143"/>
      <c r="Y2051" s="143"/>
      <c r="Z2051" s="30">
        <f t="shared" si="750"/>
        <v>0</v>
      </c>
      <c r="AA2051" s="31">
        <f t="shared" si="705"/>
        <v>13</v>
      </c>
      <c r="AB2051" s="32">
        <v>1.84E-2</v>
      </c>
      <c r="AC2051" s="32">
        <v>2.58E-2</v>
      </c>
      <c r="AD2051" s="33">
        <f t="shared" si="675"/>
        <v>-0.82067637745541633</v>
      </c>
      <c r="AE2051" s="34">
        <f t="shared" si="676"/>
        <v>9.9353693443836686E-3</v>
      </c>
      <c r="AF2051" s="33">
        <f t="shared" si="677"/>
        <v>5.4756103603423777E-2</v>
      </c>
      <c r="AG2051" s="33">
        <f t="shared" si="678"/>
        <v>0</v>
      </c>
      <c r="AH2051" s="35">
        <f t="shared" si="679"/>
        <v>7.6821458950178723E-2</v>
      </c>
      <c r="AI2051" s="36">
        <f t="shared" si="655"/>
        <v>-0.71338553502288526</v>
      </c>
      <c r="AJ2051" s="23"/>
      <c r="AK2051" s="120">
        <v>1186</v>
      </c>
      <c r="AL2051" s="44"/>
      <c r="AM2051" s="44"/>
      <c r="AN2051" s="44"/>
      <c r="AO2051" s="44"/>
      <c r="AP2051" s="44"/>
      <c r="AQ2051" s="44"/>
      <c r="AR2051" s="44"/>
    </row>
    <row r="2052" spans="1:44" ht="16.8">
      <c r="A2052" s="78" t="s">
        <v>3916</v>
      </c>
      <c r="B2052" s="79"/>
      <c r="C2052" s="182" t="s">
        <v>3917</v>
      </c>
      <c r="D2052" s="183" t="s">
        <v>3915</v>
      </c>
      <c r="E2052" s="184" t="s">
        <v>414</v>
      </c>
      <c r="F2052" s="21">
        <v>2008</v>
      </c>
      <c r="G2052" s="40">
        <v>2022</v>
      </c>
      <c r="H2052" s="177">
        <f>(2983877+10323700+31967998)*1000000</f>
        <v>45275575000000</v>
      </c>
      <c r="I2052" s="23">
        <v>327745847000000</v>
      </c>
      <c r="J2052" s="23">
        <v>303690693000000</v>
      </c>
      <c r="K2052" s="23">
        <f t="shared" ref="K2052:K2053" si="755">AVERAGE(J2051:J2052)</f>
        <v>288041347500000</v>
      </c>
      <c r="L2052" s="177">
        <f t="shared" si="754"/>
        <v>303690693000000</v>
      </c>
      <c r="M2052" s="23">
        <f t="shared" si="725"/>
        <v>24055154000000</v>
      </c>
      <c r="N2052" s="23">
        <v>25225644000000</v>
      </c>
      <c r="O2052" s="25">
        <f t="shared" si="744"/>
        <v>-258415118000000</v>
      </c>
      <c r="P2052" s="23">
        <v>4510253000000</v>
      </c>
      <c r="Q2052" s="23">
        <v>5306893000000</v>
      </c>
      <c r="R2052" s="25">
        <f t="shared" si="745"/>
        <v>19918751000000</v>
      </c>
      <c r="S2052" s="26">
        <f t="shared" si="746"/>
        <v>0.92660424466034497</v>
      </c>
      <c r="T2052" s="27">
        <f t="shared" si="747"/>
        <v>0.14908449960302209</v>
      </c>
      <c r="U2052" s="26">
        <f t="shared" si="748"/>
        <v>33.423259567248749</v>
      </c>
      <c r="V2052" s="26">
        <f t="shared" si="749"/>
        <v>8.7576468513778219E-2</v>
      </c>
      <c r="W2052" s="143"/>
      <c r="X2052" s="143"/>
      <c r="Y2052" s="143"/>
      <c r="Z2052" s="30">
        <f t="shared" si="750"/>
        <v>0</v>
      </c>
      <c r="AA2052" s="31">
        <f t="shared" si="705"/>
        <v>14</v>
      </c>
      <c r="AB2052" s="32">
        <v>3.15E-2</v>
      </c>
      <c r="AC2052" s="32">
        <v>8.0199999999999994E-2</v>
      </c>
      <c r="AD2052" s="33">
        <f t="shared" si="675"/>
        <v>-0.78846191451512126</v>
      </c>
      <c r="AE2052" s="34">
        <f t="shared" si="676"/>
        <v>1.3761434481273534E-2</v>
      </c>
      <c r="AF2052" s="33">
        <f t="shared" si="677"/>
        <v>6.0774991299889759E-2</v>
      </c>
      <c r="AG2052" s="33">
        <f t="shared" si="678"/>
        <v>0</v>
      </c>
      <c r="AH2052" s="35">
        <f t="shared" si="679"/>
        <v>8.3063605772074153E-2</v>
      </c>
      <c r="AI2052" s="36">
        <f t="shared" si="655"/>
        <v>-0.64326721208265214</v>
      </c>
      <c r="AJ2052" s="23"/>
      <c r="AK2052" s="120">
        <v>1187</v>
      </c>
      <c r="AL2052" s="44"/>
      <c r="AM2052" s="44"/>
      <c r="AN2052" s="44"/>
      <c r="AO2052" s="44"/>
      <c r="AP2052" s="44"/>
      <c r="AQ2052" s="44"/>
      <c r="AR2052" s="44"/>
    </row>
    <row r="2053" spans="1:44" ht="16.8">
      <c r="A2053" s="78" t="s">
        <v>3918</v>
      </c>
      <c r="B2053" s="79"/>
      <c r="C2053" s="182" t="s">
        <v>3919</v>
      </c>
      <c r="D2053" s="183" t="s">
        <v>3915</v>
      </c>
      <c r="E2053" s="184" t="s">
        <v>414</v>
      </c>
      <c r="F2053" s="21">
        <v>2008</v>
      </c>
      <c r="G2053" s="40">
        <v>2023</v>
      </c>
      <c r="H2053" s="177">
        <f>(2382762+14578444+35527676)*1000000</f>
        <v>52488882000000</v>
      </c>
      <c r="I2053" s="23">
        <v>382863179000000</v>
      </c>
      <c r="J2053" s="23">
        <v>348745779000000</v>
      </c>
      <c r="K2053" s="23">
        <f t="shared" si="755"/>
        <v>326218236000000</v>
      </c>
      <c r="L2053" s="177">
        <f t="shared" si="754"/>
        <v>348745779000000</v>
      </c>
      <c r="M2053" s="23">
        <f t="shared" si="725"/>
        <v>34117400000000</v>
      </c>
      <c r="N2053" s="23">
        <v>32353651000000</v>
      </c>
      <c r="O2053" s="25">
        <f t="shared" si="744"/>
        <v>-296256897000000</v>
      </c>
      <c r="P2053" s="23">
        <v>5572246000000</v>
      </c>
      <c r="Q2053" s="23">
        <v>5759872000000</v>
      </c>
      <c r="R2053" s="25">
        <f t="shared" si="745"/>
        <v>26593779000000</v>
      </c>
      <c r="S2053" s="26">
        <f t="shared" si="746"/>
        <v>0.91088879299098124</v>
      </c>
      <c r="T2053" s="27">
        <f t="shared" si="747"/>
        <v>0.15050757646589322</v>
      </c>
      <c r="U2053" s="26">
        <f t="shared" si="748"/>
        <v>33.578698806298632</v>
      </c>
      <c r="V2053" s="26">
        <f t="shared" si="749"/>
        <v>9.9177934982151023E-2</v>
      </c>
      <c r="W2053" s="143"/>
      <c r="X2053" s="143"/>
      <c r="Y2053" s="143"/>
      <c r="Z2053" s="30">
        <f t="shared" si="750"/>
        <v>0</v>
      </c>
      <c r="AA2053" s="31">
        <f t="shared" si="705"/>
        <v>15</v>
      </c>
      <c r="AB2053" s="32">
        <v>3.2500000000000001E-2</v>
      </c>
      <c r="AC2053" s="32">
        <v>5.0500000000000003E-2</v>
      </c>
      <c r="AD2053" s="33">
        <f t="shared" si="675"/>
        <v>-0.77379312832796598</v>
      </c>
      <c r="AE2053" s="34">
        <f t="shared" si="676"/>
        <v>1.4554144419304423E-2</v>
      </c>
      <c r="AF2053" s="33">
        <f t="shared" si="677"/>
        <v>6.946026794600689E-2</v>
      </c>
      <c r="AG2053" s="33">
        <f t="shared" si="678"/>
        <v>0</v>
      </c>
      <c r="AH2053" s="35">
        <f t="shared" si="679"/>
        <v>9.2771448281815619E-2</v>
      </c>
      <c r="AI2053" s="36">
        <f t="shared" ref="AI2053:AI2307" si="756">1.2*AD2053+1.4*AE2053+3.3*AF2053+0.6*AG2053+1*AH2053</f>
        <v>-0.5861856193028947</v>
      </c>
      <c r="AJ2053" s="23"/>
      <c r="AK2053" s="120">
        <v>1188</v>
      </c>
      <c r="AL2053" s="44"/>
      <c r="AM2053" s="44"/>
      <c r="AN2053" s="44"/>
      <c r="AO2053" s="44"/>
      <c r="AP2053" s="44"/>
      <c r="AQ2053" s="44"/>
      <c r="AR2053" s="44"/>
    </row>
    <row r="2054" spans="1:44" ht="16.8">
      <c r="A2054" s="78" t="s">
        <v>3920</v>
      </c>
      <c r="B2054" s="79">
        <v>1318</v>
      </c>
      <c r="C2054" s="182" t="s">
        <v>3921</v>
      </c>
      <c r="D2054" s="183" t="s">
        <v>3922</v>
      </c>
      <c r="E2054" s="184" t="s">
        <v>414</v>
      </c>
      <c r="F2054" s="21">
        <v>1991</v>
      </c>
      <c r="G2054" s="40">
        <v>2021</v>
      </c>
      <c r="H2054" s="177">
        <f>(1524098+3056674+33441936)*1000000</f>
        <v>38022708000000</v>
      </c>
      <c r="I2054" s="23">
        <v>203665423000000</v>
      </c>
      <c r="J2054" s="23">
        <v>181627638000000</v>
      </c>
      <c r="K2054" s="23">
        <f>(J2054+176697625000000)/2</f>
        <v>179162631500000</v>
      </c>
      <c r="L2054" s="177">
        <f t="shared" si="754"/>
        <v>181627638000000</v>
      </c>
      <c r="M2054" s="23">
        <f t="shared" si="725"/>
        <v>22037785000000</v>
      </c>
      <c r="N2054" s="23">
        <v>10338591000000</v>
      </c>
      <c r="O2054" s="25">
        <f t="shared" si="744"/>
        <v>-143604930000000</v>
      </c>
      <c r="P2054" s="23">
        <v>4034740000000</v>
      </c>
      <c r="Q2054" s="23">
        <v>3931913000000</v>
      </c>
      <c r="R2054" s="25">
        <f t="shared" si="745"/>
        <v>6406678000000</v>
      </c>
      <c r="S2054" s="26">
        <f t="shared" si="746"/>
        <v>0.89179417558767449</v>
      </c>
      <c r="T2054" s="27">
        <f t="shared" si="747"/>
        <v>0.20934428492650442</v>
      </c>
      <c r="U2054" s="26">
        <f t="shared" si="748"/>
        <v>32.947499680030411</v>
      </c>
      <c r="V2054" s="26">
        <f t="shared" si="749"/>
        <v>5.7705063346315047E-2</v>
      </c>
      <c r="W2054" s="143"/>
      <c r="X2054" s="143"/>
      <c r="Y2054" s="143"/>
      <c r="Z2054" s="30">
        <f t="shared" si="750"/>
        <v>0</v>
      </c>
      <c r="AA2054" s="31">
        <f t="shared" si="705"/>
        <v>30</v>
      </c>
      <c r="AB2054" s="32">
        <v>1.84E-2</v>
      </c>
      <c r="AC2054" s="32">
        <v>2.58E-2</v>
      </c>
      <c r="AD2054" s="33">
        <f t="shared" si="675"/>
        <v>-0.70510216159765127</v>
      </c>
      <c r="AE2054" s="34">
        <f t="shared" si="676"/>
        <v>1.9810628336259122E-2</v>
      </c>
      <c r="AF2054" s="33">
        <f t="shared" si="677"/>
        <v>3.1456876212119719E-2</v>
      </c>
      <c r="AG2054" s="33">
        <f t="shared" si="678"/>
        <v>0</v>
      </c>
      <c r="AH2054" s="35">
        <f t="shared" si="679"/>
        <v>5.6921904143244981E-2</v>
      </c>
      <c r="AI2054" s="36">
        <f t="shared" si="756"/>
        <v>-0.65765811860317869</v>
      </c>
      <c r="AJ2054" s="23"/>
      <c r="AK2054" s="120">
        <v>1189</v>
      </c>
      <c r="AL2054" s="44"/>
      <c r="AM2054" s="44"/>
      <c r="AN2054" s="44"/>
      <c r="AO2054" s="44"/>
      <c r="AP2054" s="44"/>
      <c r="AQ2054" s="44"/>
      <c r="AR2054" s="44"/>
    </row>
    <row r="2055" spans="1:44" ht="16.8">
      <c r="A2055" s="78" t="s">
        <v>3923</v>
      </c>
      <c r="B2055" s="79"/>
      <c r="C2055" s="182" t="s">
        <v>3924</v>
      </c>
      <c r="D2055" s="183" t="s">
        <v>3922</v>
      </c>
      <c r="E2055" s="184" t="s">
        <v>414</v>
      </c>
      <c r="F2055" s="21">
        <v>1991</v>
      </c>
      <c r="G2055" s="40">
        <v>2022</v>
      </c>
      <c r="H2055" s="177">
        <f>(1393551+3689730+39243600)*1000000</f>
        <v>44326881000000</v>
      </c>
      <c r="I2055" s="23">
        <v>212775858000000</v>
      </c>
      <c r="J2055" s="23">
        <v>186121860000000</v>
      </c>
      <c r="K2055" s="23">
        <f t="shared" ref="K2055:K2056" si="757">AVERAGE(J2054:J2055)</f>
        <v>183874749000000</v>
      </c>
      <c r="L2055" s="177">
        <f t="shared" si="754"/>
        <v>186121860000000</v>
      </c>
      <c r="M2055" s="23">
        <f t="shared" si="725"/>
        <v>26653998000000</v>
      </c>
      <c r="N2055" s="23">
        <v>13252114000000</v>
      </c>
      <c r="O2055" s="25">
        <f t="shared" si="744"/>
        <v>-141794979000000</v>
      </c>
      <c r="P2055" s="23">
        <v>4616213000000</v>
      </c>
      <c r="Q2055" s="23">
        <v>4427964000000</v>
      </c>
      <c r="R2055" s="25">
        <f t="shared" si="745"/>
        <v>8824150000000</v>
      </c>
      <c r="S2055" s="26">
        <f t="shared" si="746"/>
        <v>0.87473203844394787</v>
      </c>
      <c r="T2055" s="27">
        <f t="shared" si="747"/>
        <v>0.23816053095536441</v>
      </c>
      <c r="U2055" s="26">
        <f t="shared" si="748"/>
        <v>32.991260417712063</v>
      </c>
      <c r="V2055" s="26">
        <f t="shared" si="749"/>
        <v>7.2071418571997614E-2</v>
      </c>
      <c r="W2055" s="143"/>
      <c r="X2055" s="143"/>
      <c r="Y2055" s="143"/>
      <c r="Z2055" s="30">
        <f t="shared" si="750"/>
        <v>0</v>
      </c>
      <c r="AA2055" s="31">
        <f t="shared" si="705"/>
        <v>31</v>
      </c>
      <c r="AB2055" s="32">
        <v>3.15E-2</v>
      </c>
      <c r="AC2055" s="32">
        <v>8.0199999999999994E-2</v>
      </c>
      <c r="AD2055" s="33">
        <f t="shared" si="675"/>
        <v>-0.666405391724469</v>
      </c>
      <c r="AE2055" s="34">
        <f t="shared" si="676"/>
        <v>2.169519156632892E-2</v>
      </c>
      <c r="AF2055" s="33">
        <f t="shared" si="677"/>
        <v>4.1471575219778928E-2</v>
      </c>
      <c r="AG2055" s="33">
        <f t="shared" si="678"/>
        <v>0</v>
      </c>
      <c r="AH2055" s="35">
        <f t="shared" si="679"/>
        <v>7.120127641105671E-2</v>
      </c>
      <c r="AI2055" s="36">
        <f t="shared" si="756"/>
        <v>-0.56125572724017514</v>
      </c>
      <c r="AJ2055" s="23"/>
      <c r="AK2055" s="120">
        <v>1190</v>
      </c>
      <c r="AL2055" s="44"/>
      <c r="AM2055" s="44"/>
      <c r="AN2055" s="44"/>
      <c r="AO2055" s="44"/>
      <c r="AP2055" s="44"/>
      <c r="AQ2055" s="44"/>
      <c r="AR2055" s="44"/>
    </row>
    <row r="2056" spans="1:44" ht="16.8">
      <c r="A2056" s="78" t="s">
        <v>3925</v>
      </c>
      <c r="B2056" s="79"/>
      <c r="C2056" s="182" t="s">
        <v>3926</v>
      </c>
      <c r="D2056" s="183" t="s">
        <v>3922</v>
      </c>
      <c r="E2056" s="184" t="s">
        <v>414</v>
      </c>
      <c r="F2056" s="21">
        <v>1991</v>
      </c>
      <c r="G2056" s="40">
        <v>2023</v>
      </c>
      <c r="H2056" s="177">
        <f>(939629+4589199+61149694)*1000000</f>
        <v>66678522000000</v>
      </c>
      <c r="I2056" s="23">
        <v>267005838000000</v>
      </c>
      <c r="J2056" s="23">
        <v>235707626000000</v>
      </c>
      <c r="K2056" s="23">
        <f t="shared" si="757"/>
        <v>210914743000000</v>
      </c>
      <c r="L2056" s="177">
        <f t="shared" si="754"/>
        <v>235707626000000</v>
      </c>
      <c r="M2056" s="23">
        <f t="shared" si="725"/>
        <v>31298212000000</v>
      </c>
      <c r="N2056" s="23">
        <v>9188515000000</v>
      </c>
      <c r="O2056" s="25">
        <f t="shared" si="744"/>
        <v>-169029104000000</v>
      </c>
      <c r="P2056" s="23">
        <v>4644214000000</v>
      </c>
      <c r="Q2056" s="23">
        <v>4812331000000</v>
      </c>
      <c r="R2056" s="25">
        <f t="shared" si="745"/>
        <v>4376184000000</v>
      </c>
      <c r="S2056" s="26">
        <f t="shared" si="746"/>
        <v>0.88278079522740627</v>
      </c>
      <c r="T2056" s="27">
        <f t="shared" si="747"/>
        <v>0.28288657067039485</v>
      </c>
      <c r="U2056" s="26">
        <f t="shared" si="748"/>
        <v>33.218291639258297</v>
      </c>
      <c r="V2056" s="26">
        <f t="shared" si="749"/>
        <v>4.3565067426320214E-2</v>
      </c>
      <c r="W2056" s="143"/>
      <c r="X2056" s="143"/>
      <c r="Y2056" s="143"/>
      <c r="Z2056" s="30">
        <f t="shared" si="750"/>
        <v>0</v>
      </c>
      <c r="AA2056" s="31">
        <f t="shared" si="705"/>
        <v>32</v>
      </c>
      <c r="AB2056" s="32">
        <v>3.2500000000000001E-2</v>
      </c>
      <c r="AC2056" s="32">
        <v>5.0500000000000003E-2</v>
      </c>
      <c r="AD2056" s="33">
        <f t="shared" si="675"/>
        <v>-0.63305396341184117</v>
      </c>
      <c r="AE2056" s="34">
        <f t="shared" si="676"/>
        <v>1.7393679609357456E-2</v>
      </c>
      <c r="AF2056" s="33">
        <f t="shared" si="677"/>
        <v>1.6389843880492232E-2</v>
      </c>
      <c r="AG2056" s="33">
        <f t="shared" si="678"/>
        <v>0</v>
      </c>
      <c r="AH2056" s="35">
        <f t="shared" si="679"/>
        <v>3.8982680178536101E-2</v>
      </c>
      <c r="AI2056" s="36">
        <f t="shared" si="756"/>
        <v>-0.64224443965694844</v>
      </c>
      <c r="AJ2056" s="23"/>
      <c r="AK2056" s="120">
        <v>1191</v>
      </c>
      <c r="AL2056" s="44"/>
      <c r="AM2056" s="44"/>
      <c r="AN2056" s="44"/>
      <c r="AO2056" s="44"/>
      <c r="AP2056" s="44"/>
      <c r="AQ2056" s="44"/>
      <c r="AR2056" s="44"/>
    </row>
    <row r="2057" spans="1:44" ht="16.8">
      <c r="A2057" s="78" t="s">
        <v>3927</v>
      </c>
      <c r="B2057" s="79">
        <v>1319</v>
      </c>
      <c r="C2057" s="182" t="s">
        <v>3928</v>
      </c>
      <c r="D2057" s="183" t="s">
        <v>3929</v>
      </c>
      <c r="E2057" s="184" t="s">
        <v>414</v>
      </c>
      <c r="F2057" s="21">
        <v>1992</v>
      </c>
      <c r="G2057" s="40">
        <v>2021</v>
      </c>
      <c r="H2057" s="177">
        <f>(1001628+5131299+17770233)*1000000</f>
        <v>23903160000000</v>
      </c>
      <c r="I2057" s="23">
        <v>153237506000000</v>
      </c>
      <c r="J2057" s="23">
        <v>145212664000000</v>
      </c>
      <c r="K2057" s="23">
        <f>(J2057+127716425000000)/2</f>
        <v>136464544500000</v>
      </c>
      <c r="L2057" s="177">
        <f t="shared" si="754"/>
        <v>145212664000000</v>
      </c>
      <c r="M2057" s="23">
        <f t="shared" si="725"/>
        <v>8024842000000</v>
      </c>
      <c r="N2057" s="23">
        <v>11054339000000</v>
      </c>
      <c r="O2057" s="25">
        <f t="shared" si="744"/>
        <v>-121309504000000</v>
      </c>
      <c r="P2057" s="23">
        <v>1434363000000</v>
      </c>
      <c r="Q2057" s="23">
        <v>2239731000000</v>
      </c>
      <c r="R2057" s="25">
        <f t="shared" si="745"/>
        <v>8814608000000</v>
      </c>
      <c r="S2057" s="26">
        <f t="shared" si="746"/>
        <v>0.94763134555322248</v>
      </c>
      <c r="T2057" s="27">
        <f t="shared" si="747"/>
        <v>0.16460795733352843</v>
      </c>
      <c r="U2057" s="26">
        <f t="shared" si="748"/>
        <v>32.66301016050457</v>
      </c>
      <c r="V2057" s="26">
        <f t="shared" si="749"/>
        <v>8.1005209378762849E-2</v>
      </c>
      <c r="W2057" s="143"/>
      <c r="X2057" s="143"/>
      <c r="Y2057" s="143"/>
      <c r="Z2057" s="30">
        <f t="shared" si="750"/>
        <v>0</v>
      </c>
      <c r="AA2057" s="31">
        <f t="shared" si="705"/>
        <v>29</v>
      </c>
      <c r="AB2057" s="32">
        <v>1.84E-2</v>
      </c>
      <c r="AC2057" s="32">
        <v>2.58E-2</v>
      </c>
      <c r="AD2057" s="33">
        <f t="shared" si="675"/>
        <v>-0.79164368545648345</v>
      </c>
      <c r="AE2057" s="34">
        <f t="shared" si="676"/>
        <v>9.3603911825607504E-3</v>
      </c>
      <c r="AF2057" s="33">
        <f t="shared" si="677"/>
        <v>5.7522523239186628E-2</v>
      </c>
      <c r="AG2057" s="33">
        <f t="shared" si="678"/>
        <v>0</v>
      </c>
      <c r="AH2057" s="35">
        <f t="shared" si="679"/>
        <v>7.6125171837629804E-2</v>
      </c>
      <c r="AI2057" s="36">
        <f t="shared" si="756"/>
        <v>-0.67091837636524942</v>
      </c>
      <c r="AJ2057" s="23"/>
      <c r="AK2057" s="120">
        <v>1192</v>
      </c>
      <c r="AL2057" s="44"/>
      <c r="AM2057" s="44"/>
      <c r="AN2057" s="44"/>
      <c r="AO2057" s="44"/>
      <c r="AP2057" s="44"/>
      <c r="AQ2057" s="44"/>
      <c r="AR2057" s="44"/>
    </row>
    <row r="2058" spans="1:44" ht="16.8">
      <c r="A2058" s="78" t="s">
        <v>3930</v>
      </c>
      <c r="B2058" s="79"/>
      <c r="C2058" s="182" t="s">
        <v>3931</v>
      </c>
      <c r="D2058" s="183" t="s">
        <v>3929</v>
      </c>
      <c r="E2058" s="184" t="s">
        <v>414</v>
      </c>
      <c r="F2058" s="21">
        <v>1992</v>
      </c>
      <c r="G2058" s="40">
        <v>2022</v>
      </c>
      <c r="H2058" s="177">
        <f>(1062738+1975334+23905527)*1000000</f>
        <v>26943599000000</v>
      </c>
      <c r="I2058" s="23">
        <v>177578734000000</v>
      </c>
      <c r="J2058" s="23">
        <v>164928954000000</v>
      </c>
      <c r="K2058" s="23">
        <f t="shared" ref="K2058:K2059" si="758">AVERAGE(J2057:J2058)</f>
        <v>155070809000000</v>
      </c>
      <c r="L2058" s="177">
        <f t="shared" si="754"/>
        <v>164928954000000</v>
      </c>
      <c r="M2058" s="23">
        <f t="shared" si="725"/>
        <v>12649780000000</v>
      </c>
      <c r="N2058" s="23">
        <v>12966350000000</v>
      </c>
      <c r="O2058" s="25">
        <f t="shared" si="744"/>
        <v>-137985355000000</v>
      </c>
      <c r="P2058" s="23">
        <v>1807876000000</v>
      </c>
      <c r="Q2058" s="23">
        <v>2841928000000</v>
      </c>
      <c r="R2058" s="25">
        <f t="shared" si="745"/>
        <v>10124422000000</v>
      </c>
      <c r="S2058" s="26">
        <f t="shared" si="746"/>
        <v>0.92876523153949275</v>
      </c>
      <c r="T2058" s="27">
        <f t="shared" si="747"/>
        <v>0.16336488134157451</v>
      </c>
      <c r="U2058" s="26">
        <f t="shared" si="748"/>
        <v>32.810435198326104</v>
      </c>
      <c r="V2058" s="26">
        <f t="shared" si="749"/>
        <v>8.3615672631204244E-2</v>
      </c>
      <c r="W2058" s="143"/>
      <c r="X2058" s="143"/>
      <c r="Y2058" s="143"/>
      <c r="Z2058" s="30">
        <f t="shared" si="750"/>
        <v>0</v>
      </c>
      <c r="AA2058" s="31">
        <f t="shared" si="705"/>
        <v>30</v>
      </c>
      <c r="AB2058" s="32">
        <v>3.15E-2</v>
      </c>
      <c r="AC2058" s="32">
        <v>8.0199999999999994E-2</v>
      </c>
      <c r="AD2058" s="33">
        <f t="shared" si="675"/>
        <v>-0.77703760969486357</v>
      </c>
      <c r="AE2058" s="34">
        <f t="shared" si="676"/>
        <v>1.0180701029212202E-2</v>
      </c>
      <c r="AF2058" s="33">
        <f t="shared" si="677"/>
        <v>5.7013707508467765E-2</v>
      </c>
      <c r="AG2058" s="33">
        <f t="shared" si="678"/>
        <v>0</v>
      </c>
      <c r="AH2058" s="35">
        <f t="shared" si="679"/>
        <v>7.8617790785237146E-2</v>
      </c>
      <c r="AI2058" s="36">
        <f t="shared" si="756"/>
        <v>-0.65142912462975844</v>
      </c>
      <c r="AJ2058" s="23"/>
      <c r="AK2058" s="120">
        <v>1193</v>
      </c>
      <c r="AL2058" s="44"/>
      <c r="AM2058" s="44"/>
      <c r="AN2058" s="44"/>
      <c r="AO2058" s="44"/>
      <c r="AP2058" s="44"/>
      <c r="AQ2058" s="44"/>
      <c r="AR2058" s="44"/>
    </row>
    <row r="2059" spans="1:44" ht="16.8">
      <c r="A2059" s="78" t="s">
        <v>3932</v>
      </c>
      <c r="B2059" s="79"/>
      <c r="C2059" s="182" t="s">
        <v>3933</v>
      </c>
      <c r="D2059" s="183" t="s">
        <v>3929</v>
      </c>
      <c r="E2059" s="184" t="s">
        <v>414</v>
      </c>
      <c r="F2059" s="21">
        <v>1992</v>
      </c>
      <c r="G2059" s="40">
        <v>2023</v>
      </c>
      <c r="H2059" s="177">
        <f>(1132969+16268047+22591302)*1000000</f>
        <v>39992318000000</v>
      </c>
      <c r="I2059" s="23">
        <v>209896239000000</v>
      </c>
      <c r="J2059" s="23">
        <v>194654447000000</v>
      </c>
      <c r="K2059" s="23">
        <f t="shared" si="758"/>
        <v>179791700500000</v>
      </c>
      <c r="L2059" s="177">
        <f t="shared" si="754"/>
        <v>194654447000000</v>
      </c>
      <c r="M2059" s="23">
        <f t="shared" si="725"/>
        <v>15241792000000</v>
      </c>
      <c r="N2059" s="23">
        <v>19338340000000</v>
      </c>
      <c r="O2059" s="25">
        <f t="shared" si="744"/>
        <v>-154662129000000</v>
      </c>
      <c r="P2059" s="23">
        <v>2621619000000</v>
      </c>
      <c r="Q2059" s="23">
        <v>7644211000000</v>
      </c>
      <c r="R2059" s="25">
        <f t="shared" si="745"/>
        <v>11694129000000</v>
      </c>
      <c r="S2059" s="26">
        <f t="shared" si="746"/>
        <v>0.92738415860800627</v>
      </c>
      <c r="T2059" s="27">
        <f t="shared" si="747"/>
        <v>0.20545288646809082</v>
      </c>
      <c r="U2059" s="26">
        <f t="shared" si="748"/>
        <v>32.977634424538387</v>
      </c>
      <c r="V2059" s="26">
        <f t="shared" si="749"/>
        <v>0.10755969238969404</v>
      </c>
      <c r="W2059" s="143"/>
      <c r="X2059" s="143"/>
      <c r="Y2059" s="143"/>
      <c r="Z2059" s="30">
        <f t="shared" si="750"/>
        <v>0</v>
      </c>
      <c r="AA2059" s="31">
        <f t="shared" si="705"/>
        <v>31</v>
      </c>
      <c r="AB2059" s="32">
        <v>3.2500000000000001E-2</v>
      </c>
      <c r="AC2059" s="32">
        <v>5.0500000000000003E-2</v>
      </c>
      <c r="AD2059" s="33">
        <f t="shared" si="675"/>
        <v>-0.73685040635720966</v>
      </c>
      <c r="AE2059" s="34">
        <f t="shared" si="676"/>
        <v>1.2490071344251194E-2</v>
      </c>
      <c r="AF2059" s="33">
        <f t="shared" si="677"/>
        <v>5.5713856788067555E-2</v>
      </c>
      <c r="AG2059" s="33">
        <f t="shared" si="678"/>
        <v>0</v>
      </c>
      <c r="AH2059" s="35">
        <f t="shared" si="679"/>
        <v>9.9347023908475107E-2</v>
      </c>
      <c r="AI2059" s="36">
        <f t="shared" si="756"/>
        <v>-0.58353163643760175</v>
      </c>
      <c r="AJ2059" s="23"/>
      <c r="AK2059" s="120">
        <v>1194</v>
      </c>
      <c r="AL2059" s="44"/>
      <c r="AM2059" s="44"/>
      <c r="AN2059" s="44"/>
      <c r="AO2059" s="44"/>
      <c r="AP2059" s="44"/>
      <c r="AQ2059" s="44"/>
      <c r="AR2059" s="44"/>
    </row>
    <row r="2060" spans="1:44" ht="16.8">
      <c r="A2060" s="78" t="s">
        <v>3934</v>
      </c>
      <c r="B2060" s="79">
        <v>1320</v>
      </c>
      <c r="C2060" s="182" t="s">
        <v>3935</v>
      </c>
      <c r="D2060" s="183" t="s">
        <v>3936</v>
      </c>
      <c r="E2060" s="184" t="s">
        <v>414</v>
      </c>
      <c r="F2060" s="21">
        <v>1996</v>
      </c>
      <c r="G2060" s="40">
        <v>2021</v>
      </c>
      <c r="H2060" s="177">
        <f>713556130605+385855231576+22594539046751</f>
        <v>23693950408932</v>
      </c>
      <c r="I2060" s="23">
        <v>184491035016344</v>
      </c>
      <c r="J2060" s="23">
        <v>162686025615989</v>
      </c>
      <c r="K2060" s="23">
        <f>(J2060+135093495665351)/2</f>
        <v>148889760640670</v>
      </c>
      <c r="L2060" s="177">
        <f t="shared" si="754"/>
        <v>162686025615989</v>
      </c>
      <c r="M2060" s="23">
        <f t="shared" si="725"/>
        <v>21805009400355</v>
      </c>
      <c r="N2060" s="23">
        <v>11720101268150</v>
      </c>
      <c r="O2060" s="25">
        <f t="shared" si="744"/>
        <v>-138992075207057</v>
      </c>
      <c r="P2060" s="23">
        <v>4404958967802</v>
      </c>
      <c r="Q2060" s="23">
        <v>2402923565171</v>
      </c>
      <c r="R2060" s="25">
        <f t="shared" si="745"/>
        <v>9317177702979</v>
      </c>
      <c r="S2060" s="26">
        <f t="shared" si="746"/>
        <v>0.88180992426855154</v>
      </c>
      <c r="T2060" s="27">
        <f t="shared" si="747"/>
        <v>0.14564219833398726</v>
      </c>
      <c r="U2060" s="26">
        <f t="shared" si="748"/>
        <v>32.848621987531239</v>
      </c>
      <c r="V2060" s="26">
        <f t="shared" si="749"/>
        <v>7.8716637179874635E-2</v>
      </c>
      <c r="W2060" s="143"/>
      <c r="X2060" s="143"/>
      <c r="Y2060" s="143"/>
      <c r="Z2060" s="30">
        <f t="shared" si="750"/>
        <v>0</v>
      </c>
      <c r="AA2060" s="31">
        <f t="shared" si="705"/>
        <v>25</v>
      </c>
      <c r="AB2060" s="32">
        <v>1.84E-2</v>
      </c>
      <c r="AC2060" s="32">
        <v>2.58E-2</v>
      </c>
      <c r="AD2060" s="33">
        <f t="shared" si="675"/>
        <v>-0.75338118838535295</v>
      </c>
      <c r="AE2060" s="34">
        <f t="shared" si="676"/>
        <v>2.3876276521576055E-2</v>
      </c>
      <c r="AF2060" s="33">
        <f t="shared" si="677"/>
        <v>5.0502062076640167E-2</v>
      </c>
      <c r="AG2060" s="33">
        <f t="shared" si="678"/>
        <v>0</v>
      </c>
      <c r="AH2060" s="35">
        <f t="shared" si="679"/>
        <v>7.2041229256006437E-2</v>
      </c>
      <c r="AI2060" s="36">
        <f t="shared" si="756"/>
        <v>-0.63193260482329794</v>
      </c>
      <c r="AJ2060" s="23"/>
      <c r="AK2060" s="120">
        <v>1195</v>
      </c>
      <c r="AL2060" s="44"/>
      <c r="AM2060" s="44"/>
      <c r="AN2060" s="44"/>
      <c r="AO2060" s="44"/>
      <c r="AP2060" s="44"/>
      <c r="AQ2060" s="44"/>
      <c r="AR2060" s="44"/>
    </row>
    <row r="2061" spans="1:44" ht="16.8">
      <c r="A2061" s="78" t="s">
        <v>3937</v>
      </c>
      <c r="B2061" s="79"/>
      <c r="C2061" s="182" t="s">
        <v>3938</v>
      </c>
      <c r="D2061" s="183" t="s">
        <v>3936</v>
      </c>
      <c r="E2061" s="184" t="s">
        <v>414</v>
      </c>
      <c r="F2061" s="21">
        <v>1996</v>
      </c>
      <c r="G2061" s="40">
        <v>2022</v>
      </c>
      <c r="H2061" s="177">
        <f>793464354495+3225388957711+20636255208899</f>
        <v>24655108521105</v>
      </c>
      <c r="I2061" s="23">
        <v>193994237859692</v>
      </c>
      <c r="J2061" s="23">
        <v>168721998467860</v>
      </c>
      <c r="K2061" s="23">
        <f t="shared" ref="K2061:K2062" si="759">AVERAGE(J2060:J2061)</f>
        <v>165704012041924.5</v>
      </c>
      <c r="L2061" s="177">
        <f t="shared" si="754"/>
        <v>168721998467860</v>
      </c>
      <c r="M2061" s="23">
        <f t="shared" si="725"/>
        <v>25272239391832</v>
      </c>
      <c r="N2061" s="23">
        <v>14067732085064</v>
      </c>
      <c r="O2061" s="25">
        <f t="shared" si="744"/>
        <v>-144066889946755</v>
      </c>
      <c r="P2061" s="23">
        <v>3509717944636</v>
      </c>
      <c r="Q2061" s="23">
        <v>3076802357805</v>
      </c>
      <c r="R2061" s="25">
        <f t="shared" si="745"/>
        <v>10990929727259</v>
      </c>
      <c r="S2061" s="26">
        <f t="shared" si="746"/>
        <v>0.86972685544345718</v>
      </c>
      <c r="T2061" s="27">
        <f t="shared" si="747"/>
        <v>0.14612859464085576</v>
      </c>
      <c r="U2061" s="26">
        <f t="shared" si="748"/>
        <v>32.898849572796607</v>
      </c>
      <c r="V2061" s="26">
        <f t="shared" si="749"/>
        <v>8.4896750004488403E-2</v>
      </c>
      <c r="W2061" s="143"/>
      <c r="X2061" s="143"/>
      <c r="Y2061" s="143"/>
      <c r="Z2061" s="30">
        <f t="shared" si="750"/>
        <v>0</v>
      </c>
      <c r="AA2061" s="31">
        <f t="shared" si="705"/>
        <v>26</v>
      </c>
      <c r="AB2061" s="32">
        <v>3.15E-2</v>
      </c>
      <c r="AC2061" s="32">
        <v>8.0199999999999994E-2</v>
      </c>
      <c r="AD2061" s="33">
        <f t="shared" si="675"/>
        <v>-0.74263489233609414</v>
      </c>
      <c r="AE2061" s="34">
        <f t="shared" si="676"/>
        <v>1.8091866971710953E-2</v>
      </c>
      <c r="AF2061" s="33">
        <f t="shared" si="677"/>
        <v>5.6655959726021783E-2</v>
      </c>
      <c r="AG2061" s="33">
        <f t="shared" si="678"/>
        <v>0</v>
      </c>
      <c r="AH2061" s="35">
        <f t="shared" si="679"/>
        <v>8.3378173639543363E-2</v>
      </c>
      <c r="AI2061" s="36">
        <f t="shared" si="756"/>
        <v>-0.59549041630750243</v>
      </c>
      <c r="AJ2061" s="23"/>
      <c r="AK2061" s="120">
        <v>1196</v>
      </c>
      <c r="AL2061" s="44"/>
      <c r="AM2061" s="44"/>
      <c r="AN2061" s="44"/>
      <c r="AO2061" s="44"/>
      <c r="AP2061" s="44"/>
      <c r="AQ2061" s="44"/>
      <c r="AR2061" s="44"/>
    </row>
    <row r="2062" spans="1:44" ht="16.8">
      <c r="A2062" s="78" t="s">
        <v>3939</v>
      </c>
      <c r="B2062" s="79"/>
      <c r="C2062" s="182" t="s">
        <v>3940</v>
      </c>
      <c r="D2062" s="183" t="s">
        <v>3936</v>
      </c>
      <c r="E2062" s="184" t="s">
        <v>414</v>
      </c>
      <c r="F2062" s="21">
        <v>1996</v>
      </c>
      <c r="G2062" s="40">
        <v>2023</v>
      </c>
      <c r="H2062" s="177">
        <f>779733563086+6965365039785+33900216479510</f>
        <v>41645315082381</v>
      </c>
      <c r="I2062" s="23">
        <v>240114274727459</v>
      </c>
      <c r="J2062" s="23">
        <v>211578571266589</v>
      </c>
      <c r="K2062" s="23">
        <f t="shared" si="759"/>
        <v>190150284867224.5</v>
      </c>
      <c r="L2062" s="177">
        <f t="shared" si="754"/>
        <v>211578571266589</v>
      </c>
      <c r="M2062" s="23">
        <f t="shared" si="725"/>
        <v>28535703460870</v>
      </c>
      <c r="N2062" s="23">
        <v>18126740691299</v>
      </c>
      <c r="O2062" s="25">
        <f t="shared" si="744"/>
        <v>-169933256184208</v>
      </c>
      <c r="P2062" s="23">
        <v>3303302700616</v>
      </c>
      <c r="Q2062" s="23">
        <v>3171425038560</v>
      </c>
      <c r="R2062" s="25">
        <f t="shared" si="745"/>
        <v>14955315652739</v>
      </c>
      <c r="S2062" s="26">
        <f t="shared" si="746"/>
        <v>0.88115782165279688</v>
      </c>
      <c r="T2062" s="27">
        <f t="shared" si="747"/>
        <v>0.19683144107211076</v>
      </c>
      <c r="U2062" s="26">
        <f t="shared" si="748"/>
        <v>33.112136070647367</v>
      </c>
      <c r="V2062" s="26">
        <f t="shared" si="749"/>
        <v>9.532849611009675E-2</v>
      </c>
      <c r="W2062" s="143"/>
      <c r="X2062" s="143"/>
      <c r="Y2062" s="143"/>
      <c r="Z2062" s="30">
        <f t="shared" si="750"/>
        <v>0</v>
      </c>
      <c r="AA2062" s="31">
        <f t="shared" si="705"/>
        <v>27</v>
      </c>
      <c r="AB2062" s="32">
        <v>3.2500000000000001E-2</v>
      </c>
      <c r="AC2062" s="32">
        <v>5.0500000000000003E-2</v>
      </c>
      <c r="AD2062" s="33">
        <f t="shared" si="675"/>
        <v>-0.70771825780491493</v>
      </c>
      <c r="AE2062" s="34">
        <f t="shared" si="676"/>
        <v>1.3757210829574392E-2</v>
      </c>
      <c r="AF2062" s="33">
        <f t="shared" si="677"/>
        <v>6.228415894770932E-2</v>
      </c>
      <c r="AG2062" s="33">
        <f t="shared" si="678"/>
        <v>0</v>
      </c>
      <c r="AH2062" s="35">
        <f t="shared" si="679"/>
        <v>8.5673802326887386E-2</v>
      </c>
      <c r="AI2062" s="36">
        <f t="shared" si="756"/>
        <v>-0.53879028735016565</v>
      </c>
      <c r="AJ2062" s="23"/>
      <c r="AK2062" s="120">
        <v>1197</v>
      </c>
      <c r="AL2062" s="44"/>
      <c r="AM2062" s="44"/>
      <c r="AN2062" s="44"/>
      <c r="AO2062" s="44"/>
      <c r="AP2062" s="44"/>
      <c r="AQ2062" s="44"/>
      <c r="AR2062" s="44"/>
    </row>
    <row r="2063" spans="1:44" ht="16.8">
      <c r="A2063" s="78" t="s">
        <v>3941</v>
      </c>
      <c r="B2063" s="79">
        <v>1323</v>
      </c>
      <c r="C2063" s="182" t="s">
        <v>3942</v>
      </c>
      <c r="D2063" s="183" t="s">
        <v>1850</v>
      </c>
      <c r="E2063" s="184" t="s">
        <v>414</v>
      </c>
      <c r="F2063" s="21">
        <v>1993</v>
      </c>
      <c r="G2063" s="40">
        <v>2021</v>
      </c>
      <c r="H2063" s="177">
        <f>(1878293+14352057+64131782)*1000000</f>
        <v>80362132000000</v>
      </c>
      <c r="I2063" s="23">
        <v>506604328000000</v>
      </c>
      <c r="J2063" s="23">
        <v>471072663000000</v>
      </c>
      <c r="K2063" s="23">
        <f>(J2063+388643373000000)/2</f>
        <v>429858018000000</v>
      </c>
      <c r="L2063" s="177">
        <f t="shared" si="754"/>
        <v>471072663000000</v>
      </c>
      <c r="M2063" s="23">
        <f t="shared" si="725"/>
        <v>35531665000000</v>
      </c>
      <c r="N2063" s="23">
        <v>35606329000000</v>
      </c>
      <c r="O2063" s="25">
        <f t="shared" si="744"/>
        <v>-390710531000000</v>
      </c>
      <c r="P2063" s="23">
        <v>5007161000000</v>
      </c>
      <c r="Q2063" s="23">
        <v>4405941000000</v>
      </c>
      <c r="R2063" s="25">
        <f t="shared" si="745"/>
        <v>31200388000000</v>
      </c>
      <c r="S2063" s="26">
        <f t="shared" si="746"/>
        <v>0.92986308439117793</v>
      </c>
      <c r="T2063" s="27">
        <f t="shared" si="747"/>
        <v>0.17059391960513742</v>
      </c>
      <c r="U2063" s="26">
        <f t="shared" si="748"/>
        <v>33.858751396689001</v>
      </c>
      <c r="V2063" s="26">
        <f t="shared" si="749"/>
        <v>8.2832766888158868E-2</v>
      </c>
      <c r="W2063" s="143"/>
      <c r="X2063" s="143"/>
      <c r="Y2063" s="143"/>
      <c r="Z2063" s="30">
        <f t="shared" si="750"/>
        <v>0</v>
      </c>
      <c r="AA2063" s="31">
        <f t="shared" si="705"/>
        <v>28</v>
      </c>
      <c r="AB2063" s="32">
        <v>1.84E-2</v>
      </c>
      <c r="AC2063" s="32">
        <v>2.58E-2</v>
      </c>
      <c r="AD2063" s="33">
        <f t="shared" si="675"/>
        <v>-0.77123409612876426</v>
      </c>
      <c r="AE2063" s="34">
        <f t="shared" si="676"/>
        <v>9.8837706731948801E-3</v>
      </c>
      <c r="AF2063" s="33">
        <f t="shared" si="677"/>
        <v>6.158729066365181E-2</v>
      </c>
      <c r="AG2063" s="33">
        <f t="shared" si="678"/>
        <v>0</v>
      </c>
      <c r="AH2063" s="35">
        <f t="shared" si="679"/>
        <v>7.5585640595748183E-2</v>
      </c>
      <c r="AI2063" s="36">
        <f t="shared" si="756"/>
        <v>-0.63281993662624503</v>
      </c>
      <c r="AJ2063" s="23"/>
      <c r="AK2063" s="120">
        <v>1198</v>
      </c>
      <c r="AL2063" s="44"/>
      <c r="AM2063" s="44"/>
      <c r="AN2063" s="44"/>
      <c r="AO2063" s="44"/>
      <c r="AP2063" s="44"/>
      <c r="AQ2063" s="44"/>
      <c r="AR2063" s="44"/>
    </row>
    <row r="2064" spans="1:44" ht="16.8">
      <c r="A2064" s="78" t="s">
        <v>3943</v>
      </c>
      <c r="B2064" s="79"/>
      <c r="C2064" s="182" t="s">
        <v>3944</v>
      </c>
      <c r="D2064" s="183" t="s">
        <v>1850</v>
      </c>
      <c r="E2064" s="184" t="s">
        <v>414</v>
      </c>
      <c r="F2064" s="21">
        <v>1993</v>
      </c>
      <c r="G2064" s="40">
        <v>2022</v>
      </c>
      <c r="H2064" s="177">
        <f>(1897545+15145862+63008862)*1000000</f>
        <v>80052269000000</v>
      </c>
      <c r="I2064" s="23">
        <v>542428085000000</v>
      </c>
      <c r="J2064" s="23">
        <v>499523614000000</v>
      </c>
      <c r="K2064" s="23">
        <f t="shared" ref="K2064:K2065" si="760">AVERAGE(J2063:J2064)</f>
        <v>485298138500000</v>
      </c>
      <c r="L2064" s="177">
        <f t="shared" si="754"/>
        <v>499523614000000</v>
      </c>
      <c r="M2064" s="23">
        <f t="shared" si="725"/>
        <v>42904471000000</v>
      </c>
      <c r="N2064" s="23">
        <v>40773670000000</v>
      </c>
      <c r="O2064" s="25">
        <f t="shared" si="744"/>
        <v>-419471345000000</v>
      </c>
      <c r="P2064" s="23">
        <v>7728918000000</v>
      </c>
      <c r="Q2064" s="23">
        <v>4391593000000</v>
      </c>
      <c r="R2064" s="25">
        <f t="shared" si="745"/>
        <v>36382077000000</v>
      </c>
      <c r="S2064" s="26">
        <f t="shared" si="746"/>
        <v>0.92090293222925579</v>
      </c>
      <c r="T2064" s="27">
        <f t="shared" si="747"/>
        <v>0.16025722659830052</v>
      </c>
      <c r="U2064" s="26">
        <f t="shared" si="748"/>
        <v>33.927076630344033</v>
      </c>
      <c r="V2064" s="26">
        <f t="shared" si="749"/>
        <v>8.4017775394784458E-2</v>
      </c>
      <c r="W2064" s="143"/>
      <c r="X2064" s="143"/>
      <c r="Y2064" s="143"/>
      <c r="Z2064" s="30">
        <f t="shared" si="750"/>
        <v>0</v>
      </c>
      <c r="AA2064" s="31">
        <f t="shared" si="705"/>
        <v>29</v>
      </c>
      <c r="AB2064" s="32">
        <v>3.15E-2</v>
      </c>
      <c r="AC2064" s="32">
        <v>8.0199999999999994E-2</v>
      </c>
      <c r="AD2064" s="33">
        <f t="shared" si="675"/>
        <v>-0.77332158234395254</v>
      </c>
      <c r="AE2064" s="34">
        <f t="shared" si="676"/>
        <v>1.4248742301018576E-2</v>
      </c>
      <c r="AF2064" s="33">
        <f t="shared" si="677"/>
        <v>6.7072627701421472E-2</v>
      </c>
      <c r="AG2064" s="33">
        <f t="shared" si="678"/>
        <v>0</v>
      </c>
      <c r="AH2064" s="35">
        <f t="shared" si="679"/>
        <v>8.1625110119418698E-2</v>
      </c>
      <c r="AI2064" s="36">
        <f t="shared" si="756"/>
        <v>-0.60507287805720744</v>
      </c>
      <c r="AJ2064" s="23"/>
      <c r="AK2064" s="120">
        <v>1199</v>
      </c>
      <c r="AL2064" s="44"/>
      <c r="AM2064" s="44"/>
      <c r="AN2064" s="44"/>
      <c r="AO2064" s="44"/>
      <c r="AP2064" s="44"/>
      <c r="AQ2064" s="44"/>
      <c r="AR2064" s="44"/>
    </row>
    <row r="2065" spans="1:44" ht="16.8">
      <c r="A2065" s="78" t="s">
        <v>3945</v>
      </c>
      <c r="B2065" s="79"/>
      <c r="C2065" s="182" t="s">
        <v>3946</v>
      </c>
      <c r="D2065" s="183" t="s">
        <v>1850</v>
      </c>
      <c r="E2065" s="184" t="s">
        <v>414</v>
      </c>
      <c r="F2065" s="21">
        <v>1993</v>
      </c>
      <c r="G2065" s="40">
        <v>2023</v>
      </c>
      <c r="H2065" s="177">
        <f>(1370849+54763646+63548928)*1000000</f>
        <v>119683423000000</v>
      </c>
      <c r="I2065" s="23">
        <v>630500685000000</v>
      </c>
      <c r="J2065" s="23">
        <v>580402405000000</v>
      </c>
      <c r="K2065" s="23">
        <f t="shared" si="760"/>
        <v>539963009500000</v>
      </c>
      <c r="L2065" s="177">
        <f t="shared" si="754"/>
        <v>580402405000000</v>
      </c>
      <c r="M2065" s="23">
        <f t="shared" si="725"/>
        <v>50098280000000</v>
      </c>
      <c r="N2065" s="23">
        <v>57589391000000</v>
      </c>
      <c r="O2065" s="25">
        <f t="shared" si="744"/>
        <v>-460718982000000</v>
      </c>
      <c r="P2065" s="23">
        <v>7324758000000</v>
      </c>
      <c r="Q2065" s="23">
        <v>5051539000000</v>
      </c>
      <c r="R2065" s="25">
        <f t="shared" si="745"/>
        <v>52537852000000</v>
      </c>
      <c r="S2065" s="26">
        <f t="shared" si="746"/>
        <v>0.92054206887975065</v>
      </c>
      <c r="T2065" s="27">
        <f t="shared" si="747"/>
        <v>0.20620766207886407</v>
      </c>
      <c r="U2065" s="26">
        <f t="shared" si="748"/>
        <v>34.077535357772263</v>
      </c>
      <c r="V2065" s="26">
        <f t="shared" si="749"/>
        <v>0.10665432629047528</v>
      </c>
      <c r="W2065" s="143"/>
      <c r="X2065" s="143"/>
      <c r="Y2065" s="143"/>
      <c r="Z2065" s="30">
        <f t="shared" si="750"/>
        <v>0</v>
      </c>
      <c r="AA2065" s="31">
        <f t="shared" si="705"/>
        <v>30</v>
      </c>
      <c r="AB2065" s="32">
        <v>3.2500000000000001E-2</v>
      </c>
      <c r="AC2065" s="32">
        <v>5.0500000000000003E-2</v>
      </c>
      <c r="AD2065" s="33">
        <f t="shared" si="675"/>
        <v>-0.73071924101081664</v>
      </c>
      <c r="AE2065" s="34">
        <f t="shared" si="676"/>
        <v>1.1617367235691425E-2</v>
      </c>
      <c r="AF2065" s="33">
        <f t="shared" si="677"/>
        <v>8.3327192578704329E-2</v>
      </c>
      <c r="AG2065" s="33">
        <f t="shared" si="678"/>
        <v>0</v>
      </c>
      <c r="AH2065" s="35">
        <f t="shared" si="679"/>
        <v>9.9223212212568274E-2</v>
      </c>
      <c r="AI2065" s="36">
        <f t="shared" si="756"/>
        <v>-0.4863958273607194</v>
      </c>
      <c r="AJ2065" s="23"/>
      <c r="AK2065" s="120">
        <v>1200</v>
      </c>
      <c r="AL2065" s="44"/>
      <c r="AM2065" s="44"/>
      <c r="AN2065" s="44"/>
      <c r="AO2065" s="44"/>
      <c r="AP2065" s="44"/>
      <c r="AQ2065" s="44"/>
      <c r="AR2065" s="44"/>
    </row>
    <row r="2066" spans="1:44" ht="16.8">
      <c r="A2066" s="78" t="s">
        <v>3947</v>
      </c>
      <c r="B2066" s="79">
        <v>1324</v>
      </c>
      <c r="C2066" s="182" t="s">
        <v>3948</v>
      </c>
      <c r="D2066" s="183" t="s">
        <v>3949</v>
      </c>
      <c r="E2066" s="184" t="s">
        <v>414</v>
      </c>
      <c r="F2066" s="21">
        <v>1994</v>
      </c>
      <c r="G2066" s="40">
        <v>2021</v>
      </c>
      <c r="H2066" s="177">
        <f>(1076028+4799360+42590477)*1000000</f>
        <v>48465865000000</v>
      </c>
      <c r="I2066" s="23">
        <v>211663515000000</v>
      </c>
      <c r="J2066" s="23">
        <v>193000251000000</v>
      </c>
      <c r="K2066" s="23">
        <f>(J2066+166536910000000)/2</f>
        <v>179768580500000</v>
      </c>
      <c r="L2066" s="177">
        <f t="shared" si="754"/>
        <v>193000251000000</v>
      </c>
      <c r="M2066" s="23">
        <f t="shared" si="725"/>
        <v>18663264000000</v>
      </c>
      <c r="N2066" s="23">
        <v>11804488000000</v>
      </c>
      <c r="O2066" s="25">
        <f t="shared" si="744"/>
        <v>-144534386000000</v>
      </c>
      <c r="P2066" s="23">
        <v>2606518000000</v>
      </c>
      <c r="Q2066" s="23">
        <v>2529414000000</v>
      </c>
      <c r="R2066" s="25">
        <f t="shared" si="745"/>
        <v>9275074000000</v>
      </c>
      <c r="S2066" s="26">
        <f t="shared" si="746"/>
        <v>0.91182578631938527</v>
      </c>
      <c r="T2066" s="27">
        <f t="shared" si="747"/>
        <v>0.25111814491888923</v>
      </c>
      <c r="U2066" s="26">
        <f t="shared" si="748"/>
        <v>32.986018936278498</v>
      </c>
      <c r="V2066" s="26">
        <f t="shared" si="749"/>
        <v>6.5664911894879205E-2</v>
      </c>
      <c r="W2066" s="143"/>
      <c r="X2066" s="143"/>
      <c r="Y2066" s="143"/>
      <c r="Z2066" s="30">
        <f t="shared" si="750"/>
        <v>0</v>
      </c>
      <c r="AA2066" s="31">
        <f t="shared" si="705"/>
        <v>27</v>
      </c>
      <c r="AB2066" s="32">
        <v>1.84E-2</v>
      </c>
      <c r="AC2066" s="32">
        <v>2.58E-2</v>
      </c>
      <c r="AD2066" s="33">
        <f t="shared" si="675"/>
        <v>-0.68284978636965377</v>
      </c>
      <c r="AE2066" s="34">
        <f t="shared" si="676"/>
        <v>1.2314441626843435E-2</v>
      </c>
      <c r="AF2066" s="33">
        <f t="shared" si="677"/>
        <v>4.3819899712050046E-2</v>
      </c>
      <c r="AG2066" s="33">
        <f t="shared" si="678"/>
        <v>0</v>
      </c>
      <c r="AH2066" s="35">
        <f t="shared" si="679"/>
        <v>6.1163070715384717E-2</v>
      </c>
      <c r="AI2066" s="36">
        <f t="shared" si="756"/>
        <v>-0.59641078560085381</v>
      </c>
      <c r="AJ2066" s="23"/>
      <c r="AK2066" s="120">
        <v>1201</v>
      </c>
      <c r="AL2066" s="44"/>
      <c r="AM2066" s="44"/>
      <c r="AN2066" s="44"/>
      <c r="AO2066" s="44"/>
      <c r="AP2066" s="44"/>
      <c r="AQ2066" s="44"/>
      <c r="AR2066" s="44"/>
    </row>
    <row r="2067" spans="1:44" ht="16.8">
      <c r="A2067" s="78" t="s">
        <v>3950</v>
      </c>
      <c r="B2067" s="79"/>
      <c r="C2067" s="182" t="s">
        <v>3951</v>
      </c>
      <c r="D2067" s="183" t="s">
        <v>3949</v>
      </c>
      <c r="E2067" s="184" t="s">
        <v>414</v>
      </c>
      <c r="F2067" s="21">
        <v>1994</v>
      </c>
      <c r="G2067" s="40">
        <v>2022</v>
      </c>
      <c r="H2067" s="177">
        <f>(1037807+9826851+45068410)*1000000</f>
        <v>55933068000000</v>
      </c>
      <c r="I2067" s="23">
        <v>231423056000000</v>
      </c>
      <c r="J2067" s="23">
        <v>205190836000000</v>
      </c>
      <c r="K2067" s="23">
        <f t="shared" ref="K2067:K2068" si="761">AVERAGE(J2066:J2067)</f>
        <v>199095543500000</v>
      </c>
      <c r="L2067" s="177">
        <f t="shared" si="754"/>
        <v>205190836000000</v>
      </c>
      <c r="M2067" s="23">
        <f t="shared" si="725"/>
        <v>26232220000000</v>
      </c>
      <c r="N2067" s="23">
        <v>15149800000000</v>
      </c>
      <c r="O2067" s="25">
        <f t="shared" si="744"/>
        <v>-149257768000000</v>
      </c>
      <c r="P2067" s="23">
        <v>4052928000000</v>
      </c>
      <c r="Q2067" s="23">
        <v>3403523000000</v>
      </c>
      <c r="R2067" s="25">
        <f t="shared" si="745"/>
        <v>11746277000000</v>
      </c>
      <c r="S2067" s="26">
        <f t="shared" si="746"/>
        <v>0.88664819982327081</v>
      </c>
      <c r="T2067" s="27">
        <f t="shared" si="747"/>
        <v>0.27259047767610828</v>
      </c>
      <c r="U2067" s="26">
        <f t="shared" si="748"/>
        <v>33.075268562716907</v>
      </c>
      <c r="V2067" s="26">
        <f t="shared" si="749"/>
        <v>7.6093114560346745E-2</v>
      </c>
      <c r="W2067" s="143"/>
      <c r="X2067" s="143"/>
      <c r="Y2067" s="143"/>
      <c r="Z2067" s="30">
        <f t="shared" si="750"/>
        <v>0</v>
      </c>
      <c r="AA2067" s="31">
        <f t="shared" si="705"/>
        <v>28</v>
      </c>
      <c r="AB2067" s="32">
        <v>3.15E-2</v>
      </c>
      <c r="AC2067" s="32">
        <v>8.0199999999999994E-2</v>
      </c>
      <c r="AD2067" s="33">
        <f t="shared" si="675"/>
        <v>-0.64495634350278397</v>
      </c>
      <c r="AE2067" s="34">
        <f t="shared" si="676"/>
        <v>1.751306922504731E-2</v>
      </c>
      <c r="AF2067" s="33">
        <f t="shared" si="677"/>
        <v>5.0756727540578327E-2</v>
      </c>
      <c r="AG2067" s="33">
        <f t="shared" si="678"/>
        <v>0</v>
      </c>
      <c r="AH2067" s="35">
        <f t="shared" si="679"/>
        <v>7.3832731984190561E-2</v>
      </c>
      <c r="AI2067" s="36">
        <f t="shared" si="756"/>
        <v>-0.50809938242017549</v>
      </c>
      <c r="AJ2067" s="23"/>
      <c r="AK2067" s="120">
        <v>1202</v>
      </c>
      <c r="AL2067" s="44"/>
      <c r="AM2067" s="44"/>
      <c r="AN2067" s="44"/>
      <c r="AO2067" s="44"/>
      <c r="AP2067" s="44"/>
      <c r="AQ2067" s="44"/>
      <c r="AR2067" s="44"/>
    </row>
    <row r="2068" spans="1:44" ht="16.8">
      <c r="A2068" s="78" t="s">
        <v>3952</v>
      </c>
      <c r="B2068" s="79"/>
      <c r="C2068" s="182" t="s">
        <v>3953</v>
      </c>
      <c r="D2068" s="183" t="s">
        <v>3949</v>
      </c>
      <c r="E2068" s="184" t="s">
        <v>414</v>
      </c>
      <c r="F2068" s="21">
        <v>1994</v>
      </c>
      <c r="G2068" s="40">
        <v>2023</v>
      </c>
      <c r="H2068" s="177">
        <f>(851299+2799895+48698574)*1000000</f>
        <v>52349768000000</v>
      </c>
      <c r="I2068" s="23">
        <v>266121915000000</v>
      </c>
      <c r="J2068" s="23">
        <v>235825076000000</v>
      </c>
      <c r="K2068" s="23">
        <f t="shared" si="761"/>
        <v>220507956000000</v>
      </c>
      <c r="L2068" s="177">
        <f t="shared" si="754"/>
        <v>235825076000000</v>
      </c>
      <c r="M2068" s="23">
        <f t="shared" si="725"/>
        <v>30296839000000</v>
      </c>
      <c r="N2068" s="23">
        <v>19718490000000</v>
      </c>
      <c r="O2068" s="25">
        <f t="shared" si="744"/>
        <v>-183475308000000</v>
      </c>
      <c r="P2068" s="23">
        <v>3676955000000</v>
      </c>
      <c r="Q2068" s="23">
        <v>3607148000000</v>
      </c>
      <c r="R2068" s="25">
        <f t="shared" si="745"/>
        <v>16111342000000</v>
      </c>
      <c r="S2068" s="26">
        <f t="shared" si="746"/>
        <v>0.8861542875940901</v>
      </c>
      <c r="T2068" s="27">
        <f t="shared" si="747"/>
        <v>0.22198558731727069</v>
      </c>
      <c r="U2068" s="26">
        <f t="shared" si="748"/>
        <v>33.21497564677815</v>
      </c>
      <c r="V2068" s="26">
        <f t="shared" si="749"/>
        <v>8.9423031974410941E-2</v>
      </c>
      <c r="W2068" s="143"/>
      <c r="X2068" s="143"/>
      <c r="Y2068" s="143"/>
      <c r="Z2068" s="30">
        <f t="shared" si="750"/>
        <v>0</v>
      </c>
      <c r="AA2068" s="31">
        <f t="shared" si="705"/>
        <v>29</v>
      </c>
      <c r="AB2068" s="32">
        <v>3.2500000000000001E-2</v>
      </c>
      <c r="AC2068" s="32">
        <v>5.0500000000000003E-2</v>
      </c>
      <c r="AD2068" s="33">
        <f t="shared" si="675"/>
        <v>-0.68944080760879844</v>
      </c>
      <c r="AE2068" s="34">
        <f t="shared" si="676"/>
        <v>1.3816806481345213E-2</v>
      </c>
      <c r="AF2068" s="33">
        <f t="shared" si="677"/>
        <v>6.0541207213242847E-2</v>
      </c>
      <c r="AG2068" s="33">
        <f t="shared" si="678"/>
        <v>0</v>
      </c>
      <c r="AH2068" s="35">
        <f t="shared" si="679"/>
        <v>8.361489937567114E-2</v>
      </c>
      <c r="AI2068" s="36">
        <f t="shared" si="756"/>
        <v>-0.52458455687730232</v>
      </c>
      <c r="AJ2068" s="23"/>
      <c r="AK2068" s="120">
        <v>1203</v>
      </c>
      <c r="AL2068" s="44"/>
      <c r="AM2068" s="44"/>
      <c r="AN2068" s="44"/>
      <c r="AO2068" s="44"/>
      <c r="AP2068" s="44"/>
      <c r="AQ2068" s="44"/>
      <c r="AR2068" s="44"/>
    </row>
    <row r="2069" spans="1:44" ht="16.8">
      <c r="A2069" s="78" t="s">
        <v>3954</v>
      </c>
      <c r="B2069" s="79">
        <v>1325</v>
      </c>
      <c r="C2069" s="182" t="s">
        <v>3955</v>
      </c>
      <c r="D2069" s="183" t="s">
        <v>3577</v>
      </c>
      <c r="E2069" s="184" t="s">
        <v>414</v>
      </c>
      <c r="F2069" s="21">
        <v>1991</v>
      </c>
      <c r="G2069" s="40">
        <v>2021</v>
      </c>
      <c r="H2069" s="177">
        <f>(8222365+12169867+8353579)*1000000</f>
        <v>28745811000000</v>
      </c>
      <c r="I2069" s="23">
        <v>521117123000000</v>
      </c>
      <c r="J2069" s="23">
        <v>486855787000000</v>
      </c>
      <c r="K2069" s="23">
        <f>(J2069+463559787)/2</f>
        <v>243428125279893.5</v>
      </c>
      <c r="L2069" s="177">
        <f t="shared" si="754"/>
        <v>486855787000000</v>
      </c>
      <c r="M2069" s="23">
        <f t="shared" si="725"/>
        <v>34261336000000</v>
      </c>
      <c r="N2069" s="23">
        <v>29690736000000</v>
      </c>
      <c r="O2069" s="25">
        <f t="shared" si="744"/>
        <v>-458109976000000</v>
      </c>
      <c r="P2069" s="23">
        <v>3411496000000</v>
      </c>
      <c r="Q2069" s="23">
        <v>9749916000000</v>
      </c>
      <c r="R2069" s="25">
        <f t="shared" si="745"/>
        <v>19940820000000</v>
      </c>
      <c r="S2069" s="26">
        <f t="shared" si="746"/>
        <v>0.93425405827626207</v>
      </c>
      <c r="T2069" s="27">
        <f t="shared" si="747"/>
        <v>5.9043790312386692E-2</v>
      </c>
      <c r="U2069" s="26">
        <f t="shared" si="748"/>
        <v>33.886995936639877</v>
      </c>
      <c r="V2069" s="26">
        <f t="shared" si="749"/>
        <v>0.12196920945704862</v>
      </c>
      <c r="W2069" s="143"/>
      <c r="X2069" s="143"/>
      <c r="Y2069" s="143"/>
      <c r="Z2069" s="30">
        <f t="shared" si="750"/>
        <v>0</v>
      </c>
      <c r="AA2069" s="31">
        <f t="shared" si="705"/>
        <v>30</v>
      </c>
      <c r="AB2069" s="32">
        <v>1.84E-2</v>
      </c>
      <c r="AC2069" s="32">
        <v>2.58E-2</v>
      </c>
      <c r="AD2069" s="33">
        <f t="shared" si="675"/>
        <v>-0.87909215756090209</v>
      </c>
      <c r="AE2069" s="34">
        <f t="shared" si="676"/>
        <v>6.5465052853387051E-3</v>
      </c>
      <c r="AF2069" s="33">
        <f t="shared" si="677"/>
        <v>3.8265524427989292E-2</v>
      </c>
      <c r="AG2069" s="33">
        <f t="shared" si="678"/>
        <v>0</v>
      </c>
      <c r="AH2069" s="35">
        <f t="shared" si="679"/>
        <v>6.0984662795021884E-2</v>
      </c>
      <c r="AI2069" s="36">
        <f t="shared" si="756"/>
        <v>-0.85848458826622176</v>
      </c>
      <c r="AJ2069" s="23"/>
      <c r="AK2069" s="120">
        <v>1204</v>
      </c>
      <c r="AL2069" s="44"/>
      <c r="AM2069" s="44"/>
      <c r="AN2069" s="44"/>
      <c r="AO2069" s="44"/>
      <c r="AP2069" s="44"/>
      <c r="AQ2069" s="44"/>
      <c r="AR2069" s="44"/>
    </row>
    <row r="2070" spans="1:44" ht="16.8">
      <c r="A2070" s="78" t="s">
        <v>3956</v>
      </c>
      <c r="B2070" s="79"/>
      <c r="C2070" s="182" t="s">
        <v>3957</v>
      </c>
      <c r="D2070" s="183" t="s">
        <v>3577</v>
      </c>
      <c r="E2070" s="184" t="s">
        <v>414</v>
      </c>
      <c r="F2070" s="21">
        <v>1991</v>
      </c>
      <c r="G2070" s="40">
        <v>2022</v>
      </c>
      <c r="H2070" s="177">
        <f>(7849898+12286117+25293585)*1000000</f>
        <v>45429600000000</v>
      </c>
      <c r="I2070" s="23">
        <v>591907695000000</v>
      </c>
      <c r="J2070" s="23">
        <v>553280699000000</v>
      </c>
      <c r="K2070" s="23">
        <f t="shared" ref="K2070:K2071" si="762">AVERAGE(J2069:J2070)</f>
        <v>520068243000000</v>
      </c>
      <c r="L2070" s="177">
        <f t="shared" si="754"/>
        <v>553280699000000</v>
      </c>
      <c r="M2070" s="23">
        <f t="shared" si="725"/>
        <v>38626996000000</v>
      </c>
      <c r="N2070" s="23">
        <v>37390848000000</v>
      </c>
      <c r="O2070" s="25">
        <f t="shared" si="744"/>
        <v>-507851099000000</v>
      </c>
      <c r="P2070" s="23">
        <v>5040695000000</v>
      </c>
      <c r="Q2070" s="23">
        <v>10920717000000</v>
      </c>
      <c r="R2070" s="25">
        <f t="shared" si="745"/>
        <v>26470131000000</v>
      </c>
      <c r="S2070" s="26">
        <f t="shared" si="746"/>
        <v>0.93474152080418549</v>
      </c>
      <c r="T2070" s="27">
        <f t="shared" si="747"/>
        <v>8.2109497190322192E-2</v>
      </c>
      <c r="U2070" s="26">
        <f t="shared" si="748"/>
        <v>34.014371818047564</v>
      </c>
      <c r="V2070" s="26">
        <f t="shared" si="749"/>
        <v>7.1896041535456728E-2</v>
      </c>
      <c r="W2070" s="143"/>
      <c r="X2070" s="143"/>
      <c r="Y2070" s="143"/>
      <c r="Z2070" s="30">
        <f t="shared" si="750"/>
        <v>0</v>
      </c>
      <c r="AA2070" s="31">
        <f t="shared" si="705"/>
        <v>31</v>
      </c>
      <c r="AB2070" s="32">
        <v>3.15E-2</v>
      </c>
      <c r="AC2070" s="32">
        <v>8.0199999999999994E-2</v>
      </c>
      <c r="AD2070" s="33">
        <f t="shared" si="675"/>
        <v>-0.85799036452803679</v>
      </c>
      <c r="AE2070" s="34">
        <f t="shared" si="676"/>
        <v>8.5160153222877087E-3</v>
      </c>
      <c r="AF2070" s="33">
        <f t="shared" si="677"/>
        <v>4.4720031896189491E-2</v>
      </c>
      <c r="AG2070" s="33">
        <f t="shared" si="678"/>
        <v>0</v>
      </c>
      <c r="AH2070" s="35">
        <f t="shared" si="679"/>
        <v>6.7580250074835882E-2</v>
      </c>
      <c r="AI2070" s="36">
        <f t="shared" si="756"/>
        <v>-0.80250966065018003</v>
      </c>
      <c r="AJ2070" s="23"/>
      <c r="AK2070" s="120">
        <v>1205</v>
      </c>
      <c r="AL2070" s="44"/>
      <c r="AM2070" s="44"/>
      <c r="AN2070" s="44"/>
      <c r="AO2070" s="44"/>
      <c r="AP2070" s="44"/>
      <c r="AQ2070" s="44"/>
      <c r="AR2070" s="44"/>
    </row>
    <row r="2071" spans="1:44" ht="16.8">
      <c r="A2071" s="78" t="s">
        <v>3958</v>
      </c>
      <c r="B2071" s="79"/>
      <c r="C2071" s="182" t="s">
        <v>3959</v>
      </c>
      <c r="D2071" s="183" t="s">
        <v>3577</v>
      </c>
      <c r="E2071" s="184" t="s">
        <v>414</v>
      </c>
      <c r="F2071" s="21">
        <v>1991</v>
      </c>
      <c r="G2071" s="40">
        <v>2023</v>
      </c>
      <c r="H2071" s="177">
        <f>(7545270+12848045+50332971)*1000000</f>
        <v>70726286000000</v>
      </c>
      <c r="I2071" s="23">
        <v>674389660000000</v>
      </c>
      <c r="J2071" s="23">
        <v>628655796000000</v>
      </c>
      <c r="K2071" s="23">
        <f t="shared" si="762"/>
        <v>590968247500000</v>
      </c>
      <c r="L2071" s="177">
        <f t="shared" si="754"/>
        <v>628655796000000</v>
      </c>
      <c r="M2071" s="23">
        <f t="shared" si="725"/>
        <v>45733864000000</v>
      </c>
      <c r="N2071" s="23">
        <v>55927329000000</v>
      </c>
      <c r="O2071" s="25">
        <f t="shared" si="744"/>
        <v>-557929510000000</v>
      </c>
      <c r="P2071" s="23">
        <v>7718616000000</v>
      </c>
      <c r="Q2071" s="23">
        <v>12889906000000</v>
      </c>
      <c r="R2071" s="25">
        <f t="shared" si="745"/>
        <v>43037423000000</v>
      </c>
      <c r="S2071" s="26">
        <f t="shared" si="746"/>
        <v>0.93218480840883589</v>
      </c>
      <c r="T2071" s="27">
        <f t="shared" si="747"/>
        <v>0.11250399097569125</v>
      </c>
      <c r="U2071" s="26">
        <f t="shared" si="748"/>
        <v>34.144829190351558</v>
      </c>
      <c r="V2071" s="26">
        <f t="shared" si="749"/>
        <v>9.4636774880193536E-2</v>
      </c>
      <c r="W2071" s="143"/>
      <c r="X2071" s="143"/>
      <c r="Y2071" s="143"/>
      <c r="Z2071" s="30">
        <f t="shared" si="750"/>
        <v>0</v>
      </c>
      <c r="AA2071" s="31">
        <f t="shared" si="705"/>
        <v>32</v>
      </c>
      <c r="AB2071" s="32">
        <v>3.2500000000000001E-2</v>
      </c>
      <c r="AC2071" s="32">
        <v>5.0500000000000003E-2</v>
      </c>
      <c r="AD2071" s="33">
        <f t="shared" si="675"/>
        <v>-0.82731029713593174</v>
      </c>
      <c r="AE2071" s="34">
        <f t="shared" si="676"/>
        <v>1.1445335623918078E-2</v>
      </c>
      <c r="AF2071" s="33">
        <f t="shared" si="677"/>
        <v>6.3816848852635139E-2</v>
      </c>
      <c r="AG2071" s="33">
        <f t="shared" si="678"/>
        <v>0</v>
      </c>
      <c r="AH2071" s="35">
        <f t="shared" si="679"/>
        <v>8.8963355393926885E-2</v>
      </c>
      <c r="AI2071" s="36">
        <f t="shared" si="756"/>
        <v>-0.67718993008200989</v>
      </c>
      <c r="AJ2071" s="23"/>
      <c r="AK2071" s="120">
        <v>1206</v>
      </c>
      <c r="AL2071" s="44"/>
      <c r="AM2071" s="44"/>
      <c r="AN2071" s="44"/>
      <c r="AO2071" s="44"/>
      <c r="AP2071" s="44"/>
      <c r="AQ2071" s="44"/>
      <c r="AR2071" s="44"/>
    </row>
    <row r="2072" spans="1:44" ht="16.8">
      <c r="A2072" s="78" t="s">
        <v>3960</v>
      </c>
      <c r="B2072" s="79">
        <v>1326</v>
      </c>
      <c r="C2072" s="182" t="s">
        <v>3961</v>
      </c>
      <c r="D2072" s="183" t="s">
        <v>3962</v>
      </c>
      <c r="E2072" s="184" t="s">
        <v>414</v>
      </c>
      <c r="F2072" s="21">
        <v>1993</v>
      </c>
      <c r="G2072" s="40">
        <v>2021</v>
      </c>
      <c r="H2072" s="177">
        <f>(3578643+4908529+70515258)*1000000</f>
        <v>79002430000000</v>
      </c>
      <c r="I2072" s="23">
        <v>568728950000000</v>
      </c>
      <c r="J2072" s="23">
        <v>475687478000000</v>
      </c>
      <c r="K2072" s="23">
        <f>(J2072+439602933000000)/2</f>
        <v>457645205500000</v>
      </c>
      <c r="L2072" s="177">
        <f t="shared" si="754"/>
        <v>475687478000000</v>
      </c>
      <c r="M2072" s="23">
        <f t="shared" si="725"/>
        <v>93041472000000</v>
      </c>
      <c r="N2072" s="23">
        <v>35503251000000</v>
      </c>
      <c r="O2072" s="25">
        <f t="shared" si="744"/>
        <v>-396685048000000</v>
      </c>
      <c r="P2072" s="23">
        <v>18415382000000</v>
      </c>
      <c r="Q2072" s="23">
        <v>11173395000000</v>
      </c>
      <c r="R2072" s="25">
        <f t="shared" si="745"/>
        <v>24329856000000</v>
      </c>
      <c r="S2072" s="26">
        <f t="shared" si="746"/>
        <v>0.83640454385168894</v>
      </c>
      <c r="T2072" s="27">
        <f t="shared" si="747"/>
        <v>0.16608053323615132</v>
      </c>
      <c r="U2072" s="26">
        <f t="shared" si="748"/>
        <v>33.974425074519772</v>
      </c>
      <c r="V2072" s="26">
        <f t="shared" si="749"/>
        <v>7.7578111981334852E-2</v>
      </c>
      <c r="W2072" s="143"/>
      <c r="X2072" s="143"/>
      <c r="Y2072" s="143"/>
      <c r="Z2072" s="30">
        <f t="shared" si="750"/>
        <v>0</v>
      </c>
      <c r="AA2072" s="31">
        <f t="shared" si="705"/>
        <v>28</v>
      </c>
      <c r="AB2072" s="32">
        <v>1.84E-2</v>
      </c>
      <c r="AC2072" s="32">
        <v>2.58E-2</v>
      </c>
      <c r="AD2072" s="33">
        <f t="shared" si="675"/>
        <v>-0.69749403120766051</v>
      </c>
      <c r="AE2072" s="34">
        <f t="shared" si="676"/>
        <v>3.2379892038202032E-2</v>
      </c>
      <c r="AF2072" s="33">
        <f t="shared" si="677"/>
        <v>4.2779352097339164E-2</v>
      </c>
      <c r="AG2072" s="33">
        <f t="shared" si="678"/>
        <v>0</v>
      </c>
      <c r="AH2072" s="35">
        <f t="shared" si="679"/>
        <v>7.4635664468762825E-2</v>
      </c>
      <c r="AI2072" s="36">
        <f t="shared" si="756"/>
        <v>-0.57585346220572775</v>
      </c>
      <c r="AJ2072" s="23"/>
      <c r="AK2072" s="120">
        <v>1207</v>
      </c>
      <c r="AL2072" s="44"/>
      <c r="AM2072" s="44"/>
      <c r="AN2072" s="44"/>
      <c r="AO2072" s="44"/>
      <c r="AP2072" s="44"/>
      <c r="AQ2072" s="44"/>
      <c r="AR2072" s="44"/>
    </row>
    <row r="2073" spans="1:44" ht="16.8">
      <c r="A2073" s="78" t="s">
        <v>3963</v>
      </c>
      <c r="B2073" s="79"/>
      <c r="C2073" s="182" t="s">
        <v>3964</v>
      </c>
      <c r="D2073" s="183" t="s">
        <v>3962</v>
      </c>
      <c r="E2073" s="184" t="s">
        <v>414</v>
      </c>
      <c r="F2073" s="21">
        <v>1993</v>
      </c>
      <c r="G2073" s="40">
        <v>2022</v>
      </c>
      <c r="H2073" s="177">
        <f>(4215721+11475590+82873754)*1000000</f>
        <v>98565065000000</v>
      </c>
      <c r="I2073" s="23">
        <v>699032544000000</v>
      </c>
      <c r="J2073" s="23">
        <v>585607578000000</v>
      </c>
      <c r="K2073" s="23">
        <f t="shared" ref="K2073:K2074" si="763">AVERAGE(J2072:J2073)</f>
        <v>530647528000000</v>
      </c>
      <c r="L2073" s="177">
        <f t="shared" si="754"/>
        <v>585607578000000</v>
      </c>
      <c r="M2073" s="23">
        <f t="shared" si="725"/>
        <v>113424966000000</v>
      </c>
      <c r="N2073" s="23">
        <v>44752636000000</v>
      </c>
      <c r="O2073" s="25">
        <f t="shared" si="744"/>
        <v>-487042513000000</v>
      </c>
      <c r="P2073" s="23">
        <v>20436426000000</v>
      </c>
      <c r="Q2073" s="23">
        <v>13023129000000</v>
      </c>
      <c r="R2073" s="25">
        <f t="shared" si="745"/>
        <v>31729507000000</v>
      </c>
      <c r="S2073" s="26">
        <f t="shared" si="746"/>
        <v>0.8377400780928449</v>
      </c>
      <c r="T2073" s="27">
        <f t="shared" si="747"/>
        <v>0.1683124821175043</v>
      </c>
      <c r="U2073" s="26">
        <f t="shared" si="748"/>
        <v>34.180718415018482</v>
      </c>
      <c r="V2073" s="26">
        <f t="shared" si="749"/>
        <v>8.4335898385641775E-2</v>
      </c>
      <c r="W2073" s="143"/>
      <c r="X2073" s="143"/>
      <c r="Y2073" s="143"/>
      <c r="Z2073" s="30">
        <f t="shared" si="750"/>
        <v>0</v>
      </c>
      <c r="AA2073" s="31">
        <f t="shared" si="705"/>
        <v>29</v>
      </c>
      <c r="AB2073" s="32">
        <v>3.15E-2</v>
      </c>
      <c r="AC2073" s="32">
        <v>8.0199999999999994E-2</v>
      </c>
      <c r="AD2073" s="33">
        <f t="shared" si="675"/>
        <v>-0.69673796617972628</v>
      </c>
      <c r="AE2073" s="34">
        <f t="shared" si="676"/>
        <v>2.9235299808874134E-2</v>
      </c>
      <c r="AF2073" s="33">
        <f t="shared" si="677"/>
        <v>4.5390600584112435E-2</v>
      </c>
      <c r="AG2073" s="33">
        <f t="shared" si="678"/>
        <v>0</v>
      </c>
      <c r="AH2073" s="35">
        <f t="shared" si="679"/>
        <v>7.6420862163091755E-2</v>
      </c>
      <c r="AI2073" s="36">
        <f t="shared" si="756"/>
        <v>-0.56894629559258492</v>
      </c>
      <c r="AJ2073" s="23"/>
      <c r="AK2073" s="120">
        <v>1208</v>
      </c>
      <c r="AL2073" s="44"/>
      <c r="AM2073" s="44"/>
      <c r="AN2073" s="44"/>
      <c r="AO2073" s="44"/>
      <c r="AP2073" s="44"/>
      <c r="AQ2073" s="44"/>
      <c r="AR2073" s="44"/>
    </row>
    <row r="2074" spans="1:44" ht="16.8">
      <c r="A2074" s="78" t="s">
        <v>3965</v>
      </c>
      <c r="B2074" s="79"/>
      <c r="C2074" s="182" t="s">
        <v>3966</v>
      </c>
      <c r="D2074" s="183" t="s">
        <v>3962</v>
      </c>
      <c r="E2074" s="184" t="s">
        <v>414</v>
      </c>
      <c r="F2074" s="21">
        <v>1993</v>
      </c>
      <c r="G2074" s="40">
        <v>2023</v>
      </c>
      <c r="H2074" s="177">
        <f>(3620695+27140592+104072329)*1000000</f>
        <v>134833616000000</v>
      </c>
      <c r="I2074" s="23">
        <v>849482012000000</v>
      </c>
      <c r="J2074" s="23">
        <v>717865947000000</v>
      </c>
      <c r="K2074" s="23">
        <f t="shared" si="763"/>
        <v>651736762500000</v>
      </c>
      <c r="L2074" s="177">
        <f t="shared" si="754"/>
        <v>717865947000000</v>
      </c>
      <c r="M2074" s="23">
        <f t="shared" si="725"/>
        <v>131616065000000</v>
      </c>
      <c r="N2074" s="23">
        <v>56707759000000</v>
      </c>
      <c r="O2074" s="25">
        <f t="shared" si="744"/>
        <v>-583032331000000</v>
      </c>
      <c r="P2074" s="23">
        <v>18003802000000</v>
      </c>
      <c r="Q2074" s="23">
        <v>13251796000000</v>
      </c>
      <c r="R2074" s="25">
        <f t="shared" si="745"/>
        <v>43455963000000</v>
      </c>
      <c r="S2074" s="26">
        <f t="shared" si="746"/>
        <v>0.84506315243788821</v>
      </c>
      <c r="T2074" s="27">
        <f t="shared" si="747"/>
        <v>0.18782561920296797</v>
      </c>
      <c r="U2074" s="26">
        <f t="shared" si="748"/>
        <v>34.375647882007634</v>
      </c>
      <c r="V2074" s="26">
        <f t="shared" si="749"/>
        <v>8.7010219866184083E-2</v>
      </c>
      <c r="W2074" s="143"/>
      <c r="X2074" s="143"/>
      <c r="Y2074" s="143"/>
      <c r="Z2074" s="30">
        <f t="shared" si="750"/>
        <v>0</v>
      </c>
      <c r="AA2074" s="31">
        <f t="shared" si="705"/>
        <v>30</v>
      </c>
      <c r="AB2074" s="32">
        <v>3.2500000000000001E-2</v>
      </c>
      <c r="AC2074" s="32">
        <v>5.0500000000000003E-2</v>
      </c>
      <c r="AD2074" s="33">
        <f t="shared" si="675"/>
        <v>-0.68633864256562971</v>
      </c>
      <c r="AE2074" s="34">
        <f t="shared" si="676"/>
        <v>2.119385901722896E-2</v>
      </c>
      <c r="AF2074" s="33">
        <f t="shared" si="677"/>
        <v>5.1155836599398173E-2</v>
      </c>
      <c r="AG2074" s="33">
        <f t="shared" si="678"/>
        <v>0</v>
      </c>
      <c r="AH2074" s="35">
        <f t="shared" si="679"/>
        <v>7.899491435272106E-2</v>
      </c>
      <c r="AI2074" s="36">
        <f t="shared" si="756"/>
        <v>-0.5461257933239001</v>
      </c>
      <c r="AJ2074" s="23"/>
      <c r="AK2074" s="120">
        <v>1209</v>
      </c>
      <c r="AL2074" s="44"/>
      <c r="AM2074" s="44"/>
      <c r="AN2074" s="44"/>
      <c r="AO2074" s="44"/>
      <c r="AP2074" s="44"/>
      <c r="AQ2074" s="44"/>
      <c r="AR2074" s="44"/>
    </row>
    <row r="2075" spans="1:44" ht="16.8">
      <c r="A2075" s="78" t="s">
        <v>3967</v>
      </c>
      <c r="B2075" s="79">
        <v>1327</v>
      </c>
      <c r="C2075" s="182" t="s">
        <v>3968</v>
      </c>
      <c r="D2075" s="183" t="s">
        <v>3969</v>
      </c>
      <c r="E2075" s="184" t="s">
        <v>414</v>
      </c>
      <c r="F2075" s="21">
        <v>2008</v>
      </c>
      <c r="G2075" s="40">
        <v>2021</v>
      </c>
      <c r="H2075" s="177">
        <f>(2553309+18039348+48752914)*1000000</f>
        <v>69345571000000</v>
      </c>
      <c r="I2075" s="23">
        <v>292827078000000</v>
      </c>
      <c r="J2075" s="23">
        <v>266840008000000</v>
      </c>
      <c r="K2075" s="23">
        <f>(J2075+189570196000000/2)</f>
        <v>361625106000000</v>
      </c>
      <c r="L2075" s="177">
        <f t="shared" si="754"/>
        <v>266840008000000</v>
      </c>
      <c r="M2075" s="23">
        <f t="shared" si="725"/>
        <v>25987070000000</v>
      </c>
      <c r="N2075" s="23">
        <v>17426817000000</v>
      </c>
      <c r="O2075" s="25">
        <f t="shared" si="744"/>
        <v>-197494437000000</v>
      </c>
      <c r="P2075" s="23">
        <v>4829179000000</v>
      </c>
      <c r="Q2075" s="23">
        <v>4570696000000</v>
      </c>
      <c r="R2075" s="25">
        <f t="shared" si="745"/>
        <v>12856121000000</v>
      </c>
      <c r="S2075" s="26">
        <f t="shared" si="746"/>
        <v>0.91125455276373046</v>
      </c>
      <c r="T2075" s="27">
        <f t="shared" si="747"/>
        <v>0.25987696342746325</v>
      </c>
      <c r="U2075" s="26">
        <f t="shared" si="748"/>
        <v>33.310603373247936</v>
      </c>
      <c r="V2075" s="26">
        <f t="shared" si="749"/>
        <v>4.8190285217641939E-2</v>
      </c>
      <c r="W2075" s="143"/>
      <c r="X2075" s="143"/>
      <c r="Y2075" s="143"/>
      <c r="Z2075" s="30">
        <f t="shared" si="750"/>
        <v>0</v>
      </c>
      <c r="AA2075" s="31">
        <f t="shared" si="705"/>
        <v>13</v>
      </c>
      <c r="AB2075" s="32">
        <v>1.84E-2</v>
      </c>
      <c r="AC2075" s="32">
        <v>2.58E-2</v>
      </c>
      <c r="AD2075" s="33">
        <f t="shared" si="675"/>
        <v>-0.67444048668204104</v>
      </c>
      <c r="AE2075" s="34">
        <f t="shared" si="676"/>
        <v>1.6491572545077268E-2</v>
      </c>
      <c r="AF2075" s="33">
        <f t="shared" si="677"/>
        <v>4.3903456906399893E-2</v>
      </c>
      <c r="AG2075" s="33">
        <f t="shared" si="678"/>
        <v>0</v>
      </c>
      <c r="AH2075" s="35">
        <f t="shared" si="679"/>
        <v>6.5308111518269776E-2</v>
      </c>
      <c r="AI2075" s="36">
        <f t="shared" si="756"/>
        <v>-0.57605086314595166</v>
      </c>
      <c r="AJ2075" s="23"/>
      <c r="AK2075" s="120">
        <v>1210</v>
      </c>
      <c r="AL2075" s="44"/>
      <c r="AM2075" s="44"/>
      <c r="AN2075" s="44"/>
      <c r="AO2075" s="44"/>
      <c r="AP2075" s="44"/>
      <c r="AQ2075" s="44"/>
      <c r="AR2075" s="44"/>
    </row>
    <row r="2076" spans="1:44" ht="16.8">
      <c r="A2076" s="78" t="s">
        <v>3970</v>
      </c>
      <c r="B2076" s="79"/>
      <c r="C2076" s="182" t="s">
        <v>3971</v>
      </c>
      <c r="D2076" s="183" t="s">
        <v>3969</v>
      </c>
      <c r="E2076" s="184" t="s">
        <v>414</v>
      </c>
      <c r="F2076" s="21">
        <v>2008</v>
      </c>
      <c r="G2076" s="40">
        <v>2022</v>
      </c>
      <c r="H2076" s="177">
        <f>(2426932+11988501+53364944)*1000000</f>
        <v>67780377000000</v>
      </c>
      <c r="I2076" s="23">
        <v>328634007000000</v>
      </c>
      <c r="J2076" s="23">
        <v>194959921000000</v>
      </c>
      <c r="K2076" s="23">
        <f t="shared" ref="K2076:K2077" si="764">AVERAGE(J2075:J2076)</f>
        <v>230899964500000</v>
      </c>
      <c r="L2076" s="177">
        <f t="shared" si="754"/>
        <v>194959921000000</v>
      </c>
      <c r="M2076" s="23">
        <f t="shared" si="725"/>
        <v>133674086000000</v>
      </c>
      <c r="N2076" s="23">
        <v>21811015000000</v>
      </c>
      <c r="O2076" s="25">
        <f t="shared" si="744"/>
        <v>-127179544000000</v>
      </c>
      <c r="P2076" s="23">
        <v>6260744000000</v>
      </c>
      <c r="Q2076" s="23">
        <v>5945257000000</v>
      </c>
      <c r="R2076" s="25">
        <f t="shared" si="745"/>
        <v>15865758000000</v>
      </c>
      <c r="S2076" s="26">
        <f t="shared" si="746"/>
        <v>0.59324329450786262</v>
      </c>
      <c r="T2076" s="27">
        <f t="shared" si="747"/>
        <v>0.34766313328573828</v>
      </c>
      <c r="U2076" s="26">
        <f t="shared" si="748"/>
        <v>33.425965806742973</v>
      </c>
      <c r="V2076" s="26">
        <f t="shared" si="749"/>
        <v>9.4460885029715974E-2</v>
      </c>
      <c r="W2076" s="143"/>
      <c r="X2076" s="143"/>
      <c r="Y2076" s="143"/>
      <c r="Z2076" s="30">
        <f t="shared" si="750"/>
        <v>0</v>
      </c>
      <c r="AA2076" s="31">
        <f t="shared" si="705"/>
        <v>14</v>
      </c>
      <c r="AB2076" s="32">
        <v>3.15E-2</v>
      </c>
      <c r="AC2076" s="32">
        <v>8.0199999999999994E-2</v>
      </c>
      <c r="AD2076" s="33">
        <f t="shared" si="675"/>
        <v>-0.38699447193850511</v>
      </c>
      <c r="AE2076" s="34">
        <f t="shared" si="676"/>
        <v>1.90508099181592E-2</v>
      </c>
      <c r="AF2076" s="33">
        <f t="shared" si="677"/>
        <v>4.8277894746297512E-2</v>
      </c>
      <c r="AG2076" s="33">
        <f t="shared" si="678"/>
        <v>0</v>
      </c>
      <c r="AH2076" s="35">
        <f t="shared" si="679"/>
        <v>0.11187435288302153</v>
      </c>
      <c r="AI2076" s="36">
        <f t="shared" si="756"/>
        <v>-0.16653082689497992</v>
      </c>
      <c r="AJ2076" s="23"/>
      <c r="AK2076" s="120">
        <v>1211</v>
      </c>
      <c r="AL2076" s="44"/>
      <c r="AM2076" s="44"/>
      <c r="AN2076" s="44"/>
      <c r="AO2076" s="44"/>
      <c r="AP2076" s="44"/>
      <c r="AQ2076" s="44"/>
      <c r="AR2076" s="44"/>
    </row>
    <row r="2077" spans="1:44" ht="16.8">
      <c r="A2077" s="78" t="s">
        <v>3972</v>
      </c>
      <c r="B2077" s="79"/>
      <c r="C2077" s="182" t="s">
        <v>3973</v>
      </c>
      <c r="D2077" s="183" t="s">
        <v>3969</v>
      </c>
      <c r="E2077" s="184" t="s">
        <v>414</v>
      </c>
      <c r="F2077" s="21">
        <v>2008</v>
      </c>
      <c r="G2077" s="40">
        <v>2023</v>
      </c>
      <c r="H2077" s="177">
        <f>(2338561+9213809+52353119)*1000000</f>
        <v>63905489000000</v>
      </c>
      <c r="I2077" s="23">
        <v>356633972000000</v>
      </c>
      <c r="J2077" s="23">
        <v>208261560000000</v>
      </c>
      <c r="K2077" s="23">
        <f t="shared" si="764"/>
        <v>201610740500000</v>
      </c>
      <c r="L2077" s="177">
        <f t="shared" si="754"/>
        <v>208261560000000</v>
      </c>
      <c r="M2077" s="23">
        <f t="shared" si="725"/>
        <v>148372412000000</v>
      </c>
      <c r="N2077" s="23">
        <v>28562417000000</v>
      </c>
      <c r="O2077" s="25">
        <f t="shared" si="744"/>
        <v>-144356071000000</v>
      </c>
      <c r="P2077" s="23">
        <v>4463325000000</v>
      </c>
      <c r="Q2077" s="23">
        <v>6701533000000</v>
      </c>
      <c r="R2077" s="25">
        <f t="shared" si="745"/>
        <v>21860884000000</v>
      </c>
      <c r="S2077" s="26">
        <f t="shared" si="746"/>
        <v>0.5839644463259378</v>
      </c>
      <c r="T2077" s="27">
        <f t="shared" si="747"/>
        <v>0.30685206141738303</v>
      </c>
      <c r="U2077" s="26">
        <f t="shared" si="748"/>
        <v>33.507731083224968</v>
      </c>
      <c r="V2077" s="26">
        <f t="shared" si="749"/>
        <v>0.1416711080429765</v>
      </c>
      <c r="W2077" s="143"/>
      <c r="X2077" s="143"/>
      <c r="Y2077" s="143"/>
      <c r="Z2077" s="30">
        <f t="shared" si="750"/>
        <v>0</v>
      </c>
      <c r="AA2077" s="31">
        <f t="shared" si="705"/>
        <v>15</v>
      </c>
      <c r="AB2077" s="32">
        <v>3.2500000000000001E-2</v>
      </c>
      <c r="AC2077" s="32">
        <v>5.0500000000000003E-2</v>
      </c>
      <c r="AD2077" s="33">
        <f t="shared" si="675"/>
        <v>-0.40477375217636308</v>
      </c>
      <c r="AE2077" s="34">
        <f t="shared" si="676"/>
        <v>1.2515142556301396E-2</v>
      </c>
      <c r="AF2077" s="33">
        <f t="shared" si="677"/>
        <v>6.1297817135603672E-2</v>
      </c>
      <c r="AG2077" s="33">
        <f t="shared" si="678"/>
        <v>0</v>
      </c>
      <c r="AH2077" s="35">
        <f t="shared" si="679"/>
        <v>0.13714685033570284</v>
      </c>
      <c r="AI2077" s="36">
        <f t="shared" si="756"/>
        <v>-0.12877765614961878</v>
      </c>
      <c r="AJ2077" s="23"/>
      <c r="AK2077" s="120">
        <v>1212</v>
      </c>
      <c r="AL2077" s="44"/>
      <c r="AM2077" s="44"/>
      <c r="AN2077" s="44"/>
      <c r="AO2077" s="44"/>
      <c r="AP2077" s="44"/>
      <c r="AQ2077" s="44"/>
      <c r="AR2077" s="44"/>
    </row>
    <row r="2078" spans="1:44" ht="16.8">
      <c r="A2078" s="78" t="s">
        <v>3974</v>
      </c>
      <c r="B2078" s="79">
        <v>1330</v>
      </c>
      <c r="C2078" s="182" t="s">
        <v>3975</v>
      </c>
      <c r="D2078" s="183" t="s">
        <v>3772</v>
      </c>
      <c r="E2078" s="184" t="s">
        <v>414</v>
      </c>
      <c r="F2078" s="21">
        <v>1963</v>
      </c>
      <c r="G2078" s="40">
        <v>2021</v>
      </c>
      <c r="H2078" s="177">
        <f>(17930467+22310992+227601730)*1000000</f>
        <v>267843189000000</v>
      </c>
      <c r="I2078" s="23">
        <v>1407144620000000</v>
      </c>
      <c r="J2078" s="23">
        <v>1300538902000000</v>
      </c>
      <c r="K2078" s="23">
        <f>(J2078+1228614381000000)/2</f>
        <v>1264576641500000</v>
      </c>
      <c r="L2078" s="177">
        <f t="shared" si="754"/>
        <v>1300538902000000</v>
      </c>
      <c r="M2078" s="23">
        <f t="shared" si="725"/>
        <v>106605718000000</v>
      </c>
      <c r="N2078" s="23">
        <v>69811192000000</v>
      </c>
      <c r="O2078" s="25">
        <f t="shared" si="744"/>
        <v>-1032695713000000</v>
      </c>
      <c r="P2078" s="23">
        <v>21266117000000</v>
      </c>
      <c r="Q2078" s="23">
        <v>1724516900000</v>
      </c>
      <c r="R2078" s="25">
        <f t="shared" si="745"/>
        <v>68086675100000</v>
      </c>
      <c r="S2078" s="26">
        <f t="shared" si="746"/>
        <v>0.92423968618094132</v>
      </c>
      <c r="T2078" s="27">
        <f t="shared" si="747"/>
        <v>0.20594784868649782</v>
      </c>
      <c r="U2078" s="26">
        <f t="shared" si="748"/>
        <v>34.88033895383046</v>
      </c>
      <c r="V2078" s="26">
        <f t="shared" si="749"/>
        <v>5.5205188605407275E-2</v>
      </c>
      <c r="W2078" s="143"/>
      <c r="X2078" s="143"/>
      <c r="Y2078" s="143"/>
      <c r="Z2078" s="30">
        <f t="shared" si="750"/>
        <v>0</v>
      </c>
      <c r="AA2078" s="31">
        <f t="shared" si="705"/>
        <v>58</v>
      </c>
      <c r="AB2078" s="32">
        <v>1.84E-2</v>
      </c>
      <c r="AC2078" s="32">
        <v>2.58E-2</v>
      </c>
      <c r="AD2078" s="33">
        <f t="shared" si="675"/>
        <v>-0.73389451114129267</v>
      </c>
      <c r="AE2078" s="34">
        <f t="shared" si="676"/>
        <v>1.5112957614832796E-2</v>
      </c>
      <c r="AF2078" s="33">
        <f t="shared" si="677"/>
        <v>4.8386408996112996E-2</v>
      </c>
      <c r="AG2078" s="33">
        <f t="shared" si="678"/>
        <v>0</v>
      </c>
      <c r="AH2078" s="35">
        <f t="shared" si="679"/>
        <v>5.367866496930055E-2</v>
      </c>
      <c r="AI2078" s="36">
        <f t="shared" si="756"/>
        <v>-0.64616145805231184</v>
      </c>
      <c r="AJ2078" s="23"/>
      <c r="AK2078" s="120">
        <v>1213</v>
      </c>
      <c r="AL2078" s="44"/>
      <c r="AM2078" s="44"/>
      <c r="AN2078" s="44"/>
      <c r="AO2078" s="44"/>
      <c r="AP2078" s="44"/>
      <c r="AQ2078" s="44"/>
      <c r="AR2078" s="44"/>
    </row>
    <row r="2079" spans="1:44" ht="16.8">
      <c r="A2079" s="78" t="s">
        <v>3976</v>
      </c>
      <c r="B2079" s="79"/>
      <c r="C2079" s="182" t="s">
        <v>3977</v>
      </c>
      <c r="D2079" s="183" t="s">
        <v>3772</v>
      </c>
      <c r="E2079" s="184" t="s">
        <v>414</v>
      </c>
      <c r="F2079" s="21">
        <v>1963</v>
      </c>
      <c r="G2079" s="40">
        <v>2022</v>
      </c>
      <c r="H2079" s="177">
        <f>(18348534+92557908+313637444)*1000000</f>
        <v>424543886000000</v>
      </c>
      <c r="I2079" s="23">
        <v>1813815170000000</v>
      </c>
      <c r="J2079" s="23">
        <v>1243468471000000</v>
      </c>
      <c r="K2079" s="23">
        <f t="shared" ref="K2079:K2080" si="765">AVERAGE(J2078:J2079)</f>
        <v>1272003686500000</v>
      </c>
      <c r="L2079" s="177">
        <f t="shared" si="754"/>
        <v>1243468471000000</v>
      </c>
      <c r="M2079" s="23">
        <f t="shared" si="725"/>
        <v>570346699000000</v>
      </c>
      <c r="N2079" s="23">
        <v>88112700000000</v>
      </c>
      <c r="O2079" s="25">
        <f t="shared" si="744"/>
        <v>-818924585000000</v>
      </c>
      <c r="P2079" s="23">
        <v>29919054000000</v>
      </c>
      <c r="Q2079" s="23">
        <v>21250512000000</v>
      </c>
      <c r="R2079" s="25">
        <f t="shared" si="745"/>
        <v>66862188000000</v>
      </c>
      <c r="S2079" s="26">
        <f t="shared" si="746"/>
        <v>0.68555412456937381</v>
      </c>
      <c r="T2079" s="27">
        <f t="shared" si="747"/>
        <v>0.34141909980120438</v>
      </c>
      <c r="U2079" s="26">
        <f t="shared" si="748"/>
        <v>35.134208850563454</v>
      </c>
      <c r="V2079" s="26">
        <f t="shared" si="749"/>
        <v>6.9270789806001085E-2</v>
      </c>
      <c r="W2079" s="143"/>
      <c r="X2079" s="143"/>
      <c r="Y2079" s="143"/>
      <c r="Z2079" s="30">
        <f t="shared" si="750"/>
        <v>0</v>
      </c>
      <c r="AA2079" s="31">
        <f t="shared" si="705"/>
        <v>59</v>
      </c>
      <c r="AB2079" s="32">
        <v>3.15E-2</v>
      </c>
      <c r="AC2079" s="32">
        <v>8.0199999999999994E-2</v>
      </c>
      <c r="AD2079" s="33">
        <f t="shared" si="675"/>
        <v>-0.45149285249389548</v>
      </c>
      <c r="AE2079" s="34">
        <f t="shared" si="676"/>
        <v>1.6495095252731844E-2</v>
      </c>
      <c r="AF2079" s="33">
        <f t="shared" si="677"/>
        <v>3.6862735027185817E-2</v>
      </c>
      <c r="AG2079" s="33">
        <f t="shared" si="678"/>
        <v>0</v>
      </c>
      <c r="AH2079" s="35">
        <f t="shared" si="679"/>
        <v>7.0860421518480141E-2</v>
      </c>
      <c r="AI2079" s="36">
        <f t="shared" si="756"/>
        <v>-0.32619084253065667</v>
      </c>
      <c r="AJ2079" s="23"/>
      <c r="AK2079" s="120">
        <v>1214</v>
      </c>
      <c r="AL2079" s="44"/>
      <c r="AM2079" s="44"/>
      <c r="AN2079" s="44"/>
      <c r="AO2079" s="44"/>
      <c r="AP2079" s="44"/>
      <c r="AQ2079" s="44"/>
      <c r="AR2079" s="44"/>
    </row>
    <row r="2080" spans="1:44" ht="16.8">
      <c r="A2080" s="78" t="s">
        <v>3978</v>
      </c>
      <c r="B2080" s="79"/>
      <c r="C2080" s="182" t="s">
        <v>3979</v>
      </c>
      <c r="D2080" s="183" t="s">
        <v>3772</v>
      </c>
      <c r="E2080" s="184" t="s">
        <v>414</v>
      </c>
      <c r="F2080" s="21">
        <v>1963</v>
      </c>
      <c r="G2080" s="40">
        <v>2023</v>
      </c>
      <c r="H2080" s="177">
        <f>(14504849+58104503+336468607)*1000000</f>
        <v>409077959000000</v>
      </c>
      <c r="I2080" s="23">
        <v>1839613198000000</v>
      </c>
      <c r="J2080" s="23">
        <v>1674600532000000</v>
      </c>
      <c r="K2080" s="23">
        <f t="shared" si="765"/>
        <v>1459034501500000</v>
      </c>
      <c r="L2080" s="177">
        <f t="shared" si="754"/>
        <v>1674600532000000</v>
      </c>
      <c r="M2080" s="23">
        <f t="shared" si="725"/>
        <v>165012666000000</v>
      </c>
      <c r="N2080" s="23">
        <v>108122278000000</v>
      </c>
      <c r="O2080" s="25">
        <f t="shared" si="744"/>
        <v>-1265522573000000</v>
      </c>
      <c r="P2080" s="23">
        <v>33054448000000</v>
      </c>
      <c r="Q2080" s="23">
        <v>21914899000000</v>
      </c>
      <c r="R2080" s="25">
        <f t="shared" si="745"/>
        <v>86207379000000</v>
      </c>
      <c r="S2080" s="26">
        <f t="shared" si="746"/>
        <v>0.91030034673625992</v>
      </c>
      <c r="T2080" s="27">
        <f t="shared" si="747"/>
        <v>0.24428390603186551</v>
      </c>
      <c r="U2080" s="26">
        <f t="shared" si="748"/>
        <v>35.148331725954314</v>
      </c>
      <c r="V2080" s="26">
        <f t="shared" si="749"/>
        <v>7.4105360694926653E-2</v>
      </c>
      <c r="W2080" s="143"/>
      <c r="X2080" s="143"/>
      <c r="Y2080" s="143"/>
      <c r="Z2080" s="30">
        <f t="shared" si="750"/>
        <v>0</v>
      </c>
      <c r="AA2080" s="31">
        <f t="shared" si="705"/>
        <v>60</v>
      </c>
      <c r="AB2080" s="32">
        <v>3.2500000000000001E-2</v>
      </c>
      <c r="AC2080" s="32">
        <v>5.0500000000000003E-2</v>
      </c>
      <c r="AD2080" s="33">
        <f t="shared" si="675"/>
        <v>-0.68792862237336483</v>
      </c>
      <c r="AE2080" s="34">
        <f t="shared" si="676"/>
        <v>1.7968151150435485E-2</v>
      </c>
      <c r="AF2080" s="33">
        <f t="shared" si="677"/>
        <v>4.6861687605700683E-2</v>
      </c>
      <c r="AG2080" s="33">
        <f t="shared" si="678"/>
        <v>0</v>
      </c>
      <c r="AH2080" s="35">
        <f t="shared" si="679"/>
        <v>6.4566011973534954E-2</v>
      </c>
      <c r="AI2080" s="36">
        <f t="shared" si="756"/>
        <v>-0.58114935416508096</v>
      </c>
      <c r="AJ2080" s="23"/>
      <c r="AK2080" s="120">
        <v>1215</v>
      </c>
      <c r="AL2080" s="44"/>
      <c r="AM2080" s="44"/>
      <c r="AN2080" s="44"/>
      <c r="AO2080" s="44"/>
      <c r="AP2080" s="44"/>
      <c r="AQ2080" s="44"/>
      <c r="AR2080" s="44"/>
    </row>
    <row r="2081" spans="1:44" ht="16.8">
      <c r="A2081" s="78" t="s">
        <v>3980</v>
      </c>
      <c r="B2081" s="79">
        <v>1331</v>
      </c>
      <c r="C2081" s="182" t="s">
        <v>3981</v>
      </c>
      <c r="D2081" s="183" t="s">
        <v>3982</v>
      </c>
      <c r="E2081" s="184" t="s">
        <v>414</v>
      </c>
      <c r="F2081" s="21">
        <v>1996</v>
      </c>
      <c r="G2081" s="40">
        <v>2021</v>
      </c>
      <c r="H2081" s="177">
        <f>(1521580+24890710+27985117)*1000000</f>
        <v>54397407000000</v>
      </c>
      <c r="I2081" s="23">
        <v>309517129000000</v>
      </c>
      <c r="J2081" s="23">
        <v>285226389000000</v>
      </c>
      <c r="K2081" s="23">
        <f>(J2081+226701863000000)/2</f>
        <v>255964126000000</v>
      </c>
      <c r="L2081" s="177">
        <f t="shared" si="754"/>
        <v>285226389000000</v>
      </c>
      <c r="M2081" s="23">
        <f t="shared" si="725"/>
        <v>24290740000000</v>
      </c>
      <c r="N2081" s="23">
        <v>20975011000000</v>
      </c>
      <c r="O2081" s="25">
        <f t="shared" si="744"/>
        <v>-230828982000000</v>
      </c>
      <c r="P2081" s="23">
        <v>6409750000000</v>
      </c>
      <c r="Q2081" s="23">
        <v>5281843000000</v>
      </c>
      <c r="R2081" s="25">
        <f t="shared" si="745"/>
        <v>15693168000000</v>
      </c>
      <c r="S2081" s="26">
        <f t="shared" si="746"/>
        <v>0.92152053077488971</v>
      </c>
      <c r="T2081" s="27">
        <f t="shared" si="747"/>
        <v>0.19071659950790879</v>
      </c>
      <c r="U2081" s="26">
        <f t="shared" si="748"/>
        <v>33.366034550625166</v>
      </c>
      <c r="V2081" s="26">
        <f t="shared" si="749"/>
        <v>8.1945119918874876E-2</v>
      </c>
      <c r="W2081" s="143"/>
      <c r="X2081" s="143"/>
      <c r="Y2081" s="143"/>
      <c r="Z2081" s="30">
        <f t="shared" si="750"/>
        <v>0</v>
      </c>
      <c r="AA2081" s="31">
        <f t="shared" si="705"/>
        <v>25</v>
      </c>
      <c r="AB2081" s="32">
        <v>1.84E-2</v>
      </c>
      <c r="AC2081" s="32">
        <v>2.58E-2</v>
      </c>
      <c r="AD2081" s="33">
        <f t="shared" si="675"/>
        <v>-0.74577126876877953</v>
      </c>
      <c r="AE2081" s="34">
        <f t="shared" si="676"/>
        <v>2.0708870041244148E-2</v>
      </c>
      <c r="AF2081" s="33">
        <f t="shared" si="677"/>
        <v>5.0702098622787364E-2</v>
      </c>
      <c r="AG2081" s="33">
        <f t="shared" si="678"/>
        <v>0</v>
      </c>
      <c r="AH2081" s="35">
        <f t="shared" si="679"/>
        <v>7.3538115016419464E-2</v>
      </c>
      <c r="AI2081" s="36">
        <f t="shared" si="756"/>
        <v>-0.62507806399317589</v>
      </c>
      <c r="AJ2081" s="23"/>
      <c r="AK2081" s="120">
        <v>1216</v>
      </c>
      <c r="AL2081" s="44"/>
      <c r="AM2081" s="44"/>
      <c r="AN2081" s="44"/>
      <c r="AO2081" s="44"/>
      <c r="AP2081" s="44"/>
      <c r="AQ2081" s="44"/>
      <c r="AR2081" s="44"/>
    </row>
    <row r="2082" spans="1:44" ht="16.8">
      <c r="A2082" s="78" t="s">
        <v>3983</v>
      </c>
      <c r="B2082" s="79"/>
      <c r="C2082" s="182" t="s">
        <v>3984</v>
      </c>
      <c r="D2082" s="183" t="s">
        <v>3982</v>
      </c>
      <c r="E2082" s="184" t="s">
        <v>414</v>
      </c>
      <c r="F2082" s="21">
        <v>1996</v>
      </c>
      <c r="G2082" s="40">
        <v>2022</v>
      </c>
      <c r="H2082" s="177">
        <f>(10062633+51899808+1617912)*1000000</f>
        <v>63580353000000</v>
      </c>
      <c r="I2082" s="23">
        <v>343109861000000</v>
      </c>
      <c r="J2082" s="23">
        <v>310506469000000</v>
      </c>
      <c r="K2082" s="23">
        <f t="shared" ref="K2082:K2083" si="766">AVERAGE(J2081:J2082)</f>
        <v>297866429000000</v>
      </c>
      <c r="L2082" s="177">
        <f t="shared" si="754"/>
        <v>310506469000000</v>
      </c>
      <c r="M2082" s="23">
        <f t="shared" si="725"/>
        <v>32603392000000</v>
      </c>
      <c r="N2082" s="23">
        <v>27507578000000</v>
      </c>
      <c r="O2082" s="25">
        <f t="shared" si="744"/>
        <v>-246926116000000</v>
      </c>
      <c r="P2082" s="23">
        <v>8461027000000</v>
      </c>
      <c r="Q2082" s="23">
        <v>6111645000000</v>
      </c>
      <c r="R2082" s="25">
        <f t="shared" si="745"/>
        <v>21395933000000</v>
      </c>
      <c r="S2082" s="26">
        <f t="shared" si="746"/>
        <v>0.9049768144087238</v>
      </c>
      <c r="T2082" s="27">
        <f t="shared" si="747"/>
        <v>0.20476337644353554</v>
      </c>
      <c r="U2082" s="26">
        <f t="shared" si="748"/>
        <v>33.469071806271806</v>
      </c>
      <c r="V2082" s="26">
        <f t="shared" si="749"/>
        <v>9.2348701706159705E-2</v>
      </c>
      <c r="W2082" s="143"/>
      <c r="X2082" s="143"/>
      <c r="Y2082" s="143"/>
      <c r="Z2082" s="30">
        <f t="shared" si="750"/>
        <v>0</v>
      </c>
      <c r="AA2082" s="31">
        <f t="shared" si="705"/>
        <v>26</v>
      </c>
      <c r="AB2082" s="32">
        <v>3.15E-2</v>
      </c>
      <c r="AC2082" s="32">
        <v>8.0199999999999994E-2</v>
      </c>
      <c r="AD2082" s="33">
        <f t="shared" si="675"/>
        <v>-0.71967070628727869</v>
      </c>
      <c r="AE2082" s="34">
        <f t="shared" si="676"/>
        <v>2.4659818797804822E-2</v>
      </c>
      <c r="AF2082" s="33">
        <f t="shared" si="677"/>
        <v>6.2358840219984231E-2</v>
      </c>
      <c r="AG2082" s="33">
        <f t="shared" si="678"/>
        <v>0</v>
      </c>
      <c r="AH2082" s="35">
        <f t="shared" si="679"/>
        <v>8.8589387810789857E-2</v>
      </c>
      <c r="AI2082" s="36">
        <f t="shared" si="756"/>
        <v>-0.53470754069106985</v>
      </c>
      <c r="AJ2082" s="23"/>
      <c r="AK2082" s="120">
        <v>1217</v>
      </c>
      <c r="AL2082" s="44"/>
      <c r="AM2082" s="44"/>
      <c r="AN2082" s="44"/>
      <c r="AO2082" s="44"/>
      <c r="AP2082" s="44"/>
      <c r="AQ2082" s="44"/>
      <c r="AR2082" s="44"/>
    </row>
    <row r="2083" spans="1:44" ht="16.8">
      <c r="A2083" s="78" t="s">
        <v>3985</v>
      </c>
      <c r="B2083" s="79"/>
      <c r="C2083" s="182" t="s">
        <v>3986</v>
      </c>
      <c r="D2083" s="183" t="s">
        <v>3982</v>
      </c>
      <c r="E2083" s="184" t="s">
        <v>414</v>
      </c>
      <c r="F2083" s="21">
        <v>1996</v>
      </c>
      <c r="G2083" s="40">
        <v>2023</v>
      </c>
      <c r="H2083" s="177">
        <f>(1681052+8217767+68197574)*1000000</f>
        <v>78096393000000</v>
      </c>
      <c r="I2083" s="23">
        <v>410175866000000</v>
      </c>
      <c r="J2083" s="23">
        <v>372330160000000</v>
      </c>
      <c r="K2083" s="23">
        <f t="shared" si="766"/>
        <v>341418314500000</v>
      </c>
      <c r="L2083" s="177">
        <f t="shared" si="754"/>
        <v>372330160000000</v>
      </c>
      <c r="M2083" s="23">
        <f t="shared" si="725"/>
        <v>37845706000000</v>
      </c>
      <c r="N2083" s="23">
        <v>35565910000000</v>
      </c>
      <c r="O2083" s="25">
        <f t="shared" si="744"/>
        <v>-294233767000000</v>
      </c>
      <c r="P2083" s="23">
        <v>8516907000000</v>
      </c>
      <c r="Q2083" s="23">
        <v>6481984000000</v>
      </c>
      <c r="R2083" s="25">
        <f t="shared" si="745"/>
        <v>29083926000000</v>
      </c>
      <c r="S2083" s="26">
        <f t="shared" si="746"/>
        <v>0.90773297715180545</v>
      </c>
      <c r="T2083" s="27">
        <f t="shared" si="747"/>
        <v>0.20975038122079609</v>
      </c>
      <c r="U2083" s="26">
        <f t="shared" si="748"/>
        <v>33.647607125121226</v>
      </c>
      <c r="V2083" s="26">
        <f t="shared" si="749"/>
        <v>0.10417106666373634</v>
      </c>
      <c r="W2083" s="143"/>
      <c r="X2083" s="143"/>
      <c r="Y2083" s="143"/>
      <c r="Z2083" s="30">
        <f t="shared" si="750"/>
        <v>0</v>
      </c>
      <c r="AA2083" s="31">
        <f t="shared" si="705"/>
        <v>27</v>
      </c>
      <c r="AB2083" s="32">
        <v>3.2500000000000001E-2</v>
      </c>
      <c r="AC2083" s="32">
        <v>5.0500000000000003E-2</v>
      </c>
      <c r="AD2083" s="33">
        <f t="shared" si="675"/>
        <v>-0.71733563914752607</v>
      </c>
      <c r="AE2083" s="34">
        <f t="shared" si="676"/>
        <v>2.0764037345873489E-2</v>
      </c>
      <c r="AF2083" s="33">
        <f t="shared" si="677"/>
        <v>7.0905990358779425E-2</v>
      </c>
      <c r="AG2083" s="33">
        <f t="shared" si="678"/>
        <v>0</v>
      </c>
      <c r="AH2083" s="35">
        <f t="shared" si="679"/>
        <v>9.5522506154215384E-2</v>
      </c>
      <c r="AI2083" s="36">
        <f t="shared" si="756"/>
        <v>-0.50222084035462089</v>
      </c>
      <c r="AJ2083" s="23"/>
      <c r="AK2083" s="120">
        <v>1218</v>
      </c>
      <c r="AL2083" s="44"/>
      <c r="AM2083" s="44"/>
      <c r="AN2083" s="44"/>
      <c r="AO2083" s="44"/>
      <c r="AP2083" s="44"/>
      <c r="AQ2083" s="44"/>
      <c r="AR2083" s="44"/>
    </row>
    <row r="2084" spans="1:44" ht="16.8">
      <c r="A2084" s="78" t="s">
        <v>3987</v>
      </c>
      <c r="B2084" s="79">
        <v>1332</v>
      </c>
      <c r="C2084" s="182" t="s">
        <v>3988</v>
      </c>
      <c r="D2084" s="183" t="s">
        <v>3989</v>
      </c>
      <c r="E2084" s="184" t="s">
        <v>414</v>
      </c>
      <c r="F2084" s="21">
        <v>1993</v>
      </c>
      <c r="G2084" s="40">
        <v>2021</v>
      </c>
      <c r="H2084" s="177">
        <f>(2345733+10860730+57104628)*1000000</f>
        <v>70311091000000</v>
      </c>
      <c r="I2084" s="23">
        <v>547409439000000</v>
      </c>
      <c r="J2084" s="23">
        <v>461131292000000</v>
      </c>
      <c r="K2084" s="23">
        <f>(J2084+366233025000000)/2</f>
        <v>413682158500000</v>
      </c>
      <c r="L2084" s="177">
        <f t="shared" si="754"/>
        <v>461131292000000</v>
      </c>
      <c r="M2084" s="23">
        <f t="shared" si="725"/>
        <v>86278147000000</v>
      </c>
      <c r="N2084" s="23">
        <v>50827098000000</v>
      </c>
      <c r="O2084" s="25">
        <f t="shared" si="744"/>
        <v>-390820201000000</v>
      </c>
      <c r="P2084" s="23">
        <v>11477170000000</v>
      </c>
      <c r="Q2084" s="23">
        <v>10718937000000</v>
      </c>
      <c r="R2084" s="25">
        <f t="shared" si="745"/>
        <v>40108161000000</v>
      </c>
      <c r="S2084" s="26">
        <f t="shared" si="746"/>
        <v>0.84238827310392794</v>
      </c>
      <c r="T2084" s="27">
        <f t="shared" si="747"/>
        <v>0.15247521089937224</v>
      </c>
      <c r="U2084" s="26">
        <f t="shared" si="748"/>
        <v>33.936218155718578</v>
      </c>
      <c r="V2084" s="26">
        <f t="shared" si="749"/>
        <v>0.12286509571574863</v>
      </c>
      <c r="W2084" s="143"/>
      <c r="X2084" s="143"/>
      <c r="Y2084" s="143"/>
      <c r="Z2084" s="30">
        <f t="shared" si="750"/>
        <v>0</v>
      </c>
      <c r="AA2084" s="31">
        <f t="shared" si="705"/>
        <v>28</v>
      </c>
      <c r="AB2084" s="32">
        <v>1.84E-2</v>
      </c>
      <c r="AC2084" s="32">
        <v>2.58E-2</v>
      </c>
      <c r="AD2084" s="33">
        <f t="shared" si="675"/>
        <v>-0.71394494350324855</v>
      </c>
      <c r="AE2084" s="34">
        <f t="shared" si="676"/>
        <v>2.0966335584140339E-2</v>
      </c>
      <c r="AF2084" s="33">
        <f t="shared" si="677"/>
        <v>7.3269034368989017E-2</v>
      </c>
      <c r="AG2084" s="33">
        <f t="shared" si="678"/>
        <v>0</v>
      </c>
      <c r="AH2084" s="35">
        <f t="shared" si="679"/>
        <v>0.11022261746661079</v>
      </c>
      <c r="AI2084" s="36">
        <f t="shared" si="756"/>
        <v>-0.47537063150182723</v>
      </c>
      <c r="AJ2084" s="23"/>
      <c r="AK2084" s="120">
        <v>1219</v>
      </c>
      <c r="AL2084" s="44"/>
      <c r="AM2084" s="44"/>
      <c r="AN2084" s="44"/>
      <c r="AO2084" s="44"/>
      <c r="AP2084" s="44"/>
      <c r="AQ2084" s="44"/>
      <c r="AR2084" s="44"/>
    </row>
    <row r="2085" spans="1:44" ht="16.8">
      <c r="A2085" s="78" t="s">
        <v>3990</v>
      </c>
      <c r="B2085" s="79"/>
      <c r="C2085" s="182" t="s">
        <v>3991</v>
      </c>
      <c r="D2085" s="183" t="s">
        <v>3989</v>
      </c>
      <c r="E2085" s="184" t="s">
        <v>414</v>
      </c>
      <c r="F2085" s="21">
        <v>1993</v>
      </c>
      <c r="G2085" s="40">
        <v>2022</v>
      </c>
      <c r="H2085" s="177">
        <f>(2658493+9935379+47965493)*1000000</f>
        <v>60559365000000</v>
      </c>
      <c r="I2085" s="23">
        <v>631012886000000</v>
      </c>
      <c r="J2085" s="23">
        <v>527510966000000</v>
      </c>
      <c r="K2085" s="23">
        <f t="shared" ref="K2085:K2086" si="767">AVERAGE(J2084:J2085)</f>
        <v>494321129000000</v>
      </c>
      <c r="L2085" s="177">
        <f t="shared" si="754"/>
        <v>527510966000000</v>
      </c>
      <c r="M2085" s="23">
        <f t="shared" si="725"/>
        <v>103501920000000</v>
      </c>
      <c r="N2085" s="23">
        <v>62200250000000</v>
      </c>
      <c r="O2085" s="25">
        <f t="shared" si="744"/>
        <v>-466951601000000</v>
      </c>
      <c r="P2085" s="23">
        <v>16908807000000</v>
      </c>
      <c r="Q2085" s="23">
        <v>14115731000000</v>
      </c>
      <c r="R2085" s="25">
        <f t="shared" si="745"/>
        <v>48084519000000</v>
      </c>
      <c r="S2085" s="26">
        <f t="shared" si="746"/>
        <v>0.83597495028017543</v>
      </c>
      <c r="T2085" s="27">
        <f t="shared" si="747"/>
        <v>0.11480209683451396</v>
      </c>
      <c r="U2085" s="26">
        <f t="shared" si="748"/>
        <v>34.078347399814334</v>
      </c>
      <c r="V2085" s="26">
        <f t="shared" si="749"/>
        <v>0.12582964059381729</v>
      </c>
      <c r="W2085" s="143"/>
      <c r="X2085" s="143"/>
      <c r="Y2085" s="143"/>
      <c r="Z2085" s="30">
        <f t="shared" si="750"/>
        <v>0</v>
      </c>
      <c r="AA2085" s="31">
        <f t="shared" si="705"/>
        <v>29</v>
      </c>
      <c r="AB2085" s="32">
        <v>3.15E-2</v>
      </c>
      <c r="AC2085" s="32">
        <v>8.0199999999999994E-2</v>
      </c>
      <c r="AD2085" s="33">
        <f t="shared" si="675"/>
        <v>-0.74000327308688274</v>
      </c>
      <c r="AE2085" s="34">
        <f t="shared" si="676"/>
        <v>2.6796294299447951E-2</v>
      </c>
      <c r="AF2085" s="33">
        <f t="shared" si="677"/>
        <v>7.6202118953241152E-2</v>
      </c>
      <c r="AG2085" s="33">
        <f t="shared" si="678"/>
        <v>0</v>
      </c>
      <c r="AH2085" s="35">
        <f t="shared" si="679"/>
        <v>0.11791271463350014</v>
      </c>
      <c r="AI2085" s="36">
        <f t="shared" si="756"/>
        <v>-0.48110940850583628</v>
      </c>
      <c r="AJ2085" s="23"/>
      <c r="AK2085" s="120">
        <v>1220</v>
      </c>
      <c r="AL2085" s="44"/>
      <c r="AM2085" s="44"/>
      <c r="AN2085" s="44"/>
      <c r="AO2085" s="44"/>
      <c r="AP2085" s="44"/>
      <c r="AQ2085" s="44"/>
      <c r="AR2085" s="44"/>
    </row>
    <row r="2086" spans="1:44" ht="16.8">
      <c r="A2086" s="78" t="s">
        <v>3992</v>
      </c>
      <c r="B2086" s="79"/>
      <c r="C2086" s="182" t="s">
        <v>3993</v>
      </c>
      <c r="D2086" s="183" t="s">
        <v>3989</v>
      </c>
      <c r="E2086" s="184" t="s">
        <v>414</v>
      </c>
      <c r="F2086" s="21">
        <v>1993</v>
      </c>
      <c r="G2086" s="40">
        <v>2023</v>
      </c>
      <c r="H2086" s="177">
        <f>(2284990+8422511+94093778)*1000000</f>
        <v>104801279000000</v>
      </c>
      <c r="I2086" s="23">
        <v>817566922000000</v>
      </c>
      <c r="J2086" s="23">
        <v>677771395000000</v>
      </c>
      <c r="K2086" s="23">
        <f t="shared" si="767"/>
        <v>602641180500000</v>
      </c>
      <c r="L2086" s="177">
        <f t="shared" si="754"/>
        <v>677771395000000</v>
      </c>
      <c r="M2086" s="23">
        <f t="shared" si="725"/>
        <v>139795527000000</v>
      </c>
      <c r="N2086" s="23">
        <v>76557377000000</v>
      </c>
      <c r="O2086" s="25">
        <f t="shared" si="744"/>
        <v>-572970116000000</v>
      </c>
      <c r="P2086" s="23">
        <v>13941218000000</v>
      </c>
      <c r="Q2086" s="23">
        <v>13941218000000</v>
      </c>
      <c r="R2086" s="25">
        <f t="shared" si="745"/>
        <v>62616159000000</v>
      </c>
      <c r="S2086" s="26">
        <f t="shared" si="746"/>
        <v>0.82901029476826116</v>
      </c>
      <c r="T2086" s="27">
        <f t="shared" si="747"/>
        <v>0.15462629401761638</v>
      </c>
      <c r="U2086" s="26">
        <f t="shared" si="748"/>
        <v>34.337353877123164</v>
      </c>
      <c r="V2086" s="26">
        <f t="shared" si="749"/>
        <v>0.12703641814932359</v>
      </c>
      <c r="W2086" s="143"/>
      <c r="X2086" s="143"/>
      <c r="Y2086" s="143"/>
      <c r="Z2086" s="30">
        <f t="shared" si="750"/>
        <v>0</v>
      </c>
      <c r="AA2086" s="31">
        <f t="shared" si="705"/>
        <v>30</v>
      </c>
      <c r="AB2086" s="32">
        <v>3.2500000000000001E-2</v>
      </c>
      <c r="AC2086" s="32">
        <v>5.0500000000000003E-2</v>
      </c>
      <c r="AD2086" s="33">
        <f t="shared" si="675"/>
        <v>-0.70082350518579317</v>
      </c>
      <c r="AE2086" s="34">
        <f t="shared" si="676"/>
        <v>1.7052081762182644E-2</v>
      </c>
      <c r="AF2086" s="33">
        <f t="shared" si="677"/>
        <v>7.6588420244330782E-2</v>
      </c>
      <c r="AG2086" s="33">
        <f t="shared" si="678"/>
        <v>0</v>
      </c>
      <c r="AH2086" s="35">
        <f t="shared" si="679"/>
        <v>0.11295457076644552</v>
      </c>
      <c r="AI2086" s="36">
        <f t="shared" si="756"/>
        <v>-0.45141893418315893</v>
      </c>
      <c r="AJ2086" s="23"/>
      <c r="AK2086" s="120">
        <v>1221</v>
      </c>
      <c r="AL2086" s="44"/>
      <c r="AM2086" s="44"/>
      <c r="AN2086" s="44"/>
      <c r="AO2086" s="44"/>
      <c r="AP2086" s="44"/>
      <c r="AQ2086" s="44"/>
      <c r="AR2086" s="44"/>
    </row>
    <row r="2087" spans="1:44" ht="16.8">
      <c r="A2087" s="145">
        <v>1</v>
      </c>
      <c r="B2087" s="145">
        <v>789</v>
      </c>
      <c r="C2087" s="145" t="s">
        <v>3994</v>
      </c>
      <c r="D2087" s="146" t="s">
        <v>3995</v>
      </c>
      <c r="E2087" s="147" t="s">
        <v>178</v>
      </c>
      <c r="F2087" s="148"/>
      <c r="G2087" s="148"/>
      <c r="H2087" s="149"/>
      <c r="I2087" s="149"/>
      <c r="J2087" s="149"/>
      <c r="K2087" s="149"/>
      <c r="L2087" s="149"/>
      <c r="M2087" s="149">
        <f t="shared" si="725"/>
        <v>0</v>
      </c>
      <c r="N2087" s="149"/>
      <c r="O2087" s="149">
        <f t="shared" si="744"/>
        <v>0</v>
      </c>
      <c r="P2087" s="149"/>
      <c r="Q2087" s="149"/>
      <c r="R2087" s="149">
        <f t="shared" si="745"/>
        <v>0</v>
      </c>
      <c r="S2087" s="150" t="e">
        <f t="shared" si="746"/>
        <v>#DIV/0!</v>
      </c>
      <c r="T2087" s="151" t="e">
        <f t="shared" si="747"/>
        <v>#DIV/0!</v>
      </c>
      <c r="U2087" s="150" t="e">
        <f t="shared" si="748"/>
        <v>#NUM!</v>
      </c>
      <c r="V2087" s="150" t="e">
        <f t="shared" si="749"/>
        <v>#DIV/0!</v>
      </c>
      <c r="W2087" s="152"/>
      <c r="X2087" s="152"/>
      <c r="Y2087" s="152"/>
      <c r="Z2087" s="153">
        <f t="shared" ref="Z2087:Z2091" si="768">W2087*Y2087</f>
        <v>0</v>
      </c>
      <c r="AA2087" s="148">
        <f t="shared" si="705"/>
        <v>0</v>
      </c>
      <c r="AB2087" s="149"/>
      <c r="AC2087" s="149"/>
      <c r="AD2087" s="150" t="e">
        <f t="shared" si="675"/>
        <v>#DIV/0!</v>
      </c>
      <c r="AE2087" s="154" t="e">
        <f t="shared" si="676"/>
        <v>#DIV/0!</v>
      </c>
      <c r="AF2087" s="150" t="e">
        <f t="shared" si="677"/>
        <v>#DIV/0!</v>
      </c>
      <c r="AG2087" s="150" t="e">
        <f t="shared" si="678"/>
        <v>#DIV/0!</v>
      </c>
      <c r="AH2087" s="155" t="e">
        <f t="shared" si="679"/>
        <v>#DIV/0!</v>
      </c>
      <c r="AI2087" s="156" t="e">
        <f t="shared" si="756"/>
        <v>#DIV/0!</v>
      </c>
      <c r="AJ2087" s="149"/>
      <c r="AK2087" s="149"/>
      <c r="AL2087" s="157"/>
      <c r="AM2087" s="157"/>
      <c r="AN2087" s="157"/>
      <c r="AO2087" s="157"/>
      <c r="AP2087" s="157"/>
      <c r="AQ2087" s="157"/>
      <c r="AR2087" s="157"/>
    </row>
    <row r="2088" spans="1:44" ht="16.8">
      <c r="A2088" s="145">
        <v>2</v>
      </c>
      <c r="B2088" s="145">
        <v>790</v>
      </c>
      <c r="C2088" s="145" t="s">
        <v>3996</v>
      </c>
      <c r="D2088" s="146" t="s">
        <v>3997</v>
      </c>
      <c r="E2088" s="147" t="s">
        <v>178</v>
      </c>
      <c r="F2088" s="148"/>
      <c r="G2088" s="148"/>
      <c r="H2088" s="149"/>
      <c r="I2088" s="149"/>
      <c r="J2088" s="149"/>
      <c r="K2088" s="149"/>
      <c r="L2088" s="149"/>
      <c r="M2088" s="149">
        <f t="shared" si="725"/>
        <v>0</v>
      </c>
      <c r="N2088" s="149"/>
      <c r="O2088" s="149">
        <f t="shared" si="744"/>
        <v>0</v>
      </c>
      <c r="P2088" s="149"/>
      <c r="Q2088" s="149"/>
      <c r="R2088" s="149">
        <f t="shared" si="745"/>
        <v>0</v>
      </c>
      <c r="S2088" s="150" t="e">
        <f t="shared" si="746"/>
        <v>#DIV/0!</v>
      </c>
      <c r="T2088" s="151" t="e">
        <f t="shared" si="747"/>
        <v>#DIV/0!</v>
      </c>
      <c r="U2088" s="150" t="e">
        <f t="shared" si="748"/>
        <v>#NUM!</v>
      </c>
      <c r="V2088" s="150" t="e">
        <f t="shared" si="749"/>
        <v>#DIV/0!</v>
      </c>
      <c r="W2088" s="152"/>
      <c r="X2088" s="152"/>
      <c r="Y2088" s="152"/>
      <c r="Z2088" s="153">
        <f t="shared" si="768"/>
        <v>0</v>
      </c>
      <c r="AA2088" s="148">
        <f t="shared" si="705"/>
        <v>0</v>
      </c>
      <c r="AB2088" s="149"/>
      <c r="AC2088" s="149"/>
      <c r="AD2088" s="150" t="e">
        <f t="shared" si="675"/>
        <v>#DIV/0!</v>
      </c>
      <c r="AE2088" s="154" t="e">
        <f t="shared" si="676"/>
        <v>#DIV/0!</v>
      </c>
      <c r="AF2088" s="150" t="e">
        <f t="shared" si="677"/>
        <v>#DIV/0!</v>
      </c>
      <c r="AG2088" s="150" t="e">
        <f t="shared" si="678"/>
        <v>#DIV/0!</v>
      </c>
      <c r="AH2088" s="155" t="e">
        <f t="shared" si="679"/>
        <v>#DIV/0!</v>
      </c>
      <c r="AI2088" s="156" t="e">
        <f t="shared" si="756"/>
        <v>#DIV/0!</v>
      </c>
      <c r="AJ2088" s="149"/>
      <c r="AK2088" s="149"/>
      <c r="AL2088" s="157"/>
      <c r="AM2088" s="157"/>
      <c r="AN2088" s="157"/>
      <c r="AO2088" s="157"/>
      <c r="AP2088" s="157"/>
      <c r="AQ2088" s="157"/>
      <c r="AR2088" s="157"/>
    </row>
    <row r="2089" spans="1:44" ht="16.8">
      <c r="A2089" s="145">
        <v>3</v>
      </c>
      <c r="B2089" s="145">
        <v>791</v>
      </c>
      <c r="C2089" s="145" t="s">
        <v>3998</v>
      </c>
      <c r="D2089" s="146" t="s">
        <v>3999</v>
      </c>
      <c r="E2089" s="147" t="s">
        <v>1371</v>
      </c>
      <c r="F2089" s="148"/>
      <c r="G2089" s="148"/>
      <c r="H2089" s="149"/>
      <c r="I2089" s="149"/>
      <c r="J2089" s="149"/>
      <c r="K2089" s="149"/>
      <c r="L2089" s="149"/>
      <c r="M2089" s="149">
        <f t="shared" si="725"/>
        <v>0</v>
      </c>
      <c r="N2089" s="149"/>
      <c r="O2089" s="149">
        <f t="shared" si="744"/>
        <v>0</v>
      </c>
      <c r="P2089" s="149"/>
      <c r="Q2089" s="149"/>
      <c r="R2089" s="149">
        <f t="shared" si="745"/>
        <v>0</v>
      </c>
      <c r="S2089" s="150" t="e">
        <f t="shared" si="746"/>
        <v>#DIV/0!</v>
      </c>
      <c r="T2089" s="151" t="e">
        <f t="shared" si="747"/>
        <v>#DIV/0!</v>
      </c>
      <c r="U2089" s="150" t="e">
        <f t="shared" si="748"/>
        <v>#NUM!</v>
      </c>
      <c r="V2089" s="150" t="e">
        <f t="shared" si="749"/>
        <v>#DIV/0!</v>
      </c>
      <c r="W2089" s="152"/>
      <c r="X2089" s="152"/>
      <c r="Y2089" s="152"/>
      <c r="Z2089" s="153">
        <f t="shared" si="768"/>
        <v>0</v>
      </c>
      <c r="AA2089" s="148">
        <f t="shared" si="705"/>
        <v>0</v>
      </c>
      <c r="AB2089" s="149"/>
      <c r="AC2089" s="149"/>
      <c r="AD2089" s="150" t="e">
        <f t="shared" si="675"/>
        <v>#DIV/0!</v>
      </c>
      <c r="AE2089" s="154" t="e">
        <f t="shared" si="676"/>
        <v>#DIV/0!</v>
      </c>
      <c r="AF2089" s="150" t="e">
        <f t="shared" si="677"/>
        <v>#DIV/0!</v>
      </c>
      <c r="AG2089" s="150" t="e">
        <f t="shared" si="678"/>
        <v>#DIV/0!</v>
      </c>
      <c r="AH2089" s="155" t="e">
        <f t="shared" si="679"/>
        <v>#DIV/0!</v>
      </c>
      <c r="AI2089" s="156" t="e">
        <f t="shared" si="756"/>
        <v>#DIV/0!</v>
      </c>
      <c r="AJ2089" s="149"/>
      <c r="AK2089" s="149"/>
      <c r="AL2089" s="157"/>
      <c r="AM2089" s="157"/>
      <c r="AN2089" s="157"/>
      <c r="AO2089" s="157"/>
      <c r="AP2089" s="157"/>
      <c r="AQ2089" s="157"/>
      <c r="AR2089" s="157"/>
    </row>
    <row r="2090" spans="1:44" ht="16.8">
      <c r="A2090" s="145">
        <v>4</v>
      </c>
      <c r="B2090" s="145">
        <v>792</v>
      </c>
      <c r="C2090" s="145" t="s">
        <v>4000</v>
      </c>
      <c r="D2090" s="146" t="s">
        <v>4001</v>
      </c>
      <c r="E2090" s="147" t="s">
        <v>178</v>
      </c>
      <c r="F2090" s="148"/>
      <c r="G2090" s="148"/>
      <c r="H2090" s="149"/>
      <c r="I2090" s="149"/>
      <c r="J2090" s="149"/>
      <c r="K2090" s="149"/>
      <c r="L2090" s="149"/>
      <c r="M2090" s="149">
        <f t="shared" si="725"/>
        <v>0</v>
      </c>
      <c r="N2090" s="149"/>
      <c r="O2090" s="149">
        <f t="shared" si="744"/>
        <v>0</v>
      </c>
      <c r="P2090" s="149"/>
      <c r="Q2090" s="149"/>
      <c r="R2090" s="149">
        <f t="shared" si="745"/>
        <v>0</v>
      </c>
      <c r="S2090" s="150" t="e">
        <f t="shared" si="746"/>
        <v>#DIV/0!</v>
      </c>
      <c r="T2090" s="151" t="e">
        <f t="shared" si="747"/>
        <v>#DIV/0!</v>
      </c>
      <c r="U2090" s="150" t="e">
        <f t="shared" si="748"/>
        <v>#NUM!</v>
      </c>
      <c r="V2090" s="150" t="e">
        <f t="shared" si="749"/>
        <v>#DIV/0!</v>
      </c>
      <c r="W2090" s="152"/>
      <c r="X2090" s="152"/>
      <c r="Y2090" s="152"/>
      <c r="Z2090" s="153">
        <f t="shared" si="768"/>
        <v>0</v>
      </c>
      <c r="AA2090" s="148">
        <f t="shared" si="705"/>
        <v>0</v>
      </c>
      <c r="AB2090" s="149"/>
      <c r="AC2090" s="149"/>
      <c r="AD2090" s="150" t="e">
        <f t="shared" si="675"/>
        <v>#DIV/0!</v>
      </c>
      <c r="AE2090" s="154" t="e">
        <f t="shared" si="676"/>
        <v>#DIV/0!</v>
      </c>
      <c r="AF2090" s="150" t="e">
        <f t="shared" si="677"/>
        <v>#DIV/0!</v>
      </c>
      <c r="AG2090" s="150" t="e">
        <f t="shared" si="678"/>
        <v>#DIV/0!</v>
      </c>
      <c r="AH2090" s="155" t="e">
        <f t="shared" si="679"/>
        <v>#DIV/0!</v>
      </c>
      <c r="AI2090" s="156" t="e">
        <f t="shared" si="756"/>
        <v>#DIV/0!</v>
      </c>
      <c r="AJ2090" s="149"/>
      <c r="AK2090" s="149"/>
      <c r="AL2090" s="157"/>
      <c r="AM2090" s="157"/>
      <c r="AN2090" s="157"/>
      <c r="AO2090" s="157"/>
      <c r="AP2090" s="157"/>
      <c r="AQ2090" s="157"/>
      <c r="AR2090" s="157"/>
    </row>
    <row r="2091" spans="1:44" ht="16.8">
      <c r="A2091" s="145">
        <v>5</v>
      </c>
      <c r="B2091" s="145">
        <v>793</v>
      </c>
      <c r="C2091" s="145" t="s">
        <v>4002</v>
      </c>
      <c r="D2091" s="146" t="s">
        <v>4003</v>
      </c>
      <c r="E2091" s="147" t="s">
        <v>178</v>
      </c>
      <c r="F2091" s="148"/>
      <c r="G2091" s="148"/>
      <c r="H2091" s="149"/>
      <c r="I2091" s="149"/>
      <c r="J2091" s="149"/>
      <c r="K2091" s="149"/>
      <c r="L2091" s="149"/>
      <c r="M2091" s="149">
        <f t="shared" si="725"/>
        <v>0</v>
      </c>
      <c r="N2091" s="149"/>
      <c r="O2091" s="149">
        <f t="shared" si="744"/>
        <v>0</v>
      </c>
      <c r="P2091" s="149"/>
      <c r="Q2091" s="149"/>
      <c r="R2091" s="149">
        <f t="shared" si="745"/>
        <v>0</v>
      </c>
      <c r="S2091" s="150" t="e">
        <f t="shared" si="746"/>
        <v>#DIV/0!</v>
      </c>
      <c r="T2091" s="151" t="e">
        <f t="shared" si="747"/>
        <v>#DIV/0!</v>
      </c>
      <c r="U2091" s="150" t="e">
        <f t="shared" si="748"/>
        <v>#NUM!</v>
      </c>
      <c r="V2091" s="150" t="e">
        <f t="shared" si="749"/>
        <v>#DIV/0!</v>
      </c>
      <c r="W2091" s="152"/>
      <c r="X2091" s="152"/>
      <c r="Y2091" s="152"/>
      <c r="Z2091" s="153">
        <f t="shared" si="768"/>
        <v>0</v>
      </c>
      <c r="AA2091" s="148">
        <f t="shared" si="705"/>
        <v>0</v>
      </c>
      <c r="AB2091" s="149"/>
      <c r="AC2091" s="149"/>
      <c r="AD2091" s="150" t="e">
        <f t="shared" si="675"/>
        <v>#DIV/0!</v>
      </c>
      <c r="AE2091" s="154" t="e">
        <f t="shared" si="676"/>
        <v>#DIV/0!</v>
      </c>
      <c r="AF2091" s="150" t="e">
        <f t="shared" si="677"/>
        <v>#DIV/0!</v>
      </c>
      <c r="AG2091" s="150" t="e">
        <f t="shared" si="678"/>
        <v>#DIV/0!</v>
      </c>
      <c r="AH2091" s="155" t="e">
        <f t="shared" si="679"/>
        <v>#DIV/0!</v>
      </c>
      <c r="AI2091" s="156" t="e">
        <f t="shared" si="756"/>
        <v>#DIV/0!</v>
      </c>
      <c r="AJ2091" s="149"/>
      <c r="AK2091" s="149"/>
      <c r="AL2091" s="157"/>
      <c r="AM2091" s="157"/>
      <c r="AN2091" s="157"/>
      <c r="AO2091" s="157"/>
      <c r="AP2091" s="157"/>
      <c r="AQ2091" s="157"/>
      <c r="AR2091" s="157"/>
    </row>
    <row r="2092" spans="1:44" ht="16.8">
      <c r="A2092" s="17" t="s">
        <v>4004</v>
      </c>
      <c r="B2092" s="18">
        <v>794</v>
      </c>
      <c r="C2092" s="18" t="s">
        <v>4005</v>
      </c>
      <c r="D2092" s="19" t="s">
        <v>4006</v>
      </c>
      <c r="E2092" s="20" t="s">
        <v>414</v>
      </c>
      <c r="F2092" s="21">
        <v>1970</v>
      </c>
      <c r="G2092" s="40">
        <v>2021</v>
      </c>
      <c r="H2092" s="23">
        <v>270709561430</v>
      </c>
      <c r="I2092" s="23">
        <v>330930226485</v>
      </c>
      <c r="J2092" s="23">
        <v>52864665516</v>
      </c>
      <c r="K2092" s="23">
        <f>(J2092+61339876493)/2</f>
        <v>57102271004.5</v>
      </c>
      <c r="L2092" s="23">
        <v>52864665516</v>
      </c>
      <c r="M2092" s="23">
        <f t="shared" si="725"/>
        <v>278065560969</v>
      </c>
      <c r="N2092" s="23">
        <v>416354104341</v>
      </c>
      <c r="O2092" s="25">
        <f t="shared" si="744"/>
        <v>217844895914</v>
      </c>
      <c r="P2092" s="23">
        <v>49583636438</v>
      </c>
      <c r="Q2092" s="23">
        <f>17988693626+17517041268</f>
        <v>35505734894</v>
      </c>
      <c r="R2092" s="25">
        <f t="shared" si="745"/>
        <v>380848369447</v>
      </c>
      <c r="S2092" s="26">
        <f t="shared" si="746"/>
        <v>0.15974565417461553</v>
      </c>
      <c r="T2092" s="27">
        <f t="shared" si="747"/>
        <v>5.1208034475895277</v>
      </c>
      <c r="U2092" s="26">
        <f t="shared" si="748"/>
        <v>26.525173393985025</v>
      </c>
      <c r="V2092" s="26">
        <f t="shared" si="749"/>
        <v>7.2913755795840203</v>
      </c>
      <c r="W2092" s="143"/>
      <c r="X2092" s="143"/>
      <c r="Y2092" s="143"/>
      <c r="Z2092" s="30">
        <f t="shared" ref="Z2092:Z2094" si="769">X2092*Y2092</f>
        <v>0</v>
      </c>
      <c r="AA2092" s="31">
        <f t="shared" si="705"/>
        <v>51</v>
      </c>
      <c r="AB2092" s="32">
        <v>1.84E-2</v>
      </c>
      <c r="AC2092" s="32">
        <v>2.58E-2</v>
      </c>
      <c r="AD2092" s="33">
        <f t="shared" si="675"/>
        <v>0.65828044246020001</v>
      </c>
      <c r="AE2092" s="34">
        <f t="shared" si="676"/>
        <v>0.14983108966701617</v>
      </c>
      <c r="AF2092" s="33">
        <f t="shared" si="677"/>
        <v>1.1508418964692626</v>
      </c>
      <c r="AG2092" s="33">
        <f t="shared" si="678"/>
        <v>0</v>
      </c>
      <c r="AH2092" s="35">
        <f t="shared" si="679"/>
        <v>7.8758486462944974</v>
      </c>
      <c r="AI2092" s="36">
        <f t="shared" si="756"/>
        <v>12.673326961129126</v>
      </c>
      <c r="AJ2092" s="23"/>
      <c r="AK2092" s="120">
        <v>1222</v>
      </c>
      <c r="AL2092" s="44"/>
      <c r="AM2092" s="44"/>
      <c r="AN2092" s="44"/>
      <c r="AO2092" s="44"/>
      <c r="AP2092" s="44"/>
      <c r="AQ2092" s="44"/>
      <c r="AR2092" s="44"/>
    </row>
    <row r="2093" spans="1:44" ht="16.8">
      <c r="A2093" s="17" t="s">
        <v>4007</v>
      </c>
      <c r="B2093" s="18"/>
      <c r="C2093" s="18" t="s">
        <v>4005</v>
      </c>
      <c r="D2093" s="19" t="s">
        <v>4006</v>
      </c>
      <c r="E2093" s="20" t="s">
        <v>414</v>
      </c>
      <c r="F2093" s="21">
        <v>1970</v>
      </c>
      <c r="G2093" s="40">
        <v>2022</v>
      </c>
      <c r="H2093" s="23">
        <v>307980659379</v>
      </c>
      <c r="I2093" s="23">
        <v>358503421432</v>
      </c>
      <c r="J2093" s="23">
        <v>84167434784</v>
      </c>
      <c r="K2093" s="23">
        <f t="shared" ref="K2093:K2094" si="770">(J2093+J2092)/2</f>
        <v>68516050150</v>
      </c>
      <c r="L2093" s="23">
        <v>84167434784</v>
      </c>
      <c r="M2093" s="23">
        <f t="shared" si="725"/>
        <v>274335986648</v>
      </c>
      <c r="N2093" s="23">
        <v>519137972340</v>
      </c>
      <c r="O2093" s="25">
        <f t="shared" si="744"/>
        <v>223813224595</v>
      </c>
      <c r="P2093" s="23">
        <v>40046140679</v>
      </c>
      <c r="Q2093" s="23">
        <f>22949104554+23816505625</f>
        <v>46765610179</v>
      </c>
      <c r="R2093" s="25">
        <f t="shared" si="745"/>
        <v>472372362161</v>
      </c>
      <c r="S2093" s="26">
        <f t="shared" si="746"/>
        <v>0.23477442543728877</v>
      </c>
      <c r="T2093" s="27">
        <f t="shared" si="747"/>
        <v>3.6591427571646307</v>
      </c>
      <c r="U2093" s="26">
        <f t="shared" si="748"/>
        <v>26.605204040683919</v>
      </c>
      <c r="V2093" s="26">
        <f t="shared" si="749"/>
        <v>7.5768812008787405</v>
      </c>
      <c r="W2093" s="143"/>
      <c r="X2093" s="143"/>
      <c r="Y2093" s="143"/>
      <c r="Z2093" s="30">
        <f t="shared" si="769"/>
        <v>0</v>
      </c>
      <c r="AA2093" s="31">
        <f t="shared" si="705"/>
        <v>52</v>
      </c>
      <c r="AB2093" s="32">
        <v>3.15E-2</v>
      </c>
      <c r="AC2093" s="32">
        <v>8.0199999999999994E-2</v>
      </c>
      <c r="AD2093" s="33">
        <f t="shared" si="675"/>
        <v>0.62429871296905404</v>
      </c>
      <c r="AE2093" s="34">
        <f t="shared" si="676"/>
        <v>0.11170364990950539</v>
      </c>
      <c r="AF2093" s="33">
        <f t="shared" si="677"/>
        <v>1.3176230237194497</v>
      </c>
      <c r="AG2093" s="33">
        <f t="shared" si="678"/>
        <v>0</v>
      </c>
      <c r="AH2093" s="35">
        <f t="shared" si="679"/>
        <v>6.167919619651836</v>
      </c>
      <c r="AI2093" s="36">
        <f t="shared" si="756"/>
        <v>11.421619163362191</v>
      </c>
      <c r="AJ2093" s="23"/>
      <c r="AK2093" s="120">
        <v>1223</v>
      </c>
      <c r="AL2093" s="44"/>
      <c r="AM2093" s="44"/>
      <c r="AN2093" s="44"/>
      <c r="AO2093" s="44"/>
      <c r="AP2093" s="44"/>
      <c r="AQ2093" s="44"/>
      <c r="AR2093" s="44"/>
    </row>
    <row r="2094" spans="1:44" ht="16.8">
      <c r="A2094" s="17" t="s">
        <v>4008</v>
      </c>
      <c r="B2094" s="18"/>
      <c r="C2094" s="18" t="s">
        <v>4005</v>
      </c>
      <c r="D2094" s="19" t="s">
        <v>4006</v>
      </c>
      <c r="E2094" s="20" t="s">
        <v>414</v>
      </c>
      <c r="F2094" s="21">
        <v>1970</v>
      </c>
      <c r="G2094" s="40">
        <v>2023</v>
      </c>
      <c r="H2094" s="23">
        <v>338669128004</v>
      </c>
      <c r="I2094" s="23">
        <v>381328610120</v>
      </c>
      <c r="J2094" s="23">
        <v>94138398232</v>
      </c>
      <c r="K2094" s="23">
        <f t="shared" si="770"/>
        <v>89152916508</v>
      </c>
      <c r="L2094" s="23">
        <v>94138398232</v>
      </c>
      <c r="M2094" s="23">
        <f t="shared" si="725"/>
        <v>287190211888</v>
      </c>
      <c r="N2094" s="23">
        <v>589119603059</v>
      </c>
      <c r="O2094" s="25">
        <f t="shared" si="744"/>
        <v>244530729772</v>
      </c>
      <c r="P2094" s="23">
        <v>58934029150</v>
      </c>
      <c r="Q2094" s="23">
        <f>15444303273+20385005461</f>
        <v>35829308734</v>
      </c>
      <c r="R2094" s="25">
        <f t="shared" si="745"/>
        <v>553290294325</v>
      </c>
      <c r="S2094" s="26">
        <f t="shared" si="746"/>
        <v>0.24686948666761632</v>
      </c>
      <c r="T2094" s="27">
        <f t="shared" si="747"/>
        <v>3.5975662892560019</v>
      </c>
      <c r="U2094" s="26">
        <f t="shared" si="748"/>
        <v>26.666927334092385</v>
      </c>
      <c r="V2094" s="26">
        <f t="shared" si="749"/>
        <v>6.6079678168031242</v>
      </c>
      <c r="W2094" s="143"/>
      <c r="X2094" s="143"/>
      <c r="Y2094" s="143"/>
      <c r="Z2094" s="30">
        <f t="shared" si="769"/>
        <v>0</v>
      </c>
      <c r="AA2094" s="31">
        <f t="shared" si="705"/>
        <v>53</v>
      </c>
      <c r="AB2094" s="32">
        <v>3.2500000000000001E-2</v>
      </c>
      <c r="AC2094" s="32">
        <v>5.0500000000000003E-2</v>
      </c>
      <c r="AD2094" s="33">
        <f t="shared" si="675"/>
        <v>0.64125985641373418</v>
      </c>
      <c r="AE2094" s="34">
        <f t="shared" si="676"/>
        <v>0.15454919349338644</v>
      </c>
      <c r="AF2094" s="33">
        <f t="shared" si="677"/>
        <v>1.4509540581045979</v>
      </c>
      <c r="AG2094" s="33">
        <f t="shared" si="678"/>
        <v>0</v>
      </c>
      <c r="AH2094" s="35">
        <f t="shared" si="679"/>
        <v>6.2580160075290454</v>
      </c>
      <c r="AI2094" s="36">
        <f t="shared" si="756"/>
        <v>12.03204509786144</v>
      </c>
      <c r="AJ2094" s="23"/>
      <c r="AK2094" s="120">
        <v>1224</v>
      </c>
      <c r="AL2094" s="44"/>
      <c r="AM2094" s="44"/>
      <c r="AN2094" s="44"/>
      <c r="AO2094" s="44"/>
      <c r="AP2094" s="44"/>
      <c r="AQ2094" s="44"/>
      <c r="AR2094" s="44"/>
    </row>
    <row r="2095" spans="1:44" ht="16.8">
      <c r="A2095" s="145">
        <v>7</v>
      </c>
      <c r="B2095" s="145">
        <v>795</v>
      </c>
      <c r="C2095" s="145" t="s">
        <v>4009</v>
      </c>
      <c r="D2095" s="146" t="s">
        <v>4010</v>
      </c>
      <c r="E2095" s="147" t="s">
        <v>178</v>
      </c>
      <c r="F2095" s="148"/>
      <c r="G2095" s="148"/>
      <c r="H2095" s="149"/>
      <c r="I2095" s="149"/>
      <c r="J2095" s="149"/>
      <c r="K2095" s="149"/>
      <c r="L2095" s="149"/>
      <c r="M2095" s="149">
        <f t="shared" si="725"/>
        <v>0</v>
      </c>
      <c r="N2095" s="149"/>
      <c r="O2095" s="149">
        <f t="shared" si="744"/>
        <v>0</v>
      </c>
      <c r="P2095" s="149"/>
      <c r="Q2095" s="149"/>
      <c r="R2095" s="149">
        <f t="shared" si="745"/>
        <v>0</v>
      </c>
      <c r="S2095" s="150" t="e">
        <f t="shared" si="746"/>
        <v>#DIV/0!</v>
      </c>
      <c r="T2095" s="151" t="e">
        <f t="shared" si="747"/>
        <v>#DIV/0!</v>
      </c>
      <c r="U2095" s="150" t="e">
        <f t="shared" si="748"/>
        <v>#NUM!</v>
      </c>
      <c r="V2095" s="150" t="e">
        <f t="shared" si="749"/>
        <v>#DIV/0!</v>
      </c>
      <c r="W2095" s="152"/>
      <c r="X2095" s="152"/>
      <c r="Y2095" s="152"/>
      <c r="Z2095" s="153">
        <f t="shared" ref="Z2095:Z2131" si="771">W2095*Y2095</f>
        <v>0</v>
      </c>
      <c r="AA2095" s="148">
        <f t="shared" si="705"/>
        <v>0</v>
      </c>
      <c r="AB2095" s="149"/>
      <c r="AC2095" s="149"/>
      <c r="AD2095" s="150" t="e">
        <f t="shared" si="675"/>
        <v>#DIV/0!</v>
      </c>
      <c r="AE2095" s="154" t="e">
        <f t="shared" si="676"/>
        <v>#DIV/0!</v>
      </c>
      <c r="AF2095" s="150" t="e">
        <f t="shared" si="677"/>
        <v>#DIV/0!</v>
      </c>
      <c r="AG2095" s="150" t="e">
        <f t="shared" si="678"/>
        <v>#DIV/0!</v>
      </c>
      <c r="AH2095" s="155" t="e">
        <f t="shared" si="679"/>
        <v>#DIV/0!</v>
      </c>
      <c r="AI2095" s="156" t="e">
        <f t="shared" si="756"/>
        <v>#DIV/0!</v>
      </c>
      <c r="AJ2095" s="149"/>
      <c r="AK2095" s="149"/>
      <c r="AL2095" s="157"/>
      <c r="AM2095" s="157"/>
      <c r="AN2095" s="157"/>
      <c r="AO2095" s="157"/>
      <c r="AP2095" s="157"/>
      <c r="AQ2095" s="157"/>
      <c r="AR2095" s="157"/>
    </row>
    <row r="2096" spans="1:44" ht="16.8">
      <c r="A2096" s="145">
        <v>8</v>
      </c>
      <c r="B2096" s="145">
        <v>796</v>
      </c>
      <c r="C2096" s="145" t="s">
        <v>4011</v>
      </c>
      <c r="D2096" s="146" t="s">
        <v>4012</v>
      </c>
      <c r="E2096" s="147" t="s">
        <v>178</v>
      </c>
      <c r="F2096" s="148"/>
      <c r="G2096" s="148"/>
      <c r="H2096" s="149"/>
      <c r="I2096" s="149"/>
      <c r="J2096" s="149"/>
      <c r="K2096" s="149"/>
      <c r="L2096" s="149"/>
      <c r="M2096" s="149">
        <f t="shared" si="725"/>
        <v>0</v>
      </c>
      <c r="N2096" s="149"/>
      <c r="O2096" s="149">
        <f t="shared" si="744"/>
        <v>0</v>
      </c>
      <c r="P2096" s="149"/>
      <c r="Q2096" s="149"/>
      <c r="R2096" s="149">
        <f t="shared" si="745"/>
        <v>0</v>
      </c>
      <c r="S2096" s="150" t="e">
        <f t="shared" si="746"/>
        <v>#DIV/0!</v>
      </c>
      <c r="T2096" s="151" t="e">
        <f t="shared" si="747"/>
        <v>#DIV/0!</v>
      </c>
      <c r="U2096" s="150" t="e">
        <f t="shared" si="748"/>
        <v>#NUM!</v>
      </c>
      <c r="V2096" s="150" t="e">
        <f t="shared" si="749"/>
        <v>#DIV/0!</v>
      </c>
      <c r="W2096" s="152"/>
      <c r="X2096" s="152"/>
      <c r="Y2096" s="152"/>
      <c r="Z2096" s="153">
        <f t="shared" si="771"/>
        <v>0</v>
      </c>
      <c r="AA2096" s="148">
        <f t="shared" si="705"/>
        <v>0</v>
      </c>
      <c r="AB2096" s="149"/>
      <c r="AC2096" s="149"/>
      <c r="AD2096" s="150" t="e">
        <f t="shared" si="675"/>
        <v>#DIV/0!</v>
      </c>
      <c r="AE2096" s="154" t="e">
        <f t="shared" si="676"/>
        <v>#DIV/0!</v>
      </c>
      <c r="AF2096" s="150" t="e">
        <f t="shared" si="677"/>
        <v>#DIV/0!</v>
      </c>
      <c r="AG2096" s="150" t="e">
        <f t="shared" si="678"/>
        <v>#DIV/0!</v>
      </c>
      <c r="AH2096" s="155" t="e">
        <f t="shared" si="679"/>
        <v>#DIV/0!</v>
      </c>
      <c r="AI2096" s="156" t="e">
        <f t="shared" si="756"/>
        <v>#DIV/0!</v>
      </c>
      <c r="AJ2096" s="149"/>
      <c r="AK2096" s="149"/>
      <c r="AL2096" s="157"/>
      <c r="AM2096" s="157"/>
      <c r="AN2096" s="157"/>
      <c r="AO2096" s="157"/>
      <c r="AP2096" s="157"/>
      <c r="AQ2096" s="157"/>
      <c r="AR2096" s="157"/>
    </row>
    <row r="2097" spans="1:44" ht="16.8">
      <c r="A2097" s="145">
        <v>9</v>
      </c>
      <c r="B2097" s="145">
        <v>797</v>
      </c>
      <c r="C2097" s="145" t="s">
        <v>4013</v>
      </c>
      <c r="D2097" s="146" t="s">
        <v>4014</v>
      </c>
      <c r="E2097" s="147" t="s">
        <v>178</v>
      </c>
      <c r="F2097" s="148"/>
      <c r="G2097" s="148"/>
      <c r="H2097" s="149"/>
      <c r="I2097" s="149"/>
      <c r="J2097" s="149"/>
      <c r="K2097" s="149"/>
      <c r="L2097" s="149"/>
      <c r="M2097" s="149">
        <f t="shared" si="725"/>
        <v>0</v>
      </c>
      <c r="N2097" s="149"/>
      <c r="O2097" s="149">
        <f t="shared" si="744"/>
        <v>0</v>
      </c>
      <c r="P2097" s="149"/>
      <c r="Q2097" s="149"/>
      <c r="R2097" s="149">
        <f t="shared" si="745"/>
        <v>0</v>
      </c>
      <c r="S2097" s="150" t="e">
        <f t="shared" si="746"/>
        <v>#DIV/0!</v>
      </c>
      <c r="T2097" s="151" t="e">
        <f t="shared" si="747"/>
        <v>#DIV/0!</v>
      </c>
      <c r="U2097" s="150" t="e">
        <f t="shared" si="748"/>
        <v>#NUM!</v>
      </c>
      <c r="V2097" s="150" t="e">
        <f t="shared" si="749"/>
        <v>#DIV/0!</v>
      </c>
      <c r="W2097" s="152"/>
      <c r="X2097" s="152"/>
      <c r="Y2097" s="152"/>
      <c r="Z2097" s="153">
        <f t="shared" si="771"/>
        <v>0</v>
      </c>
      <c r="AA2097" s="148">
        <f t="shared" si="705"/>
        <v>0</v>
      </c>
      <c r="AB2097" s="149"/>
      <c r="AC2097" s="149"/>
      <c r="AD2097" s="150" t="e">
        <f t="shared" si="675"/>
        <v>#DIV/0!</v>
      </c>
      <c r="AE2097" s="154" t="e">
        <f t="shared" si="676"/>
        <v>#DIV/0!</v>
      </c>
      <c r="AF2097" s="150" t="e">
        <f t="shared" si="677"/>
        <v>#DIV/0!</v>
      </c>
      <c r="AG2097" s="150" t="e">
        <f t="shared" si="678"/>
        <v>#DIV/0!</v>
      </c>
      <c r="AH2097" s="155" t="e">
        <f t="shared" si="679"/>
        <v>#DIV/0!</v>
      </c>
      <c r="AI2097" s="156" t="e">
        <f t="shared" si="756"/>
        <v>#DIV/0!</v>
      </c>
      <c r="AJ2097" s="149"/>
      <c r="AK2097" s="149"/>
      <c r="AL2097" s="157"/>
      <c r="AM2097" s="157"/>
      <c r="AN2097" s="157"/>
      <c r="AO2097" s="157"/>
      <c r="AP2097" s="157"/>
      <c r="AQ2097" s="157"/>
      <c r="AR2097" s="157"/>
    </row>
    <row r="2098" spans="1:44" ht="16.8">
      <c r="A2098" s="145">
        <v>10</v>
      </c>
      <c r="B2098" s="145">
        <v>798</v>
      </c>
      <c r="C2098" s="145" t="s">
        <v>4015</v>
      </c>
      <c r="D2098" s="146" t="s">
        <v>4016</v>
      </c>
      <c r="E2098" s="147" t="s">
        <v>178</v>
      </c>
      <c r="F2098" s="148"/>
      <c r="G2098" s="148"/>
      <c r="H2098" s="149"/>
      <c r="I2098" s="149"/>
      <c r="J2098" s="149"/>
      <c r="K2098" s="149"/>
      <c r="L2098" s="149"/>
      <c r="M2098" s="149">
        <f t="shared" si="725"/>
        <v>0</v>
      </c>
      <c r="N2098" s="149"/>
      <c r="O2098" s="149">
        <f t="shared" si="744"/>
        <v>0</v>
      </c>
      <c r="P2098" s="149"/>
      <c r="Q2098" s="149"/>
      <c r="R2098" s="149">
        <f t="shared" si="745"/>
        <v>0</v>
      </c>
      <c r="S2098" s="150" t="e">
        <f t="shared" si="746"/>
        <v>#DIV/0!</v>
      </c>
      <c r="T2098" s="151" t="e">
        <f t="shared" si="747"/>
        <v>#DIV/0!</v>
      </c>
      <c r="U2098" s="150" t="e">
        <f t="shared" si="748"/>
        <v>#NUM!</v>
      </c>
      <c r="V2098" s="150" t="e">
        <f t="shared" si="749"/>
        <v>#DIV/0!</v>
      </c>
      <c r="W2098" s="152"/>
      <c r="X2098" s="152"/>
      <c r="Y2098" s="152"/>
      <c r="Z2098" s="153">
        <f t="shared" si="771"/>
        <v>0</v>
      </c>
      <c r="AA2098" s="148">
        <f t="shared" si="705"/>
        <v>0</v>
      </c>
      <c r="AB2098" s="149"/>
      <c r="AC2098" s="149"/>
      <c r="AD2098" s="150" t="e">
        <f t="shared" si="675"/>
        <v>#DIV/0!</v>
      </c>
      <c r="AE2098" s="154" t="e">
        <f t="shared" si="676"/>
        <v>#DIV/0!</v>
      </c>
      <c r="AF2098" s="150" t="e">
        <f t="shared" si="677"/>
        <v>#DIV/0!</v>
      </c>
      <c r="AG2098" s="150" t="e">
        <f t="shared" si="678"/>
        <v>#DIV/0!</v>
      </c>
      <c r="AH2098" s="155" t="e">
        <f t="shared" si="679"/>
        <v>#DIV/0!</v>
      </c>
      <c r="AI2098" s="156" t="e">
        <f t="shared" si="756"/>
        <v>#DIV/0!</v>
      </c>
      <c r="AJ2098" s="149"/>
      <c r="AK2098" s="149"/>
      <c r="AL2098" s="157"/>
      <c r="AM2098" s="157"/>
      <c r="AN2098" s="157"/>
      <c r="AO2098" s="157"/>
      <c r="AP2098" s="157"/>
      <c r="AQ2098" s="157"/>
      <c r="AR2098" s="157"/>
    </row>
    <row r="2099" spans="1:44" ht="16.8">
      <c r="A2099" s="145">
        <v>11</v>
      </c>
      <c r="B2099" s="145">
        <v>799</v>
      </c>
      <c r="C2099" s="145" t="s">
        <v>4017</v>
      </c>
      <c r="D2099" s="146" t="s">
        <v>4018</v>
      </c>
      <c r="E2099" s="147" t="s">
        <v>178</v>
      </c>
      <c r="F2099" s="148"/>
      <c r="G2099" s="148"/>
      <c r="H2099" s="149"/>
      <c r="I2099" s="149"/>
      <c r="J2099" s="149"/>
      <c r="K2099" s="149"/>
      <c r="L2099" s="149"/>
      <c r="M2099" s="149">
        <f t="shared" si="725"/>
        <v>0</v>
      </c>
      <c r="N2099" s="149"/>
      <c r="O2099" s="149">
        <f t="shared" si="744"/>
        <v>0</v>
      </c>
      <c r="P2099" s="149"/>
      <c r="Q2099" s="149"/>
      <c r="R2099" s="149">
        <f t="shared" si="745"/>
        <v>0</v>
      </c>
      <c r="S2099" s="150" t="e">
        <f t="shared" si="746"/>
        <v>#DIV/0!</v>
      </c>
      <c r="T2099" s="151" t="e">
        <f t="shared" si="747"/>
        <v>#DIV/0!</v>
      </c>
      <c r="U2099" s="150" t="e">
        <f t="shared" si="748"/>
        <v>#NUM!</v>
      </c>
      <c r="V2099" s="150" t="e">
        <f t="shared" si="749"/>
        <v>#DIV/0!</v>
      </c>
      <c r="W2099" s="152"/>
      <c r="X2099" s="152"/>
      <c r="Y2099" s="152"/>
      <c r="Z2099" s="153">
        <f t="shared" si="771"/>
        <v>0</v>
      </c>
      <c r="AA2099" s="148">
        <f t="shared" si="705"/>
        <v>0</v>
      </c>
      <c r="AB2099" s="149"/>
      <c r="AC2099" s="149"/>
      <c r="AD2099" s="150" t="e">
        <f t="shared" si="675"/>
        <v>#DIV/0!</v>
      </c>
      <c r="AE2099" s="154" t="e">
        <f t="shared" si="676"/>
        <v>#DIV/0!</v>
      </c>
      <c r="AF2099" s="150" t="e">
        <f t="shared" si="677"/>
        <v>#DIV/0!</v>
      </c>
      <c r="AG2099" s="150" t="e">
        <f t="shared" si="678"/>
        <v>#DIV/0!</v>
      </c>
      <c r="AH2099" s="155" t="e">
        <f t="shared" si="679"/>
        <v>#DIV/0!</v>
      </c>
      <c r="AI2099" s="156" t="e">
        <f t="shared" si="756"/>
        <v>#DIV/0!</v>
      </c>
      <c r="AJ2099" s="149"/>
      <c r="AK2099" s="149"/>
      <c r="AL2099" s="157"/>
      <c r="AM2099" s="157"/>
      <c r="AN2099" s="157"/>
      <c r="AO2099" s="157"/>
      <c r="AP2099" s="157"/>
      <c r="AQ2099" s="157"/>
      <c r="AR2099" s="157"/>
    </row>
    <row r="2100" spans="1:44" ht="16.8">
      <c r="A2100" s="145">
        <v>12</v>
      </c>
      <c r="B2100" s="145">
        <v>800</v>
      </c>
      <c r="C2100" s="145" t="s">
        <v>4019</v>
      </c>
      <c r="D2100" s="146" t="s">
        <v>4020</v>
      </c>
      <c r="E2100" s="147" t="s">
        <v>178</v>
      </c>
      <c r="F2100" s="148"/>
      <c r="G2100" s="148"/>
      <c r="H2100" s="149"/>
      <c r="I2100" s="149"/>
      <c r="J2100" s="149"/>
      <c r="K2100" s="149"/>
      <c r="L2100" s="149"/>
      <c r="M2100" s="149">
        <f t="shared" si="725"/>
        <v>0</v>
      </c>
      <c r="N2100" s="149"/>
      <c r="O2100" s="149">
        <f t="shared" si="744"/>
        <v>0</v>
      </c>
      <c r="P2100" s="149"/>
      <c r="Q2100" s="149"/>
      <c r="R2100" s="149">
        <f t="shared" si="745"/>
        <v>0</v>
      </c>
      <c r="S2100" s="150" t="e">
        <f t="shared" si="746"/>
        <v>#DIV/0!</v>
      </c>
      <c r="T2100" s="151" t="e">
        <f t="shared" si="747"/>
        <v>#DIV/0!</v>
      </c>
      <c r="U2100" s="150" t="e">
        <f t="shared" si="748"/>
        <v>#NUM!</v>
      </c>
      <c r="V2100" s="150" t="e">
        <f t="shared" si="749"/>
        <v>#DIV/0!</v>
      </c>
      <c r="W2100" s="152"/>
      <c r="X2100" s="152"/>
      <c r="Y2100" s="152"/>
      <c r="Z2100" s="153">
        <f t="shared" si="771"/>
        <v>0</v>
      </c>
      <c r="AA2100" s="148">
        <f t="shared" si="705"/>
        <v>0</v>
      </c>
      <c r="AB2100" s="149"/>
      <c r="AC2100" s="149"/>
      <c r="AD2100" s="150" t="e">
        <f t="shared" si="675"/>
        <v>#DIV/0!</v>
      </c>
      <c r="AE2100" s="154" t="e">
        <f t="shared" si="676"/>
        <v>#DIV/0!</v>
      </c>
      <c r="AF2100" s="150" t="e">
        <f t="shared" si="677"/>
        <v>#DIV/0!</v>
      </c>
      <c r="AG2100" s="150" t="e">
        <f t="shared" si="678"/>
        <v>#DIV/0!</v>
      </c>
      <c r="AH2100" s="155" t="e">
        <f t="shared" si="679"/>
        <v>#DIV/0!</v>
      </c>
      <c r="AI2100" s="156" t="e">
        <f t="shared" si="756"/>
        <v>#DIV/0!</v>
      </c>
      <c r="AJ2100" s="149"/>
      <c r="AK2100" s="149"/>
      <c r="AL2100" s="157"/>
      <c r="AM2100" s="157"/>
      <c r="AN2100" s="157"/>
      <c r="AO2100" s="157"/>
      <c r="AP2100" s="157"/>
      <c r="AQ2100" s="157"/>
      <c r="AR2100" s="157"/>
    </row>
    <row r="2101" spans="1:44" ht="16.8">
      <c r="A2101" s="145">
        <v>13</v>
      </c>
      <c r="B2101" s="145">
        <v>801</v>
      </c>
      <c r="C2101" s="145" t="s">
        <v>4021</v>
      </c>
      <c r="D2101" s="146" t="s">
        <v>4022</v>
      </c>
      <c r="E2101" s="147" t="s">
        <v>178</v>
      </c>
      <c r="F2101" s="148"/>
      <c r="G2101" s="148"/>
      <c r="H2101" s="149"/>
      <c r="I2101" s="149"/>
      <c r="J2101" s="149"/>
      <c r="K2101" s="149"/>
      <c r="L2101" s="149"/>
      <c r="M2101" s="149">
        <f t="shared" si="725"/>
        <v>0</v>
      </c>
      <c r="N2101" s="149"/>
      <c r="O2101" s="149">
        <f t="shared" si="744"/>
        <v>0</v>
      </c>
      <c r="P2101" s="149"/>
      <c r="Q2101" s="149"/>
      <c r="R2101" s="149">
        <f t="shared" si="745"/>
        <v>0</v>
      </c>
      <c r="S2101" s="150" t="e">
        <f t="shared" si="746"/>
        <v>#DIV/0!</v>
      </c>
      <c r="T2101" s="151" t="e">
        <f t="shared" si="747"/>
        <v>#DIV/0!</v>
      </c>
      <c r="U2101" s="150" t="e">
        <f t="shared" si="748"/>
        <v>#NUM!</v>
      </c>
      <c r="V2101" s="150" t="e">
        <f t="shared" si="749"/>
        <v>#DIV/0!</v>
      </c>
      <c r="W2101" s="152"/>
      <c r="X2101" s="152"/>
      <c r="Y2101" s="152"/>
      <c r="Z2101" s="153">
        <f t="shared" si="771"/>
        <v>0</v>
      </c>
      <c r="AA2101" s="148">
        <f t="shared" si="705"/>
        <v>0</v>
      </c>
      <c r="AB2101" s="149"/>
      <c r="AC2101" s="149"/>
      <c r="AD2101" s="150" t="e">
        <f t="shared" si="675"/>
        <v>#DIV/0!</v>
      </c>
      <c r="AE2101" s="154" t="e">
        <f t="shared" si="676"/>
        <v>#DIV/0!</v>
      </c>
      <c r="AF2101" s="150" t="e">
        <f t="shared" si="677"/>
        <v>#DIV/0!</v>
      </c>
      <c r="AG2101" s="150" t="e">
        <f t="shared" si="678"/>
        <v>#DIV/0!</v>
      </c>
      <c r="AH2101" s="155" t="e">
        <f t="shared" si="679"/>
        <v>#DIV/0!</v>
      </c>
      <c r="AI2101" s="156" t="e">
        <f t="shared" si="756"/>
        <v>#DIV/0!</v>
      </c>
      <c r="AJ2101" s="149"/>
      <c r="AK2101" s="149"/>
      <c r="AL2101" s="157"/>
      <c r="AM2101" s="157"/>
      <c r="AN2101" s="157"/>
      <c r="AO2101" s="157"/>
      <c r="AP2101" s="157"/>
      <c r="AQ2101" s="157"/>
      <c r="AR2101" s="157"/>
    </row>
    <row r="2102" spans="1:44" ht="16.8">
      <c r="A2102" s="145">
        <v>14</v>
      </c>
      <c r="B2102" s="145">
        <v>802</v>
      </c>
      <c r="C2102" s="145" t="s">
        <v>4023</v>
      </c>
      <c r="D2102" s="146" t="s">
        <v>4024</v>
      </c>
      <c r="E2102" s="147" t="s">
        <v>1371</v>
      </c>
      <c r="F2102" s="148"/>
      <c r="G2102" s="148"/>
      <c r="H2102" s="149"/>
      <c r="I2102" s="149"/>
      <c r="J2102" s="149"/>
      <c r="K2102" s="149"/>
      <c r="L2102" s="149"/>
      <c r="M2102" s="149">
        <f t="shared" si="725"/>
        <v>0</v>
      </c>
      <c r="N2102" s="149"/>
      <c r="O2102" s="149">
        <f t="shared" si="744"/>
        <v>0</v>
      </c>
      <c r="P2102" s="149"/>
      <c r="Q2102" s="149"/>
      <c r="R2102" s="149">
        <f t="shared" si="745"/>
        <v>0</v>
      </c>
      <c r="S2102" s="150" t="e">
        <f t="shared" si="746"/>
        <v>#DIV/0!</v>
      </c>
      <c r="T2102" s="151" t="e">
        <f t="shared" si="747"/>
        <v>#DIV/0!</v>
      </c>
      <c r="U2102" s="150" t="e">
        <f t="shared" si="748"/>
        <v>#NUM!</v>
      </c>
      <c r="V2102" s="150" t="e">
        <f t="shared" si="749"/>
        <v>#DIV/0!</v>
      </c>
      <c r="W2102" s="152"/>
      <c r="X2102" s="152"/>
      <c r="Y2102" s="152"/>
      <c r="Z2102" s="153">
        <f t="shared" si="771"/>
        <v>0</v>
      </c>
      <c r="AA2102" s="148">
        <f t="shared" si="705"/>
        <v>0</v>
      </c>
      <c r="AB2102" s="149"/>
      <c r="AC2102" s="149"/>
      <c r="AD2102" s="150" t="e">
        <f t="shared" si="675"/>
        <v>#DIV/0!</v>
      </c>
      <c r="AE2102" s="154" t="e">
        <f t="shared" si="676"/>
        <v>#DIV/0!</v>
      </c>
      <c r="AF2102" s="150" t="e">
        <f t="shared" si="677"/>
        <v>#DIV/0!</v>
      </c>
      <c r="AG2102" s="150" t="e">
        <f t="shared" si="678"/>
        <v>#DIV/0!</v>
      </c>
      <c r="AH2102" s="155" t="e">
        <f t="shared" si="679"/>
        <v>#DIV/0!</v>
      </c>
      <c r="AI2102" s="156" t="e">
        <f t="shared" si="756"/>
        <v>#DIV/0!</v>
      </c>
      <c r="AJ2102" s="149"/>
      <c r="AK2102" s="149"/>
      <c r="AL2102" s="157"/>
      <c r="AM2102" s="157"/>
      <c r="AN2102" s="157"/>
      <c r="AO2102" s="157"/>
      <c r="AP2102" s="157"/>
      <c r="AQ2102" s="157"/>
      <c r="AR2102" s="157"/>
    </row>
    <row r="2103" spans="1:44" ht="16.8">
      <c r="A2103" s="145">
        <v>15</v>
      </c>
      <c r="B2103" s="145">
        <v>803</v>
      </c>
      <c r="C2103" s="145" t="s">
        <v>4025</v>
      </c>
      <c r="D2103" s="146" t="s">
        <v>4026</v>
      </c>
      <c r="E2103" s="147" t="s">
        <v>178</v>
      </c>
      <c r="F2103" s="148"/>
      <c r="G2103" s="148"/>
      <c r="H2103" s="149"/>
      <c r="I2103" s="149"/>
      <c r="J2103" s="149"/>
      <c r="K2103" s="149"/>
      <c r="L2103" s="149"/>
      <c r="M2103" s="149">
        <f t="shared" si="725"/>
        <v>0</v>
      </c>
      <c r="N2103" s="149"/>
      <c r="O2103" s="149">
        <f t="shared" si="744"/>
        <v>0</v>
      </c>
      <c r="P2103" s="149"/>
      <c r="Q2103" s="149"/>
      <c r="R2103" s="149">
        <f t="shared" si="745"/>
        <v>0</v>
      </c>
      <c r="S2103" s="150" t="e">
        <f t="shared" si="746"/>
        <v>#DIV/0!</v>
      </c>
      <c r="T2103" s="151" t="e">
        <f t="shared" si="747"/>
        <v>#DIV/0!</v>
      </c>
      <c r="U2103" s="150" t="e">
        <f t="shared" si="748"/>
        <v>#NUM!</v>
      </c>
      <c r="V2103" s="150" t="e">
        <f t="shared" si="749"/>
        <v>#DIV/0!</v>
      </c>
      <c r="W2103" s="152"/>
      <c r="X2103" s="152"/>
      <c r="Y2103" s="152"/>
      <c r="Z2103" s="153">
        <f t="shared" si="771"/>
        <v>0</v>
      </c>
      <c r="AA2103" s="148">
        <f t="shared" si="705"/>
        <v>0</v>
      </c>
      <c r="AB2103" s="149"/>
      <c r="AC2103" s="149"/>
      <c r="AD2103" s="150" t="e">
        <f t="shared" si="675"/>
        <v>#DIV/0!</v>
      </c>
      <c r="AE2103" s="154" t="e">
        <f t="shared" si="676"/>
        <v>#DIV/0!</v>
      </c>
      <c r="AF2103" s="150" t="e">
        <f t="shared" si="677"/>
        <v>#DIV/0!</v>
      </c>
      <c r="AG2103" s="150" t="e">
        <f t="shared" si="678"/>
        <v>#DIV/0!</v>
      </c>
      <c r="AH2103" s="155" t="e">
        <f t="shared" si="679"/>
        <v>#DIV/0!</v>
      </c>
      <c r="AI2103" s="156" t="e">
        <f t="shared" si="756"/>
        <v>#DIV/0!</v>
      </c>
      <c r="AJ2103" s="149"/>
      <c r="AK2103" s="149"/>
      <c r="AL2103" s="157"/>
      <c r="AM2103" s="157"/>
      <c r="AN2103" s="157"/>
      <c r="AO2103" s="157"/>
      <c r="AP2103" s="157"/>
      <c r="AQ2103" s="157"/>
      <c r="AR2103" s="157"/>
    </row>
    <row r="2104" spans="1:44" ht="16.8">
      <c r="A2104" s="145">
        <v>16</v>
      </c>
      <c r="B2104" s="145">
        <v>804</v>
      </c>
      <c r="C2104" s="145" t="s">
        <v>4027</v>
      </c>
      <c r="D2104" s="146" t="s">
        <v>4028</v>
      </c>
      <c r="E2104" s="147" t="s">
        <v>1371</v>
      </c>
      <c r="F2104" s="148"/>
      <c r="G2104" s="148"/>
      <c r="H2104" s="149"/>
      <c r="I2104" s="149"/>
      <c r="J2104" s="149"/>
      <c r="K2104" s="149"/>
      <c r="L2104" s="149"/>
      <c r="M2104" s="149">
        <f t="shared" si="725"/>
        <v>0</v>
      </c>
      <c r="N2104" s="149"/>
      <c r="O2104" s="149">
        <f t="shared" si="744"/>
        <v>0</v>
      </c>
      <c r="P2104" s="149"/>
      <c r="Q2104" s="149"/>
      <c r="R2104" s="149">
        <f t="shared" si="745"/>
        <v>0</v>
      </c>
      <c r="S2104" s="150" t="e">
        <f t="shared" si="746"/>
        <v>#DIV/0!</v>
      </c>
      <c r="T2104" s="151" t="e">
        <f t="shared" si="747"/>
        <v>#DIV/0!</v>
      </c>
      <c r="U2104" s="150" t="e">
        <f t="shared" si="748"/>
        <v>#NUM!</v>
      </c>
      <c r="V2104" s="150" t="e">
        <f t="shared" si="749"/>
        <v>#DIV/0!</v>
      </c>
      <c r="W2104" s="152"/>
      <c r="X2104" s="152"/>
      <c r="Y2104" s="152"/>
      <c r="Z2104" s="153">
        <f t="shared" si="771"/>
        <v>0</v>
      </c>
      <c r="AA2104" s="148">
        <f t="shared" si="705"/>
        <v>0</v>
      </c>
      <c r="AB2104" s="149"/>
      <c r="AC2104" s="149"/>
      <c r="AD2104" s="150" t="e">
        <f t="shared" si="675"/>
        <v>#DIV/0!</v>
      </c>
      <c r="AE2104" s="154" t="e">
        <f t="shared" si="676"/>
        <v>#DIV/0!</v>
      </c>
      <c r="AF2104" s="150" t="e">
        <f t="shared" si="677"/>
        <v>#DIV/0!</v>
      </c>
      <c r="AG2104" s="150" t="e">
        <f t="shared" si="678"/>
        <v>#DIV/0!</v>
      </c>
      <c r="AH2104" s="155" t="e">
        <f t="shared" si="679"/>
        <v>#DIV/0!</v>
      </c>
      <c r="AI2104" s="156" t="e">
        <f t="shared" si="756"/>
        <v>#DIV/0!</v>
      </c>
      <c r="AJ2104" s="149"/>
      <c r="AK2104" s="149"/>
      <c r="AL2104" s="157"/>
      <c r="AM2104" s="157"/>
      <c r="AN2104" s="157"/>
      <c r="AO2104" s="157"/>
      <c r="AP2104" s="157"/>
      <c r="AQ2104" s="157"/>
      <c r="AR2104" s="157"/>
    </row>
    <row r="2105" spans="1:44" ht="16.8">
      <c r="A2105" s="145">
        <v>17</v>
      </c>
      <c r="B2105" s="145">
        <v>805</v>
      </c>
      <c r="C2105" s="145" t="s">
        <v>4029</v>
      </c>
      <c r="D2105" s="146" t="s">
        <v>4030</v>
      </c>
      <c r="E2105" s="147" t="s">
        <v>178</v>
      </c>
      <c r="F2105" s="148"/>
      <c r="G2105" s="148"/>
      <c r="H2105" s="149"/>
      <c r="I2105" s="149"/>
      <c r="J2105" s="149"/>
      <c r="K2105" s="149"/>
      <c r="L2105" s="149"/>
      <c r="M2105" s="149">
        <f t="shared" si="725"/>
        <v>0</v>
      </c>
      <c r="N2105" s="149"/>
      <c r="O2105" s="149">
        <f t="shared" si="744"/>
        <v>0</v>
      </c>
      <c r="P2105" s="149"/>
      <c r="Q2105" s="149"/>
      <c r="R2105" s="149">
        <f t="shared" si="745"/>
        <v>0</v>
      </c>
      <c r="S2105" s="150" t="e">
        <f t="shared" si="746"/>
        <v>#DIV/0!</v>
      </c>
      <c r="T2105" s="151" t="e">
        <f t="shared" si="747"/>
        <v>#DIV/0!</v>
      </c>
      <c r="U2105" s="150" t="e">
        <f t="shared" si="748"/>
        <v>#NUM!</v>
      </c>
      <c r="V2105" s="150" t="e">
        <f t="shared" si="749"/>
        <v>#DIV/0!</v>
      </c>
      <c r="W2105" s="152"/>
      <c r="X2105" s="152"/>
      <c r="Y2105" s="152"/>
      <c r="Z2105" s="153">
        <f t="shared" si="771"/>
        <v>0</v>
      </c>
      <c r="AA2105" s="148">
        <f t="shared" si="705"/>
        <v>0</v>
      </c>
      <c r="AB2105" s="149"/>
      <c r="AC2105" s="149"/>
      <c r="AD2105" s="150" t="e">
        <f t="shared" si="675"/>
        <v>#DIV/0!</v>
      </c>
      <c r="AE2105" s="154" t="e">
        <f t="shared" si="676"/>
        <v>#DIV/0!</v>
      </c>
      <c r="AF2105" s="150" t="e">
        <f t="shared" si="677"/>
        <v>#DIV/0!</v>
      </c>
      <c r="AG2105" s="150" t="e">
        <f t="shared" si="678"/>
        <v>#DIV/0!</v>
      </c>
      <c r="AH2105" s="155" t="e">
        <f t="shared" si="679"/>
        <v>#DIV/0!</v>
      </c>
      <c r="AI2105" s="156" t="e">
        <f t="shared" si="756"/>
        <v>#DIV/0!</v>
      </c>
      <c r="AJ2105" s="149"/>
      <c r="AK2105" s="149"/>
      <c r="AL2105" s="157"/>
      <c r="AM2105" s="157"/>
      <c r="AN2105" s="157"/>
      <c r="AO2105" s="157"/>
      <c r="AP2105" s="157"/>
      <c r="AQ2105" s="157"/>
      <c r="AR2105" s="157"/>
    </row>
    <row r="2106" spans="1:44" ht="16.8">
      <c r="A2106" s="145">
        <v>18</v>
      </c>
      <c r="B2106" s="145">
        <v>806</v>
      </c>
      <c r="C2106" s="145" t="s">
        <v>4031</v>
      </c>
      <c r="D2106" s="146" t="s">
        <v>4032</v>
      </c>
      <c r="E2106" s="147" t="s">
        <v>1371</v>
      </c>
      <c r="F2106" s="148"/>
      <c r="G2106" s="148"/>
      <c r="H2106" s="149"/>
      <c r="I2106" s="149"/>
      <c r="J2106" s="149"/>
      <c r="K2106" s="149"/>
      <c r="L2106" s="149"/>
      <c r="M2106" s="149">
        <f t="shared" si="725"/>
        <v>0</v>
      </c>
      <c r="N2106" s="149"/>
      <c r="O2106" s="149">
        <f t="shared" si="744"/>
        <v>0</v>
      </c>
      <c r="P2106" s="149"/>
      <c r="Q2106" s="149"/>
      <c r="R2106" s="149">
        <f t="shared" si="745"/>
        <v>0</v>
      </c>
      <c r="S2106" s="150" t="e">
        <f t="shared" si="746"/>
        <v>#DIV/0!</v>
      </c>
      <c r="T2106" s="151" t="e">
        <f t="shared" si="747"/>
        <v>#DIV/0!</v>
      </c>
      <c r="U2106" s="150" t="e">
        <f t="shared" si="748"/>
        <v>#NUM!</v>
      </c>
      <c r="V2106" s="150" t="e">
        <f t="shared" si="749"/>
        <v>#DIV/0!</v>
      </c>
      <c r="W2106" s="152"/>
      <c r="X2106" s="152"/>
      <c r="Y2106" s="152"/>
      <c r="Z2106" s="153">
        <f t="shared" si="771"/>
        <v>0</v>
      </c>
      <c r="AA2106" s="148">
        <f t="shared" si="705"/>
        <v>0</v>
      </c>
      <c r="AB2106" s="149"/>
      <c r="AC2106" s="149"/>
      <c r="AD2106" s="150" t="e">
        <f t="shared" si="675"/>
        <v>#DIV/0!</v>
      </c>
      <c r="AE2106" s="154" t="e">
        <f t="shared" si="676"/>
        <v>#DIV/0!</v>
      </c>
      <c r="AF2106" s="150" t="e">
        <f t="shared" si="677"/>
        <v>#DIV/0!</v>
      </c>
      <c r="AG2106" s="150" t="e">
        <f t="shared" si="678"/>
        <v>#DIV/0!</v>
      </c>
      <c r="AH2106" s="155" t="e">
        <f t="shared" si="679"/>
        <v>#DIV/0!</v>
      </c>
      <c r="AI2106" s="156" t="e">
        <f t="shared" si="756"/>
        <v>#DIV/0!</v>
      </c>
      <c r="AJ2106" s="149"/>
      <c r="AK2106" s="149"/>
      <c r="AL2106" s="157"/>
      <c r="AM2106" s="157"/>
      <c r="AN2106" s="157"/>
      <c r="AO2106" s="157"/>
      <c r="AP2106" s="157"/>
      <c r="AQ2106" s="157"/>
      <c r="AR2106" s="157"/>
    </row>
    <row r="2107" spans="1:44" ht="16.8">
      <c r="A2107" s="145">
        <v>19</v>
      </c>
      <c r="B2107" s="145">
        <v>807</v>
      </c>
      <c r="C2107" s="145" t="s">
        <v>4033</v>
      </c>
      <c r="D2107" s="146" t="s">
        <v>4034</v>
      </c>
      <c r="E2107" s="147" t="s">
        <v>178</v>
      </c>
      <c r="F2107" s="148"/>
      <c r="G2107" s="148"/>
      <c r="H2107" s="149"/>
      <c r="I2107" s="149"/>
      <c r="J2107" s="149"/>
      <c r="K2107" s="149"/>
      <c r="L2107" s="149"/>
      <c r="M2107" s="149">
        <f t="shared" si="725"/>
        <v>0</v>
      </c>
      <c r="N2107" s="149"/>
      <c r="O2107" s="149">
        <f t="shared" si="744"/>
        <v>0</v>
      </c>
      <c r="P2107" s="149"/>
      <c r="Q2107" s="149"/>
      <c r="R2107" s="149">
        <f t="shared" si="745"/>
        <v>0</v>
      </c>
      <c r="S2107" s="150" t="e">
        <f t="shared" si="746"/>
        <v>#DIV/0!</v>
      </c>
      <c r="T2107" s="151" t="e">
        <f t="shared" si="747"/>
        <v>#DIV/0!</v>
      </c>
      <c r="U2107" s="150" t="e">
        <f t="shared" si="748"/>
        <v>#NUM!</v>
      </c>
      <c r="V2107" s="150" t="e">
        <f t="shared" si="749"/>
        <v>#DIV/0!</v>
      </c>
      <c r="W2107" s="152"/>
      <c r="X2107" s="152"/>
      <c r="Y2107" s="152"/>
      <c r="Z2107" s="153">
        <f t="shared" si="771"/>
        <v>0</v>
      </c>
      <c r="AA2107" s="148">
        <f t="shared" si="705"/>
        <v>0</v>
      </c>
      <c r="AB2107" s="149"/>
      <c r="AC2107" s="149"/>
      <c r="AD2107" s="150" t="e">
        <f t="shared" si="675"/>
        <v>#DIV/0!</v>
      </c>
      <c r="AE2107" s="154" t="e">
        <f t="shared" si="676"/>
        <v>#DIV/0!</v>
      </c>
      <c r="AF2107" s="150" t="e">
        <f t="shared" si="677"/>
        <v>#DIV/0!</v>
      </c>
      <c r="AG2107" s="150" t="e">
        <f t="shared" si="678"/>
        <v>#DIV/0!</v>
      </c>
      <c r="AH2107" s="155" t="e">
        <f t="shared" si="679"/>
        <v>#DIV/0!</v>
      </c>
      <c r="AI2107" s="156" t="e">
        <f t="shared" si="756"/>
        <v>#DIV/0!</v>
      </c>
      <c r="AJ2107" s="149"/>
      <c r="AK2107" s="149"/>
      <c r="AL2107" s="157"/>
      <c r="AM2107" s="157"/>
      <c r="AN2107" s="157"/>
      <c r="AO2107" s="157"/>
      <c r="AP2107" s="157"/>
      <c r="AQ2107" s="157"/>
      <c r="AR2107" s="157"/>
    </row>
    <row r="2108" spans="1:44" ht="16.8">
      <c r="A2108" s="145">
        <v>20</v>
      </c>
      <c r="B2108" s="145">
        <v>808</v>
      </c>
      <c r="C2108" s="145" t="s">
        <v>4035</v>
      </c>
      <c r="D2108" s="146" t="s">
        <v>4036</v>
      </c>
      <c r="E2108" s="147" t="s">
        <v>1371</v>
      </c>
      <c r="F2108" s="148"/>
      <c r="G2108" s="148"/>
      <c r="H2108" s="149"/>
      <c r="I2108" s="149"/>
      <c r="J2108" s="149"/>
      <c r="K2108" s="149"/>
      <c r="L2108" s="149"/>
      <c r="M2108" s="149">
        <f t="shared" si="725"/>
        <v>0</v>
      </c>
      <c r="N2108" s="149"/>
      <c r="O2108" s="149">
        <f t="shared" si="744"/>
        <v>0</v>
      </c>
      <c r="P2108" s="149"/>
      <c r="Q2108" s="149"/>
      <c r="R2108" s="149">
        <f t="shared" si="745"/>
        <v>0</v>
      </c>
      <c r="S2108" s="150" t="e">
        <f t="shared" si="746"/>
        <v>#DIV/0!</v>
      </c>
      <c r="T2108" s="151" t="e">
        <f t="shared" si="747"/>
        <v>#DIV/0!</v>
      </c>
      <c r="U2108" s="150" t="e">
        <f t="shared" si="748"/>
        <v>#NUM!</v>
      </c>
      <c r="V2108" s="150" t="e">
        <f t="shared" si="749"/>
        <v>#DIV/0!</v>
      </c>
      <c r="W2108" s="152"/>
      <c r="X2108" s="152"/>
      <c r="Y2108" s="152"/>
      <c r="Z2108" s="153">
        <f t="shared" si="771"/>
        <v>0</v>
      </c>
      <c r="AA2108" s="148">
        <f t="shared" si="705"/>
        <v>0</v>
      </c>
      <c r="AB2108" s="149"/>
      <c r="AC2108" s="149"/>
      <c r="AD2108" s="150" t="e">
        <f t="shared" si="675"/>
        <v>#DIV/0!</v>
      </c>
      <c r="AE2108" s="154" t="e">
        <f t="shared" si="676"/>
        <v>#DIV/0!</v>
      </c>
      <c r="AF2108" s="150" t="e">
        <f t="shared" si="677"/>
        <v>#DIV/0!</v>
      </c>
      <c r="AG2108" s="150" t="e">
        <f t="shared" si="678"/>
        <v>#DIV/0!</v>
      </c>
      <c r="AH2108" s="155" t="e">
        <f t="shared" si="679"/>
        <v>#DIV/0!</v>
      </c>
      <c r="AI2108" s="156" t="e">
        <f t="shared" si="756"/>
        <v>#DIV/0!</v>
      </c>
      <c r="AJ2108" s="149"/>
      <c r="AK2108" s="149"/>
      <c r="AL2108" s="157"/>
      <c r="AM2108" s="157"/>
      <c r="AN2108" s="157"/>
      <c r="AO2108" s="157"/>
      <c r="AP2108" s="157"/>
      <c r="AQ2108" s="157"/>
      <c r="AR2108" s="157"/>
    </row>
    <row r="2109" spans="1:44" ht="16.8">
      <c r="A2109" s="145">
        <v>21</v>
      </c>
      <c r="B2109" s="145">
        <v>809</v>
      </c>
      <c r="C2109" s="145" t="s">
        <v>4037</v>
      </c>
      <c r="D2109" s="146" t="s">
        <v>4038</v>
      </c>
      <c r="E2109" s="147" t="s">
        <v>178</v>
      </c>
      <c r="F2109" s="148"/>
      <c r="G2109" s="148"/>
      <c r="H2109" s="149"/>
      <c r="I2109" s="149"/>
      <c r="J2109" s="149"/>
      <c r="K2109" s="149"/>
      <c r="L2109" s="149"/>
      <c r="M2109" s="149">
        <f t="shared" si="725"/>
        <v>0</v>
      </c>
      <c r="N2109" s="149"/>
      <c r="O2109" s="149">
        <f t="shared" si="744"/>
        <v>0</v>
      </c>
      <c r="P2109" s="149"/>
      <c r="Q2109" s="149"/>
      <c r="R2109" s="149">
        <f t="shared" si="745"/>
        <v>0</v>
      </c>
      <c r="S2109" s="150" t="e">
        <f t="shared" si="746"/>
        <v>#DIV/0!</v>
      </c>
      <c r="T2109" s="151" t="e">
        <f t="shared" si="747"/>
        <v>#DIV/0!</v>
      </c>
      <c r="U2109" s="150" t="e">
        <f t="shared" si="748"/>
        <v>#NUM!</v>
      </c>
      <c r="V2109" s="150" t="e">
        <f t="shared" si="749"/>
        <v>#DIV/0!</v>
      </c>
      <c r="W2109" s="152"/>
      <c r="X2109" s="152"/>
      <c r="Y2109" s="152"/>
      <c r="Z2109" s="153">
        <f t="shared" si="771"/>
        <v>0</v>
      </c>
      <c r="AA2109" s="148">
        <f t="shared" si="705"/>
        <v>0</v>
      </c>
      <c r="AB2109" s="149"/>
      <c r="AC2109" s="149"/>
      <c r="AD2109" s="150" t="e">
        <f t="shared" si="675"/>
        <v>#DIV/0!</v>
      </c>
      <c r="AE2109" s="154" t="e">
        <f t="shared" si="676"/>
        <v>#DIV/0!</v>
      </c>
      <c r="AF2109" s="150" t="e">
        <f t="shared" si="677"/>
        <v>#DIV/0!</v>
      </c>
      <c r="AG2109" s="150" t="e">
        <f t="shared" si="678"/>
        <v>#DIV/0!</v>
      </c>
      <c r="AH2109" s="155" t="e">
        <f t="shared" si="679"/>
        <v>#DIV/0!</v>
      </c>
      <c r="AI2109" s="156" t="e">
        <f t="shared" si="756"/>
        <v>#DIV/0!</v>
      </c>
      <c r="AJ2109" s="149"/>
      <c r="AK2109" s="149"/>
      <c r="AL2109" s="157"/>
      <c r="AM2109" s="157"/>
      <c r="AN2109" s="157"/>
      <c r="AO2109" s="157"/>
      <c r="AP2109" s="157"/>
      <c r="AQ2109" s="157"/>
      <c r="AR2109" s="157"/>
    </row>
    <row r="2110" spans="1:44" ht="16.8">
      <c r="A2110" s="145">
        <v>22</v>
      </c>
      <c r="B2110" s="145">
        <v>810</v>
      </c>
      <c r="C2110" s="145" t="s">
        <v>4039</v>
      </c>
      <c r="D2110" s="146" t="s">
        <v>4040</v>
      </c>
      <c r="E2110" s="147" t="s">
        <v>178</v>
      </c>
      <c r="F2110" s="148"/>
      <c r="G2110" s="148"/>
      <c r="H2110" s="149"/>
      <c r="I2110" s="149"/>
      <c r="J2110" s="149"/>
      <c r="K2110" s="149"/>
      <c r="L2110" s="149"/>
      <c r="M2110" s="149">
        <f t="shared" si="725"/>
        <v>0</v>
      </c>
      <c r="N2110" s="149"/>
      <c r="O2110" s="149">
        <f t="shared" si="744"/>
        <v>0</v>
      </c>
      <c r="P2110" s="149"/>
      <c r="Q2110" s="149"/>
      <c r="R2110" s="149">
        <f t="shared" si="745"/>
        <v>0</v>
      </c>
      <c r="S2110" s="150" t="e">
        <f t="shared" si="746"/>
        <v>#DIV/0!</v>
      </c>
      <c r="T2110" s="151" t="e">
        <f t="shared" si="747"/>
        <v>#DIV/0!</v>
      </c>
      <c r="U2110" s="150" t="e">
        <f t="shared" si="748"/>
        <v>#NUM!</v>
      </c>
      <c r="V2110" s="150" t="e">
        <f t="shared" si="749"/>
        <v>#DIV/0!</v>
      </c>
      <c r="W2110" s="152"/>
      <c r="X2110" s="152"/>
      <c r="Y2110" s="152"/>
      <c r="Z2110" s="153">
        <f t="shared" si="771"/>
        <v>0</v>
      </c>
      <c r="AA2110" s="148">
        <f t="shared" si="705"/>
        <v>0</v>
      </c>
      <c r="AB2110" s="149"/>
      <c r="AC2110" s="149"/>
      <c r="AD2110" s="150" t="e">
        <f t="shared" ref="AD2110:AD2364" si="772">O2110/I2110</f>
        <v>#DIV/0!</v>
      </c>
      <c r="AE2110" s="154" t="e">
        <f t="shared" ref="AE2110:AE2364" si="773">P2110/I2110</f>
        <v>#DIV/0!</v>
      </c>
      <c r="AF2110" s="150" t="e">
        <f t="shared" ref="AF2110:AF2364" si="774">R2110/I2110</f>
        <v>#DIV/0!</v>
      </c>
      <c r="AG2110" s="150" t="e">
        <f t="shared" ref="AG2110:AG2364" si="775">Z2110/J2110</f>
        <v>#DIV/0!</v>
      </c>
      <c r="AH2110" s="155" t="e">
        <f t="shared" ref="AH2110:AH2364" si="776">N2110/J2110</f>
        <v>#DIV/0!</v>
      </c>
      <c r="AI2110" s="156" t="e">
        <f t="shared" si="756"/>
        <v>#DIV/0!</v>
      </c>
      <c r="AJ2110" s="149"/>
      <c r="AK2110" s="149"/>
      <c r="AL2110" s="157"/>
      <c r="AM2110" s="157"/>
      <c r="AN2110" s="157"/>
      <c r="AO2110" s="157"/>
      <c r="AP2110" s="157"/>
      <c r="AQ2110" s="157"/>
      <c r="AR2110" s="157"/>
    </row>
    <row r="2111" spans="1:44" ht="16.8">
      <c r="A2111" s="145">
        <v>23</v>
      </c>
      <c r="B2111" s="145">
        <v>811</v>
      </c>
      <c r="C2111" s="145" t="s">
        <v>4041</v>
      </c>
      <c r="D2111" s="146" t="s">
        <v>4042</v>
      </c>
      <c r="E2111" s="147" t="s">
        <v>178</v>
      </c>
      <c r="F2111" s="148"/>
      <c r="G2111" s="148"/>
      <c r="H2111" s="149"/>
      <c r="I2111" s="149"/>
      <c r="J2111" s="149"/>
      <c r="K2111" s="149"/>
      <c r="L2111" s="149"/>
      <c r="M2111" s="149">
        <f t="shared" si="725"/>
        <v>0</v>
      </c>
      <c r="N2111" s="149"/>
      <c r="O2111" s="149">
        <f t="shared" si="744"/>
        <v>0</v>
      </c>
      <c r="P2111" s="149"/>
      <c r="Q2111" s="149"/>
      <c r="R2111" s="149">
        <f t="shared" si="745"/>
        <v>0</v>
      </c>
      <c r="S2111" s="150" t="e">
        <f t="shared" si="746"/>
        <v>#DIV/0!</v>
      </c>
      <c r="T2111" s="151" t="e">
        <f t="shared" si="747"/>
        <v>#DIV/0!</v>
      </c>
      <c r="U2111" s="150" t="e">
        <f t="shared" si="748"/>
        <v>#NUM!</v>
      </c>
      <c r="V2111" s="150" t="e">
        <f t="shared" si="749"/>
        <v>#DIV/0!</v>
      </c>
      <c r="W2111" s="152"/>
      <c r="X2111" s="152"/>
      <c r="Y2111" s="152"/>
      <c r="Z2111" s="153">
        <f t="shared" si="771"/>
        <v>0</v>
      </c>
      <c r="AA2111" s="148">
        <f t="shared" si="705"/>
        <v>0</v>
      </c>
      <c r="AB2111" s="149"/>
      <c r="AC2111" s="149"/>
      <c r="AD2111" s="150" t="e">
        <f t="shared" si="772"/>
        <v>#DIV/0!</v>
      </c>
      <c r="AE2111" s="154" t="e">
        <f t="shared" si="773"/>
        <v>#DIV/0!</v>
      </c>
      <c r="AF2111" s="150" t="e">
        <f t="shared" si="774"/>
        <v>#DIV/0!</v>
      </c>
      <c r="AG2111" s="150" t="e">
        <f t="shared" si="775"/>
        <v>#DIV/0!</v>
      </c>
      <c r="AH2111" s="155" t="e">
        <f t="shared" si="776"/>
        <v>#DIV/0!</v>
      </c>
      <c r="AI2111" s="156" t="e">
        <f t="shared" si="756"/>
        <v>#DIV/0!</v>
      </c>
      <c r="AJ2111" s="149"/>
      <c r="AK2111" s="149"/>
      <c r="AL2111" s="157"/>
      <c r="AM2111" s="157"/>
      <c r="AN2111" s="157"/>
      <c r="AO2111" s="157"/>
      <c r="AP2111" s="157"/>
      <c r="AQ2111" s="157"/>
      <c r="AR2111" s="157"/>
    </row>
    <row r="2112" spans="1:44" ht="16.8">
      <c r="A2112" s="145">
        <v>24</v>
      </c>
      <c r="B2112" s="145">
        <v>812</v>
      </c>
      <c r="C2112" s="145" t="s">
        <v>4043</v>
      </c>
      <c r="D2112" s="146" t="s">
        <v>4044</v>
      </c>
      <c r="E2112" s="147" t="s">
        <v>178</v>
      </c>
      <c r="F2112" s="148"/>
      <c r="G2112" s="148"/>
      <c r="H2112" s="149"/>
      <c r="I2112" s="149"/>
      <c r="J2112" s="149"/>
      <c r="K2112" s="149"/>
      <c r="L2112" s="149"/>
      <c r="M2112" s="149">
        <f t="shared" si="725"/>
        <v>0</v>
      </c>
      <c r="N2112" s="149"/>
      <c r="O2112" s="149">
        <f t="shared" si="744"/>
        <v>0</v>
      </c>
      <c r="P2112" s="149"/>
      <c r="Q2112" s="149"/>
      <c r="R2112" s="149">
        <f t="shared" si="745"/>
        <v>0</v>
      </c>
      <c r="S2112" s="150" t="e">
        <f t="shared" si="746"/>
        <v>#DIV/0!</v>
      </c>
      <c r="T2112" s="151" t="e">
        <f t="shared" si="747"/>
        <v>#DIV/0!</v>
      </c>
      <c r="U2112" s="150" t="e">
        <f t="shared" si="748"/>
        <v>#NUM!</v>
      </c>
      <c r="V2112" s="150" t="e">
        <f t="shared" si="749"/>
        <v>#DIV/0!</v>
      </c>
      <c r="W2112" s="152"/>
      <c r="X2112" s="152"/>
      <c r="Y2112" s="152"/>
      <c r="Z2112" s="153">
        <f t="shared" si="771"/>
        <v>0</v>
      </c>
      <c r="AA2112" s="148">
        <f t="shared" si="705"/>
        <v>0</v>
      </c>
      <c r="AB2112" s="149"/>
      <c r="AC2112" s="149"/>
      <c r="AD2112" s="150" t="e">
        <f t="shared" si="772"/>
        <v>#DIV/0!</v>
      </c>
      <c r="AE2112" s="154" t="e">
        <f t="shared" si="773"/>
        <v>#DIV/0!</v>
      </c>
      <c r="AF2112" s="150" t="e">
        <f t="shared" si="774"/>
        <v>#DIV/0!</v>
      </c>
      <c r="AG2112" s="150" t="e">
        <f t="shared" si="775"/>
        <v>#DIV/0!</v>
      </c>
      <c r="AH2112" s="155" t="e">
        <f t="shared" si="776"/>
        <v>#DIV/0!</v>
      </c>
      <c r="AI2112" s="156" t="e">
        <f t="shared" si="756"/>
        <v>#DIV/0!</v>
      </c>
      <c r="AJ2112" s="149"/>
      <c r="AK2112" s="149"/>
      <c r="AL2112" s="157"/>
      <c r="AM2112" s="157"/>
      <c r="AN2112" s="157"/>
      <c r="AO2112" s="157"/>
      <c r="AP2112" s="157"/>
      <c r="AQ2112" s="157"/>
      <c r="AR2112" s="157"/>
    </row>
    <row r="2113" spans="1:44" ht="16.8">
      <c r="A2113" s="145">
        <v>25</v>
      </c>
      <c r="B2113" s="145">
        <v>813</v>
      </c>
      <c r="C2113" s="145" t="s">
        <v>4045</v>
      </c>
      <c r="D2113" s="146" t="s">
        <v>4046</v>
      </c>
      <c r="E2113" s="147" t="s">
        <v>178</v>
      </c>
      <c r="F2113" s="148"/>
      <c r="G2113" s="148"/>
      <c r="H2113" s="149"/>
      <c r="I2113" s="149"/>
      <c r="J2113" s="149"/>
      <c r="K2113" s="149"/>
      <c r="L2113" s="149"/>
      <c r="M2113" s="149">
        <f t="shared" si="725"/>
        <v>0</v>
      </c>
      <c r="N2113" s="149"/>
      <c r="O2113" s="149">
        <f t="shared" si="744"/>
        <v>0</v>
      </c>
      <c r="P2113" s="149"/>
      <c r="Q2113" s="149"/>
      <c r="R2113" s="149">
        <f t="shared" si="745"/>
        <v>0</v>
      </c>
      <c r="S2113" s="150" t="e">
        <f t="shared" si="746"/>
        <v>#DIV/0!</v>
      </c>
      <c r="T2113" s="151" t="e">
        <f t="shared" si="747"/>
        <v>#DIV/0!</v>
      </c>
      <c r="U2113" s="150" t="e">
        <f t="shared" si="748"/>
        <v>#NUM!</v>
      </c>
      <c r="V2113" s="150" t="e">
        <f t="shared" si="749"/>
        <v>#DIV/0!</v>
      </c>
      <c r="W2113" s="152"/>
      <c r="X2113" s="152"/>
      <c r="Y2113" s="152"/>
      <c r="Z2113" s="153">
        <f t="shared" si="771"/>
        <v>0</v>
      </c>
      <c r="AA2113" s="148">
        <f t="shared" si="705"/>
        <v>0</v>
      </c>
      <c r="AB2113" s="149"/>
      <c r="AC2113" s="149"/>
      <c r="AD2113" s="150" t="e">
        <f t="shared" si="772"/>
        <v>#DIV/0!</v>
      </c>
      <c r="AE2113" s="154" t="e">
        <f t="shared" si="773"/>
        <v>#DIV/0!</v>
      </c>
      <c r="AF2113" s="150" t="e">
        <f t="shared" si="774"/>
        <v>#DIV/0!</v>
      </c>
      <c r="AG2113" s="150" t="e">
        <f t="shared" si="775"/>
        <v>#DIV/0!</v>
      </c>
      <c r="AH2113" s="155" t="e">
        <f t="shared" si="776"/>
        <v>#DIV/0!</v>
      </c>
      <c r="AI2113" s="156" t="e">
        <f t="shared" si="756"/>
        <v>#DIV/0!</v>
      </c>
      <c r="AJ2113" s="149"/>
      <c r="AK2113" s="149"/>
      <c r="AL2113" s="157"/>
      <c r="AM2113" s="157"/>
      <c r="AN2113" s="157"/>
      <c r="AO2113" s="157"/>
      <c r="AP2113" s="157"/>
      <c r="AQ2113" s="157"/>
      <c r="AR2113" s="157"/>
    </row>
    <row r="2114" spans="1:44" ht="16.8">
      <c r="A2114" s="145">
        <v>26</v>
      </c>
      <c r="B2114" s="145">
        <v>814</v>
      </c>
      <c r="C2114" s="145" t="s">
        <v>4047</v>
      </c>
      <c r="D2114" s="146" t="s">
        <v>4048</v>
      </c>
      <c r="E2114" s="147" t="s">
        <v>178</v>
      </c>
      <c r="F2114" s="148"/>
      <c r="G2114" s="148"/>
      <c r="H2114" s="149"/>
      <c r="I2114" s="149"/>
      <c r="J2114" s="149"/>
      <c r="K2114" s="149"/>
      <c r="L2114" s="149"/>
      <c r="M2114" s="149">
        <f t="shared" si="725"/>
        <v>0</v>
      </c>
      <c r="N2114" s="149"/>
      <c r="O2114" s="149">
        <f t="shared" si="744"/>
        <v>0</v>
      </c>
      <c r="P2114" s="149"/>
      <c r="Q2114" s="149"/>
      <c r="R2114" s="149">
        <f t="shared" si="745"/>
        <v>0</v>
      </c>
      <c r="S2114" s="150" t="e">
        <f t="shared" si="746"/>
        <v>#DIV/0!</v>
      </c>
      <c r="T2114" s="151" t="e">
        <f t="shared" si="747"/>
        <v>#DIV/0!</v>
      </c>
      <c r="U2114" s="150" t="e">
        <f t="shared" si="748"/>
        <v>#NUM!</v>
      </c>
      <c r="V2114" s="150" t="e">
        <f t="shared" si="749"/>
        <v>#DIV/0!</v>
      </c>
      <c r="W2114" s="152"/>
      <c r="X2114" s="152"/>
      <c r="Y2114" s="152"/>
      <c r="Z2114" s="153">
        <f t="shared" si="771"/>
        <v>0</v>
      </c>
      <c r="AA2114" s="148">
        <f t="shared" si="705"/>
        <v>0</v>
      </c>
      <c r="AB2114" s="149"/>
      <c r="AC2114" s="149"/>
      <c r="AD2114" s="150" t="e">
        <f t="shared" si="772"/>
        <v>#DIV/0!</v>
      </c>
      <c r="AE2114" s="154" t="e">
        <f t="shared" si="773"/>
        <v>#DIV/0!</v>
      </c>
      <c r="AF2114" s="150" t="e">
        <f t="shared" si="774"/>
        <v>#DIV/0!</v>
      </c>
      <c r="AG2114" s="150" t="e">
        <f t="shared" si="775"/>
        <v>#DIV/0!</v>
      </c>
      <c r="AH2114" s="155" t="e">
        <f t="shared" si="776"/>
        <v>#DIV/0!</v>
      </c>
      <c r="AI2114" s="156" t="e">
        <f t="shared" si="756"/>
        <v>#DIV/0!</v>
      </c>
      <c r="AJ2114" s="149"/>
      <c r="AK2114" s="149"/>
      <c r="AL2114" s="157"/>
      <c r="AM2114" s="157"/>
      <c r="AN2114" s="157"/>
      <c r="AO2114" s="157"/>
      <c r="AP2114" s="157"/>
      <c r="AQ2114" s="157"/>
      <c r="AR2114" s="157"/>
    </row>
    <row r="2115" spans="1:44" ht="16.8">
      <c r="A2115" s="145">
        <v>27</v>
      </c>
      <c r="B2115" s="145">
        <v>815</v>
      </c>
      <c r="C2115" s="145" t="s">
        <v>4049</v>
      </c>
      <c r="D2115" s="146" t="s">
        <v>4050</v>
      </c>
      <c r="E2115" s="147" t="s">
        <v>178</v>
      </c>
      <c r="F2115" s="148"/>
      <c r="G2115" s="148"/>
      <c r="H2115" s="149"/>
      <c r="I2115" s="149"/>
      <c r="J2115" s="149"/>
      <c r="K2115" s="149"/>
      <c r="L2115" s="149"/>
      <c r="M2115" s="149">
        <f t="shared" si="725"/>
        <v>0</v>
      </c>
      <c r="N2115" s="149"/>
      <c r="O2115" s="149">
        <f t="shared" si="744"/>
        <v>0</v>
      </c>
      <c r="P2115" s="149"/>
      <c r="Q2115" s="149"/>
      <c r="R2115" s="149">
        <f t="shared" si="745"/>
        <v>0</v>
      </c>
      <c r="S2115" s="150" t="e">
        <f t="shared" si="746"/>
        <v>#DIV/0!</v>
      </c>
      <c r="T2115" s="151" t="e">
        <f t="shared" si="747"/>
        <v>#DIV/0!</v>
      </c>
      <c r="U2115" s="150" t="e">
        <f t="shared" si="748"/>
        <v>#NUM!</v>
      </c>
      <c r="V2115" s="150" t="e">
        <f t="shared" si="749"/>
        <v>#DIV/0!</v>
      </c>
      <c r="W2115" s="152"/>
      <c r="X2115" s="152"/>
      <c r="Y2115" s="152"/>
      <c r="Z2115" s="153">
        <f t="shared" si="771"/>
        <v>0</v>
      </c>
      <c r="AA2115" s="148">
        <f t="shared" si="705"/>
        <v>0</v>
      </c>
      <c r="AB2115" s="149"/>
      <c r="AC2115" s="149"/>
      <c r="AD2115" s="150" t="e">
        <f t="shared" si="772"/>
        <v>#DIV/0!</v>
      </c>
      <c r="AE2115" s="154" t="e">
        <f t="shared" si="773"/>
        <v>#DIV/0!</v>
      </c>
      <c r="AF2115" s="150" t="e">
        <f t="shared" si="774"/>
        <v>#DIV/0!</v>
      </c>
      <c r="AG2115" s="150" t="e">
        <f t="shared" si="775"/>
        <v>#DIV/0!</v>
      </c>
      <c r="AH2115" s="155" t="e">
        <f t="shared" si="776"/>
        <v>#DIV/0!</v>
      </c>
      <c r="AI2115" s="156" t="e">
        <f t="shared" si="756"/>
        <v>#DIV/0!</v>
      </c>
      <c r="AJ2115" s="149"/>
      <c r="AK2115" s="149"/>
      <c r="AL2115" s="157"/>
      <c r="AM2115" s="157"/>
      <c r="AN2115" s="157"/>
      <c r="AO2115" s="157"/>
      <c r="AP2115" s="157"/>
      <c r="AQ2115" s="157"/>
      <c r="AR2115" s="157"/>
    </row>
    <row r="2116" spans="1:44" ht="16.8">
      <c r="A2116" s="145">
        <v>28</v>
      </c>
      <c r="B2116" s="145">
        <v>816</v>
      </c>
      <c r="C2116" s="145" t="s">
        <v>4051</v>
      </c>
      <c r="D2116" s="146" t="s">
        <v>4052</v>
      </c>
      <c r="E2116" s="147" t="s">
        <v>178</v>
      </c>
      <c r="F2116" s="148"/>
      <c r="G2116" s="148"/>
      <c r="H2116" s="149"/>
      <c r="I2116" s="149"/>
      <c r="J2116" s="149"/>
      <c r="K2116" s="149"/>
      <c r="L2116" s="149"/>
      <c r="M2116" s="149">
        <f t="shared" si="725"/>
        <v>0</v>
      </c>
      <c r="N2116" s="149"/>
      <c r="O2116" s="149">
        <f t="shared" si="744"/>
        <v>0</v>
      </c>
      <c r="P2116" s="149"/>
      <c r="Q2116" s="149"/>
      <c r="R2116" s="149">
        <f t="shared" si="745"/>
        <v>0</v>
      </c>
      <c r="S2116" s="150" t="e">
        <f t="shared" si="746"/>
        <v>#DIV/0!</v>
      </c>
      <c r="T2116" s="151" t="e">
        <f t="shared" si="747"/>
        <v>#DIV/0!</v>
      </c>
      <c r="U2116" s="150" t="e">
        <f t="shared" si="748"/>
        <v>#NUM!</v>
      </c>
      <c r="V2116" s="150" t="e">
        <f t="shared" si="749"/>
        <v>#DIV/0!</v>
      </c>
      <c r="W2116" s="152"/>
      <c r="X2116" s="152"/>
      <c r="Y2116" s="152"/>
      <c r="Z2116" s="153">
        <f t="shared" si="771"/>
        <v>0</v>
      </c>
      <c r="AA2116" s="148">
        <f t="shared" si="705"/>
        <v>0</v>
      </c>
      <c r="AB2116" s="149"/>
      <c r="AC2116" s="149"/>
      <c r="AD2116" s="150" t="e">
        <f t="shared" si="772"/>
        <v>#DIV/0!</v>
      </c>
      <c r="AE2116" s="154" t="e">
        <f t="shared" si="773"/>
        <v>#DIV/0!</v>
      </c>
      <c r="AF2116" s="150" t="e">
        <f t="shared" si="774"/>
        <v>#DIV/0!</v>
      </c>
      <c r="AG2116" s="150" t="e">
        <f t="shared" si="775"/>
        <v>#DIV/0!</v>
      </c>
      <c r="AH2116" s="155" t="e">
        <f t="shared" si="776"/>
        <v>#DIV/0!</v>
      </c>
      <c r="AI2116" s="156" t="e">
        <f t="shared" si="756"/>
        <v>#DIV/0!</v>
      </c>
      <c r="AJ2116" s="149"/>
      <c r="AK2116" s="149"/>
      <c r="AL2116" s="157"/>
      <c r="AM2116" s="157"/>
      <c r="AN2116" s="157"/>
      <c r="AO2116" s="157"/>
      <c r="AP2116" s="157"/>
      <c r="AQ2116" s="157"/>
      <c r="AR2116" s="157"/>
    </row>
    <row r="2117" spans="1:44" ht="16.8">
      <c r="A2117" s="145">
        <v>29</v>
      </c>
      <c r="B2117" s="145">
        <v>817</v>
      </c>
      <c r="C2117" s="145" t="s">
        <v>4053</v>
      </c>
      <c r="D2117" s="146" t="s">
        <v>4054</v>
      </c>
      <c r="E2117" s="147" t="s">
        <v>178</v>
      </c>
      <c r="F2117" s="148"/>
      <c r="G2117" s="148"/>
      <c r="H2117" s="149"/>
      <c r="I2117" s="149"/>
      <c r="J2117" s="149"/>
      <c r="K2117" s="149"/>
      <c r="L2117" s="149"/>
      <c r="M2117" s="149">
        <f t="shared" si="725"/>
        <v>0</v>
      </c>
      <c r="N2117" s="149"/>
      <c r="O2117" s="149">
        <f t="shared" si="744"/>
        <v>0</v>
      </c>
      <c r="P2117" s="149"/>
      <c r="Q2117" s="149"/>
      <c r="R2117" s="149">
        <f t="shared" si="745"/>
        <v>0</v>
      </c>
      <c r="S2117" s="150" t="e">
        <f t="shared" si="746"/>
        <v>#DIV/0!</v>
      </c>
      <c r="T2117" s="151" t="e">
        <f t="shared" si="747"/>
        <v>#DIV/0!</v>
      </c>
      <c r="U2117" s="150" t="e">
        <f t="shared" si="748"/>
        <v>#NUM!</v>
      </c>
      <c r="V2117" s="150" t="e">
        <f t="shared" si="749"/>
        <v>#DIV/0!</v>
      </c>
      <c r="W2117" s="152"/>
      <c r="X2117" s="152"/>
      <c r="Y2117" s="152"/>
      <c r="Z2117" s="153">
        <f t="shared" si="771"/>
        <v>0</v>
      </c>
      <c r="AA2117" s="148">
        <f t="shared" si="705"/>
        <v>0</v>
      </c>
      <c r="AB2117" s="149"/>
      <c r="AC2117" s="149"/>
      <c r="AD2117" s="150" t="e">
        <f t="shared" si="772"/>
        <v>#DIV/0!</v>
      </c>
      <c r="AE2117" s="154" t="e">
        <f t="shared" si="773"/>
        <v>#DIV/0!</v>
      </c>
      <c r="AF2117" s="150" t="e">
        <f t="shared" si="774"/>
        <v>#DIV/0!</v>
      </c>
      <c r="AG2117" s="150" t="e">
        <f t="shared" si="775"/>
        <v>#DIV/0!</v>
      </c>
      <c r="AH2117" s="155" t="e">
        <f t="shared" si="776"/>
        <v>#DIV/0!</v>
      </c>
      <c r="AI2117" s="156" t="e">
        <f t="shared" si="756"/>
        <v>#DIV/0!</v>
      </c>
      <c r="AJ2117" s="149"/>
      <c r="AK2117" s="149"/>
      <c r="AL2117" s="157"/>
      <c r="AM2117" s="157"/>
      <c r="AN2117" s="157"/>
      <c r="AO2117" s="157"/>
      <c r="AP2117" s="157"/>
      <c r="AQ2117" s="157"/>
      <c r="AR2117" s="157"/>
    </row>
    <row r="2118" spans="1:44" ht="16.8">
      <c r="A2118" s="145">
        <v>30</v>
      </c>
      <c r="B2118" s="145">
        <v>818</v>
      </c>
      <c r="C2118" s="145" t="s">
        <v>4055</v>
      </c>
      <c r="D2118" s="146" t="s">
        <v>4056</v>
      </c>
      <c r="E2118" s="147" t="s">
        <v>178</v>
      </c>
      <c r="F2118" s="148"/>
      <c r="G2118" s="148"/>
      <c r="H2118" s="149"/>
      <c r="I2118" s="149"/>
      <c r="J2118" s="149"/>
      <c r="K2118" s="149"/>
      <c r="L2118" s="149"/>
      <c r="M2118" s="149">
        <f t="shared" si="725"/>
        <v>0</v>
      </c>
      <c r="N2118" s="149"/>
      <c r="O2118" s="149">
        <f t="shared" si="744"/>
        <v>0</v>
      </c>
      <c r="P2118" s="149"/>
      <c r="Q2118" s="149"/>
      <c r="R2118" s="149">
        <f t="shared" si="745"/>
        <v>0</v>
      </c>
      <c r="S2118" s="150" t="e">
        <f t="shared" si="746"/>
        <v>#DIV/0!</v>
      </c>
      <c r="T2118" s="151" t="e">
        <f t="shared" si="747"/>
        <v>#DIV/0!</v>
      </c>
      <c r="U2118" s="150" t="e">
        <f t="shared" si="748"/>
        <v>#NUM!</v>
      </c>
      <c r="V2118" s="150" t="e">
        <f t="shared" si="749"/>
        <v>#DIV/0!</v>
      </c>
      <c r="W2118" s="152"/>
      <c r="X2118" s="152"/>
      <c r="Y2118" s="152"/>
      <c r="Z2118" s="153">
        <f t="shared" si="771"/>
        <v>0</v>
      </c>
      <c r="AA2118" s="148">
        <f t="shared" si="705"/>
        <v>0</v>
      </c>
      <c r="AB2118" s="149"/>
      <c r="AC2118" s="149"/>
      <c r="AD2118" s="150" t="e">
        <f t="shared" si="772"/>
        <v>#DIV/0!</v>
      </c>
      <c r="AE2118" s="154" t="e">
        <f t="shared" si="773"/>
        <v>#DIV/0!</v>
      </c>
      <c r="AF2118" s="150" t="e">
        <f t="shared" si="774"/>
        <v>#DIV/0!</v>
      </c>
      <c r="AG2118" s="150" t="e">
        <f t="shared" si="775"/>
        <v>#DIV/0!</v>
      </c>
      <c r="AH2118" s="155" t="e">
        <f t="shared" si="776"/>
        <v>#DIV/0!</v>
      </c>
      <c r="AI2118" s="156" t="e">
        <f t="shared" si="756"/>
        <v>#DIV/0!</v>
      </c>
      <c r="AJ2118" s="149"/>
      <c r="AK2118" s="149"/>
      <c r="AL2118" s="157"/>
      <c r="AM2118" s="157"/>
      <c r="AN2118" s="157"/>
      <c r="AO2118" s="157"/>
      <c r="AP2118" s="157"/>
      <c r="AQ2118" s="157"/>
      <c r="AR2118" s="157"/>
    </row>
    <row r="2119" spans="1:44" ht="16.8">
      <c r="A2119" s="145">
        <v>31</v>
      </c>
      <c r="B2119" s="145">
        <v>819</v>
      </c>
      <c r="C2119" s="145" t="s">
        <v>4057</v>
      </c>
      <c r="D2119" s="146" t="s">
        <v>4058</v>
      </c>
      <c r="E2119" s="147" t="s">
        <v>178</v>
      </c>
      <c r="F2119" s="148"/>
      <c r="G2119" s="148"/>
      <c r="H2119" s="149"/>
      <c r="I2119" s="149"/>
      <c r="J2119" s="149"/>
      <c r="K2119" s="149"/>
      <c r="L2119" s="149"/>
      <c r="M2119" s="149">
        <f t="shared" si="725"/>
        <v>0</v>
      </c>
      <c r="N2119" s="149"/>
      <c r="O2119" s="149">
        <f t="shared" si="744"/>
        <v>0</v>
      </c>
      <c r="P2119" s="149"/>
      <c r="Q2119" s="149"/>
      <c r="R2119" s="149">
        <f t="shared" si="745"/>
        <v>0</v>
      </c>
      <c r="S2119" s="150" t="e">
        <f t="shared" si="746"/>
        <v>#DIV/0!</v>
      </c>
      <c r="T2119" s="151" t="e">
        <f t="shared" si="747"/>
        <v>#DIV/0!</v>
      </c>
      <c r="U2119" s="150" t="e">
        <f t="shared" si="748"/>
        <v>#NUM!</v>
      </c>
      <c r="V2119" s="150" t="e">
        <f t="shared" si="749"/>
        <v>#DIV/0!</v>
      </c>
      <c r="W2119" s="152"/>
      <c r="X2119" s="152"/>
      <c r="Y2119" s="152"/>
      <c r="Z2119" s="153">
        <f t="shared" si="771"/>
        <v>0</v>
      </c>
      <c r="AA2119" s="148">
        <f t="shared" si="705"/>
        <v>0</v>
      </c>
      <c r="AB2119" s="149"/>
      <c r="AC2119" s="149"/>
      <c r="AD2119" s="150" t="e">
        <f t="shared" si="772"/>
        <v>#DIV/0!</v>
      </c>
      <c r="AE2119" s="154" t="e">
        <f t="shared" si="773"/>
        <v>#DIV/0!</v>
      </c>
      <c r="AF2119" s="150" t="e">
        <f t="shared" si="774"/>
        <v>#DIV/0!</v>
      </c>
      <c r="AG2119" s="150" t="e">
        <f t="shared" si="775"/>
        <v>#DIV/0!</v>
      </c>
      <c r="AH2119" s="155" t="e">
        <f t="shared" si="776"/>
        <v>#DIV/0!</v>
      </c>
      <c r="AI2119" s="156" t="e">
        <f t="shared" si="756"/>
        <v>#DIV/0!</v>
      </c>
      <c r="AJ2119" s="149"/>
      <c r="AK2119" s="149"/>
      <c r="AL2119" s="157"/>
      <c r="AM2119" s="157"/>
      <c r="AN2119" s="157"/>
      <c r="AO2119" s="157"/>
      <c r="AP2119" s="157"/>
      <c r="AQ2119" s="157"/>
      <c r="AR2119" s="157"/>
    </row>
    <row r="2120" spans="1:44" ht="16.8">
      <c r="A2120" s="145">
        <v>32</v>
      </c>
      <c r="B2120" s="145">
        <v>820</v>
      </c>
      <c r="C2120" s="145" t="s">
        <v>4059</v>
      </c>
      <c r="D2120" s="146" t="s">
        <v>4060</v>
      </c>
      <c r="E2120" s="147" t="s">
        <v>178</v>
      </c>
      <c r="F2120" s="148"/>
      <c r="G2120" s="148"/>
      <c r="H2120" s="149"/>
      <c r="I2120" s="149"/>
      <c r="J2120" s="149"/>
      <c r="K2120" s="149"/>
      <c r="L2120" s="149"/>
      <c r="M2120" s="149">
        <f t="shared" si="725"/>
        <v>0</v>
      </c>
      <c r="N2120" s="149"/>
      <c r="O2120" s="149">
        <f t="shared" si="744"/>
        <v>0</v>
      </c>
      <c r="P2120" s="149"/>
      <c r="Q2120" s="149"/>
      <c r="R2120" s="149">
        <f t="shared" si="745"/>
        <v>0</v>
      </c>
      <c r="S2120" s="150" t="e">
        <f t="shared" si="746"/>
        <v>#DIV/0!</v>
      </c>
      <c r="T2120" s="151" t="e">
        <f t="shared" si="747"/>
        <v>#DIV/0!</v>
      </c>
      <c r="U2120" s="150" t="e">
        <f t="shared" si="748"/>
        <v>#NUM!</v>
      </c>
      <c r="V2120" s="150" t="e">
        <f t="shared" si="749"/>
        <v>#DIV/0!</v>
      </c>
      <c r="W2120" s="152"/>
      <c r="X2120" s="152"/>
      <c r="Y2120" s="152"/>
      <c r="Z2120" s="153">
        <f t="shared" si="771"/>
        <v>0</v>
      </c>
      <c r="AA2120" s="148">
        <f t="shared" si="705"/>
        <v>0</v>
      </c>
      <c r="AB2120" s="149"/>
      <c r="AC2120" s="149"/>
      <c r="AD2120" s="150" t="e">
        <f t="shared" si="772"/>
        <v>#DIV/0!</v>
      </c>
      <c r="AE2120" s="154" t="e">
        <f t="shared" si="773"/>
        <v>#DIV/0!</v>
      </c>
      <c r="AF2120" s="150" t="e">
        <f t="shared" si="774"/>
        <v>#DIV/0!</v>
      </c>
      <c r="AG2120" s="150" t="e">
        <f t="shared" si="775"/>
        <v>#DIV/0!</v>
      </c>
      <c r="AH2120" s="155" t="e">
        <f t="shared" si="776"/>
        <v>#DIV/0!</v>
      </c>
      <c r="AI2120" s="156" t="e">
        <f t="shared" si="756"/>
        <v>#DIV/0!</v>
      </c>
      <c r="AJ2120" s="149"/>
      <c r="AK2120" s="149"/>
      <c r="AL2120" s="157"/>
      <c r="AM2120" s="157"/>
      <c r="AN2120" s="157"/>
      <c r="AO2120" s="157"/>
      <c r="AP2120" s="157"/>
      <c r="AQ2120" s="157"/>
      <c r="AR2120" s="157"/>
    </row>
    <row r="2121" spans="1:44" ht="16.8">
      <c r="A2121" s="145">
        <v>33</v>
      </c>
      <c r="B2121" s="145">
        <v>821</v>
      </c>
      <c r="C2121" s="145" t="s">
        <v>4061</v>
      </c>
      <c r="D2121" s="146" t="s">
        <v>4062</v>
      </c>
      <c r="E2121" s="147" t="s">
        <v>178</v>
      </c>
      <c r="F2121" s="148"/>
      <c r="G2121" s="148"/>
      <c r="H2121" s="149"/>
      <c r="I2121" s="149"/>
      <c r="J2121" s="149"/>
      <c r="K2121" s="149"/>
      <c r="L2121" s="149"/>
      <c r="M2121" s="149">
        <f t="shared" si="725"/>
        <v>0</v>
      </c>
      <c r="N2121" s="149"/>
      <c r="O2121" s="149">
        <f t="shared" si="744"/>
        <v>0</v>
      </c>
      <c r="P2121" s="149"/>
      <c r="Q2121" s="149"/>
      <c r="R2121" s="149">
        <f t="shared" si="745"/>
        <v>0</v>
      </c>
      <c r="S2121" s="150" t="e">
        <f t="shared" si="746"/>
        <v>#DIV/0!</v>
      </c>
      <c r="T2121" s="151" t="e">
        <f t="shared" si="747"/>
        <v>#DIV/0!</v>
      </c>
      <c r="U2121" s="150" t="e">
        <f t="shared" si="748"/>
        <v>#NUM!</v>
      </c>
      <c r="V2121" s="150" t="e">
        <f t="shared" si="749"/>
        <v>#DIV/0!</v>
      </c>
      <c r="W2121" s="152"/>
      <c r="X2121" s="152"/>
      <c r="Y2121" s="152"/>
      <c r="Z2121" s="153">
        <f t="shared" si="771"/>
        <v>0</v>
      </c>
      <c r="AA2121" s="148">
        <f t="shared" si="705"/>
        <v>0</v>
      </c>
      <c r="AB2121" s="149"/>
      <c r="AC2121" s="149"/>
      <c r="AD2121" s="150" t="e">
        <f t="shared" si="772"/>
        <v>#DIV/0!</v>
      </c>
      <c r="AE2121" s="154" t="e">
        <f t="shared" si="773"/>
        <v>#DIV/0!</v>
      </c>
      <c r="AF2121" s="150" t="e">
        <f t="shared" si="774"/>
        <v>#DIV/0!</v>
      </c>
      <c r="AG2121" s="150" t="e">
        <f t="shared" si="775"/>
        <v>#DIV/0!</v>
      </c>
      <c r="AH2121" s="155" t="e">
        <f t="shared" si="776"/>
        <v>#DIV/0!</v>
      </c>
      <c r="AI2121" s="156" t="e">
        <f t="shared" si="756"/>
        <v>#DIV/0!</v>
      </c>
      <c r="AJ2121" s="149"/>
      <c r="AK2121" s="149"/>
      <c r="AL2121" s="157"/>
      <c r="AM2121" s="157"/>
      <c r="AN2121" s="157"/>
      <c r="AO2121" s="157"/>
      <c r="AP2121" s="157"/>
      <c r="AQ2121" s="157"/>
      <c r="AR2121" s="157"/>
    </row>
    <row r="2122" spans="1:44" ht="16.8">
      <c r="A2122" s="145">
        <v>34</v>
      </c>
      <c r="B2122" s="145">
        <v>822</v>
      </c>
      <c r="C2122" s="145" t="s">
        <v>4063</v>
      </c>
      <c r="D2122" s="146" t="s">
        <v>4064</v>
      </c>
      <c r="E2122" s="147" t="s">
        <v>178</v>
      </c>
      <c r="F2122" s="148"/>
      <c r="G2122" s="148"/>
      <c r="H2122" s="149"/>
      <c r="I2122" s="149"/>
      <c r="J2122" s="149"/>
      <c r="K2122" s="149"/>
      <c r="L2122" s="149"/>
      <c r="M2122" s="149">
        <f t="shared" si="725"/>
        <v>0</v>
      </c>
      <c r="N2122" s="149"/>
      <c r="O2122" s="149">
        <f t="shared" si="744"/>
        <v>0</v>
      </c>
      <c r="P2122" s="149"/>
      <c r="Q2122" s="149"/>
      <c r="R2122" s="149">
        <f t="shared" si="745"/>
        <v>0</v>
      </c>
      <c r="S2122" s="150" t="e">
        <f t="shared" si="746"/>
        <v>#DIV/0!</v>
      </c>
      <c r="T2122" s="151" t="e">
        <f t="shared" si="747"/>
        <v>#DIV/0!</v>
      </c>
      <c r="U2122" s="150" t="e">
        <f t="shared" si="748"/>
        <v>#NUM!</v>
      </c>
      <c r="V2122" s="150" t="e">
        <f t="shared" si="749"/>
        <v>#DIV/0!</v>
      </c>
      <c r="W2122" s="152"/>
      <c r="X2122" s="152"/>
      <c r="Y2122" s="152"/>
      <c r="Z2122" s="153">
        <f t="shared" si="771"/>
        <v>0</v>
      </c>
      <c r="AA2122" s="148">
        <f t="shared" si="705"/>
        <v>0</v>
      </c>
      <c r="AB2122" s="149"/>
      <c r="AC2122" s="149"/>
      <c r="AD2122" s="150" t="e">
        <f t="shared" si="772"/>
        <v>#DIV/0!</v>
      </c>
      <c r="AE2122" s="154" t="e">
        <f t="shared" si="773"/>
        <v>#DIV/0!</v>
      </c>
      <c r="AF2122" s="150" t="e">
        <f t="shared" si="774"/>
        <v>#DIV/0!</v>
      </c>
      <c r="AG2122" s="150" t="e">
        <f t="shared" si="775"/>
        <v>#DIV/0!</v>
      </c>
      <c r="AH2122" s="155" t="e">
        <f t="shared" si="776"/>
        <v>#DIV/0!</v>
      </c>
      <c r="AI2122" s="156" t="e">
        <f t="shared" si="756"/>
        <v>#DIV/0!</v>
      </c>
      <c r="AJ2122" s="149"/>
      <c r="AK2122" s="149"/>
      <c r="AL2122" s="157"/>
      <c r="AM2122" s="157"/>
      <c r="AN2122" s="157"/>
      <c r="AO2122" s="157"/>
      <c r="AP2122" s="157"/>
      <c r="AQ2122" s="157"/>
      <c r="AR2122" s="157"/>
    </row>
    <row r="2123" spans="1:44" ht="16.8">
      <c r="A2123" s="145">
        <v>35</v>
      </c>
      <c r="B2123" s="145">
        <v>823</v>
      </c>
      <c r="C2123" s="145" t="s">
        <v>4065</v>
      </c>
      <c r="D2123" s="146" t="s">
        <v>4066</v>
      </c>
      <c r="E2123" s="147" t="s">
        <v>178</v>
      </c>
      <c r="F2123" s="148"/>
      <c r="G2123" s="148"/>
      <c r="H2123" s="149"/>
      <c r="I2123" s="149"/>
      <c r="J2123" s="149"/>
      <c r="K2123" s="149"/>
      <c r="L2123" s="149"/>
      <c r="M2123" s="149">
        <f t="shared" si="725"/>
        <v>0</v>
      </c>
      <c r="N2123" s="149"/>
      <c r="O2123" s="149">
        <f t="shared" si="744"/>
        <v>0</v>
      </c>
      <c r="P2123" s="149"/>
      <c r="Q2123" s="149"/>
      <c r="R2123" s="149">
        <f t="shared" si="745"/>
        <v>0</v>
      </c>
      <c r="S2123" s="150" t="e">
        <f t="shared" si="746"/>
        <v>#DIV/0!</v>
      </c>
      <c r="T2123" s="151" t="e">
        <f t="shared" si="747"/>
        <v>#DIV/0!</v>
      </c>
      <c r="U2123" s="150" t="e">
        <f t="shared" si="748"/>
        <v>#NUM!</v>
      </c>
      <c r="V2123" s="150" t="e">
        <f t="shared" si="749"/>
        <v>#DIV/0!</v>
      </c>
      <c r="W2123" s="152"/>
      <c r="X2123" s="152"/>
      <c r="Y2123" s="152"/>
      <c r="Z2123" s="153">
        <f t="shared" si="771"/>
        <v>0</v>
      </c>
      <c r="AA2123" s="148">
        <f t="shared" si="705"/>
        <v>0</v>
      </c>
      <c r="AB2123" s="149"/>
      <c r="AC2123" s="149"/>
      <c r="AD2123" s="150" t="e">
        <f t="shared" si="772"/>
        <v>#DIV/0!</v>
      </c>
      <c r="AE2123" s="154" t="e">
        <f t="shared" si="773"/>
        <v>#DIV/0!</v>
      </c>
      <c r="AF2123" s="150" t="e">
        <f t="shared" si="774"/>
        <v>#DIV/0!</v>
      </c>
      <c r="AG2123" s="150" t="e">
        <f t="shared" si="775"/>
        <v>#DIV/0!</v>
      </c>
      <c r="AH2123" s="155" t="e">
        <f t="shared" si="776"/>
        <v>#DIV/0!</v>
      </c>
      <c r="AI2123" s="156" t="e">
        <f t="shared" si="756"/>
        <v>#DIV/0!</v>
      </c>
      <c r="AJ2123" s="149"/>
      <c r="AK2123" s="149"/>
      <c r="AL2123" s="157"/>
      <c r="AM2123" s="157"/>
      <c r="AN2123" s="157"/>
      <c r="AO2123" s="157"/>
      <c r="AP2123" s="157"/>
      <c r="AQ2123" s="157"/>
      <c r="AR2123" s="157"/>
    </row>
    <row r="2124" spans="1:44" ht="16.8">
      <c r="A2124" s="145">
        <v>36</v>
      </c>
      <c r="B2124" s="145">
        <v>824</v>
      </c>
      <c r="C2124" s="145" t="s">
        <v>4067</v>
      </c>
      <c r="D2124" s="146" t="s">
        <v>4068</v>
      </c>
      <c r="E2124" s="147" t="s">
        <v>178</v>
      </c>
      <c r="F2124" s="148"/>
      <c r="G2124" s="148"/>
      <c r="H2124" s="149"/>
      <c r="I2124" s="149"/>
      <c r="J2124" s="149"/>
      <c r="K2124" s="149"/>
      <c r="L2124" s="149"/>
      <c r="M2124" s="149">
        <f t="shared" si="725"/>
        <v>0</v>
      </c>
      <c r="N2124" s="149"/>
      <c r="O2124" s="149">
        <f t="shared" si="744"/>
        <v>0</v>
      </c>
      <c r="P2124" s="149"/>
      <c r="Q2124" s="149"/>
      <c r="R2124" s="149">
        <f t="shared" si="745"/>
        <v>0</v>
      </c>
      <c r="S2124" s="150" t="e">
        <f t="shared" si="746"/>
        <v>#DIV/0!</v>
      </c>
      <c r="T2124" s="151" t="e">
        <f t="shared" si="747"/>
        <v>#DIV/0!</v>
      </c>
      <c r="U2124" s="150" t="e">
        <f t="shared" si="748"/>
        <v>#NUM!</v>
      </c>
      <c r="V2124" s="150" t="e">
        <f t="shared" si="749"/>
        <v>#DIV/0!</v>
      </c>
      <c r="W2124" s="152"/>
      <c r="X2124" s="152"/>
      <c r="Y2124" s="152"/>
      <c r="Z2124" s="153">
        <f t="shared" si="771"/>
        <v>0</v>
      </c>
      <c r="AA2124" s="148">
        <f t="shared" si="705"/>
        <v>0</v>
      </c>
      <c r="AB2124" s="149"/>
      <c r="AC2124" s="149"/>
      <c r="AD2124" s="150" t="e">
        <f t="shared" si="772"/>
        <v>#DIV/0!</v>
      </c>
      <c r="AE2124" s="154" t="e">
        <f t="shared" si="773"/>
        <v>#DIV/0!</v>
      </c>
      <c r="AF2124" s="150" t="e">
        <f t="shared" si="774"/>
        <v>#DIV/0!</v>
      </c>
      <c r="AG2124" s="150" t="e">
        <f t="shared" si="775"/>
        <v>#DIV/0!</v>
      </c>
      <c r="AH2124" s="155" t="e">
        <f t="shared" si="776"/>
        <v>#DIV/0!</v>
      </c>
      <c r="AI2124" s="156" t="e">
        <f t="shared" si="756"/>
        <v>#DIV/0!</v>
      </c>
      <c r="AJ2124" s="149"/>
      <c r="AK2124" s="149"/>
      <c r="AL2124" s="157"/>
      <c r="AM2124" s="157"/>
      <c r="AN2124" s="157"/>
      <c r="AO2124" s="157"/>
      <c r="AP2124" s="157"/>
      <c r="AQ2124" s="157"/>
      <c r="AR2124" s="157"/>
    </row>
    <row r="2125" spans="1:44" ht="16.8">
      <c r="A2125" s="145">
        <v>37</v>
      </c>
      <c r="B2125" s="145">
        <v>825</v>
      </c>
      <c r="C2125" s="145" t="s">
        <v>4069</v>
      </c>
      <c r="D2125" s="146" t="s">
        <v>4070</v>
      </c>
      <c r="E2125" s="147" t="s">
        <v>1371</v>
      </c>
      <c r="F2125" s="148"/>
      <c r="G2125" s="148"/>
      <c r="H2125" s="149"/>
      <c r="I2125" s="149"/>
      <c r="J2125" s="149"/>
      <c r="K2125" s="149"/>
      <c r="L2125" s="149"/>
      <c r="M2125" s="149">
        <f t="shared" si="725"/>
        <v>0</v>
      </c>
      <c r="N2125" s="149"/>
      <c r="O2125" s="149">
        <f t="shared" si="744"/>
        <v>0</v>
      </c>
      <c r="P2125" s="149"/>
      <c r="Q2125" s="149"/>
      <c r="R2125" s="149">
        <f t="shared" si="745"/>
        <v>0</v>
      </c>
      <c r="S2125" s="150" t="e">
        <f t="shared" si="746"/>
        <v>#DIV/0!</v>
      </c>
      <c r="T2125" s="151" t="e">
        <f t="shared" si="747"/>
        <v>#DIV/0!</v>
      </c>
      <c r="U2125" s="150" t="e">
        <f t="shared" si="748"/>
        <v>#NUM!</v>
      </c>
      <c r="V2125" s="150" t="e">
        <f t="shared" si="749"/>
        <v>#DIV/0!</v>
      </c>
      <c r="W2125" s="152"/>
      <c r="X2125" s="152"/>
      <c r="Y2125" s="152"/>
      <c r="Z2125" s="153">
        <f t="shared" si="771"/>
        <v>0</v>
      </c>
      <c r="AA2125" s="148">
        <f t="shared" si="705"/>
        <v>0</v>
      </c>
      <c r="AB2125" s="149"/>
      <c r="AC2125" s="149"/>
      <c r="AD2125" s="150" t="e">
        <f t="shared" si="772"/>
        <v>#DIV/0!</v>
      </c>
      <c r="AE2125" s="154" t="e">
        <f t="shared" si="773"/>
        <v>#DIV/0!</v>
      </c>
      <c r="AF2125" s="150" t="e">
        <f t="shared" si="774"/>
        <v>#DIV/0!</v>
      </c>
      <c r="AG2125" s="150" t="e">
        <f t="shared" si="775"/>
        <v>#DIV/0!</v>
      </c>
      <c r="AH2125" s="155" t="e">
        <f t="shared" si="776"/>
        <v>#DIV/0!</v>
      </c>
      <c r="AI2125" s="156" t="e">
        <f t="shared" si="756"/>
        <v>#DIV/0!</v>
      </c>
      <c r="AJ2125" s="149"/>
      <c r="AK2125" s="149"/>
      <c r="AL2125" s="157"/>
      <c r="AM2125" s="157"/>
      <c r="AN2125" s="157"/>
      <c r="AO2125" s="157"/>
      <c r="AP2125" s="157"/>
      <c r="AQ2125" s="157"/>
      <c r="AR2125" s="157"/>
    </row>
    <row r="2126" spans="1:44" ht="16.8">
      <c r="A2126" s="145">
        <v>38</v>
      </c>
      <c r="B2126" s="145">
        <v>826</v>
      </c>
      <c r="C2126" s="145" t="s">
        <v>4071</v>
      </c>
      <c r="D2126" s="146" t="s">
        <v>4072</v>
      </c>
      <c r="E2126" s="147" t="s">
        <v>178</v>
      </c>
      <c r="F2126" s="148"/>
      <c r="G2126" s="148"/>
      <c r="H2126" s="149"/>
      <c r="I2126" s="149"/>
      <c r="J2126" s="149"/>
      <c r="K2126" s="149"/>
      <c r="L2126" s="149"/>
      <c r="M2126" s="149">
        <f t="shared" si="725"/>
        <v>0</v>
      </c>
      <c r="N2126" s="149"/>
      <c r="O2126" s="149">
        <f t="shared" si="744"/>
        <v>0</v>
      </c>
      <c r="P2126" s="149"/>
      <c r="Q2126" s="149"/>
      <c r="R2126" s="149">
        <f t="shared" si="745"/>
        <v>0</v>
      </c>
      <c r="S2126" s="150" t="e">
        <f t="shared" si="746"/>
        <v>#DIV/0!</v>
      </c>
      <c r="T2126" s="151" t="e">
        <f t="shared" si="747"/>
        <v>#DIV/0!</v>
      </c>
      <c r="U2126" s="150" t="e">
        <f t="shared" si="748"/>
        <v>#NUM!</v>
      </c>
      <c r="V2126" s="150" t="e">
        <f t="shared" si="749"/>
        <v>#DIV/0!</v>
      </c>
      <c r="W2126" s="152"/>
      <c r="X2126" s="152"/>
      <c r="Y2126" s="152"/>
      <c r="Z2126" s="153">
        <f t="shared" si="771"/>
        <v>0</v>
      </c>
      <c r="AA2126" s="148">
        <f t="shared" si="705"/>
        <v>0</v>
      </c>
      <c r="AB2126" s="149"/>
      <c r="AC2126" s="149"/>
      <c r="AD2126" s="150" t="e">
        <f t="shared" si="772"/>
        <v>#DIV/0!</v>
      </c>
      <c r="AE2126" s="154" t="e">
        <f t="shared" si="773"/>
        <v>#DIV/0!</v>
      </c>
      <c r="AF2126" s="150" t="e">
        <f t="shared" si="774"/>
        <v>#DIV/0!</v>
      </c>
      <c r="AG2126" s="150" t="e">
        <f t="shared" si="775"/>
        <v>#DIV/0!</v>
      </c>
      <c r="AH2126" s="155" t="e">
        <f t="shared" si="776"/>
        <v>#DIV/0!</v>
      </c>
      <c r="AI2126" s="156" t="e">
        <f t="shared" si="756"/>
        <v>#DIV/0!</v>
      </c>
      <c r="AJ2126" s="149"/>
      <c r="AK2126" s="149"/>
      <c r="AL2126" s="157"/>
      <c r="AM2126" s="157"/>
      <c r="AN2126" s="157"/>
      <c r="AO2126" s="157"/>
      <c r="AP2126" s="157"/>
      <c r="AQ2126" s="157"/>
      <c r="AR2126" s="157"/>
    </row>
    <row r="2127" spans="1:44" ht="16.8">
      <c r="A2127" s="145">
        <v>39</v>
      </c>
      <c r="B2127" s="145">
        <v>827</v>
      </c>
      <c r="C2127" s="145" t="s">
        <v>4073</v>
      </c>
      <c r="D2127" s="146" t="s">
        <v>4074</v>
      </c>
      <c r="E2127" s="147" t="s">
        <v>178</v>
      </c>
      <c r="F2127" s="148"/>
      <c r="G2127" s="148"/>
      <c r="H2127" s="149"/>
      <c r="I2127" s="149"/>
      <c r="J2127" s="149"/>
      <c r="K2127" s="149"/>
      <c r="L2127" s="149"/>
      <c r="M2127" s="149">
        <f t="shared" si="725"/>
        <v>0</v>
      </c>
      <c r="N2127" s="149"/>
      <c r="O2127" s="149">
        <f t="shared" si="744"/>
        <v>0</v>
      </c>
      <c r="P2127" s="149"/>
      <c r="Q2127" s="149"/>
      <c r="R2127" s="149">
        <f t="shared" si="745"/>
        <v>0</v>
      </c>
      <c r="S2127" s="150" t="e">
        <f t="shared" si="746"/>
        <v>#DIV/0!</v>
      </c>
      <c r="T2127" s="151" t="e">
        <f t="shared" si="747"/>
        <v>#DIV/0!</v>
      </c>
      <c r="U2127" s="150" t="e">
        <f t="shared" si="748"/>
        <v>#NUM!</v>
      </c>
      <c r="V2127" s="150" t="e">
        <f t="shared" si="749"/>
        <v>#DIV/0!</v>
      </c>
      <c r="W2127" s="152"/>
      <c r="X2127" s="152"/>
      <c r="Y2127" s="152"/>
      <c r="Z2127" s="153">
        <f t="shared" si="771"/>
        <v>0</v>
      </c>
      <c r="AA2127" s="148">
        <f t="shared" si="705"/>
        <v>0</v>
      </c>
      <c r="AB2127" s="149"/>
      <c r="AC2127" s="149"/>
      <c r="AD2127" s="150" t="e">
        <f t="shared" si="772"/>
        <v>#DIV/0!</v>
      </c>
      <c r="AE2127" s="154" t="e">
        <f t="shared" si="773"/>
        <v>#DIV/0!</v>
      </c>
      <c r="AF2127" s="150" t="e">
        <f t="shared" si="774"/>
        <v>#DIV/0!</v>
      </c>
      <c r="AG2127" s="150" t="e">
        <f t="shared" si="775"/>
        <v>#DIV/0!</v>
      </c>
      <c r="AH2127" s="155" t="e">
        <f t="shared" si="776"/>
        <v>#DIV/0!</v>
      </c>
      <c r="AI2127" s="156" t="e">
        <f t="shared" si="756"/>
        <v>#DIV/0!</v>
      </c>
      <c r="AJ2127" s="149"/>
      <c r="AK2127" s="149"/>
      <c r="AL2127" s="157"/>
      <c r="AM2127" s="157"/>
      <c r="AN2127" s="157"/>
      <c r="AO2127" s="157"/>
      <c r="AP2127" s="157"/>
      <c r="AQ2127" s="157"/>
      <c r="AR2127" s="157"/>
    </row>
    <row r="2128" spans="1:44" ht="16.8">
      <c r="A2128" s="145">
        <v>40</v>
      </c>
      <c r="B2128" s="145">
        <v>828</v>
      </c>
      <c r="C2128" s="145" t="s">
        <v>4075</v>
      </c>
      <c r="D2128" s="146" t="s">
        <v>4076</v>
      </c>
      <c r="E2128" s="147" t="s">
        <v>1371</v>
      </c>
      <c r="F2128" s="148"/>
      <c r="G2128" s="148"/>
      <c r="H2128" s="149"/>
      <c r="I2128" s="149"/>
      <c r="J2128" s="149"/>
      <c r="K2128" s="149"/>
      <c r="L2128" s="149"/>
      <c r="M2128" s="149">
        <f t="shared" si="725"/>
        <v>0</v>
      </c>
      <c r="N2128" s="149"/>
      <c r="O2128" s="149">
        <f t="shared" si="744"/>
        <v>0</v>
      </c>
      <c r="P2128" s="149"/>
      <c r="Q2128" s="149"/>
      <c r="R2128" s="149">
        <f t="shared" si="745"/>
        <v>0</v>
      </c>
      <c r="S2128" s="150" t="e">
        <f t="shared" si="746"/>
        <v>#DIV/0!</v>
      </c>
      <c r="T2128" s="151" t="e">
        <f t="shared" si="747"/>
        <v>#DIV/0!</v>
      </c>
      <c r="U2128" s="150" t="e">
        <f t="shared" si="748"/>
        <v>#NUM!</v>
      </c>
      <c r="V2128" s="150" t="e">
        <f t="shared" si="749"/>
        <v>#DIV/0!</v>
      </c>
      <c r="W2128" s="152"/>
      <c r="X2128" s="152"/>
      <c r="Y2128" s="152"/>
      <c r="Z2128" s="153">
        <f t="shared" si="771"/>
        <v>0</v>
      </c>
      <c r="AA2128" s="148">
        <f t="shared" si="705"/>
        <v>0</v>
      </c>
      <c r="AB2128" s="149"/>
      <c r="AC2128" s="149"/>
      <c r="AD2128" s="150" t="e">
        <f t="shared" si="772"/>
        <v>#DIV/0!</v>
      </c>
      <c r="AE2128" s="154" t="e">
        <f t="shared" si="773"/>
        <v>#DIV/0!</v>
      </c>
      <c r="AF2128" s="150" t="e">
        <f t="shared" si="774"/>
        <v>#DIV/0!</v>
      </c>
      <c r="AG2128" s="150" t="e">
        <f t="shared" si="775"/>
        <v>#DIV/0!</v>
      </c>
      <c r="AH2128" s="155" t="e">
        <f t="shared" si="776"/>
        <v>#DIV/0!</v>
      </c>
      <c r="AI2128" s="156" t="e">
        <f t="shared" si="756"/>
        <v>#DIV/0!</v>
      </c>
      <c r="AJ2128" s="149"/>
      <c r="AK2128" s="149"/>
      <c r="AL2128" s="157"/>
      <c r="AM2128" s="157"/>
      <c r="AN2128" s="157"/>
      <c r="AO2128" s="157"/>
      <c r="AP2128" s="157"/>
      <c r="AQ2128" s="157"/>
      <c r="AR2128" s="157"/>
    </row>
    <row r="2129" spans="1:44" ht="16.8">
      <c r="A2129" s="145">
        <v>41</v>
      </c>
      <c r="B2129" s="145">
        <v>829</v>
      </c>
      <c r="C2129" s="145" t="s">
        <v>4077</v>
      </c>
      <c r="D2129" s="146" t="s">
        <v>4078</v>
      </c>
      <c r="E2129" s="147" t="s">
        <v>178</v>
      </c>
      <c r="F2129" s="148"/>
      <c r="G2129" s="148"/>
      <c r="H2129" s="149"/>
      <c r="I2129" s="149"/>
      <c r="J2129" s="149"/>
      <c r="K2129" s="149"/>
      <c r="L2129" s="149"/>
      <c r="M2129" s="149">
        <f t="shared" si="725"/>
        <v>0</v>
      </c>
      <c r="N2129" s="149"/>
      <c r="O2129" s="149">
        <f t="shared" si="744"/>
        <v>0</v>
      </c>
      <c r="P2129" s="149"/>
      <c r="Q2129" s="149"/>
      <c r="R2129" s="149">
        <f t="shared" si="745"/>
        <v>0</v>
      </c>
      <c r="S2129" s="150" t="e">
        <f t="shared" si="746"/>
        <v>#DIV/0!</v>
      </c>
      <c r="T2129" s="151" t="e">
        <f t="shared" si="747"/>
        <v>#DIV/0!</v>
      </c>
      <c r="U2129" s="150" t="e">
        <f t="shared" si="748"/>
        <v>#NUM!</v>
      </c>
      <c r="V2129" s="150" t="e">
        <f t="shared" si="749"/>
        <v>#DIV/0!</v>
      </c>
      <c r="W2129" s="152"/>
      <c r="X2129" s="152"/>
      <c r="Y2129" s="152"/>
      <c r="Z2129" s="153">
        <f t="shared" si="771"/>
        <v>0</v>
      </c>
      <c r="AA2129" s="148">
        <f t="shared" si="705"/>
        <v>0</v>
      </c>
      <c r="AB2129" s="149"/>
      <c r="AC2129" s="149"/>
      <c r="AD2129" s="150" t="e">
        <f t="shared" si="772"/>
        <v>#DIV/0!</v>
      </c>
      <c r="AE2129" s="154" t="e">
        <f t="shared" si="773"/>
        <v>#DIV/0!</v>
      </c>
      <c r="AF2129" s="150" t="e">
        <f t="shared" si="774"/>
        <v>#DIV/0!</v>
      </c>
      <c r="AG2129" s="150" t="e">
        <f t="shared" si="775"/>
        <v>#DIV/0!</v>
      </c>
      <c r="AH2129" s="155" t="e">
        <f t="shared" si="776"/>
        <v>#DIV/0!</v>
      </c>
      <c r="AI2129" s="156" t="e">
        <f t="shared" si="756"/>
        <v>#DIV/0!</v>
      </c>
      <c r="AJ2129" s="149"/>
      <c r="AK2129" s="149"/>
      <c r="AL2129" s="157"/>
      <c r="AM2129" s="157"/>
      <c r="AN2129" s="157"/>
      <c r="AO2129" s="157"/>
      <c r="AP2129" s="157"/>
      <c r="AQ2129" s="157"/>
      <c r="AR2129" s="157"/>
    </row>
    <row r="2130" spans="1:44" ht="16.8">
      <c r="A2130" s="145">
        <v>42</v>
      </c>
      <c r="B2130" s="145">
        <v>830</v>
      </c>
      <c r="C2130" s="145" t="s">
        <v>4079</v>
      </c>
      <c r="D2130" s="146" t="s">
        <v>4080</v>
      </c>
      <c r="E2130" s="147" t="s">
        <v>178</v>
      </c>
      <c r="F2130" s="148"/>
      <c r="G2130" s="148"/>
      <c r="H2130" s="149"/>
      <c r="I2130" s="149"/>
      <c r="J2130" s="149"/>
      <c r="K2130" s="149"/>
      <c r="L2130" s="149"/>
      <c r="M2130" s="149">
        <f t="shared" si="725"/>
        <v>0</v>
      </c>
      <c r="N2130" s="149"/>
      <c r="O2130" s="149">
        <f t="shared" si="744"/>
        <v>0</v>
      </c>
      <c r="P2130" s="149"/>
      <c r="Q2130" s="149"/>
      <c r="R2130" s="149">
        <f t="shared" si="745"/>
        <v>0</v>
      </c>
      <c r="S2130" s="150" t="e">
        <f t="shared" si="746"/>
        <v>#DIV/0!</v>
      </c>
      <c r="T2130" s="151" t="e">
        <f t="shared" si="747"/>
        <v>#DIV/0!</v>
      </c>
      <c r="U2130" s="150" t="e">
        <f t="shared" si="748"/>
        <v>#NUM!</v>
      </c>
      <c r="V2130" s="150" t="e">
        <f t="shared" si="749"/>
        <v>#DIV/0!</v>
      </c>
      <c r="W2130" s="152"/>
      <c r="X2130" s="152"/>
      <c r="Y2130" s="152"/>
      <c r="Z2130" s="153">
        <f t="shared" si="771"/>
        <v>0</v>
      </c>
      <c r="AA2130" s="148">
        <f t="shared" si="705"/>
        <v>0</v>
      </c>
      <c r="AB2130" s="149"/>
      <c r="AC2130" s="149"/>
      <c r="AD2130" s="150" t="e">
        <f t="shared" si="772"/>
        <v>#DIV/0!</v>
      </c>
      <c r="AE2130" s="154" t="e">
        <f t="shared" si="773"/>
        <v>#DIV/0!</v>
      </c>
      <c r="AF2130" s="150" t="e">
        <f t="shared" si="774"/>
        <v>#DIV/0!</v>
      </c>
      <c r="AG2130" s="150" t="e">
        <f t="shared" si="775"/>
        <v>#DIV/0!</v>
      </c>
      <c r="AH2130" s="155" t="e">
        <f t="shared" si="776"/>
        <v>#DIV/0!</v>
      </c>
      <c r="AI2130" s="156" t="e">
        <f t="shared" si="756"/>
        <v>#DIV/0!</v>
      </c>
      <c r="AJ2130" s="149"/>
      <c r="AK2130" s="149"/>
      <c r="AL2130" s="157"/>
      <c r="AM2130" s="157"/>
      <c r="AN2130" s="157"/>
      <c r="AO2130" s="157"/>
      <c r="AP2130" s="157"/>
      <c r="AQ2130" s="157"/>
      <c r="AR2130" s="157"/>
    </row>
    <row r="2131" spans="1:44" ht="16.8">
      <c r="A2131" s="18"/>
      <c r="B2131" s="18">
        <v>831</v>
      </c>
      <c r="C2131" s="18" t="s">
        <v>4081</v>
      </c>
      <c r="D2131" s="19" t="s">
        <v>4082</v>
      </c>
      <c r="E2131" s="20" t="s">
        <v>39</v>
      </c>
      <c r="F2131" s="21"/>
      <c r="G2131" s="40">
        <v>2021</v>
      </c>
      <c r="H2131" s="23"/>
      <c r="I2131" s="23"/>
      <c r="J2131" s="23"/>
      <c r="K2131" s="23"/>
      <c r="L2131" s="23"/>
      <c r="M2131" s="23">
        <f t="shared" si="725"/>
        <v>0</v>
      </c>
      <c r="N2131" s="23"/>
      <c r="O2131" s="25">
        <f t="shared" si="744"/>
        <v>0</v>
      </c>
      <c r="P2131" s="23"/>
      <c r="Q2131" s="23"/>
      <c r="R2131" s="25">
        <f t="shared" si="745"/>
        <v>0</v>
      </c>
      <c r="S2131" s="26" t="e">
        <f t="shared" si="746"/>
        <v>#DIV/0!</v>
      </c>
      <c r="T2131" s="27" t="e">
        <f t="shared" si="747"/>
        <v>#DIV/0!</v>
      </c>
      <c r="U2131" s="26" t="e">
        <f t="shared" si="748"/>
        <v>#NUM!</v>
      </c>
      <c r="V2131" s="26" t="e">
        <f t="shared" si="749"/>
        <v>#DIV/0!</v>
      </c>
      <c r="W2131" s="143"/>
      <c r="X2131" s="143"/>
      <c r="Y2131" s="143"/>
      <c r="Z2131" s="30">
        <f t="shared" si="771"/>
        <v>0</v>
      </c>
      <c r="AA2131" s="31">
        <f t="shared" si="705"/>
        <v>2021</v>
      </c>
      <c r="AB2131" s="32">
        <v>1.84E-2</v>
      </c>
      <c r="AC2131" s="32">
        <v>2.58E-2</v>
      </c>
      <c r="AD2131" s="33" t="e">
        <f t="shared" si="772"/>
        <v>#DIV/0!</v>
      </c>
      <c r="AE2131" s="34" t="e">
        <f t="shared" si="773"/>
        <v>#DIV/0!</v>
      </c>
      <c r="AF2131" s="33" t="e">
        <f t="shared" si="774"/>
        <v>#DIV/0!</v>
      </c>
      <c r="AG2131" s="33" t="e">
        <f t="shared" si="775"/>
        <v>#DIV/0!</v>
      </c>
      <c r="AH2131" s="35" t="e">
        <f t="shared" si="776"/>
        <v>#DIV/0!</v>
      </c>
      <c r="AI2131" s="36" t="e">
        <f t="shared" si="756"/>
        <v>#DIV/0!</v>
      </c>
      <c r="AJ2131" s="23"/>
      <c r="AK2131" s="120">
        <v>1225</v>
      </c>
      <c r="AL2131" s="44"/>
      <c r="AM2131" s="44"/>
      <c r="AN2131" s="44"/>
      <c r="AO2131" s="44"/>
      <c r="AP2131" s="44"/>
      <c r="AQ2131" s="44"/>
      <c r="AR2131" s="44"/>
    </row>
    <row r="2132" spans="1:44" ht="16.8">
      <c r="A2132" s="18"/>
      <c r="B2132" s="18"/>
      <c r="C2132" s="18"/>
      <c r="D2132" s="19"/>
      <c r="E2132" s="20" t="s">
        <v>39</v>
      </c>
      <c r="F2132" s="21"/>
      <c r="G2132" s="40">
        <v>2022</v>
      </c>
      <c r="H2132" s="23"/>
      <c r="I2132" s="23"/>
      <c r="J2132" s="23"/>
      <c r="K2132" s="23"/>
      <c r="L2132" s="23"/>
      <c r="M2132" s="23"/>
      <c r="N2132" s="23"/>
      <c r="O2132" s="25">
        <f t="shared" si="744"/>
        <v>0</v>
      </c>
      <c r="P2132" s="23"/>
      <c r="Q2132" s="23"/>
      <c r="R2132" s="25">
        <f t="shared" si="745"/>
        <v>0</v>
      </c>
      <c r="S2132" s="26" t="e">
        <f t="shared" si="746"/>
        <v>#DIV/0!</v>
      </c>
      <c r="T2132" s="27" t="e">
        <f t="shared" si="747"/>
        <v>#DIV/0!</v>
      </c>
      <c r="U2132" s="26" t="e">
        <f t="shared" si="748"/>
        <v>#NUM!</v>
      </c>
      <c r="V2132" s="26" t="e">
        <f t="shared" si="749"/>
        <v>#DIV/0!</v>
      </c>
      <c r="W2132" s="143"/>
      <c r="X2132" s="143"/>
      <c r="Y2132" s="143"/>
      <c r="Z2132" s="30"/>
      <c r="AA2132" s="31">
        <f t="shared" si="705"/>
        <v>2022</v>
      </c>
      <c r="AB2132" s="32">
        <v>3.15E-2</v>
      </c>
      <c r="AC2132" s="32">
        <v>8.0199999999999994E-2</v>
      </c>
      <c r="AD2132" s="33" t="e">
        <f t="shared" si="772"/>
        <v>#DIV/0!</v>
      </c>
      <c r="AE2132" s="34" t="e">
        <f t="shared" si="773"/>
        <v>#DIV/0!</v>
      </c>
      <c r="AF2132" s="33" t="e">
        <f t="shared" si="774"/>
        <v>#DIV/0!</v>
      </c>
      <c r="AG2132" s="33" t="e">
        <f t="shared" si="775"/>
        <v>#DIV/0!</v>
      </c>
      <c r="AH2132" s="35" t="e">
        <f t="shared" si="776"/>
        <v>#DIV/0!</v>
      </c>
      <c r="AI2132" s="36" t="e">
        <f t="shared" si="756"/>
        <v>#DIV/0!</v>
      </c>
      <c r="AJ2132" s="23"/>
      <c r="AK2132" s="120">
        <v>1226</v>
      </c>
      <c r="AL2132" s="44"/>
      <c r="AM2132" s="44"/>
      <c r="AN2132" s="44"/>
      <c r="AO2132" s="44"/>
      <c r="AP2132" s="44"/>
      <c r="AQ2132" s="44"/>
      <c r="AR2132" s="44"/>
    </row>
    <row r="2133" spans="1:44" ht="16.8">
      <c r="A2133" s="18"/>
      <c r="B2133" s="18"/>
      <c r="C2133" s="18"/>
      <c r="D2133" s="19"/>
      <c r="E2133" s="20" t="s">
        <v>39</v>
      </c>
      <c r="F2133" s="21"/>
      <c r="G2133" s="40">
        <v>2023</v>
      </c>
      <c r="H2133" s="23"/>
      <c r="I2133" s="23"/>
      <c r="J2133" s="23"/>
      <c r="K2133" s="23"/>
      <c r="L2133" s="23"/>
      <c r="M2133" s="23"/>
      <c r="N2133" s="23"/>
      <c r="O2133" s="25">
        <f t="shared" si="744"/>
        <v>0</v>
      </c>
      <c r="P2133" s="23"/>
      <c r="Q2133" s="23"/>
      <c r="R2133" s="25">
        <f t="shared" si="745"/>
        <v>0</v>
      </c>
      <c r="S2133" s="26" t="e">
        <f t="shared" si="746"/>
        <v>#DIV/0!</v>
      </c>
      <c r="T2133" s="27" t="e">
        <f t="shared" si="747"/>
        <v>#DIV/0!</v>
      </c>
      <c r="U2133" s="26" t="e">
        <f t="shared" si="748"/>
        <v>#NUM!</v>
      </c>
      <c r="V2133" s="26" t="e">
        <f t="shared" si="749"/>
        <v>#DIV/0!</v>
      </c>
      <c r="W2133" s="143"/>
      <c r="X2133" s="143"/>
      <c r="Y2133" s="143"/>
      <c r="Z2133" s="30"/>
      <c r="AA2133" s="31">
        <f t="shared" si="705"/>
        <v>2023</v>
      </c>
      <c r="AB2133" s="32">
        <v>3.2500000000000001E-2</v>
      </c>
      <c r="AC2133" s="32">
        <v>5.0500000000000003E-2</v>
      </c>
      <c r="AD2133" s="33" t="e">
        <f t="shared" si="772"/>
        <v>#DIV/0!</v>
      </c>
      <c r="AE2133" s="34" t="e">
        <f t="shared" si="773"/>
        <v>#DIV/0!</v>
      </c>
      <c r="AF2133" s="33" t="e">
        <f t="shared" si="774"/>
        <v>#DIV/0!</v>
      </c>
      <c r="AG2133" s="33" t="e">
        <f t="shared" si="775"/>
        <v>#DIV/0!</v>
      </c>
      <c r="AH2133" s="35" t="e">
        <f t="shared" si="776"/>
        <v>#DIV/0!</v>
      </c>
      <c r="AI2133" s="36" t="e">
        <f t="shared" si="756"/>
        <v>#DIV/0!</v>
      </c>
      <c r="AJ2133" s="23"/>
      <c r="AK2133" s="120">
        <v>1227</v>
      </c>
      <c r="AL2133" s="44"/>
      <c r="AM2133" s="44"/>
      <c r="AN2133" s="44"/>
      <c r="AO2133" s="44"/>
      <c r="AP2133" s="44"/>
      <c r="AQ2133" s="44"/>
      <c r="AR2133" s="44"/>
    </row>
    <row r="2134" spans="1:44" ht="16.8">
      <c r="A2134" s="145">
        <v>44</v>
      </c>
      <c r="B2134" s="145">
        <v>832</v>
      </c>
      <c r="C2134" s="145" t="s">
        <v>4083</v>
      </c>
      <c r="D2134" s="146" t="s">
        <v>4084</v>
      </c>
      <c r="E2134" s="147" t="s">
        <v>178</v>
      </c>
      <c r="F2134" s="148"/>
      <c r="G2134" s="148"/>
      <c r="H2134" s="149"/>
      <c r="I2134" s="149"/>
      <c r="J2134" s="149"/>
      <c r="K2134" s="149"/>
      <c r="L2134" s="149"/>
      <c r="M2134" s="149">
        <f t="shared" ref="M2134:M2142" si="777">I2134-J2134</f>
        <v>0</v>
      </c>
      <c r="N2134" s="149"/>
      <c r="O2134" s="149">
        <f t="shared" si="744"/>
        <v>0</v>
      </c>
      <c r="P2134" s="149"/>
      <c r="Q2134" s="149"/>
      <c r="R2134" s="149">
        <f t="shared" si="745"/>
        <v>0</v>
      </c>
      <c r="S2134" s="150" t="e">
        <f t="shared" si="746"/>
        <v>#DIV/0!</v>
      </c>
      <c r="T2134" s="151" t="e">
        <f t="shared" si="747"/>
        <v>#DIV/0!</v>
      </c>
      <c r="U2134" s="150" t="e">
        <f t="shared" si="748"/>
        <v>#NUM!</v>
      </c>
      <c r="V2134" s="150" t="e">
        <f t="shared" si="749"/>
        <v>#DIV/0!</v>
      </c>
      <c r="W2134" s="152"/>
      <c r="X2134" s="152"/>
      <c r="Y2134" s="152"/>
      <c r="Z2134" s="153">
        <f t="shared" ref="Z2134:Z2142" si="778">W2134*Y2134</f>
        <v>0</v>
      </c>
      <c r="AA2134" s="148">
        <f t="shared" si="705"/>
        <v>0</v>
      </c>
      <c r="AB2134" s="149"/>
      <c r="AC2134" s="149"/>
      <c r="AD2134" s="150" t="e">
        <f t="shared" si="772"/>
        <v>#DIV/0!</v>
      </c>
      <c r="AE2134" s="154" t="e">
        <f t="shared" si="773"/>
        <v>#DIV/0!</v>
      </c>
      <c r="AF2134" s="150" t="e">
        <f t="shared" si="774"/>
        <v>#DIV/0!</v>
      </c>
      <c r="AG2134" s="150" t="e">
        <f t="shared" si="775"/>
        <v>#DIV/0!</v>
      </c>
      <c r="AH2134" s="155" t="e">
        <f t="shared" si="776"/>
        <v>#DIV/0!</v>
      </c>
      <c r="AI2134" s="156" t="e">
        <f t="shared" si="756"/>
        <v>#DIV/0!</v>
      </c>
      <c r="AJ2134" s="149"/>
      <c r="AK2134" s="149"/>
      <c r="AL2134" s="157"/>
      <c r="AM2134" s="157"/>
      <c r="AN2134" s="157"/>
      <c r="AO2134" s="157"/>
      <c r="AP2134" s="157"/>
      <c r="AQ2134" s="157"/>
      <c r="AR2134" s="157"/>
    </row>
    <row r="2135" spans="1:44" ht="16.8">
      <c r="A2135" s="145">
        <v>45</v>
      </c>
      <c r="B2135" s="145">
        <v>833</v>
      </c>
      <c r="C2135" s="145" t="s">
        <v>4085</v>
      </c>
      <c r="D2135" s="146" t="s">
        <v>4086</v>
      </c>
      <c r="E2135" s="147" t="s">
        <v>178</v>
      </c>
      <c r="F2135" s="148"/>
      <c r="G2135" s="148"/>
      <c r="H2135" s="149"/>
      <c r="I2135" s="149"/>
      <c r="J2135" s="149"/>
      <c r="K2135" s="149"/>
      <c r="L2135" s="149"/>
      <c r="M2135" s="149">
        <f t="shared" si="777"/>
        <v>0</v>
      </c>
      <c r="N2135" s="149"/>
      <c r="O2135" s="149">
        <f t="shared" si="744"/>
        <v>0</v>
      </c>
      <c r="P2135" s="149"/>
      <c r="Q2135" s="149"/>
      <c r="R2135" s="149">
        <f t="shared" si="745"/>
        <v>0</v>
      </c>
      <c r="S2135" s="150" t="e">
        <f t="shared" si="746"/>
        <v>#DIV/0!</v>
      </c>
      <c r="T2135" s="151" t="e">
        <f t="shared" si="747"/>
        <v>#DIV/0!</v>
      </c>
      <c r="U2135" s="150" t="e">
        <f t="shared" si="748"/>
        <v>#NUM!</v>
      </c>
      <c r="V2135" s="150" t="e">
        <f t="shared" si="749"/>
        <v>#DIV/0!</v>
      </c>
      <c r="W2135" s="152"/>
      <c r="X2135" s="152"/>
      <c r="Y2135" s="152"/>
      <c r="Z2135" s="153">
        <f t="shared" si="778"/>
        <v>0</v>
      </c>
      <c r="AA2135" s="148">
        <f t="shared" si="705"/>
        <v>0</v>
      </c>
      <c r="AB2135" s="149"/>
      <c r="AC2135" s="149"/>
      <c r="AD2135" s="150" t="e">
        <f t="shared" si="772"/>
        <v>#DIV/0!</v>
      </c>
      <c r="AE2135" s="154" t="e">
        <f t="shared" si="773"/>
        <v>#DIV/0!</v>
      </c>
      <c r="AF2135" s="150" t="e">
        <f t="shared" si="774"/>
        <v>#DIV/0!</v>
      </c>
      <c r="AG2135" s="150" t="e">
        <f t="shared" si="775"/>
        <v>#DIV/0!</v>
      </c>
      <c r="AH2135" s="155" t="e">
        <f t="shared" si="776"/>
        <v>#DIV/0!</v>
      </c>
      <c r="AI2135" s="156" t="e">
        <f t="shared" si="756"/>
        <v>#DIV/0!</v>
      </c>
      <c r="AJ2135" s="149"/>
      <c r="AK2135" s="149"/>
      <c r="AL2135" s="157"/>
      <c r="AM2135" s="157"/>
      <c r="AN2135" s="157"/>
      <c r="AO2135" s="157"/>
      <c r="AP2135" s="157"/>
      <c r="AQ2135" s="157"/>
      <c r="AR2135" s="157"/>
    </row>
    <row r="2136" spans="1:44" ht="16.8">
      <c r="A2136" s="145">
        <v>46</v>
      </c>
      <c r="B2136" s="145">
        <v>834</v>
      </c>
      <c r="C2136" s="145" t="s">
        <v>4087</v>
      </c>
      <c r="D2136" s="146" t="s">
        <v>4088</v>
      </c>
      <c r="E2136" s="147" t="s">
        <v>178</v>
      </c>
      <c r="F2136" s="148"/>
      <c r="G2136" s="148"/>
      <c r="H2136" s="149"/>
      <c r="I2136" s="149"/>
      <c r="J2136" s="149"/>
      <c r="K2136" s="149"/>
      <c r="L2136" s="149"/>
      <c r="M2136" s="149">
        <f t="shared" si="777"/>
        <v>0</v>
      </c>
      <c r="N2136" s="149"/>
      <c r="O2136" s="149">
        <f t="shared" si="744"/>
        <v>0</v>
      </c>
      <c r="P2136" s="149"/>
      <c r="Q2136" s="149"/>
      <c r="R2136" s="149">
        <f t="shared" si="745"/>
        <v>0</v>
      </c>
      <c r="S2136" s="150" t="e">
        <f t="shared" si="746"/>
        <v>#DIV/0!</v>
      </c>
      <c r="T2136" s="151" t="e">
        <f t="shared" si="747"/>
        <v>#DIV/0!</v>
      </c>
      <c r="U2136" s="150" t="e">
        <f t="shared" si="748"/>
        <v>#NUM!</v>
      </c>
      <c r="V2136" s="150" t="e">
        <f t="shared" si="749"/>
        <v>#DIV/0!</v>
      </c>
      <c r="W2136" s="152"/>
      <c r="X2136" s="152"/>
      <c r="Y2136" s="152"/>
      <c r="Z2136" s="153">
        <f t="shared" si="778"/>
        <v>0</v>
      </c>
      <c r="AA2136" s="148">
        <f t="shared" si="705"/>
        <v>0</v>
      </c>
      <c r="AB2136" s="149"/>
      <c r="AC2136" s="149"/>
      <c r="AD2136" s="150" t="e">
        <f t="shared" si="772"/>
        <v>#DIV/0!</v>
      </c>
      <c r="AE2136" s="154" t="e">
        <f t="shared" si="773"/>
        <v>#DIV/0!</v>
      </c>
      <c r="AF2136" s="150" t="e">
        <f t="shared" si="774"/>
        <v>#DIV/0!</v>
      </c>
      <c r="AG2136" s="150" t="e">
        <f t="shared" si="775"/>
        <v>#DIV/0!</v>
      </c>
      <c r="AH2136" s="155" t="e">
        <f t="shared" si="776"/>
        <v>#DIV/0!</v>
      </c>
      <c r="AI2136" s="156" t="e">
        <f t="shared" si="756"/>
        <v>#DIV/0!</v>
      </c>
      <c r="AJ2136" s="149"/>
      <c r="AK2136" s="149"/>
      <c r="AL2136" s="157"/>
      <c r="AM2136" s="157"/>
      <c r="AN2136" s="157"/>
      <c r="AO2136" s="157"/>
      <c r="AP2136" s="157"/>
      <c r="AQ2136" s="157"/>
      <c r="AR2136" s="157"/>
    </row>
    <row r="2137" spans="1:44" ht="16.8">
      <c r="A2137" s="145">
        <v>47</v>
      </c>
      <c r="B2137" s="145">
        <v>835</v>
      </c>
      <c r="C2137" s="145" t="s">
        <v>4089</v>
      </c>
      <c r="D2137" s="146" t="s">
        <v>4090</v>
      </c>
      <c r="E2137" s="147" t="s">
        <v>1371</v>
      </c>
      <c r="F2137" s="148"/>
      <c r="G2137" s="148"/>
      <c r="H2137" s="149"/>
      <c r="I2137" s="149"/>
      <c r="J2137" s="149"/>
      <c r="K2137" s="149"/>
      <c r="L2137" s="149"/>
      <c r="M2137" s="149">
        <f t="shared" si="777"/>
        <v>0</v>
      </c>
      <c r="N2137" s="149"/>
      <c r="O2137" s="149">
        <f t="shared" si="744"/>
        <v>0</v>
      </c>
      <c r="P2137" s="149"/>
      <c r="Q2137" s="149"/>
      <c r="R2137" s="149">
        <f t="shared" si="745"/>
        <v>0</v>
      </c>
      <c r="S2137" s="150" t="e">
        <f t="shared" si="746"/>
        <v>#DIV/0!</v>
      </c>
      <c r="T2137" s="151" t="e">
        <f t="shared" si="747"/>
        <v>#DIV/0!</v>
      </c>
      <c r="U2137" s="150" t="e">
        <f t="shared" si="748"/>
        <v>#NUM!</v>
      </c>
      <c r="V2137" s="150" t="e">
        <f t="shared" si="749"/>
        <v>#DIV/0!</v>
      </c>
      <c r="W2137" s="152"/>
      <c r="X2137" s="152"/>
      <c r="Y2137" s="152"/>
      <c r="Z2137" s="153">
        <f t="shared" si="778"/>
        <v>0</v>
      </c>
      <c r="AA2137" s="148">
        <f t="shared" si="705"/>
        <v>0</v>
      </c>
      <c r="AB2137" s="149"/>
      <c r="AC2137" s="149"/>
      <c r="AD2137" s="150" t="e">
        <f t="shared" si="772"/>
        <v>#DIV/0!</v>
      </c>
      <c r="AE2137" s="154" t="e">
        <f t="shared" si="773"/>
        <v>#DIV/0!</v>
      </c>
      <c r="AF2137" s="150" t="e">
        <f t="shared" si="774"/>
        <v>#DIV/0!</v>
      </c>
      <c r="AG2137" s="150" t="e">
        <f t="shared" si="775"/>
        <v>#DIV/0!</v>
      </c>
      <c r="AH2137" s="155" t="e">
        <f t="shared" si="776"/>
        <v>#DIV/0!</v>
      </c>
      <c r="AI2137" s="156" t="e">
        <f t="shared" si="756"/>
        <v>#DIV/0!</v>
      </c>
      <c r="AJ2137" s="149"/>
      <c r="AK2137" s="149"/>
      <c r="AL2137" s="157"/>
      <c r="AM2137" s="157"/>
      <c r="AN2137" s="157"/>
      <c r="AO2137" s="157"/>
      <c r="AP2137" s="157"/>
      <c r="AQ2137" s="157"/>
      <c r="AR2137" s="157"/>
    </row>
    <row r="2138" spans="1:44" ht="16.8">
      <c r="A2138" s="145">
        <v>48</v>
      </c>
      <c r="B2138" s="145">
        <v>836</v>
      </c>
      <c r="C2138" s="145" t="s">
        <v>4091</v>
      </c>
      <c r="D2138" s="146" t="s">
        <v>4092</v>
      </c>
      <c r="E2138" s="147" t="s">
        <v>178</v>
      </c>
      <c r="F2138" s="148"/>
      <c r="G2138" s="148"/>
      <c r="H2138" s="149"/>
      <c r="I2138" s="149"/>
      <c r="J2138" s="149"/>
      <c r="K2138" s="149"/>
      <c r="L2138" s="149"/>
      <c r="M2138" s="149">
        <f t="shared" si="777"/>
        <v>0</v>
      </c>
      <c r="N2138" s="149"/>
      <c r="O2138" s="149">
        <f t="shared" si="744"/>
        <v>0</v>
      </c>
      <c r="P2138" s="149"/>
      <c r="Q2138" s="149"/>
      <c r="R2138" s="149">
        <f t="shared" si="745"/>
        <v>0</v>
      </c>
      <c r="S2138" s="150" t="e">
        <f t="shared" si="746"/>
        <v>#DIV/0!</v>
      </c>
      <c r="T2138" s="151" t="e">
        <f t="shared" si="747"/>
        <v>#DIV/0!</v>
      </c>
      <c r="U2138" s="150" t="e">
        <f t="shared" si="748"/>
        <v>#NUM!</v>
      </c>
      <c r="V2138" s="150" t="e">
        <f t="shared" si="749"/>
        <v>#DIV/0!</v>
      </c>
      <c r="W2138" s="152"/>
      <c r="X2138" s="152"/>
      <c r="Y2138" s="152"/>
      <c r="Z2138" s="153">
        <f t="shared" si="778"/>
        <v>0</v>
      </c>
      <c r="AA2138" s="148">
        <f t="shared" si="705"/>
        <v>0</v>
      </c>
      <c r="AB2138" s="149"/>
      <c r="AC2138" s="149"/>
      <c r="AD2138" s="150" t="e">
        <f t="shared" si="772"/>
        <v>#DIV/0!</v>
      </c>
      <c r="AE2138" s="154" t="e">
        <f t="shared" si="773"/>
        <v>#DIV/0!</v>
      </c>
      <c r="AF2138" s="150" t="e">
        <f t="shared" si="774"/>
        <v>#DIV/0!</v>
      </c>
      <c r="AG2138" s="150" t="e">
        <f t="shared" si="775"/>
        <v>#DIV/0!</v>
      </c>
      <c r="AH2138" s="155" t="e">
        <f t="shared" si="776"/>
        <v>#DIV/0!</v>
      </c>
      <c r="AI2138" s="156" t="e">
        <f t="shared" si="756"/>
        <v>#DIV/0!</v>
      </c>
      <c r="AJ2138" s="149"/>
      <c r="AK2138" s="149"/>
      <c r="AL2138" s="157"/>
      <c r="AM2138" s="157"/>
      <c r="AN2138" s="157"/>
      <c r="AO2138" s="157"/>
      <c r="AP2138" s="157"/>
      <c r="AQ2138" s="157"/>
      <c r="AR2138" s="157"/>
    </row>
    <row r="2139" spans="1:44" ht="16.8">
      <c r="A2139" s="145">
        <v>49</v>
      </c>
      <c r="B2139" s="145">
        <v>837</v>
      </c>
      <c r="C2139" s="145" t="s">
        <v>4093</v>
      </c>
      <c r="D2139" s="146" t="s">
        <v>4094</v>
      </c>
      <c r="E2139" s="147" t="s">
        <v>178</v>
      </c>
      <c r="F2139" s="148"/>
      <c r="G2139" s="148"/>
      <c r="H2139" s="149"/>
      <c r="I2139" s="149"/>
      <c r="J2139" s="149"/>
      <c r="K2139" s="149"/>
      <c r="L2139" s="149"/>
      <c r="M2139" s="149">
        <f t="shared" si="777"/>
        <v>0</v>
      </c>
      <c r="N2139" s="149"/>
      <c r="O2139" s="149">
        <f t="shared" si="744"/>
        <v>0</v>
      </c>
      <c r="P2139" s="149"/>
      <c r="Q2139" s="149"/>
      <c r="R2139" s="149">
        <f t="shared" si="745"/>
        <v>0</v>
      </c>
      <c r="S2139" s="150" t="e">
        <f t="shared" si="746"/>
        <v>#DIV/0!</v>
      </c>
      <c r="T2139" s="151" t="e">
        <f t="shared" si="747"/>
        <v>#DIV/0!</v>
      </c>
      <c r="U2139" s="150" t="e">
        <f t="shared" si="748"/>
        <v>#NUM!</v>
      </c>
      <c r="V2139" s="150" t="e">
        <f t="shared" si="749"/>
        <v>#DIV/0!</v>
      </c>
      <c r="W2139" s="152"/>
      <c r="X2139" s="152"/>
      <c r="Y2139" s="152"/>
      <c r="Z2139" s="153">
        <f t="shared" si="778"/>
        <v>0</v>
      </c>
      <c r="AA2139" s="148">
        <f t="shared" si="705"/>
        <v>0</v>
      </c>
      <c r="AB2139" s="149"/>
      <c r="AC2139" s="149"/>
      <c r="AD2139" s="150" t="e">
        <f t="shared" si="772"/>
        <v>#DIV/0!</v>
      </c>
      <c r="AE2139" s="154" t="e">
        <f t="shared" si="773"/>
        <v>#DIV/0!</v>
      </c>
      <c r="AF2139" s="150" t="e">
        <f t="shared" si="774"/>
        <v>#DIV/0!</v>
      </c>
      <c r="AG2139" s="150" t="e">
        <f t="shared" si="775"/>
        <v>#DIV/0!</v>
      </c>
      <c r="AH2139" s="155" t="e">
        <f t="shared" si="776"/>
        <v>#DIV/0!</v>
      </c>
      <c r="AI2139" s="156" t="e">
        <f t="shared" si="756"/>
        <v>#DIV/0!</v>
      </c>
      <c r="AJ2139" s="149"/>
      <c r="AK2139" s="149"/>
      <c r="AL2139" s="157"/>
      <c r="AM2139" s="157"/>
      <c r="AN2139" s="157"/>
      <c r="AO2139" s="157"/>
      <c r="AP2139" s="157"/>
      <c r="AQ2139" s="157"/>
      <c r="AR2139" s="157"/>
    </row>
    <row r="2140" spans="1:44" ht="16.8">
      <c r="A2140" s="145">
        <v>50</v>
      </c>
      <c r="B2140" s="145">
        <v>838</v>
      </c>
      <c r="C2140" s="145" t="s">
        <v>4095</v>
      </c>
      <c r="D2140" s="146" t="s">
        <v>4096</v>
      </c>
      <c r="E2140" s="147" t="s">
        <v>1371</v>
      </c>
      <c r="F2140" s="148"/>
      <c r="G2140" s="148"/>
      <c r="H2140" s="149"/>
      <c r="I2140" s="149"/>
      <c r="J2140" s="149"/>
      <c r="K2140" s="149"/>
      <c r="L2140" s="149"/>
      <c r="M2140" s="149">
        <f t="shared" si="777"/>
        <v>0</v>
      </c>
      <c r="N2140" s="149"/>
      <c r="O2140" s="149">
        <f t="shared" si="744"/>
        <v>0</v>
      </c>
      <c r="P2140" s="149"/>
      <c r="Q2140" s="149"/>
      <c r="R2140" s="149">
        <f t="shared" si="745"/>
        <v>0</v>
      </c>
      <c r="S2140" s="150" t="e">
        <f t="shared" si="746"/>
        <v>#DIV/0!</v>
      </c>
      <c r="T2140" s="151" t="e">
        <f t="shared" si="747"/>
        <v>#DIV/0!</v>
      </c>
      <c r="U2140" s="150" t="e">
        <f t="shared" si="748"/>
        <v>#NUM!</v>
      </c>
      <c r="V2140" s="150" t="e">
        <f t="shared" si="749"/>
        <v>#DIV/0!</v>
      </c>
      <c r="W2140" s="152"/>
      <c r="X2140" s="152"/>
      <c r="Y2140" s="152"/>
      <c r="Z2140" s="153">
        <f t="shared" si="778"/>
        <v>0</v>
      </c>
      <c r="AA2140" s="148">
        <f t="shared" si="705"/>
        <v>0</v>
      </c>
      <c r="AB2140" s="149"/>
      <c r="AC2140" s="149"/>
      <c r="AD2140" s="150" t="e">
        <f t="shared" si="772"/>
        <v>#DIV/0!</v>
      </c>
      <c r="AE2140" s="154" t="e">
        <f t="shared" si="773"/>
        <v>#DIV/0!</v>
      </c>
      <c r="AF2140" s="150" t="e">
        <f t="shared" si="774"/>
        <v>#DIV/0!</v>
      </c>
      <c r="AG2140" s="150" t="e">
        <f t="shared" si="775"/>
        <v>#DIV/0!</v>
      </c>
      <c r="AH2140" s="155" t="e">
        <f t="shared" si="776"/>
        <v>#DIV/0!</v>
      </c>
      <c r="AI2140" s="156" t="e">
        <f t="shared" si="756"/>
        <v>#DIV/0!</v>
      </c>
      <c r="AJ2140" s="149"/>
      <c r="AK2140" s="149"/>
      <c r="AL2140" s="157"/>
      <c r="AM2140" s="157"/>
      <c r="AN2140" s="157"/>
      <c r="AO2140" s="157"/>
      <c r="AP2140" s="157"/>
      <c r="AQ2140" s="157"/>
      <c r="AR2140" s="157"/>
    </row>
    <row r="2141" spans="1:44" ht="16.8">
      <c r="A2141" s="145">
        <v>51</v>
      </c>
      <c r="B2141" s="145">
        <v>839</v>
      </c>
      <c r="C2141" s="145" t="s">
        <v>4097</v>
      </c>
      <c r="D2141" s="146" t="s">
        <v>4098</v>
      </c>
      <c r="E2141" s="147" t="s">
        <v>178</v>
      </c>
      <c r="F2141" s="148"/>
      <c r="G2141" s="148"/>
      <c r="H2141" s="149"/>
      <c r="I2141" s="149"/>
      <c r="J2141" s="149"/>
      <c r="K2141" s="149"/>
      <c r="L2141" s="149"/>
      <c r="M2141" s="149">
        <f t="shared" si="777"/>
        <v>0</v>
      </c>
      <c r="N2141" s="149"/>
      <c r="O2141" s="149">
        <f t="shared" si="744"/>
        <v>0</v>
      </c>
      <c r="P2141" s="149"/>
      <c r="Q2141" s="149"/>
      <c r="R2141" s="149">
        <f t="shared" si="745"/>
        <v>0</v>
      </c>
      <c r="S2141" s="150" t="e">
        <f t="shared" si="746"/>
        <v>#DIV/0!</v>
      </c>
      <c r="T2141" s="151" t="e">
        <f t="shared" si="747"/>
        <v>#DIV/0!</v>
      </c>
      <c r="U2141" s="150" t="e">
        <f t="shared" si="748"/>
        <v>#NUM!</v>
      </c>
      <c r="V2141" s="150" t="e">
        <f t="shared" si="749"/>
        <v>#DIV/0!</v>
      </c>
      <c r="W2141" s="152"/>
      <c r="X2141" s="152"/>
      <c r="Y2141" s="152"/>
      <c r="Z2141" s="153">
        <f t="shared" si="778"/>
        <v>0</v>
      </c>
      <c r="AA2141" s="148">
        <f t="shared" si="705"/>
        <v>0</v>
      </c>
      <c r="AB2141" s="149"/>
      <c r="AC2141" s="149"/>
      <c r="AD2141" s="150" t="e">
        <f t="shared" si="772"/>
        <v>#DIV/0!</v>
      </c>
      <c r="AE2141" s="154" t="e">
        <f t="shared" si="773"/>
        <v>#DIV/0!</v>
      </c>
      <c r="AF2141" s="150" t="e">
        <f t="shared" si="774"/>
        <v>#DIV/0!</v>
      </c>
      <c r="AG2141" s="150" t="e">
        <f t="shared" si="775"/>
        <v>#DIV/0!</v>
      </c>
      <c r="AH2141" s="155" t="e">
        <f t="shared" si="776"/>
        <v>#DIV/0!</v>
      </c>
      <c r="AI2141" s="156" t="e">
        <f t="shared" si="756"/>
        <v>#DIV/0!</v>
      </c>
      <c r="AJ2141" s="149"/>
      <c r="AK2141" s="149"/>
      <c r="AL2141" s="157"/>
      <c r="AM2141" s="157"/>
      <c r="AN2141" s="157"/>
      <c r="AO2141" s="157"/>
      <c r="AP2141" s="157"/>
      <c r="AQ2141" s="157"/>
      <c r="AR2141" s="157"/>
    </row>
    <row r="2142" spans="1:44" ht="16.8">
      <c r="A2142" s="18"/>
      <c r="B2142" s="18">
        <v>840</v>
      </c>
      <c r="C2142" s="18" t="s">
        <v>4099</v>
      </c>
      <c r="D2142" s="19" t="s">
        <v>4100</v>
      </c>
      <c r="E2142" s="20" t="s">
        <v>39</v>
      </c>
      <c r="F2142" s="21"/>
      <c r="G2142" s="40">
        <v>2021</v>
      </c>
      <c r="H2142" s="23"/>
      <c r="I2142" s="23"/>
      <c r="J2142" s="23"/>
      <c r="K2142" s="23"/>
      <c r="L2142" s="23"/>
      <c r="M2142" s="23">
        <f t="shared" si="777"/>
        <v>0</v>
      </c>
      <c r="N2142" s="23"/>
      <c r="O2142" s="25">
        <f t="shared" si="744"/>
        <v>0</v>
      </c>
      <c r="P2142" s="23"/>
      <c r="Q2142" s="23"/>
      <c r="R2142" s="25">
        <f t="shared" si="745"/>
        <v>0</v>
      </c>
      <c r="S2142" s="26" t="e">
        <f t="shared" si="746"/>
        <v>#DIV/0!</v>
      </c>
      <c r="T2142" s="27" t="e">
        <f t="shared" si="747"/>
        <v>#DIV/0!</v>
      </c>
      <c r="U2142" s="26" t="e">
        <f t="shared" si="748"/>
        <v>#NUM!</v>
      </c>
      <c r="V2142" s="26" t="e">
        <f t="shared" si="749"/>
        <v>#DIV/0!</v>
      </c>
      <c r="W2142" s="143"/>
      <c r="X2142" s="143"/>
      <c r="Y2142" s="143"/>
      <c r="Z2142" s="30">
        <f t="shared" si="778"/>
        <v>0</v>
      </c>
      <c r="AA2142" s="31">
        <f t="shared" si="705"/>
        <v>2021</v>
      </c>
      <c r="AB2142" s="32">
        <v>1.84E-2</v>
      </c>
      <c r="AC2142" s="32">
        <v>2.58E-2</v>
      </c>
      <c r="AD2142" s="33" t="e">
        <f t="shared" si="772"/>
        <v>#DIV/0!</v>
      </c>
      <c r="AE2142" s="34" t="e">
        <f t="shared" si="773"/>
        <v>#DIV/0!</v>
      </c>
      <c r="AF2142" s="33" t="e">
        <f t="shared" si="774"/>
        <v>#DIV/0!</v>
      </c>
      <c r="AG2142" s="33" t="e">
        <f t="shared" si="775"/>
        <v>#DIV/0!</v>
      </c>
      <c r="AH2142" s="35" t="e">
        <f t="shared" si="776"/>
        <v>#DIV/0!</v>
      </c>
      <c r="AI2142" s="36" t="e">
        <f t="shared" si="756"/>
        <v>#DIV/0!</v>
      </c>
      <c r="AJ2142" s="23"/>
      <c r="AK2142" s="120">
        <v>1228</v>
      </c>
      <c r="AL2142" s="44"/>
      <c r="AM2142" s="44"/>
      <c r="AN2142" s="44"/>
      <c r="AO2142" s="44"/>
      <c r="AP2142" s="44"/>
      <c r="AQ2142" s="44"/>
      <c r="AR2142" s="44"/>
    </row>
    <row r="2143" spans="1:44" ht="16.8">
      <c r="A2143" s="18"/>
      <c r="B2143" s="18"/>
      <c r="C2143" s="18"/>
      <c r="D2143" s="19"/>
      <c r="E2143" s="20" t="s">
        <v>39</v>
      </c>
      <c r="F2143" s="21"/>
      <c r="G2143" s="40">
        <v>2022</v>
      </c>
      <c r="H2143" s="23"/>
      <c r="I2143" s="23"/>
      <c r="J2143" s="23"/>
      <c r="K2143" s="23"/>
      <c r="L2143" s="23"/>
      <c r="M2143" s="23"/>
      <c r="N2143" s="23"/>
      <c r="O2143" s="25">
        <f t="shared" si="744"/>
        <v>0</v>
      </c>
      <c r="P2143" s="23"/>
      <c r="Q2143" s="23"/>
      <c r="R2143" s="25">
        <f t="shared" si="745"/>
        <v>0</v>
      </c>
      <c r="S2143" s="26" t="e">
        <f t="shared" si="746"/>
        <v>#DIV/0!</v>
      </c>
      <c r="T2143" s="27" t="e">
        <f t="shared" si="747"/>
        <v>#DIV/0!</v>
      </c>
      <c r="U2143" s="26" t="e">
        <f t="shared" si="748"/>
        <v>#NUM!</v>
      </c>
      <c r="V2143" s="26" t="e">
        <f t="shared" si="749"/>
        <v>#DIV/0!</v>
      </c>
      <c r="W2143" s="143"/>
      <c r="X2143" s="143"/>
      <c r="Y2143" s="143"/>
      <c r="Z2143" s="30"/>
      <c r="AA2143" s="31">
        <f t="shared" si="705"/>
        <v>2022</v>
      </c>
      <c r="AB2143" s="32">
        <v>3.15E-2</v>
      </c>
      <c r="AC2143" s="32">
        <v>8.0199999999999994E-2</v>
      </c>
      <c r="AD2143" s="33" t="e">
        <f t="shared" si="772"/>
        <v>#DIV/0!</v>
      </c>
      <c r="AE2143" s="34" t="e">
        <f t="shared" si="773"/>
        <v>#DIV/0!</v>
      </c>
      <c r="AF2143" s="33" t="e">
        <f t="shared" si="774"/>
        <v>#DIV/0!</v>
      </c>
      <c r="AG2143" s="33" t="e">
        <f t="shared" si="775"/>
        <v>#DIV/0!</v>
      </c>
      <c r="AH2143" s="35" t="e">
        <f t="shared" si="776"/>
        <v>#DIV/0!</v>
      </c>
      <c r="AI2143" s="36" t="e">
        <f t="shared" si="756"/>
        <v>#DIV/0!</v>
      </c>
      <c r="AJ2143" s="23"/>
      <c r="AK2143" s="120">
        <v>1229</v>
      </c>
      <c r="AL2143" s="44"/>
      <c r="AM2143" s="44"/>
      <c r="AN2143" s="44"/>
      <c r="AO2143" s="44"/>
      <c r="AP2143" s="44"/>
      <c r="AQ2143" s="44"/>
      <c r="AR2143" s="44"/>
    </row>
    <row r="2144" spans="1:44" ht="16.8">
      <c r="A2144" s="18"/>
      <c r="B2144" s="18"/>
      <c r="C2144" s="18"/>
      <c r="D2144" s="19"/>
      <c r="E2144" s="20" t="s">
        <v>39</v>
      </c>
      <c r="F2144" s="21"/>
      <c r="G2144" s="40">
        <v>2023</v>
      </c>
      <c r="H2144" s="23"/>
      <c r="I2144" s="23"/>
      <c r="J2144" s="23"/>
      <c r="K2144" s="23"/>
      <c r="L2144" s="23"/>
      <c r="M2144" s="23"/>
      <c r="N2144" s="23"/>
      <c r="O2144" s="25">
        <f t="shared" si="744"/>
        <v>0</v>
      </c>
      <c r="P2144" s="23"/>
      <c r="Q2144" s="23"/>
      <c r="R2144" s="25">
        <f t="shared" si="745"/>
        <v>0</v>
      </c>
      <c r="S2144" s="26" t="e">
        <f t="shared" si="746"/>
        <v>#DIV/0!</v>
      </c>
      <c r="T2144" s="27" t="e">
        <f t="shared" si="747"/>
        <v>#DIV/0!</v>
      </c>
      <c r="U2144" s="26" t="e">
        <f t="shared" si="748"/>
        <v>#NUM!</v>
      </c>
      <c r="V2144" s="26" t="e">
        <f t="shared" si="749"/>
        <v>#DIV/0!</v>
      </c>
      <c r="W2144" s="143"/>
      <c r="X2144" s="143"/>
      <c r="Y2144" s="143"/>
      <c r="Z2144" s="30"/>
      <c r="AA2144" s="31">
        <f t="shared" si="705"/>
        <v>2023</v>
      </c>
      <c r="AB2144" s="32">
        <v>3.2500000000000001E-2</v>
      </c>
      <c r="AC2144" s="32">
        <v>5.0500000000000003E-2</v>
      </c>
      <c r="AD2144" s="33" t="e">
        <f t="shared" si="772"/>
        <v>#DIV/0!</v>
      </c>
      <c r="AE2144" s="34" t="e">
        <f t="shared" si="773"/>
        <v>#DIV/0!</v>
      </c>
      <c r="AF2144" s="33" t="e">
        <f t="shared" si="774"/>
        <v>#DIV/0!</v>
      </c>
      <c r="AG2144" s="33" t="e">
        <f t="shared" si="775"/>
        <v>#DIV/0!</v>
      </c>
      <c r="AH2144" s="35" t="e">
        <f t="shared" si="776"/>
        <v>#DIV/0!</v>
      </c>
      <c r="AI2144" s="36" t="e">
        <f t="shared" si="756"/>
        <v>#DIV/0!</v>
      </c>
      <c r="AJ2144" s="23"/>
      <c r="AK2144" s="120">
        <v>1230</v>
      </c>
      <c r="AL2144" s="44"/>
      <c r="AM2144" s="44"/>
      <c r="AN2144" s="44"/>
      <c r="AO2144" s="44"/>
      <c r="AP2144" s="44"/>
      <c r="AQ2144" s="44"/>
      <c r="AR2144" s="44"/>
    </row>
    <row r="2145" spans="1:44" ht="16.8">
      <c r="A2145" s="145">
        <v>53</v>
      </c>
      <c r="B2145" s="145">
        <v>841</v>
      </c>
      <c r="C2145" s="145" t="s">
        <v>4101</v>
      </c>
      <c r="D2145" s="146" t="s">
        <v>4102</v>
      </c>
      <c r="E2145" s="147" t="s">
        <v>178</v>
      </c>
      <c r="F2145" s="148"/>
      <c r="G2145" s="148"/>
      <c r="H2145" s="149"/>
      <c r="I2145" s="149"/>
      <c r="J2145" s="149"/>
      <c r="K2145" s="149"/>
      <c r="L2145" s="149"/>
      <c r="M2145" s="149">
        <f t="shared" ref="M2145:M2216" si="779">I2145-J2145</f>
        <v>0</v>
      </c>
      <c r="N2145" s="149"/>
      <c r="O2145" s="149">
        <f t="shared" si="744"/>
        <v>0</v>
      </c>
      <c r="P2145" s="149"/>
      <c r="Q2145" s="149"/>
      <c r="R2145" s="149">
        <f t="shared" si="745"/>
        <v>0</v>
      </c>
      <c r="S2145" s="150" t="e">
        <f t="shared" si="746"/>
        <v>#DIV/0!</v>
      </c>
      <c r="T2145" s="151" t="e">
        <f t="shared" si="747"/>
        <v>#DIV/0!</v>
      </c>
      <c r="U2145" s="150" t="e">
        <f t="shared" si="748"/>
        <v>#NUM!</v>
      </c>
      <c r="V2145" s="150" t="e">
        <f t="shared" si="749"/>
        <v>#DIV/0!</v>
      </c>
      <c r="W2145" s="152"/>
      <c r="X2145" s="152"/>
      <c r="Y2145" s="152"/>
      <c r="Z2145" s="153">
        <f t="shared" ref="Z2145:Z2178" si="780">W2145*Y2145</f>
        <v>0</v>
      </c>
      <c r="AA2145" s="148">
        <f t="shared" si="705"/>
        <v>0</v>
      </c>
      <c r="AB2145" s="149"/>
      <c r="AC2145" s="149"/>
      <c r="AD2145" s="150" t="e">
        <f t="shared" si="772"/>
        <v>#DIV/0!</v>
      </c>
      <c r="AE2145" s="154" t="e">
        <f t="shared" si="773"/>
        <v>#DIV/0!</v>
      </c>
      <c r="AF2145" s="150" t="e">
        <f t="shared" si="774"/>
        <v>#DIV/0!</v>
      </c>
      <c r="AG2145" s="150" t="e">
        <f t="shared" si="775"/>
        <v>#DIV/0!</v>
      </c>
      <c r="AH2145" s="155" t="e">
        <f t="shared" si="776"/>
        <v>#DIV/0!</v>
      </c>
      <c r="AI2145" s="156" t="e">
        <f t="shared" si="756"/>
        <v>#DIV/0!</v>
      </c>
      <c r="AJ2145" s="149"/>
      <c r="AK2145" s="149"/>
      <c r="AL2145" s="157"/>
      <c r="AM2145" s="157"/>
      <c r="AN2145" s="157"/>
      <c r="AO2145" s="157"/>
      <c r="AP2145" s="157"/>
      <c r="AQ2145" s="157"/>
      <c r="AR2145" s="157"/>
    </row>
    <row r="2146" spans="1:44" ht="16.8">
      <c r="A2146" s="145">
        <v>54</v>
      </c>
      <c r="B2146" s="145">
        <v>842</v>
      </c>
      <c r="C2146" s="145" t="s">
        <v>4103</v>
      </c>
      <c r="D2146" s="146" t="s">
        <v>4104</v>
      </c>
      <c r="E2146" s="147" t="s">
        <v>178</v>
      </c>
      <c r="F2146" s="148"/>
      <c r="G2146" s="148"/>
      <c r="H2146" s="149"/>
      <c r="I2146" s="149"/>
      <c r="J2146" s="149"/>
      <c r="K2146" s="149"/>
      <c r="L2146" s="149"/>
      <c r="M2146" s="149">
        <f t="shared" si="779"/>
        <v>0</v>
      </c>
      <c r="N2146" s="149"/>
      <c r="O2146" s="149">
        <f t="shared" si="744"/>
        <v>0</v>
      </c>
      <c r="P2146" s="149"/>
      <c r="Q2146" s="149"/>
      <c r="R2146" s="149">
        <f t="shared" si="745"/>
        <v>0</v>
      </c>
      <c r="S2146" s="150" t="e">
        <f t="shared" si="746"/>
        <v>#DIV/0!</v>
      </c>
      <c r="T2146" s="151" t="e">
        <f t="shared" si="747"/>
        <v>#DIV/0!</v>
      </c>
      <c r="U2146" s="150" t="e">
        <f t="shared" si="748"/>
        <v>#NUM!</v>
      </c>
      <c r="V2146" s="150" t="e">
        <f t="shared" si="749"/>
        <v>#DIV/0!</v>
      </c>
      <c r="W2146" s="152"/>
      <c r="X2146" s="152"/>
      <c r="Y2146" s="152"/>
      <c r="Z2146" s="153">
        <f t="shared" si="780"/>
        <v>0</v>
      </c>
      <c r="AA2146" s="148">
        <f t="shared" si="705"/>
        <v>0</v>
      </c>
      <c r="AB2146" s="149"/>
      <c r="AC2146" s="149"/>
      <c r="AD2146" s="150" t="e">
        <f t="shared" si="772"/>
        <v>#DIV/0!</v>
      </c>
      <c r="AE2146" s="154" t="e">
        <f t="shared" si="773"/>
        <v>#DIV/0!</v>
      </c>
      <c r="AF2146" s="150" t="e">
        <f t="shared" si="774"/>
        <v>#DIV/0!</v>
      </c>
      <c r="AG2146" s="150" t="e">
        <f t="shared" si="775"/>
        <v>#DIV/0!</v>
      </c>
      <c r="AH2146" s="155" t="e">
        <f t="shared" si="776"/>
        <v>#DIV/0!</v>
      </c>
      <c r="AI2146" s="156" t="e">
        <f t="shared" si="756"/>
        <v>#DIV/0!</v>
      </c>
      <c r="AJ2146" s="149"/>
      <c r="AK2146" s="149"/>
      <c r="AL2146" s="157"/>
      <c r="AM2146" s="157"/>
      <c r="AN2146" s="157"/>
      <c r="AO2146" s="157"/>
      <c r="AP2146" s="157"/>
      <c r="AQ2146" s="157"/>
      <c r="AR2146" s="157"/>
    </row>
    <row r="2147" spans="1:44" ht="16.8">
      <c r="A2147" s="145">
        <v>55</v>
      </c>
      <c r="B2147" s="145">
        <v>843</v>
      </c>
      <c r="C2147" s="145" t="s">
        <v>4105</v>
      </c>
      <c r="D2147" s="146" t="s">
        <v>4106</v>
      </c>
      <c r="E2147" s="147" t="s">
        <v>178</v>
      </c>
      <c r="F2147" s="148"/>
      <c r="G2147" s="148"/>
      <c r="H2147" s="149"/>
      <c r="I2147" s="149"/>
      <c r="J2147" s="149"/>
      <c r="K2147" s="149"/>
      <c r="L2147" s="149"/>
      <c r="M2147" s="149">
        <f t="shared" si="779"/>
        <v>0</v>
      </c>
      <c r="N2147" s="149"/>
      <c r="O2147" s="149">
        <f t="shared" si="744"/>
        <v>0</v>
      </c>
      <c r="P2147" s="149"/>
      <c r="Q2147" s="149"/>
      <c r="R2147" s="149">
        <f t="shared" si="745"/>
        <v>0</v>
      </c>
      <c r="S2147" s="150" t="e">
        <f t="shared" si="746"/>
        <v>#DIV/0!</v>
      </c>
      <c r="T2147" s="151" t="e">
        <f t="shared" si="747"/>
        <v>#DIV/0!</v>
      </c>
      <c r="U2147" s="150" t="e">
        <f t="shared" si="748"/>
        <v>#NUM!</v>
      </c>
      <c r="V2147" s="150" t="e">
        <f t="shared" si="749"/>
        <v>#DIV/0!</v>
      </c>
      <c r="W2147" s="152"/>
      <c r="X2147" s="152"/>
      <c r="Y2147" s="152"/>
      <c r="Z2147" s="153">
        <f t="shared" si="780"/>
        <v>0</v>
      </c>
      <c r="AA2147" s="148">
        <f t="shared" si="705"/>
        <v>0</v>
      </c>
      <c r="AB2147" s="149"/>
      <c r="AC2147" s="149"/>
      <c r="AD2147" s="150" t="e">
        <f t="shared" si="772"/>
        <v>#DIV/0!</v>
      </c>
      <c r="AE2147" s="154" t="e">
        <f t="shared" si="773"/>
        <v>#DIV/0!</v>
      </c>
      <c r="AF2147" s="150" t="e">
        <f t="shared" si="774"/>
        <v>#DIV/0!</v>
      </c>
      <c r="AG2147" s="150" t="e">
        <f t="shared" si="775"/>
        <v>#DIV/0!</v>
      </c>
      <c r="AH2147" s="155" t="e">
        <f t="shared" si="776"/>
        <v>#DIV/0!</v>
      </c>
      <c r="AI2147" s="156" t="e">
        <f t="shared" si="756"/>
        <v>#DIV/0!</v>
      </c>
      <c r="AJ2147" s="149"/>
      <c r="AK2147" s="149"/>
      <c r="AL2147" s="157"/>
      <c r="AM2147" s="157"/>
      <c r="AN2147" s="157"/>
      <c r="AO2147" s="157"/>
      <c r="AP2147" s="157"/>
      <c r="AQ2147" s="157"/>
      <c r="AR2147" s="157"/>
    </row>
    <row r="2148" spans="1:44" ht="16.8">
      <c r="A2148" s="145">
        <v>56</v>
      </c>
      <c r="B2148" s="145">
        <v>844</v>
      </c>
      <c r="C2148" s="145" t="s">
        <v>4107</v>
      </c>
      <c r="D2148" s="146" t="s">
        <v>4108</v>
      </c>
      <c r="E2148" s="147" t="s">
        <v>1371</v>
      </c>
      <c r="F2148" s="148"/>
      <c r="G2148" s="148"/>
      <c r="H2148" s="149"/>
      <c r="I2148" s="149"/>
      <c r="J2148" s="149"/>
      <c r="K2148" s="149"/>
      <c r="L2148" s="149"/>
      <c r="M2148" s="149">
        <f t="shared" si="779"/>
        <v>0</v>
      </c>
      <c r="N2148" s="149"/>
      <c r="O2148" s="149">
        <f t="shared" si="744"/>
        <v>0</v>
      </c>
      <c r="P2148" s="149"/>
      <c r="Q2148" s="149"/>
      <c r="R2148" s="149">
        <f t="shared" si="745"/>
        <v>0</v>
      </c>
      <c r="S2148" s="150" t="e">
        <f t="shared" si="746"/>
        <v>#DIV/0!</v>
      </c>
      <c r="T2148" s="151" t="e">
        <f t="shared" si="747"/>
        <v>#DIV/0!</v>
      </c>
      <c r="U2148" s="150" t="e">
        <f t="shared" si="748"/>
        <v>#NUM!</v>
      </c>
      <c r="V2148" s="150" t="e">
        <f t="shared" si="749"/>
        <v>#DIV/0!</v>
      </c>
      <c r="W2148" s="152"/>
      <c r="X2148" s="152"/>
      <c r="Y2148" s="152"/>
      <c r="Z2148" s="153">
        <f t="shared" si="780"/>
        <v>0</v>
      </c>
      <c r="AA2148" s="148">
        <f t="shared" si="705"/>
        <v>0</v>
      </c>
      <c r="AB2148" s="149"/>
      <c r="AC2148" s="149"/>
      <c r="AD2148" s="150" t="e">
        <f t="shared" si="772"/>
        <v>#DIV/0!</v>
      </c>
      <c r="AE2148" s="154" t="e">
        <f t="shared" si="773"/>
        <v>#DIV/0!</v>
      </c>
      <c r="AF2148" s="150" t="e">
        <f t="shared" si="774"/>
        <v>#DIV/0!</v>
      </c>
      <c r="AG2148" s="150" t="e">
        <f t="shared" si="775"/>
        <v>#DIV/0!</v>
      </c>
      <c r="AH2148" s="155" t="e">
        <f t="shared" si="776"/>
        <v>#DIV/0!</v>
      </c>
      <c r="AI2148" s="156" t="e">
        <f t="shared" si="756"/>
        <v>#DIV/0!</v>
      </c>
      <c r="AJ2148" s="149"/>
      <c r="AK2148" s="149"/>
      <c r="AL2148" s="157"/>
      <c r="AM2148" s="157"/>
      <c r="AN2148" s="157"/>
      <c r="AO2148" s="157"/>
      <c r="AP2148" s="157"/>
      <c r="AQ2148" s="157"/>
      <c r="AR2148" s="157"/>
    </row>
    <row r="2149" spans="1:44" ht="16.8">
      <c r="A2149" s="145">
        <v>57</v>
      </c>
      <c r="B2149" s="145">
        <v>845</v>
      </c>
      <c r="C2149" s="145" t="s">
        <v>4109</v>
      </c>
      <c r="D2149" s="146" t="s">
        <v>4110</v>
      </c>
      <c r="E2149" s="147" t="s">
        <v>1371</v>
      </c>
      <c r="F2149" s="148"/>
      <c r="G2149" s="148"/>
      <c r="H2149" s="149"/>
      <c r="I2149" s="149"/>
      <c r="J2149" s="149"/>
      <c r="K2149" s="149"/>
      <c r="L2149" s="149"/>
      <c r="M2149" s="149">
        <f t="shared" si="779"/>
        <v>0</v>
      </c>
      <c r="N2149" s="149"/>
      <c r="O2149" s="149">
        <f t="shared" si="744"/>
        <v>0</v>
      </c>
      <c r="P2149" s="149"/>
      <c r="Q2149" s="149"/>
      <c r="R2149" s="149">
        <f t="shared" si="745"/>
        <v>0</v>
      </c>
      <c r="S2149" s="150" t="e">
        <f t="shared" si="746"/>
        <v>#DIV/0!</v>
      </c>
      <c r="T2149" s="151" t="e">
        <f t="shared" si="747"/>
        <v>#DIV/0!</v>
      </c>
      <c r="U2149" s="150" t="e">
        <f t="shared" si="748"/>
        <v>#NUM!</v>
      </c>
      <c r="V2149" s="150" t="e">
        <f t="shared" si="749"/>
        <v>#DIV/0!</v>
      </c>
      <c r="W2149" s="152"/>
      <c r="X2149" s="152"/>
      <c r="Y2149" s="152"/>
      <c r="Z2149" s="153">
        <f t="shared" si="780"/>
        <v>0</v>
      </c>
      <c r="AA2149" s="148">
        <f t="shared" si="705"/>
        <v>0</v>
      </c>
      <c r="AB2149" s="149"/>
      <c r="AC2149" s="149"/>
      <c r="AD2149" s="150" t="e">
        <f t="shared" si="772"/>
        <v>#DIV/0!</v>
      </c>
      <c r="AE2149" s="154" t="e">
        <f t="shared" si="773"/>
        <v>#DIV/0!</v>
      </c>
      <c r="AF2149" s="150" t="e">
        <f t="shared" si="774"/>
        <v>#DIV/0!</v>
      </c>
      <c r="AG2149" s="150" t="e">
        <f t="shared" si="775"/>
        <v>#DIV/0!</v>
      </c>
      <c r="AH2149" s="155" t="e">
        <f t="shared" si="776"/>
        <v>#DIV/0!</v>
      </c>
      <c r="AI2149" s="156" t="e">
        <f t="shared" si="756"/>
        <v>#DIV/0!</v>
      </c>
      <c r="AJ2149" s="149"/>
      <c r="AK2149" s="149"/>
      <c r="AL2149" s="157"/>
      <c r="AM2149" s="157"/>
      <c r="AN2149" s="157"/>
      <c r="AO2149" s="157"/>
      <c r="AP2149" s="157"/>
      <c r="AQ2149" s="157"/>
      <c r="AR2149" s="157"/>
    </row>
    <row r="2150" spans="1:44" ht="16.8">
      <c r="A2150" s="145">
        <v>58</v>
      </c>
      <c r="B2150" s="145">
        <v>846</v>
      </c>
      <c r="C2150" s="145" t="s">
        <v>4111</v>
      </c>
      <c r="D2150" s="146" t="s">
        <v>4112</v>
      </c>
      <c r="E2150" s="147" t="s">
        <v>178</v>
      </c>
      <c r="F2150" s="148"/>
      <c r="G2150" s="148"/>
      <c r="H2150" s="149"/>
      <c r="I2150" s="149"/>
      <c r="J2150" s="149"/>
      <c r="K2150" s="149"/>
      <c r="L2150" s="149"/>
      <c r="M2150" s="149">
        <f t="shared" si="779"/>
        <v>0</v>
      </c>
      <c r="N2150" s="149"/>
      <c r="O2150" s="149">
        <f t="shared" si="744"/>
        <v>0</v>
      </c>
      <c r="P2150" s="149"/>
      <c r="Q2150" s="149"/>
      <c r="R2150" s="149">
        <f t="shared" si="745"/>
        <v>0</v>
      </c>
      <c r="S2150" s="150" t="e">
        <f t="shared" si="746"/>
        <v>#DIV/0!</v>
      </c>
      <c r="T2150" s="151" t="e">
        <f t="shared" si="747"/>
        <v>#DIV/0!</v>
      </c>
      <c r="U2150" s="150" t="e">
        <f t="shared" si="748"/>
        <v>#NUM!</v>
      </c>
      <c r="V2150" s="150" t="e">
        <f t="shared" si="749"/>
        <v>#DIV/0!</v>
      </c>
      <c r="W2150" s="152"/>
      <c r="X2150" s="152"/>
      <c r="Y2150" s="152"/>
      <c r="Z2150" s="153">
        <f t="shared" si="780"/>
        <v>0</v>
      </c>
      <c r="AA2150" s="148">
        <f t="shared" si="705"/>
        <v>0</v>
      </c>
      <c r="AB2150" s="149"/>
      <c r="AC2150" s="149"/>
      <c r="AD2150" s="150" t="e">
        <f t="shared" si="772"/>
        <v>#DIV/0!</v>
      </c>
      <c r="AE2150" s="154" t="e">
        <f t="shared" si="773"/>
        <v>#DIV/0!</v>
      </c>
      <c r="AF2150" s="150" t="e">
        <f t="shared" si="774"/>
        <v>#DIV/0!</v>
      </c>
      <c r="AG2150" s="150" t="e">
        <f t="shared" si="775"/>
        <v>#DIV/0!</v>
      </c>
      <c r="AH2150" s="155" t="e">
        <f t="shared" si="776"/>
        <v>#DIV/0!</v>
      </c>
      <c r="AI2150" s="156" t="e">
        <f t="shared" si="756"/>
        <v>#DIV/0!</v>
      </c>
      <c r="AJ2150" s="149"/>
      <c r="AK2150" s="149"/>
      <c r="AL2150" s="157"/>
      <c r="AM2150" s="157"/>
      <c r="AN2150" s="157"/>
      <c r="AO2150" s="157"/>
      <c r="AP2150" s="157"/>
      <c r="AQ2150" s="157"/>
      <c r="AR2150" s="157"/>
    </row>
    <row r="2151" spans="1:44" ht="16.8">
      <c r="A2151" s="145">
        <v>59</v>
      </c>
      <c r="B2151" s="145">
        <v>847</v>
      </c>
      <c r="C2151" s="145" t="s">
        <v>4113</v>
      </c>
      <c r="D2151" s="146" t="s">
        <v>4114</v>
      </c>
      <c r="E2151" s="147" t="s">
        <v>178</v>
      </c>
      <c r="F2151" s="148"/>
      <c r="G2151" s="148"/>
      <c r="H2151" s="149"/>
      <c r="I2151" s="149"/>
      <c r="J2151" s="149"/>
      <c r="K2151" s="149"/>
      <c r="L2151" s="149"/>
      <c r="M2151" s="149">
        <f t="shared" si="779"/>
        <v>0</v>
      </c>
      <c r="N2151" s="149"/>
      <c r="O2151" s="149">
        <f t="shared" si="744"/>
        <v>0</v>
      </c>
      <c r="P2151" s="149"/>
      <c r="Q2151" s="149"/>
      <c r="R2151" s="149">
        <f t="shared" si="745"/>
        <v>0</v>
      </c>
      <c r="S2151" s="150" t="e">
        <f t="shared" si="746"/>
        <v>#DIV/0!</v>
      </c>
      <c r="T2151" s="151" t="e">
        <f t="shared" si="747"/>
        <v>#DIV/0!</v>
      </c>
      <c r="U2151" s="150" t="e">
        <f t="shared" si="748"/>
        <v>#NUM!</v>
      </c>
      <c r="V2151" s="150" t="e">
        <f t="shared" si="749"/>
        <v>#DIV/0!</v>
      </c>
      <c r="W2151" s="152"/>
      <c r="X2151" s="152"/>
      <c r="Y2151" s="152"/>
      <c r="Z2151" s="153">
        <f t="shared" si="780"/>
        <v>0</v>
      </c>
      <c r="AA2151" s="148">
        <f t="shared" si="705"/>
        <v>0</v>
      </c>
      <c r="AB2151" s="149"/>
      <c r="AC2151" s="149"/>
      <c r="AD2151" s="150" t="e">
        <f t="shared" si="772"/>
        <v>#DIV/0!</v>
      </c>
      <c r="AE2151" s="154" t="e">
        <f t="shared" si="773"/>
        <v>#DIV/0!</v>
      </c>
      <c r="AF2151" s="150" t="e">
        <f t="shared" si="774"/>
        <v>#DIV/0!</v>
      </c>
      <c r="AG2151" s="150" t="e">
        <f t="shared" si="775"/>
        <v>#DIV/0!</v>
      </c>
      <c r="AH2151" s="155" t="e">
        <f t="shared" si="776"/>
        <v>#DIV/0!</v>
      </c>
      <c r="AI2151" s="156" t="e">
        <f t="shared" si="756"/>
        <v>#DIV/0!</v>
      </c>
      <c r="AJ2151" s="149"/>
      <c r="AK2151" s="149"/>
      <c r="AL2151" s="157"/>
      <c r="AM2151" s="157"/>
      <c r="AN2151" s="157"/>
      <c r="AO2151" s="157"/>
      <c r="AP2151" s="157"/>
      <c r="AQ2151" s="157"/>
      <c r="AR2151" s="157"/>
    </row>
    <row r="2152" spans="1:44" ht="16.8">
      <c r="A2152" s="145">
        <v>60</v>
      </c>
      <c r="B2152" s="145">
        <v>848</v>
      </c>
      <c r="C2152" s="145" t="s">
        <v>4115</v>
      </c>
      <c r="D2152" s="146" t="s">
        <v>4116</v>
      </c>
      <c r="E2152" s="147" t="s">
        <v>178</v>
      </c>
      <c r="F2152" s="148"/>
      <c r="G2152" s="148"/>
      <c r="H2152" s="149"/>
      <c r="I2152" s="149"/>
      <c r="J2152" s="149"/>
      <c r="K2152" s="149"/>
      <c r="L2152" s="149"/>
      <c r="M2152" s="149">
        <f t="shared" si="779"/>
        <v>0</v>
      </c>
      <c r="N2152" s="149"/>
      <c r="O2152" s="149">
        <f t="shared" si="744"/>
        <v>0</v>
      </c>
      <c r="P2152" s="149"/>
      <c r="Q2152" s="149"/>
      <c r="R2152" s="149">
        <f t="shared" si="745"/>
        <v>0</v>
      </c>
      <c r="S2152" s="150" t="e">
        <f t="shared" si="746"/>
        <v>#DIV/0!</v>
      </c>
      <c r="T2152" s="151" t="e">
        <f t="shared" si="747"/>
        <v>#DIV/0!</v>
      </c>
      <c r="U2152" s="150" t="e">
        <f t="shared" si="748"/>
        <v>#NUM!</v>
      </c>
      <c r="V2152" s="150" t="e">
        <f t="shared" si="749"/>
        <v>#DIV/0!</v>
      </c>
      <c r="W2152" s="152"/>
      <c r="X2152" s="152"/>
      <c r="Y2152" s="152"/>
      <c r="Z2152" s="153">
        <f t="shared" si="780"/>
        <v>0</v>
      </c>
      <c r="AA2152" s="148">
        <f t="shared" si="705"/>
        <v>0</v>
      </c>
      <c r="AB2152" s="149"/>
      <c r="AC2152" s="149"/>
      <c r="AD2152" s="150" t="e">
        <f t="shared" si="772"/>
        <v>#DIV/0!</v>
      </c>
      <c r="AE2152" s="154" t="e">
        <f t="shared" si="773"/>
        <v>#DIV/0!</v>
      </c>
      <c r="AF2152" s="150" t="e">
        <f t="shared" si="774"/>
        <v>#DIV/0!</v>
      </c>
      <c r="AG2152" s="150" t="e">
        <f t="shared" si="775"/>
        <v>#DIV/0!</v>
      </c>
      <c r="AH2152" s="155" t="e">
        <f t="shared" si="776"/>
        <v>#DIV/0!</v>
      </c>
      <c r="AI2152" s="156" t="e">
        <f t="shared" si="756"/>
        <v>#DIV/0!</v>
      </c>
      <c r="AJ2152" s="149"/>
      <c r="AK2152" s="149"/>
      <c r="AL2152" s="157"/>
      <c r="AM2152" s="157"/>
      <c r="AN2152" s="157"/>
      <c r="AO2152" s="157"/>
      <c r="AP2152" s="157"/>
      <c r="AQ2152" s="157"/>
      <c r="AR2152" s="157"/>
    </row>
    <row r="2153" spans="1:44" ht="16.8">
      <c r="A2153" s="145">
        <v>61</v>
      </c>
      <c r="B2153" s="145">
        <v>849</v>
      </c>
      <c r="C2153" s="145" t="s">
        <v>4117</v>
      </c>
      <c r="D2153" s="146" t="s">
        <v>4118</v>
      </c>
      <c r="E2153" s="147" t="s">
        <v>178</v>
      </c>
      <c r="F2153" s="148"/>
      <c r="G2153" s="148"/>
      <c r="H2153" s="149"/>
      <c r="I2153" s="149"/>
      <c r="J2153" s="149"/>
      <c r="K2153" s="149"/>
      <c r="L2153" s="149"/>
      <c r="M2153" s="149">
        <f t="shared" si="779"/>
        <v>0</v>
      </c>
      <c r="N2153" s="149"/>
      <c r="O2153" s="149">
        <f t="shared" si="744"/>
        <v>0</v>
      </c>
      <c r="P2153" s="149"/>
      <c r="Q2153" s="149"/>
      <c r="R2153" s="149">
        <f t="shared" si="745"/>
        <v>0</v>
      </c>
      <c r="S2153" s="150" t="e">
        <f t="shared" si="746"/>
        <v>#DIV/0!</v>
      </c>
      <c r="T2153" s="151" t="e">
        <f t="shared" si="747"/>
        <v>#DIV/0!</v>
      </c>
      <c r="U2153" s="150" t="e">
        <f t="shared" si="748"/>
        <v>#NUM!</v>
      </c>
      <c r="V2153" s="150" t="e">
        <f t="shared" si="749"/>
        <v>#DIV/0!</v>
      </c>
      <c r="W2153" s="152"/>
      <c r="X2153" s="152"/>
      <c r="Y2153" s="152"/>
      <c r="Z2153" s="153">
        <f t="shared" si="780"/>
        <v>0</v>
      </c>
      <c r="AA2153" s="148">
        <f t="shared" si="705"/>
        <v>0</v>
      </c>
      <c r="AB2153" s="149"/>
      <c r="AC2153" s="149"/>
      <c r="AD2153" s="150" t="e">
        <f t="shared" si="772"/>
        <v>#DIV/0!</v>
      </c>
      <c r="AE2153" s="154" t="e">
        <f t="shared" si="773"/>
        <v>#DIV/0!</v>
      </c>
      <c r="AF2153" s="150" t="e">
        <f t="shared" si="774"/>
        <v>#DIV/0!</v>
      </c>
      <c r="AG2153" s="150" t="e">
        <f t="shared" si="775"/>
        <v>#DIV/0!</v>
      </c>
      <c r="AH2153" s="155" t="e">
        <f t="shared" si="776"/>
        <v>#DIV/0!</v>
      </c>
      <c r="AI2153" s="156" t="e">
        <f t="shared" si="756"/>
        <v>#DIV/0!</v>
      </c>
      <c r="AJ2153" s="149"/>
      <c r="AK2153" s="149"/>
      <c r="AL2153" s="157"/>
      <c r="AM2153" s="157"/>
      <c r="AN2153" s="157"/>
      <c r="AO2153" s="157"/>
      <c r="AP2153" s="157"/>
      <c r="AQ2153" s="157"/>
      <c r="AR2153" s="157"/>
    </row>
    <row r="2154" spans="1:44" ht="16.8">
      <c r="A2154" s="145">
        <v>62</v>
      </c>
      <c r="B2154" s="145">
        <v>850</v>
      </c>
      <c r="C2154" s="145" t="s">
        <v>4119</v>
      </c>
      <c r="D2154" s="146" t="s">
        <v>4120</v>
      </c>
      <c r="E2154" s="147" t="s">
        <v>178</v>
      </c>
      <c r="F2154" s="148"/>
      <c r="G2154" s="148"/>
      <c r="H2154" s="149"/>
      <c r="I2154" s="149"/>
      <c r="J2154" s="149"/>
      <c r="K2154" s="149"/>
      <c r="L2154" s="149"/>
      <c r="M2154" s="149">
        <f t="shared" si="779"/>
        <v>0</v>
      </c>
      <c r="N2154" s="149"/>
      <c r="O2154" s="149">
        <f t="shared" si="744"/>
        <v>0</v>
      </c>
      <c r="P2154" s="149"/>
      <c r="Q2154" s="149"/>
      <c r="R2154" s="149">
        <f t="shared" si="745"/>
        <v>0</v>
      </c>
      <c r="S2154" s="150" t="e">
        <f t="shared" si="746"/>
        <v>#DIV/0!</v>
      </c>
      <c r="T2154" s="151" t="e">
        <f t="shared" si="747"/>
        <v>#DIV/0!</v>
      </c>
      <c r="U2154" s="150" t="e">
        <f t="shared" si="748"/>
        <v>#NUM!</v>
      </c>
      <c r="V2154" s="150" t="e">
        <f t="shared" si="749"/>
        <v>#DIV/0!</v>
      </c>
      <c r="W2154" s="152"/>
      <c r="X2154" s="152"/>
      <c r="Y2154" s="152"/>
      <c r="Z2154" s="153">
        <f t="shared" si="780"/>
        <v>0</v>
      </c>
      <c r="AA2154" s="148">
        <f t="shared" si="705"/>
        <v>0</v>
      </c>
      <c r="AB2154" s="149"/>
      <c r="AC2154" s="149"/>
      <c r="AD2154" s="150" t="e">
        <f t="shared" si="772"/>
        <v>#DIV/0!</v>
      </c>
      <c r="AE2154" s="154" t="e">
        <f t="shared" si="773"/>
        <v>#DIV/0!</v>
      </c>
      <c r="AF2154" s="150" t="e">
        <f t="shared" si="774"/>
        <v>#DIV/0!</v>
      </c>
      <c r="AG2154" s="150" t="e">
        <f t="shared" si="775"/>
        <v>#DIV/0!</v>
      </c>
      <c r="AH2154" s="155" t="e">
        <f t="shared" si="776"/>
        <v>#DIV/0!</v>
      </c>
      <c r="AI2154" s="156" t="e">
        <f t="shared" si="756"/>
        <v>#DIV/0!</v>
      </c>
      <c r="AJ2154" s="149"/>
      <c r="AK2154" s="149"/>
      <c r="AL2154" s="157"/>
      <c r="AM2154" s="157"/>
      <c r="AN2154" s="157"/>
      <c r="AO2154" s="157"/>
      <c r="AP2154" s="157"/>
      <c r="AQ2154" s="157"/>
      <c r="AR2154" s="157"/>
    </row>
    <row r="2155" spans="1:44" ht="16.8">
      <c r="A2155" s="145">
        <v>63</v>
      </c>
      <c r="B2155" s="145">
        <v>851</v>
      </c>
      <c r="C2155" s="145" t="s">
        <v>4121</v>
      </c>
      <c r="D2155" s="146" t="s">
        <v>4122</v>
      </c>
      <c r="E2155" s="147" t="s">
        <v>178</v>
      </c>
      <c r="F2155" s="148"/>
      <c r="G2155" s="148"/>
      <c r="H2155" s="149"/>
      <c r="I2155" s="149"/>
      <c r="J2155" s="149"/>
      <c r="K2155" s="149"/>
      <c r="L2155" s="149"/>
      <c r="M2155" s="149">
        <f t="shared" si="779"/>
        <v>0</v>
      </c>
      <c r="N2155" s="149"/>
      <c r="O2155" s="149">
        <f t="shared" si="744"/>
        <v>0</v>
      </c>
      <c r="P2155" s="149"/>
      <c r="Q2155" s="149"/>
      <c r="R2155" s="149">
        <f t="shared" si="745"/>
        <v>0</v>
      </c>
      <c r="S2155" s="150" t="e">
        <f t="shared" si="746"/>
        <v>#DIV/0!</v>
      </c>
      <c r="T2155" s="151" t="e">
        <f t="shared" si="747"/>
        <v>#DIV/0!</v>
      </c>
      <c r="U2155" s="150" t="e">
        <f t="shared" si="748"/>
        <v>#NUM!</v>
      </c>
      <c r="V2155" s="150" t="e">
        <f t="shared" si="749"/>
        <v>#DIV/0!</v>
      </c>
      <c r="W2155" s="152"/>
      <c r="X2155" s="152"/>
      <c r="Y2155" s="152"/>
      <c r="Z2155" s="153">
        <f t="shared" si="780"/>
        <v>0</v>
      </c>
      <c r="AA2155" s="148">
        <f t="shared" si="705"/>
        <v>0</v>
      </c>
      <c r="AB2155" s="149"/>
      <c r="AC2155" s="149"/>
      <c r="AD2155" s="150" t="e">
        <f t="shared" si="772"/>
        <v>#DIV/0!</v>
      </c>
      <c r="AE2155" s="154" t="e">
        <f t="shared" si="773"/>
        <v>#DIV/0!</v>
      </c>
      <c r="AF2155" s="150" t="e">
        <f t="shared" si="774"/>
        <v>#DIV/0!</v>
      </c>
      <c r="AG2155" s="150" t="e">
        <f t="shared" si="775"/>
        <v>#DIV/0!</v>
      </c>
      <c r="AH2155" s="155" t="e">
        <f t="shared" si="776"/>
        <v>#DIV/0!</v>
      </c>
      <c r="AI2155" s="156" t="e">
        <f t="shared" si="756"/>
        <v>#DIV/0!</v>
      </c>
      <c r="AJ2155" s="149"/>
      <c r="AK2155" s="149"/>
      <c r="AL2155" s="157"/>
      <c r="AM2155" s="157"/>
      <c r="AN2155" s="157"/>
      <c r="AO2155" s="157"/>
      <c r="AP2155" s="157"/>
      <c r="AQ2155" s="157"/>
      <c r="AR2155" s="157"/>
    </row>
    <row r="2156" spans="1:44" ht="16.8">
      <c r="A2156" s="145">
        <v>64</v>
      </c>
      <c r="B2156" s="145">
        <v>852</v>
      </c>
      <c r="C2156" s="145" t="s">
        <v>4123</v>
      </c>
      <c r="D2156" s="146" t="s">
        <v>4124</v>
      </c>
      <c r="E2156" s="147" t="s">
        <v>178</v>
      </c>
      <c r="F2156" s="148"/>
      <c r="G2156" s="148"/>
      <c r="H2156" s="149"/>
      <c r="I2156" s="149"/>
      <c r="J2156" s="149"/>
      <c r="K2156" s="149"/>
      <c r="L2156" s="149"/>
      <c r="M2156" s="149">
        <f t="shared" si="779"/>
        <v>0</v>
      </c>
      <c r="N2156" s="149"/>
      <c r="O2156" s="149">
        <f t="shared" si="744"/>
        <v>0</v>
      </c>
      <c r="P2156" s="149"/>
      <c r="Q2156" s="149"/>
      <c r="R2156" s="149">
        <f t="shared" si="745"/>
        <v>0</v>
      </c>
      <c r="S2156" s="150" t="e">
        <f t="shared" si="746"/>
        <v>#DIV/0!</v>
      </c>
      <c r="T2156" s="151" t="e">
        <f t="shared" si="747"/>
        <v>#DIV/0!</v>
      </c>
      <c r="U2156" s="150" t="e">
        <f t="shared" si="748"/>
        <v>#NUM!</v>
      </c>
      <c r="V2156" s="150" t="e">
        <f t="shared" si="749"/>
        <v>#DIV/0!</v>
      </c>
      <c r="W2156" s="152"/>
      <c r="X2156" s="152"/>
      <c r="Y2156" s="152"/>
      <c r="Z2156" s="153">
        <f t="shared" si="780"/>
        <v>0</v>
      </c>
      <c r="AA2156" s="148">
        <f t="shared" si="705"/>
        <v>0</v>
      </c>
      <c r="AB2156" s="149"/>
      <c r="AC2156" s="149"/>
      <c r="AD2156" s="150" t="e">
        <f t="shared" si="772"/>
        <v>#DIV/0!</v>
      </c>
      <c r="AE2156" s="154" t="e">
        <f t="shared" si="773"/>
        <v>#DIV/0!</v>
      </c>
      <c r="AF2156" s="150" t="e">
        <f t="shared" si="774"/>
        <v>#DIV/0!</v>
      </c>
      <c r="AG2156" s="150" t="e">
        <f t="shared" si="775"/>
        <v>#DIV/0!</v>
      </c>
      <c r="AH2156" s="155" t="e">
        <f t="shared" si="776"/>
        <v>#DIV/0!</v>
      </c>
      <c r="AI2156" s="156" t="e">
        <f t="shared" si="756"/>
        <v>#DIV/0!</v>
      </c>
      <c r="AJ2156" s="149"/>
      <c r="AK2156" s="149"/>
      <c r="AL2156" s="157"/>
      <c r="AM2156" s="157"/>
      <c r="AN2156" s="157"/>
      <c r="AO2156" s="157"/>
      <c r="AP2156" s="157"/>
      <c r="AQ2156" s="157"/>
      <c r="AR2156" s="157"/>
    </row>
    <row r="2157" spans="1:44" ht="16.8">
      <c r="A2157" s="145">
        <v>65</v>
      </c>
      <c r="B2157" s="145">
        <v>853</v>
      </c>
      <c r="C2157" s="145" t="s">
        <v>4125</v>
      </c>
      <c r="D2157" s="146" t="s">
        <v>4126</v>
      </c>
      <c r="E2157" s="147" t="s">
        <v>1371</v>
      </c>
      <c r="F2157" s="148"/>
      <c r="G2157" s="148"/>
      <c r="H2157" s="149"/>
      <c r="I2157" s="149"/>
      <c r="J2157" s="149"/>
      <c r="K2157" s="149"/>
      <c r="L2157" s="149"/>
      <c r="M2157" s="149">
        <f t="shared" si="779"/>
        <v>0</v>
      </c>
      <c r="N2157" s="149"/>
      <c r="O2157" s="149">
        <f t="shared" si="744"/>
        <v>0</v>
      </c>
      <c r="P2157" s="149"/>
      <c r="Q2157" s="149"/>
      <c r="R2157" s="149">
        <f t="shared" si="745"/>
        <v>0</v>
      </c>
      <c r="S2157" s="150" t="e">
        <f t="shared" si="746"/>
        <v>#DIV/0!</v>
      </c>
      <c r="T2157" s="151" t="e">
        <f t="shared" si="747"/>
        <v>#DIV/0!</v>
      </c>
      <c r="U2157" s="150" t="e">
        <f t="shared" si="748"/>
        <v>#NUM!</v>
      </c>
      <c r="V2157" s="150" t="e">
        <f t="shared" si="749"/>
        <v>#DIV/0!</v>
      </c>
      <c r="W2157" s="152"/>
      <c r="X2157" s="152"/>
      <c r="Y2157" s="152"/>
      <c r="Z2157" s="153">
        <f t="shared" si="780"/>
        <v>0</v>
      </c>
      <c r="AA2157" s="148">
        <f t="shared" si="705"/>
        <v>0</v>
      </c>
      <c r="AB2157" s="149"/>
      <c r="AC2157" s="149"/>
      <c r="AD2157" s="150" t="e">
        <f t="shared" si="772"/>
        <v>#DIV/0!</v>
      </c>
      <c r="AE2157" s="154" t="e">
        <f t="shared" si="773"/>
        <v>#DIV/0!</v>
      </c>
      <c r="AF2157" s="150" t="e">
        <f t="shared" si="774"/>
        <v>#DIV/0!</v>
      </c>
      <c r="AG2157" s="150" t="e">
        <f t="shared" si="775"/>
        <v>#DIV/0!</v>
      </c>
      <c r="AH2157" s="155" t="e">
        <f t="shared" si="776"/>
        <v>#DIV/0!</v>
      </c>
      <c r="AI2157" s="156" t="e">
        <f t="shared" si="756"/>
        <v>#DIV/0!</v>
      </c>
      <c r="AJ2157" s="149"/>
      <c r="AK2157" s="149"/>
      <c r="AL2157" s="157"/>
      <c r="AM2157" s="157"/>
      <c r="AN2157" s="157"/>
      <c r="AO2157" s="157"/>
      <c r="AP2157" s="157"/>
      <c r="AQ2157" s="157"/>
      <c r="AR2157" s="157"/>
    </row>
    <row r="2158" spans="1:44" ht="16.8">
      <c r="A2158" s="145">
        <v>66</v>
      </c>
      <c r="B2158" s="145">
        <v>854</v>
      </c>
      <c r="C2158" s="145" t="s">
        <v>4127</v>
      </c>
      <c r="D2158" s="146" t="s">
        <v>4128</v>
      </c>
      <c r="E2158" s="147" t="s">
        <v>178</v>
      </c>
      <c r="F2158" s="148"/>
      <c r="G2158" s="148"/>
      <c r="H2158" s="149"/>
      <c r="I2158" s="149"/>
      <c r="J2158" s="149"/>
      <c r="K2158" s="149"/>
      <c r="L2158" s="149"/>
      <c r="M2158" s="149">
        <f t="shared" si="779"/>
        <v>0</v>
      </c>
      <c r="N2158" s="149"/>
      <c r="O2158" s="149">
        <f t="shared" si="744"/>
        <v>0</v>
      </c>
      <c r="P2158" s="149"/>
      <c r="Q2158" s="149"/>
      <c r="R2158" s="149">
        <f t="shared" si="745"/>
        <v>0</v>
      </c>
      <c r="S2158" s="150" t="e">
        <f t="shared" si="746"/>
        <v>#DIV/0!</v>
      </c>
      <c r="T2158" s="151" t="e">
        <f t="shared" si="747"/>
        <v>#DIV/0!</v>
      </c>
      <c r="U2158" s="150" t="e">
        <f t="shared" si="748"/>
        <v>#NUM!</v>
      </c>
      <c r="V2158" s="150" t="e">
        <f t="shared" si="749"/>
        <v>#DIV/0!</v>
      </c>
      <c r="W2158" s="152"/>
      <c r="X2158" s="152"/>
      <c r="Y2158" s="152"/>
      <c r="Z2158" s="153">
        <f t="shared" si="780"/>
        <v>0</v>
      </c>
      <c r="AA2158" s="148">
        <f t="shared" si="705"/>
        <v>0</v>
      </c>
      <c r="AB2158" s="149"/>
      <c r="AC2158" s="149"/>
      <c r="AD2158" s="150" t="e">
        <f t="shared" si="772"/>
        <v>#DIV/0!</v>
      </c>
      <c r="AE2158" s="154" t="e">
        <f t="shared" si="773"/>
        <v>#DIV/0!</v>
      </c>
      <c r="AF2158" s="150" t="e">
        <f t="shared" si="774"/>
        <v>#DIV/0!</v>
      </c>
      <c r="AG2158" s="150" t="e">
        <f t="shared" si="775"/>
        <v>#DIV/0!</v>
      </c>
      <c r="AH2158" s="155" t="e">
        <f t="shared" si="776"/>
        <v>#DIV/0!</v>
      </c>
      <c r="AI2158" s="156" t="e">
        <f t="shared" si="756"/>
        <v>#DIV/0!</v>
      </c>
      <c r="AJ2158" s="149"/>
      <c r="AK2158" s="149"/>
      <c r="AL2158" s="157"/>
      <c r="AM2158" s="157"/>
      <c r="AN2158" s="157"/>
      <c r="AO2158" s="157"/>
      <c r="AP2158" s="157"/>
      <c r="AQ2158" s="157"/>
      <c r="AR2158" s="157"/>
    </row>
    <row r="2159" spans="1:44" ht="16.8">
      <c r="A2159" s="145">
        <v>67</v>
      </c>
      <c r="B2159" s="145">
        <v>855</v>
      </c>
      <c r="C2159" s="145" t="s">
        <v>4129</v>
      </c>
      <c r="D2159" s="146" t="s">
        <v>4130</v>
      </c>
      <c r="E2159" s="147" t="s">
        <v>178</v>
      </c>
      <c r="F2159" s="148"/>
      <c r="G2159" s="148"/>
      <c r="H2159" s="149"/>
      <c r="I2159" s="149"/>
      <c r="J2159" s="149"/>
      <c r="K2159" s="149"/>
      <c r="L2159" s="149"/>
      <c r="M2159" s="149">
        <f t="shared" si="779"/>
        <v>0</v>
      </c>
      <c r="N2159" s="149"/>
      <c r="O2159" s="149">
        <f t="shared" si="744"/>
        <v>0</v>
      </c>
      <c r="P2159" s="149"/>
      <c r="Q2159" s="149"/>
      <c r="R2159" s="149">
        <f t="shared" si="745"/>
        <v>0</v>
      </c>
      <c r="S2159" s="150" t="e">
        <f t="shared" si="746"/>
        <v>#DIV/0!</v>
      </c>
      <c r="T2159" s="151" t="e">
        <f t="shared" si="747"/>
        <v>#DIV/0!</v>
      </c>
      <c r="U2159" s="150" t="e">
        <f t="shared" si="748"/>
        <v>#NUM!</v>
      </c>
      <c r="V2159" s="150" t="e">
        <f t="shared" si="749"/>
        <v>#DIV/0!</v>
      </c>
      <c r="W2159" s="152"/>
      <c r="X2159" s="152"/>
      <c r="Y2159" s="152"/>
      <c r="Z2159" s="153">
        <f t="shared" si="780"/>
        <v>0</v>
      </c>
      <c r="AA2159" s="148">
        <f t="shared" si="705"/>
        <v>0</v>
      </c>
      <c r="AB2159" s="149"/>
      <c r="AC2159" s="149"/>
      <c r="AD2159" s="150" t="e">
        <f t="shared" si="772"/>
        <v>#DIV/0!</v>
      </c>
      <c r="AE2159" s="154" t="e">
        <f t="shared" si="773"/>
        <v>#DIV/0!</v>
      </c>
      <c r="AF2159" s="150" t="e">
        <f t="shared" si="774"/>
        <v>#DIV/0!</v>
      </c>
      <c r="AG2159" s="150" t="e">
        <f t="shared" si="775"/>
        <v>#DIV/0!</v>
      </c>
      <c r="AH2159" s="155" t="e">
        <f t="shared" si="776"/>
        <v>#DIV/0!</v>
      </c>
      <c r="AI2159" s="156" t="e">
        <f t="shared" si="756"/>
        <v>#DIV/0!</v>
      </c>
      <c r="AJ2159" s="149"/>
      <c r="AK2159" s="149"/>
      <c r="AL2159" s="157"/>
      <c r="AM2159" s="157"/>
      <c r="AN2159" s="157"/>
      <c r="AO2159" s="157"/>
      <c r="AP2159" s="157"/>
      <c r="AQ2159" s="157"/>
      <c r="AR2159" s="157"/>
    </row>
    <row r="2160" spans="1:44" ht="16.8">
      <c r="A2160" s="145">
        <v>68</v>
      </c>
      <c r="B2160" s="145">
        <v>856</v>
      </c>
      <c r="C2160" s="145" t="s">
        <v>4131</v>
      </c>
      <c r="D2160" s="146" t="s">
        <v>4132</v>
      </c>
      <c r="E2160" s="147" t="s">
        <v>178</v>
      </c>
      <c r="F2160" s="148"/>
      <c r="G2160" s="148"/>
      <c r="H2160" s="149"/>
      <c r="I2160" s="149"/>
      <c r="J2160" s="149"/>
      <c r="K2160" s="149"/>
      <c r="L2160" s="149"/>
      <c r="M2160" s="149">
        <f t="shared" si="779"/>
        <v>0</v>
      </c>
      <c r="N2160" s="149"/>
      <c r="O2160" s="149">
        <f t="shared" si="744"/>
        <v>0</v>
      </c>
      <c r="P2160" s="149"/>
      <c r="Q2160" s="149"/>
      <c r="R2160" s="149">
        <f t="shared" si="745"/>
        <v>0</v>
      </c>
      <c r="S2160" s="150" t="e">
        <f t="shared" si="746"/>
        <v>#DIV/0!</v>
      </c>
      <c r="T2160" s="151" t="e">
        <f t="shared" si="747"/>
        <v>#DIV/0!</v>
      </c>
      <c r="U2160" s="150" t="e">
        <f t="shared" si="748"/>
        <v>#NUM!</v>
      </c>
      <c r="V2160" s="150" t="e">
        <f t="shared" si="749"/>
        <v>#DIV/0!</v>
      </c>
      <c r="W2160" s="152"/>
      <c r="X2160" s="152"/>
      <c r="Y2160" s="152"/>
      <c r="Z2160" s="153">
        <f t="shared" si="780"/>
        <v>0</v>
      </c>
      <c r="AA2160" s="148">
        <f t="shared" si="705"/>
        <v>0</v>
      </c>
      <c r="AB2160" s="149"/>
      <c r="AC2160" s="149"/>
      <c r="AD2160" s="150" t="e">
        <f t="shared" si="772"/>
        <v>#DIV/0!</v>
      </c>
      <c r="AE2160" s="154" t="e">
        <f t="shared" si="773"/>
        <v>#DIV/0!</v>
      </c>
      <c r="AF2160" s="150" t="e">
        <f t="shared" si="774"/>
        <v>#DIV/0!</v>
      </c>
      <c r="AG2160" s="150" t="e">
        <f t="shared" si="775"/>
        <v>#DIV/0!</v>
      </c>
      <c r="AH2160" s="155" t="e">
        <f t="shared" si="776"/>
        <v>#DIV/0!</v>
      </c>
      <c r="AI2160" s="156" t="e">
        <f t="shared" si="756"/>
        <v>#DIV/0!</v>
      </c>
      <c r="AJ2160" s="149"/>
      <c r="AK2160" s="149"/>
      <c r="AL2160" s="157"/>
      <c r="AM2160" s="157"/>
      <c r="AN2160" s="157"/>
      <c r="AO2160" s="157"/>
      <c r="AP2160" s="157"/>
      <c r="AQ2160" s="157"/>
      <c r="AR2160" s="157"/>
    </row>
    <row r="2161" spans="1:44" ht="16.8">
      <c r="A2161" s="145">
        <v>69</v>
      </c>
      <c r="B2161" s="145">
        <v>857</v>
      </c>
      <c r="C2161" s="145" t="s">
        <v>4133</v>
      </c>
      <c r="D2161" s="146" t="s">
        <v>4134</v>
      </c>
      <c r="E2161" s="147" t="s">
        <v>178</v>
      </c>
      <c r="F2161" s="148"/>
      <c r="G2161" s="148"/>
      <c r="H2161" s="149"/>
      <c r="I2161" s="149"/>
      <c r="J2161" s="149"/>
      <c r="K2161" s="149"/>
      <c r="L2161" s="149"/>
      <c r="M2161" s="149">
        <f t="shared" si="779"/>
        <v>0</v>
      </c>
      <c r="N2161" s="149"/>
      <c r="O2161" s="149">
        <f t="shared" si="744"/>
        <v>0</v>
      </c>
      <c r="P2161" s="149"/>
      <c r="Q2161" s="149"/>
      <c r="R2161" s="149">
        <f t="shared" si="745"/>
        <v>0</v>
      </c>
      <c r="S2161" s="150" t="e">
        <f t="shared" si="746"/>
        <v>#DIV/0!</v>
      </c>
      <c r="T2161" s="151" t="e">
        <f t="shared" si="747"/>
        <v>#DIV/0!</v>
      </c>
      <c r="U2161" s="150" t="e">
        <f t="shared" si="748"/>
        <v>#NUM!</v>
      </c>
      <c r="V2161" s="150" t="e">
        <f t="shared" si="749"/>
        <v>#DIV/0!</v>
      </c>
      <c r="W2161" s="152"/>
      <c r="X2161" s="152"/>
      <c r="Y2161" s="152"/>
      <c r="Z2161" s="153">
        <f t="shared" si="780"/>
        <v>0</v>
      </c>
      <c r="AA2161" s="148">
        <f t="shared" si="705"/>
        <v>0</v>
      </c>
      <c r="AB2161" s="149"/>
      <c r="AC2161" s="149"/>
      <c r="AD2161" s="150" t="e">
        <f t="shared" si="772"/>
        <v>#DIV/0!</v>
      </c>
      <c r="AE2161" s="154" t="e">
        <f t="shared" si="773"/>
        <v>#DIV/0!</v>
      </c>
      <c r="AF2161" s="150" t="e">
        <f t="shared" si="774"/>
        <v>#DIV/0!</v>
      </c>
      <c r="AG2161" s="150" t="e">
        <f t="shared" si="775"/>
        <v>#DIV/0!</v>
      </c>
      <c r="AH2161" s="155" t="e">
        <f t="shared" si="776"/>
        <v>#DIV/0!</v>
      </c>
      <c r="AI2161" s="156" t="e">
        <f t="shared" si="756"/>
        <v>#DIV/0!</v>
      </c>
      <c r="AJ2161" s="149"/>
      <c r="AK2161" s="149"/>
      <c r="AL2161" s="157"/>
      <c r="AM2161" s="157"/>
      <c r="AN2161" s="157"/>
      <c r="AO2161" s="157"/>
      <c r="AP2161" s="157"/>
      <c r="AQ2161" s="157"/>
      <c r="AR2161" s="157"/>
    </row>
    <row r="2162" spans="1:44" ht="16.8">
      <c r="A2162" s="145">
        <v>70</v>
      </c>
      <c r="B2162" s="145">
        <v>858</v>
      </c>
      <c r="C2162" s="145" t="s">
        <v>4135</v>
      </c>
      <c r="D2162" s="146" t="s">
        <v>4136</v>
      </c>
      <c r="E2162" s="147" t="s">
        <v>178</v>
      </c>
      <c r="F2162" s="148"/>
      <c r="G2162" s="148"/>
      <c r="H2162" s="149"/>
      <c r="I2162" s="149"/>
      <c r="J2162" s="149"/>
      <c r="K2162" s="149"/>
      <c r="L2162" s="149"/>
      <c r="M2162" s="149">
        <f t="shared" si="779"/>
        <v>0</v>
      </c>
      <c r="N2162" s="149"/>
      <c r="O2162" s="149">
        <f t="shared" si="744"/>
        <v>0</v>
      </c>
      <c r="P2162" s="149"/>
      <c r="Q2162" s="149"/>
      <c r="R2162" s="149">
        <f t="shared" si="745"/>
        <v>0</v>
      </c>
      <c r="S2162" s="150" t="e">
        <f t="shared" si="746"/>
        <v>#DIV/0!</v>
      </c>
      <c r="T2162" s="151" t="e">
        <f t="shared" si="747"/>
        <v>#DIV/0!</v>
      </c>
      <c r="U2162" s="150" t="e">
        <f t="shared" si="748"/>
        <v>#NUM!</v>
      </c>
      <c r="V2162" s="150" t="e">
        <f t="shared" si="749"/>
        <v>#DIV/0!</v>
      </c>
      <c r="W2162" s="152"/>
      <c r="X2162" s="152"/>
      <c r="Y2162" s="152"/>
      <c r="Z2162" s="153">
        <f t="shared" si="780"/>
        <v>0</v>
      </c>
      <c r="AA2162" s="148">
        <f t="shared" si="705"/>
        <v>0</v>
      </c>
      <c r="AB2162" s="149"/>
      <c r="AC2162" s="149"/>
      <c r="AD2162" s="150" t="e">
        <f t="shared" si="772"/>
        <v>#DIV/0!</v>
      </c>
      <c r="AE2162" s="154" t="e">
        <f t="shared" si="773"/>
        <v>#DIV/0!</v>
      </c>
      <c r="AF2162" s="150" t="e">
        <f t="shared" si="774"/>
        <v>#DIV/0!</v>
      </c>
      <c r="AG2162" s="150" t="e">
        <f t="shared" si="775"/>
        <v>#DIV/0!</v>
      </c>
      <c r="AH2162" s="155" t="e">
        <f t="shared" si="776"/>
        <v>#DIV/0!</v>
      </c>
      <c r="AI2162" s="156" t="e">
        <f t="shared" si="756"/>
        <v>#DIV/0!</v>
      </c>
      <c r="AJ2162" s="149"/>
      <c r="AK2162" s="149"/>
      <c r="AL2162" s="157"/>
      <c r="AM2162" s="157"/>
      <c r="AN2162" s="157"/>
      <c r="AO2162" s="157"/>
      <c r="AP2162" s="157"/>
      <c r="AQ2162" s="157"/>
      <c r="AR2162" s="157"/>
    </row>
    <row r="2163" spans="1:44" ht="16.8">
      <c r="A2163" s="145">
        <v>71</v>
      </c>
      <c r="B2163" s="145">
        <v>859</v>
      </c>
      <c r="C2163" s="145" t="s">
        <v>4137</v>
      </c>
      <c r="D2163" s="146" t="s">
        <v>4138</v>
      </c>
      <c r="E2163" s="147" t="s">
        <v>178</v>
      </c>
      <c r="F2163" s="148"/>
      <c r="G2163" s="148"/>
      <c r="H2163" s="149"/>
      <c r="I2163" s="149"/>
      <c r="J2163" s="149"/>
      <c r="K2163" s="149"/>
      <c r="L2163" s="149"/>
      <c r="M2163" s="149">
        <f t="shared" si="779"/>
        <v>0</v>
      </c>
      <c r="N2163" s="149"/>
      <c r="O2163" s="149">
        <f t="shared" si="744"/>
        <v>0</v>
      </c>
      <c r="P2163" s="149"/>
      <c r="Q2163" s="149"/>
      <c r="R2163" s="149">
        <f t="shared" si="745"/>
        <v>0</v>
      </c>
      <c r="S2163" s="150" t="e">
        <f t="shared" si="746"/>
        <v>#DIV/0!</v>
      </c>
      <c r="T2163" s="151" t="e">
        <f t="shared" si="747"/>
        <v>#DIV/0!</v>
      </c>
      <c r="U2163" s="150" t="e">
        <f t="shared" si="748"/>
        <v>#NUM!</v>
      </c>
      <c r="V2163" s="150" t="e">
        <f t="shared" si="749"/>
        <v>#DIV/0!</v>
      </c>
      <c r="W2163" s="152"/>
      <c r="X2163" s="152"/>
      <c r="Y2163" s="152"/>
      <c r="Z2163" s="153">
        <f t="shared" si="780"/>
        <v>0</v>
      </c>
      <c r="AA2163" s="148">
        <f t="shared" si="705"/>
        <v>0</v>
      </c>
      <c r="AB2163" s="149"/>
      <c r="AC2163" s="149"/>
      <c r="AD2163" s="150" t="e">
        <f t="shared" si="772"/>
        <v>#DIV/0!</v>
      </c>
      <c r="AE2163" s="154" t="e">
        <f t="shared" si="773"/>
        <v>#DIV/0!</v>
      </c>
      <c r="AF2163" s="150" t="e">
        <f t="shared" si="774"/>
        <v>#DIV/0!</v>
      </c>
      <c r="AG2163" s="150" t="e">
        <f t="shared" si="775"/>
        <v>#DIV/0!</v>
      </c>
      <c r="AH2163" s="155" t="e">
        <f t="shared" si="776"/>
        <v>#DIV/0!</v>
      </c>
      <c r="AI2163" s="156" t="e">
        <f t="shared" si="756"/>
        <v>#DIV/0!</v>
      </c>
      <c r="AJ2163" s="149"/>
      <c r="AK2163" s="149"/>
      <c r="AL2163" s="157"/>
      <c r="AM2163" s="157"/>
      <c r="AN2163" s="157"/>
      <c r="AO2163" s="157"/>
      <c r="AP2163" s="157"/>
      <c r="AQ2163" s="157"/>
      <c r="AR2163" s="157"/>
    </row>
    <row r="2164" spans="1:44" ht="16.8">
      <c r="A2164" s="145">
        <v>72</v>
      </c>
      <c r="B2164" s="145">
        <v>860</v>
      </c>
      <c r="C2164" s="145" t="s">
        <v>4139</v>
      </c>
      <c r="D2164" s="146" t="s">
        <v>4140</v>
      </c>
      <c r="E2164" s="147" t="s">
        <v>1371</v>
      </c>
      <c r="F2164" s="148"/>
      <c r="G2164" s="148"/>
      <c r="H2164" s="149"/>
      <c r="I2164" s="149"/>
      <c r="J2164" s="149"/>
      <c r="K2164" s="149"/>
      <c r="L2164" s="149"/>
      <c r="M2164" s="149">
        <f t="shared" si="779"/>
        <v>0</v>
      </c>
      <c r="N2164" s="149"/>
      <c r="O2164" s="149">
        <f t="shared" si="744"/>
        <v>0</v>
      </c>
      <c r="P2164" s="149"/>
      <c r="Q2164" s="149"/>
      <c r="R2164" s="149">
        <f t="shared" si="745"/>
        <v>0</v>
      </c>
      <c r="S2164" s="150" t="e">
        <f t="shared" si="746"/>
        <v>#DIV/0!</v>
      </c>
      <c r="T2164" s="151" t="e">
        <f t="shared" si="747"/>
        <v>#DIV/0!</v>
      </c>
      <c r="U2164" s="150" t="e">
        <f t="shared" si="748"/>
        <v>#NUM!</v>
      </c>
      <c r="V2164" s="150" t="e">
        <f t="shared" si="749"/>
        <v>#DIV/0!</v>
      </c>
      <c r="W2164" s="152"/>
      <c r="X2164" s="152"/>
      <c r="Y2164" s="152"/>
      <c r="Z2164" s="153">
        <f t="shared" si="780"/>
        <v>0</v>
      </c>
      <c r="AA2164" s="148">
        <f t="shared" si="705"/>
        <v>0</v>
      </c>
      <c r="AB2164" s="149"/>
      <c r="AC2164" s="149"/>
      <c r="AD2164" s="150" t="e">
        <f t="shared" si="772"/>
        <v>#DIV/0!</v>
      </c>
      <c r="AE2164" s="154" t="e">
        <f t="shared" si="773"/>
        <v>#DIV/0!</v>
      </c>
      <c r="AF2164" s="150" t="e">
        <f t="shared" si="774"/>
        <v>#DIV/0!</v>
      </c>
      <c r="AG2164" s="150" t="e">
        <f t="shared" si="775"/>
        <v>#DIV/0!</v>
      </c>
      <c r="AH2164" s="155" t="e">
        <f t="shared" si="776"/>
        <v>#DIV/0!</v>
      </c>
      <c r="AI2164" s="156" t="e">
        <f t="shared" si="756"/>
        <v>#DIV/0!</v>
      </c>
      <c r="AJ2164" s="149"/>
      <c r="AK2164" s="149"/>
      <c r="AL2164" s="157"/>
      <c r="AM2164" s="157"/>
      <c r="AN2164" s="157"/>
      <c r="AO2164" s="157"/>
      <c r="AP2164" s="157"/>
      <c r="AQ2164" s="157"/>
      <c r="AR2164" s="157"/>
    </row>
    <row r="2165" spans="1:44" ht="16.8">
      <c r="A2165" s="145">
        <v>73</v>
      </c>
      <c r="B2165" s="145">
        <v>861</v>
      </c>
      <c r="C2165" s="145" t="s">
        <v>4141</v>
      </c>
      <c r="D2165" s="146" t="s">
        <v>4142</v>
      </c>
      <c r="E2165" s="147" t="s">
        <v>178</v>
      </c>
      <c r="F2165" s="148"/>
      <c r="G2165" s="148"/>
      <c r="H2165" s="149"/>
      <c r="I2165" s="149"/>
      <c r="J2165" s="149"/>
      <c r="K2165" s="149"/>
      <c r="L2165" s="149"/>
      <c r="M2165" s="149">
        <f t="shared" si="779"/>
        <v>0</v>
      </c>
      <c r="N2165" s="149"/>
      <c r="O2165" s="149">
        <f t="shared" si="744"/>
        <v>0</v>
      </c>
      <c r="P2165" s="149"/>
      <c r="Q2165" s="149"/>
      <c r="R2165" s="149">
        <f t="shared" si="745"/>
        <v>0</v>
      </c>
      <c r="S2165" s="150" t="e">
        <f t="shared" si="746"/>
        <v>#DIV/0!</v>
      </c>
      <c r="T2165" s="151" t="e">
        <f t="shared" si="747"/>
        <v>#DIV/0!</v>
      </c>
      <c r="U2165" s="150" t="e">
        <f t="shared" si="748"/>
        <v>#NUM!</v>
      </c>
      <c r="V2165" s="150" t="e">
        <f t="shared" si="749"/>
        <v>#DIV/0!</v>
      </c>
      <c r="W2165" s="152"/>
      <c r="X2165" s="152"/>
      <c r="Y2165" s="152"/>
      <c r="Z2165" s="153">
        <f t="shared" si="780"/>
        <v>0</v>
      </c>
      <c r="AA2165" s="148">
        <f t="shared" si="705"/>
        <v>0</v>
      </c>
      <c r="AB2165" s="149"/>
      <c r="AC2165" s="149"/>
      <c r="AD2165" s="150" t="e">
        <f t="shared" si="772"/>
        <v>#DIV/0!</v>
      </c>
      <c r="AE2165" s="154" t="e">
        <f t="shared" si="773"/>
        <v>#DIV/0!</v>
      </c>
      <c r="AF2165" s="150" t="e">
        <f t="shared" si="774"/>
        <v>#DIV/0!</v>
      </c>
      <c r="AG2165" s="150" t="e">
        <f t="shared" si="775"/>
        <v>#DIV/0!</v>
      </c>
      <c r="AH2165" s="155" t="e">
        <f t="shared" si="776"/>
        <v>#DIV/0!</v>
      </c>
      <c r="AI2165" s="156" t="e">
        <f t="shared" si="756"/>
        <v>#DIV/0!</v>
      </c>
      <c r="AJ2165" s="149"/>
      <c r="AK2165" s="149"/>
      <c r="AL2165" s="157"/>
      <c r="AM2165" s="157"/>
      <c r="AN2165" s="157"/>
      <c r="AO2165" s="157"/>
      <c r="AP2165" s="157"/>
      <c r="AQ2165" s="157"/>
      <c r="AR2165" s="157"/>
    </row>
    <row r="2166" spans="1:44" ht="16.8">
      <c r="A2166" s="145">
        <v>74</v>
      </c>
      <c r="B2166" s="145">
        <v>862</v>
      </c>
      <c r="C2166" s="145" t="s">
        <v>4143</v>
      </c>
      <c r="D2166" s="146" t="s">
        <v>4144</v>
      </c>
      <c r="E2166" s="147" t="s">
        <v>178</v>
      </c>
      <c r="F2166" s="148"/>
      <c r="G2166" s="148"/>
      <c r="H2166" s="149"/>
      <c r="I2166" s="149"/>
      <c r="J2166" s="149"/>
      <c r="K2166" s="149"/>
      <c r="L2166" s="149"/>
      <c r="M2166" s="149">
        <f t="shared" si="779"/>
        <v>0</v>
      </c>
      <c r="N2166" s="149"/>
      <c r="O2166" s="149">
        <f t="shared" si="744"/>
        <v>0</v>
      </c>
      <c r="P2166" s="149"/>
      <c r="Q2166" s="149"/>
      <c r="R2166" s="149">
        <f t="shared" si="745"/>
        <v>0</v>
      </c>
      <c r="S2166" s="150" t="e">
        <f t="shared" si="746"/>
        <v>#DIV/0!</v>
      </c>
      <c r="T2166" s="151" t="e">
        <f t="shared" si="747"/>
        <v>#DIV/0!</v>
      </c>
      <c r="U2166" s="150" t="e">
        <f t="shared" si="748"/>
        <v>#NUM!</v>
      </c>
      <c r="V2166" s="150" t="e">
        <f t="shared" si="749"/>
        <v>#DIV/0!</v>
      </c>
      <c r="W2166" s="152"/>
      <c r="X2166" s="152"/>
      <c r="Y2166" s="152"/>
      <c r="Z2166" s="153">
        <f t="shared" si="780"/>
        <v>0</v>
      </c>
      <c r="AA2166" s="148">
        <f t="shared" si="705"/>
        <v>0</v>
      </c>
      <c r="AB2166" s="149"/>
      <c r="AC2166" s="149"/>
      <c r="AD2166" s="150" t="e">
        <f t="shared" si="772"/>
        <v>#DIV/0!</v>
      </c>
      <c r="AE2166" s="154" t="e">
        <f t="shared" si="773"/>
        <v>#DIV/0!</v>
      </c>
      <c r="AF2166" s="150" t="e">
        <f t="shared" si="774"/>
        <v>#DIV/0!</v>
      </c>
      <c r="AG2166" s="150" t="e">
        <f t="shared" si="775"/>
        <v>#DIV/0!</v>
      </c>
      <c r="AH2166" s="155" t="e">
        <f t="shared" si="776"/>
        <v>#DIV/0!</v>
      </c>
      <c r="AI2166" s="156" t="e">
        <f t="shared" si="756"/>
        <v>#DIV/0!</v>
      </c>
      <c r="AJ2166" s="149"/>
      <c r="AK2166" s="149"/>
      <c r="AL2166" s="157"/>
      <c r="AM2166" s="157"/>
      <c r="AN2166" s="157"/>
      <c r="AO2166" s="157"/>
      <c r="AP2166" s="157"/>
      <c r="AQ2166" s="157"/>
      <c r="AR2166" s="157"/>
    </row>
    <row r="2167" spans="1:44" ht="16.8">
      <c r="A2167" s="145">
        <v>75</v>
      </c>
      <c r="B2167" s="145">
        <v>863</v>
      </c>
      <c r="C2167" s="145" t="s">
        <v>4145</v>
      </c>
      <c r="D2167" s="146" t="s">
        <v>4146</v>
      </c>
      <c r="E2167" s="147" t="s">
        <v>178</v>
      </c>
      <c r="F2167" s="148"/>
      <c r="G2167" s="148"/>
      <c r="H2167" s="149"/>
      <c r="I2167" s="149"/>
      <c r="J2167" s="149"/>
      <c r="K2167" s="149"/>
      <c r="L2167" s="149"/>
      <c r="M2167" s="149">
        <f t="shared" si="779"/>
        <v>0</v>
      </c>
      <c r="N2167" s="149"/>
      <c r="O2167" s="149">
        <f t="shared" si="744"/>
        <v>0</v>
      </c>
      <c r="P2167" s="149"/>
      <c r="Q2167" s="149"/>
      <c r="R2167" s="149">
        <f t="shared" si="745"/>
        <v>0</v>
      </c>
      <c r="S2167" s="150" t="e">
        <f t="shared" si="746"/>
        <v>#DIV/0!</v>
      </c>
      <c r="T2167" s="151" t="e">
        <f t="shared" si="747"/>
        <v>#DIV/0!</v>
      </c>
      <c r="U2167" s="150" t="e">
        <f t="shared" si="748"/>
        <v>#NUM!</v>
      </c>
      <c r="V2167" s="150" t="e">
        <f t="shared" si="749"/>
        <v>#DIV/0!</v>
      </c>
      <c r="W2167" s="152"/>
      <c r="X2167" s="152"/>
      <c r="Y2167" s="152"/>
      <c r="Z2167" s="153">
        <f t="shared" si="780"/>
        <v>0</v>
      </c>
      <c r="AA2167" s="148">
        <f t="shared" si="705"/>
        <v>0</v>
      </c>
      <c r="AB2167" s="149"/>
      <c r="AC2167" s="149"/>
      <c r="AD2167" s="150" t="e">
        <f t="shared" si="772"/>
        <v>#DIV/0!</v>
      </c>
      <c r="AE2167" s="154" t="e">
        <f t="shared" si="773"/>
        <v>#DIV/0!</v>
      </c>
      <c r="AF2167" s="150" t="e">
        <f t="shared" si="774"/>
        <v>#DIV/0!</v>
      </c>
      <c r="AG2167" s="150" t="e">
        <f t="shared" si="775"/>
        <v>#DIV/0!</v>
      </c>
      <c r="AH2167" s="155" t="e">
        <f t="shared" si="776"/>
        <v>#DIV/0!</v>
      </c>
      <c r="AI2167" s="156" t="e">
        <f t="shared" si="756"/>
        <v>#DIV/0!</v>
      </c>
      <c r="AJ2167" s="149"/>
      <c r="AK2167" s="149"/>
      <c r="AL2167" s="157"/>
      <c r="AM2167" s="157"/>
      <c r="AN2167" s="157"/>
      <c r="AO2167" s="157"/>
      <c r="AP2167" s="157"/>
      <c r="AQ2167" s="157"/>
      <c r="AR2167" s="157"/>
    </row>
    <row r="2168" spans="1:44" ht="16.8">
      <c r="A2168" s="145">
        <v>76</v>
      </c>
      <c r="B2168" s="145">
        <v>864</v>
      </c>
      <c r="C2168" s="145" t="s">
        <v>4147</v>
      </c>
      <c r="D2168" s="146" t="s">
        <v>4148</v>
      </c>
      <c r="E2168" s="147" t="s">
        <v>178</v>
      </c>
      <c r="F2168" s="148"/>
      <c r="G2168" s="148"/>
      <c r="H2168" s="149"/>
      <c r="I2168" s="149"/>
      <c r="J2168" s="149"/>
      <c r="K2168" s="149"/>
      <c r="L2168" s="149"/>
      <c r="M2168" s="149">
        <f t="shared" si="779"/>
        <v>0</v>
      </c>
      <c r="N2168" s="149"/>
      <c r="O2168" s="149">
        <f t="shared" si="744"/>
        <v>0</v>
      </c>
      <c r="P2168" s="149"/>
      <c r="Q2168" s="149"/>
      <c r="R2168" s="149">
        <f t="shared" si="745"/>
        <v>0</v>
      </c>
      <c r="S2168" s="150" t="e">
        <f t="shared" si="746"/>
        <v>#DIV/0!</v>
      </c>
      <c r="T2168" s="151" t="e">
        <f t="shared" si="747"/>
        <v>#DIV/0!</v>
      </c>
      <c r="U2168" s="150" t="e">
        <f t="shared" si="748"/>
        <v>#NUM!</v>
      </c>
      <c r="V2168" s="150" t="e">
        <f t="shared" si="749"/>
        <v>#DIV/0!</v>
      </c>
      <c r="W2168" s="152"/>
      <c r="X2168" s="152"/>
      <c r="Y2168" s="152"/>
      <c r="Z2168" s="153">
        <f t="shared" si="780"/>
        <v>0</v>
      </c>
      <c r="AA2168" s="148">
        <f t="shared" si="705"/>
        <v>0</v>
      </c>
      <c r="AB2168" s="149"/>
      <c r="AC2168" s="149"/>
      <c r="AD2168" s="150" t="e">
        <f t="shared" si="772"/>
        <v>#DIV/0!</v>
      </c>
      <c r="AE2168" s="154" t="e">
        <f t="shared" si="773"/>
        <v>#DIV/0!</v>
      </c>
      <c r="AF2168" s="150" t="e">
        <f t="shared" si="774"/>
        <v>#DIV/0!</v>
      </c>
      <c r="AG2168" s="150" t="e">
        <f t="shared" si="775"/>
        <v>#DIV/0!</v>
      </c>
      <c r="AH2168" s="155" t="e">
        <f t="shared" si="776"/>
        <v>#DIV/0!</v>
      </c>
      <c r="AI2168" s="156" t="e">
        <f t="shared" si="756"/>
        <v>#DIV/0!</v>
      </c>
      <c r="AJ2168" s="149"/>
      <c r="AK2168" s="149"/>
      <c r="AL2168" s="157"/>
      <c r="AM2168" s="157"/>
      <c r="AN2168" s="157"/>
      <c r="AO2168" s="157"/>
      <c r="AP2168" s="157"/>
      <c r="AQ2168" s="157"/>
      <c r="AR2168" s="157"/>
    </row>
    <row r="2169" spans="1:44" ht="16.8">
      <c r="A2169" s="145">
        <v>77</v>
      </c>
      <c r="B2169" s="145">
        <v>865</v>
      </c>
      <c r="C2169" s="145" t="s">
        <v>4149</v>
      </c>
      <c r="D2169" s="146" t="s">
        <v>4150</v>
      </c>
      <c r="E2169" s="147" t="s">
        <v>178</v>
      </c>
      <c r="F2169" s="148"/>
      <c r="G2169" s="148"/>
      <c r="H2169" s="149"/>
      <c r="I2169" s="149"/>
      <c r="J2169" s="149"/>
      <c r="K2169" s="149"/>
      <c r="L2169" s="149"/>
      <c r="M2169" s="149">
        <f t="shared" si="779"/>
        <v>0</v>
      </c>
      <c r="N2169" s="149"/>
      <c r="O2169" s="149">
        <f t="shared" si="744"/>
        <v>0</v>
      </c>
      <c r="P2169" s="149"/>
      <c r="Q2169" s="149"/>
      <c r="R2169" s="149">
        <f t="shared" si="745"/>
        <v>0</v>
      </c>
      <c r="S2169" s="150" t="e">
        <f t="shared" si="746"/>
        <v>#DIV/0!</v>
      </c>
      <c r="T2169" s="151" t="e">
        <f t="shared" si="747"/>
        <v>#DIV/0!</v>
      </c>
      <c r="U2169" s="150" t="e">
        <f t="shared" si="748"/>
        <v>#NUM!</v>
      </c>
      <c r="V2169" s="150" t="e">
        <f t="shared" si="749"/>
        <v>#DIV/0!</v>
      </c>
      <c r="W2169" s="152"/>
      <c r="X2169" s="152"/>
      <c r="Y2169" s="152"/>
      <c r="Z2169" s="153">
        <f t="shared" si="780"/>
        <v>0</v>
      </c>
      <c r="AA2169" s="148">
        <f t="shared" si="705"/>
        <v>0</v>
      </c>
      <c r="AB2169" s="149"/>
      <c r="AC2169" s="149"/>
      <c r="AD2169" s="150" t="e">
        <f t="shared" si="772"/>
        <v>#DIV/0!</v>
      </c>
      <c r="AE2169" s="154" t="e">
        <f t="shared" si="773"/>
        <v>#DIV/0!</v>
      </c>
      <c r="AF2169" s="150" t="e">
        <f t="shared" si="774"/>
        <v>#DIV/0!</v>
      </c>
      <c r="AG2169" s="150" t="e">
        <f t="shared" si="775"/>
        <v>#DIV/0!</v>
      </c>
      <c r="AH2169" s="155" t="e">
        <f t="shared" si="776"/>
        <v>#DIV/0!</v>
      </c>
      <c r="AI2169" s="156" t="e">
        <f t="shared" si="756"/>
        <v>#DIV/0!</v>
      </c>
      <c r="AJ2169" s="149"/>
      <c r="AK2169" s="149"/>
      <c r="AL2169" s="157"/>
      <c r="AM2169" s="157"/>
      <c r="AN2169" s="157"/>
      <c r="AO2169" s="157"/>
      <c r="AP2169" s="157"/>
      <c r="AQ2169" s="157"/>
      <c r="AR2169" s="157"/>
    </row>
    <row r="2170" spans="1:44" ht="16.8">
      <c r="A2170" s="145">
        <v>78</v>
      </c>
      <c r="B2170" s="145">
        <v>866</v>
      </c>
      <c r="C2170" s="145" t="s">
        <v>4151</v>
      </c>
      <c r="D2170" s="146" t="s">
        <v>4152</v>
      </c>
      <c r="E2170" s="147" t="s">
        <v>178</v>
      </c>
      <c r="F2170" s="148"/>
      <c r="G2170" s="148"/>
      <c r="H2170" s="149"/>
      <c r="I2170" s="149"/>
      <c r="J2170" s="149"/>
      <c r="K2170" s="149"/>
      <c r="L2170" s="149"/>
      <c r="M2170" s="149">
        <f t="shared" si="779"/>
        <v>0</v>
      </c>
      <c r="N2170" s="149"/>
      <c r="O2170" s="149">
        <f t="shared" si="744"/>
        <v>0</v>
      </c>
      <c r="P2170" s="149"/>
      <c r="Q2170" s="149"/>
      <c r="R2170" s="149">
        <f t="shared" si="745"/>
        <v>0</v>
      </c>
      <c r="S2170" s="150" t="e">
        <f t="shared" si="746"/>
        <v>#DIV/0!</v>
      </c>
      <c r="T2170" s="151" t="e">
        <f t="shared" si="747"/>
        <v>#DIV/0!</v>
      </c>
      <c r="U2170" s="150" t="e">
        <f t="shared" si="748"/>
        <v>#NUM!</v>
      </c>
      <c r="V2170" s="150" t="e">
        <f t="shared" si="749"/>
        <v>#DIV/0!</v>
      </c>
      <c r="W2170" s="152"/>
      <c r="X2170" s="152"/>
      <c r="Y2170" s="152"/>
      <c r="Z2170" s="153">
        <f t="shared" si="780"/>
        <v>0</v>
      </c>
      <c r="AA2170" s="148">
        <f t="shared" si="705"/>
        <v>0</v>
      </c>
      <c r="AB2170" s="149"/>
      <c r="AC2170" s="149"/>
      <c r="AD2170" s="150" t="e">
        <f t="shared" si="772"/>
        <v>#DIV/0!</v>
      </c>
      <c r="AE2170" s="154" t="e">
        <f t="shared" si="773"/>
        <v>#DIV/0!</v>
      </c>
      <c r="AF2170" s="150" t="e">
        <f t="shared" si="774"/>
        <v>#DIV/0!</v>
      </c>
      <c r="AG2170" s="150" t="e">
        <f t="shared" si="775"/>
        <v>#DIV/0!</v>
      </c>
      <c r="AH2170" s="155" t="e">
        <f t="shared" si="776"/>
        <v>#DIV/0!</v>
      </c>
      <c r="AI2170" s="156" t="e">
        <f t="shared" si="756"/>
        <v>#DIV/0!</v>
      </c>
      <c r="AJ2170" s="149"/>
      <c r="AK2170" s="149"/>
      <c r="AL2170" s="157"/>
      <c r="AM2170" s="157"/>
      <c r="AN2170" s="157"/>
      <c r="AO2170" s="157"/>
      <c r="AP2170" s="157"/>
      <c r="AQ2170" s="157"/>
      <c r="AR2170" s="157"/>
    </row>
    <row r="2171" spans="1:44" ht="16.8">
      <c r="A2171" s="145">
        <v>79</v>
      </c>
      <c r="B2171" s="145">
        <v>867</v>
      </c>
      <c r="C2171" s="145" t="s">
        <v>4153</v>
      </c>
      <c r="D2171" s="146" t="s">
        <v>4154</v>
      </c>
      <c r="E2171" s="147" t="s">
        <v>178</v>
      </c>
      <c r="F2171" s="148"/>
      <c r="G2171" s="148"/>
      <c r="H2171" s="149"/>
      <c r="I2171" s="149"/>
      <c r="J2171" s="149"/>
      <c r="K2171" s="149"/>
      <c r="L2171" s="149"/>
      <c r="M2171" s="149">
        <f t="shared" si="779"/>
        <v>0</v>
      </c>
      <c r="N2171" s="149"/>
      <c r="O2171" s="149">
        <f t="shared" si="744"/>
        <v>0</v>
      </c>
      <c r="P2171" s="149"/>
      <c r="Q2171" s="149"/>
      <c r="R2171" s="149">
        <f t="shared" si="745"/>
        <v>0</v>
      </c>
      <c r="S2171" s="150" t="e">
        <f t="shared" si="746"/>
        <v>#DIV/0!</v>
      </c>
      <c r="T2171" s="151" t="e">
        <f t="shared" si="747"/>
        <v>#DIV/0!</v>
      </c>
      <c r="U2171" s="150" t="e">
        <f t="shared" si="748"/>
        <v>#NUM!</v>
      </c>
      <c r="V2171" s="150" t="e">
        <f t="shared" si="749"/>
        <v>#DIV/0!</v>
      </c>
      <c r="W2171" s="152"/>
      <c r="X2171" s="152"/>
      <c r="Y2171" s="152"/>
      <c r="Z2171" s="153">
        <f t="shared" si="780"/>
        <v>0</v>
      </c>
      <c r="AA2171" s="148">
        <f t="shared" si="705"/>
        <v>0</v>
      </c>
      <c r="AB2171" s="149"/>
      <c r="AC2171" s="149"/>
      <c r="AD2171" s="150" t="e">
        <f t="shared" si="772"/>
        <v>#DIV/0!</v>
      </c>
      <c r="AE2171" s="154" t="e">
        <f t="shared" si="773"/>
        <v>#DIV/0!</v>
      </c>
      <c r="AF2171" s="150" t="e">
        <f t="shared" si="774"/>
        <v>#DIV/0!</v>
      </c>
      <c r="AG2171" s="150" t="e">
        <f t="shared" si="775"/>
        <v>#DIV/0!</v>
      </c>
      <c r="AH2171" s="155" t="e">
        <f t="shared" si="776"/>
        <v>#DIV/0!</v>
      </c>
      <c r="AI2171" s="156" t="e">
        <f t="shared" si="756"/>
        <v>#DIV/0!</v>
      </c>
      <c r="AJ2171" s="149"/>
      <c r="AK2171" s="149"/>
      <c r="AL2171" s="157"/>
      <c r="AM2171" s="157"/>
      <c r="AN2171" s="157"/>
      <c r="AO2171" s="157"/>
      <c r="AP2171" s="157"/>
      <c r="AQ2171" s="157"/>
      <c r="AR2171" s="157"/>
    </row>
    <row r="2172" spans="1:44" ht="16.8">
      <c r="A2172" s="145">
        <v>80</v>
      </c>
      <c r="B2172" s="145">
        <v>868</v>
      </c>
      <c r="C2172" s="145" t="s">
        <v>4155</v>
      </c>
      <c r="D2172" s="146" t="s">
        <v>4156</v>
      </c>
      <c r="E2172" s="147" t="s">
        <v>1371</v>
      </c>
      <c r="F2172" s="148"/>
      <c r="G2172" s="148"/>
      <c r="H2172" s="149"/>
      <c r="I2172" s="149"/>
      <c r="J2172" s="149"/>
      <c r="K2172" s="149"/>
      <c r="L2172" s="149"/>
      <c r="M2172" s="149">
        <f t="shared" si="779"/>
        <v>0</v>
      </c>
      <c r="N2172" s="149"/>
      <c r="O2172" s="149">
        <f t="shared" si="744"/>
        <v>0</v>
      </c>
      <c r="P2172" s="149"/>
      <c r="Q2172" s="149"/>
      <c r="R2172" s="149">
        <f t="shared" si="745"/>
        <v>0</v>
      </c>
      <c r="S2172" s="150" t="e">
        <f t="shared" si="746"/>
        <v>#DIV/0!</v>
      </c>
      <c r="T2172" s="151" t="e">
        <f t="shared" si="747"/>
        <v>#DIV/0!</v>
      </c>
      <c r="U2172" s="150" t="e">
        <f t="shared" si="748"/>
        <v>#NUM!</v>
      </c>
      <c r="V2172" s="150" t="e">
        <f t="shared" si="749"/>
        <v>#DIV/0!</v>
      </c>
      <c r="W2172" s="152"/>
      <c r="X2172" s="152"/>
      <c r="Y2172" s="152"/>
      <c r="Z2172" s="153">
        <f t="shared" si="780"/>
        <v>0</v>
      </c>
      <c r="AA2172" s="148">
        <f t="shared" si="705"/>
        <v>0</v>
      </c>
      <c r="AB2172" s="149"/>
      <c r="AC2172" s="149"/>
      <c r="AD2172" s="150" t="e">
        <f t="shared" si="772"/>
        <v>#DIV/0!</v>
      </c>
      <c r="AE2172" s="154" t="e">
        <f t="shared" si="773"/>
        <v>#DIV/0!</v>
      </c>
      <c r="AF2172" s="150" t="e">
        <f t="shared" si="774"/>
        <v>#DIV/0!</v>
      </c>
      <c r="AG2172" s="150" t="e">
        <f t="shared" si="775"/>
        <v>#DIV/0!</v>
      </c>
      <c r="AH2172" s="155" t="e">
        <f t="shared" si="776"/>
        <v>#DIV/0!</v>
      </c>
      <c r="AI2172" s="156" t="e">
        <f t="shared" si="756"/>
        <v>#DIV/0!</v>
      </c>
      <c r="AJ2172" s="149"/>
      <c r="AK2172" s="149"/>
      <c r="AL2172" s="157"/>
      <c r="AM2172" s="157"/>
      <c r="AN2172" s="157"/>
      <c r="AO2172" s="157"/>
      <c r="AP2172" s="157"/>
      <c r="AQ2172" s="157"/>
      <c r="AR2172" s="157"/>
    </row>
    <row r="2173" spans="1:44" ht="16.8">
      <c r="A2173" s="145">
        <v>81</v>
      </c>
      <c r="B2173" s="145">
        <v>869</v>
      </c>
      <c r="C2173" s="145" t="s">
        <v>4157</v>
      </c>
      <c r="D2173" s="146" t="s">
        <v>4158</v>
      </c>
      <c r="E2173" s="147" t="s">
        <v>1371</v>
      </c>
      <c r="F2173" s="148"/>
      <c r="G2173" s="148"/>
      <c r="H2173" s="149"/>
      <c r="I2173" s="149"/>
      <c r="J2173" s="149"/>
      <c r="K2173" s="149"/>
      <c r="L2173" s="149"/>
      <c r="M2173" s="149">
        <f t="shared" si="779"/>
        <v>0</v>
      </c>
      <c r="N2173" s="149"/>
      <c r="O2173" s="149">
        <f t="shared" si="744"/>
        <v>0</v>
      </c>
      <c r="P2173" s="149"/>
      <c r="Q2173" s="149"/>
      <c r="R2173" s="149">
        <f t="shared" si="745"/>
        <v>0</v>
      </c>
      <c r="S2173" s="150" t="e">
        <f t="shared" si="746"/>
        <v>#DIV/0!</v>
      </c>
      <c r="T2173" s="151" t="e">
        <f t="shared" si="747"/>
        <v>#DIV/0!</v>
      </c>
      <c r="U2173" s="150" t="e">
        <f t="shared" si="748"/>
        <v>#NUM!</v>
      </c>
      <c r="V2173" s="150" t="e">
        <f t="shared" si="749"/>
        <v>#DIV/0!</v>
      </c>
      <c r="W2173" s="152"/>
      <c r="X2173" s="152"/>
      <c r="Y2173" s="152"/>
      <c r="Z2173" s="153">
        <f t="shared" si="780"/>
        <v>0</v>
      </c>
      <c r="AA2173" s="148">
        <f t="shared" si="705"/>
        <v>0</v>
      </c>
      <c r="AB2173" s="149"/>
      <c r="AC2173" s="149"/>
      <c r="AD2173" s="150" t="e">
        <f t="shared" si="772"/>
        <v>#DIV/0!</v>
      </c>
      <c r="AE2173" s="154" t="e">
        <f t="shared" si="773"/>
        <v>#DIV/0!</v>
      </c>
      <c r="AF2173" s="150" t="e">
        <f t="shared" si="774"/>
        <v>#DIV/0!</v>
      </c>
      <c r="AG2173" s="150" t="e">
        <f t="shared" si="775"/>
        <v>#DIV/0!</v>
      </c>
      <c r="AH2173" s="155" t="e">
        <f t="shared" si="776"/>
        <v>#DIV/0!</v>
      </c>
      <c r="AI2173" s="156" t="e">
        <f t="shared" si="756"/>
        <v>#DIV/0!</v>
      </c>
      <c r="AJ2173" s="149"/>
      <c r="AK2173" s="149"/>
      <c r="AL2173" s="157"/>
      <c r="AM2173" s="157"/>
      <c r="AN2173" s="157"/>
      <c r="AO2173" s="157"/>
      <c r="AP2173" s="157"/>
      <c r="AQ2173" s="157"/>
      <c r="AR2173" s="157"/>
    </row>
    <row r="2174" spans="1:44" ht="16.8">
      <c r="A2174" s="145">
        <v>82</v>
      </c>
      <c r="B2174" s="145">
        <v>870</v>
      </c>
      <c r="C2174" s="145" t="s">
        <v>4159</v>
      </c>
      <c r="D2174" s="146" t="s">
        <v>4160</v>
      </c>
      <c r="E2174" s="147" t="s">
        <v>1371</v>
      </c>
      <c r="F2174" s="148"/>
      <c r="G2174" s="148"/>
      <c r="H2174" s="149"/>
      <c r="I2174" s="149"/>
      <c r="J2174" s="149"/>
      <c r="K2174" s="149"/>
      <c r="L2174" s="149"/>
      <c r="M2174" s="149">
        <f t="shared" si="779"/>
        <v>0</v>
      </c>
      <c r="N2174" s="149"/>
      <c r="O2174" s="149">
        <f t="shared" si="744"/>
        <v>0</v>
      </c>
      <c r="P2174" s="149"/>
      <c r="Q2174" s="149"/>
      <c r="R2174" s="149">
        <f t="shared" si="745"/>
        <v>0</v>
      </c>
      <c r="S2174" s="150" t="e">
        <f t="shared" si="746"/>
        <v>#DIV/0!</v>
      </c>
      <c r="T2174" s="151" t="e">
        <f t="shared" si="747"/>
        <v>#DIV/0!</v>
      </c>
      <c r="U2174" s="150" t="e">
        <f t="shared" si="748"/>
        <v>#NUM!</v>
      </c>
      <c r="V2174" s="150" t="e">
        <f t="shared" si="749"/>
        <v>#DIV/0!</v>
      </c>
      <c r="W2174" s="152"/>
      <c r="X2174" s="152"/>
      <c r="Y2174" s="152"/>
      <c r="Z2174" s="153">
        <f t="shared" si="780"/>
        <v>0</v>
      </c>
      <c r="AA2174" s="148">
        <f t="shared" si="705"/>
        <v>0</v>
      </c>
      <c r="AB2174" s="149"/>
      <c r="AC2174" s="149"/>
      <c r="AD2174" s="150" t="e">
        <f t="shared" si="772"/>
        <v>#DIV/0!</v>
      </c>
      <c r="AE2174" s="154" t="e">
        <f t="shared" si="773"/>
        <v>#DIV/0!</v>
      </c>
      <c r="AF2174" s="150" t="e">
        <f t="shared" si="774"/>
        <v>#DIV/0!</v>
      </c>
      <c r="AG2174" s="150" t="e">
        <f t="shared" si="775"/>
        <v>#DIV/0!</v>
      </c>
      <c r="AH2174" s="155" t="e">
        <f t="shared" si="776"/>
        <v>#DIV/0!</v>
      </c>
      <c r="AI2174" s="156" t="e">
        <f t="shared" si="756"/>
        <v>#DIV/0!</v>
      </c>
      <c r="AJ2174" s="149"/>
      <c r="AK2174" s="149"/>
      <c r="AL2174" s="157"/>
      <c r="AM2174" s="157"/>
      <c r="AN2174" s="157"/>
      <c r="AO2174" s="157"/>
      <c r="AP2174" s="157"/>
      <c r="AQ2174" s="157"/>
      <c r="AR2174" s="157"/>
    </row>
    <row r="2175" spans="1:44" ht="16.8">
      <c r="A2175" s="145">
        <v>83</v>
      </c>
      <c r="B2175" s="145">
        <v>871</v>
      </c>
      <c r="C2175" s="145" t="s">
        <v>4161</v>
      </c>
      <c r="D2175" s="146" t="s">
        <v>4162</v>
      </c>
      <c r="E2175" s="147" t="s">
        <v>1371</v>
      </c>
      <c r="F2175" s="148"/>
      <c r="G2175" s="148"/>
      <c r="H2175" s="149"/>
      <c r="I2175" s="149"/>
      <c r="J2175" s="149"/>
      <c r="K2175" s="149"/>
      <c r="L2175" s="149"/>
      <c r="M2175" s="149">
        <f t="shared" si="779"/>
        <v>0</v>
      </c>
      <c r="N2175" s="149"/>
      <c r="O2175" s="149">
        <f t="shared" si="744"/>
        <v>0</v>
      </c>
      <c r="P2175" s="149"/>
      <c r="Q2175" s="149"/>
      <c r="R2175" s="149">
        <f t="shared" si="745"/>
        <v>0</v>
      </c>
      <c r="S2175" s="150" t="e">
        <f t="shared" si="746"/>
        <v>#DIV/0!</v>
      </c>
      <c r="T2175" s="151" t="e">
        <f t="shared" si="747"/>
        <v>#DIV/0!</v>
      </c>
      <c r="U2175" s="150" t="e">
        <f t="shared" si="748"/>
        <v>#NUM!</v>
      </c>
      <c r="V2175" s="150" t="e">
        <f t="shared" si="749"/>
        <v>#DIV/0!</v>
      </c>
      <c r="W2175" s="152"/>
      <c r="X2175" s="152"/>
      <c r="Y2175" s="152"/>
      <c r="Z2175" s="153">
        <f t="shared" si="780"/>
        <v>0</v>
      </c>
      <c r="AA2175" s="148">
        <f t="shared" si="705"/>
        <v>0</v>
      </c>
      <c r="AB2175" s="149"/>
      <c r="AC2175" s="149"/>
      <c r="AD2175" s="150" t="e">
        <f t="shared" si="772"/>
        <v>#DIV/0!</v>
      </c>
      <c r="AE2175" s="154" t="e">
        <f t="shared" si="773"/>
        <v>#DIV/0!</v>
      </c>
      <c r="AF2175" s="150" t="e">
        <f t="shared" si="774"/>
        <v>#DIV/0!</v>
      </c>
      <c r="AG2175" s="150" t="e">
        <f t="shared" si="775"/>
        <v>#DIV/0!</v>
      </c>
      <c r="AH2175" s="155" t="e">
        <f t="shared" si="776"/>
        <v>#DIV/0!</v>
      </c>
      <c r="AI2175" s="156" t="e">
        <f t="shared" si="756"/>
        <v>#DIV/0!</v>
      </c>
      <c r="AJ2175" s="149"/>
      <c r="AK2175" s="149"/>
      <c r="AL2175" s="157"/>
      <c r="AM2175" s="157"/>
      <c r="AN2175" s="157"/>
      <c r="AO2175" s="157"/>
      <c r="AP2175" s="157"/>
      <c r="AQ2175" s="157"/>
      <c r="AR2175" s="157"/>
    </row>
    <row r="2176" spans="1:44" ht="16.8">
      <c r="A2176" s="145">
        <v>84</v>
      </c>
      <c r="B2176" s="145">
        <v>872</v>
      </c>
      <c r="C2176" s="145" t="s">
        <v>4163</v>
      </c>
      <c r="D2176" s="146" t="s">
        <v>4164</v>
      </c>
      <c r="E2176" s="147" t="s">
        <v>178</v>
      </c>
      <c r="F2176" s="148"/>
      <c r="G2176" s="148"/>
      <c r="H2176" s="149"/>
      <c r="I2176" s="149"/>
      <c r="J2176" s="149"/>
      <c r="K2176" s="149"/>
      <c r="L2176" s="149"/>
      <c r="M2176" s="149">
        <f t="shared" si="779"/>
        <v>0</v>
      </c>
      <c r="N2176" s="149"/>
      <c r="O2176" s="149">
        <f t="shared" si="744"/>
        <v>0</v>
      </c>
      <c r="P2176" s="149"/>
      <c r="Q2176" s="149"/>
      <c r="R2176" s="149">
        <f t="shared" si="745"/>
        <v>0</v>
      </c>
      <c r="S2176" s="150" t="e">
        <f t="shared" si="746"/>
        <v>#DIV/0!</v>
      </c>
      <c r="T2176" s="151" t="e">
        <f t="shared" si="747"/>
        <v>#DIV/0!</v>
      </c>
      <c r="U2176" s="150" t="e">
        <f t="shared" si="748"/>
        <v>#NUM!</v>
      </c>
      <c r="V2176" s="150" t="e">
        <f t="shared" si="749"/>
        <v>#DIV/0!</v>
      </c>
      <c r="W2176" s="152"/>
      <c r="X2176" s="152"/>
      <c r="Y2176" s="152"/>
      <c r="Z2176" s="153">
        <f t="shared" si="780"/>
        <v>0</v>
      </c>
      <c r="AA2176" s="148">
        <f t="shared" si="705"/>
        <v>0</v>
      </c>
      <c r="AB2176" s="149"/>
      <c r="AC2176" s="149"/>
      <c r="AD2176" s="150" t="e">
        <f t="shared" si="772"/>
        <v>#DIV/0!</v>
      </c>
      <c r="AE2176" s="154" t="e">
        <f t="shared" si="773"/>
        <v>#DIV/0!</v>
      </c>
      <c r="AF2176" s="150" t="e">
        <f t="shared" si="774"/>
        <v>#DIV/0!</v>
      </c>
      <c r="AG2176" s="150" t="e">
        <f t="shared" si="775"/>
        <v>#DIV/0!</v>
      </c>
      <c r="AH2176" s="155" t="e">
        <f t="shared" si="776"/>
        <v>#DIV/0!</v>
      </c>
      <c r="AI2176" s="156" t="e">
        <f t="shared" si="756"/>
        <v>#DIV/0!</v>
      </c>
      <c r="AJ2176" s="149"/>
      <c r="AK2176" s="149"/>
      <c r="AL2176" s="157"/>
      <c r="AM2176" s="157"/>
      <c r="AN2176" s="157"/>
      <c r="AO2176" s="157"/>
      <c r="AP2176" s="157"/>
      <c r="AQ2176" s="157"/>
      <c r="AR2176" s="157"/>
    </row>
    <row r="2177" spans="1:44" ht="16.8">
      <c r="A2177" s="145">
        <v>85</v>
      </c>
      <c r="B2177" s="145">
        <v>873</v>
      </c>
      <c r="C2177" s="145" t="s">
        <v>4165</v>
      </c>
      <c r="D2177" s="146" t="s">
        <v>4166</v>
      </c>
      <c r="E2177" s="147" t="s">
        <v>1371</v>
      </c>
      <c r="F2177" s="148"/>
      <c r="G2177" s="148"/>
      <c r="H2177" s="149"/>
      <c r="I2177" s="149"/>
      <c r="J2177" s="149"/>
      <c r="K2177" s="149"/>
      <c r="L2177" s="149"/>
      <c r="M2177" s="149">
        <f t="shared" si="779"/>
        <v>0</v>
      </c>
      <c r="N2177" s="149"/>
      <c r="O2177" s="149">
        <f t="shared" si="744"/>
        <v>0</v>
      </c>
      <c r="P2177" s="149"/>
      <c r="Q2177" s="149"/>
      <c r="R2177" s="149">
        <f t="shared" si="745"/>
        <v>0</v>
      </c>
      <c r="S2177" s="150" t="e">
        <f t="shared" si="746"/>
        <v>#DIV/0!</v>
      </c>
      <c r="T2177" s="151" t="e">
        <f t="shared" si="747"/>
        <v>#DIV/0!</v>
      </c>
      <c r="U2177" s="150" t="e">
        <f t="shared" si="748"/>
        <v>#NUM!</v>
      </c>
      <c r="V2177" s="150" t="e">
        <f t="shared" si="749"/>
        <v>#DIV/0!</v>
      </c>
      <c r="W2177" s="152"/>
      <c r="X2177" s="152"/>
      <c r="Y2177" s="152"/>
      <c r="Z2177" s="153">
        <f t="shared" si="780"/>
        <v>0</v>
      </c>
      <c r="AA2177" s="148">
        <f t="shared" si="705"/>
        <v>0</v>
      </c>
      <c r="AB2177" s="149"/>
      <c r="AC2177" s="149"/>
      <c r="AD2177" s="150" t="e">
        <f t="shared" si="772"/>
        <v>#DIV/0!</v>
      </c>
      <c r="AE2177" s="154" t="e">
        <f t="shared" si="773"/>
        <v>#DIV/0!</v>
      </c>
      <c r="AF2177" s="150" t="e">
        <f t="shared" si="774"/>
        <v>#DIV/0!</v>
      </c>
      <c r="AG2177" s="150" t="e">
        <f t="shared" si="775"/>
        <v>#DIV/0!</v>
      </c>
      <c r="AH2177" s="155" t="e">
        <f t="shared" si="776"/>
        <v>#DIV/0!</v>
      </c>
      <c r="AI2177" s="156" t="e">
        <f t="shared" si="756"/>
        <v>#DIV/0!</v>
      </c>
      <c r="AJ2177" s="149"/>
      <c r="AK2177" s="149"/>
      <c r="AL2177" s="157"/>
      <c r="AM2177" s="157"/>
      <c r="AN2177" s="157"/>
      <c r="AO2177" s="157"/>
      <c r="AP2177" s="157"/>
      <c r="AQ2177" s="157"/>
      <c r="AR2177" s="157"/>
    </row>
    <row r="2178" spans="1:44" ht="16.8">
      <c r="A2178" s="145">
        <v>86</v>
      </c>
      <c r="B2178" s="145">
        <v>874</v>
      </c>
      <c r="C2178" s="145" t="s">
        <v>4167</v>
      </c>
      <c r="D2178" s="146" t="s">
        <v>4168</v>
      </c>
      <c r="E2178" s="147" t="s">
        <v>178</v>
      </c>
      <c r="F2178" s="148"/>
      <c r="G2178" s="148"/>
      <c r="H2178" s="149"/>
      <c r="I2178" s="149"/>
      <c r="J2178" s="149"/>
      <c r="K2178" s="149"/>
      <c r="L2178" s="149"/>
      <c r="M2178" s="149">
        <f t="shared" si="779"/>
        <v>0</v>
      </c>
      <c r="N2178" s="149"/>
      <c r="O2178" s="149">
        <f t="shared" si="744"/>
        <v>0</v>
      </c>
      <c r="P2178" s="149"/>
      <c r="Q2178" s="149"/>
      <c r="R2178" s="149">
        <f t="shared" si="745"/>
        <v>0</v>
      </c>
      <c r="S2178" s="150" t="e">
        <f t="shared" si="746"/>
        <v>#DIV/0!</v>
      </c>
      <c r="T2178" s="151" t="e">
        <f t="shared" si="747"/>
        <v>#DIV/0!</v>
      </c>
      <c r="U2178" s="150" t="e">
        <f t="shared" si="748"/>
        <v>#NUM!</v>
      </c>
      <c r="V2178" s="150" t="e">
        <f t="shared" si="749"/>
        <v>#DIV/0!</v>
      </c>
      <c r="W2178" s="152"/>
      <c r="X2178" s="152"/>
      <c r="Y2178" s="152"/>
      <c r="Z2178" s="153">
        <f t="shared" si="780"/>
        <v>0</v>
      </c>
      <c r="AA2178" s="148">
        <f t="shared" si="705"/>
        <v>0</v>
      </c>
      <c r="AB2178" s="149"/>
      <c r="AC2178" s="149"/>
      <c r="AD2178" s="150" t="e">
        <f t="shared" si="772"/>
        <v>#DIV/0!</v>
      </c>
      <c r="AE2178" s="154" t="e">
        <f t="shared" si="773"/>
        <v>#DIV/0!</v>
      </c>
      <c r="AF2178" s="150" t="e">
        <f t="shared" si="774"/>
        <v>#DIV/0!</v>
      </c>
      <c r="AG2178" s="150" t="e">
        <f t="shared" si="775"/>
        <v>#DIV/0!</v>
      </c>
      <c r="AH2178" s="155" t="e">
        <f t="shared" si="776"/>
        <v>#DIV/0!</v>
      </c>
      <c r="AI2178" s="156" t="e">
        <f t="shared" si="756"/>
        <v>#DIV/0!</v>
      </c>
      <c r="AJ2178" s="149"/>
      <c r="AK2178" s="149"/>
      <c r="AL2178" s="157"/>
      <c r="AM2178" s="157"/>
      <c r="AN2178" s="157"/>
      <c r="AO2178" s="157"/>
      <c r="AP2178" s="157"/>
      <c r="AQ2178" s="157"/>
      <c r="AR2178" s="157"/>
    </row>
    <row r="2179" spans="1:44" ht="16.8">
      <c r="A2179" s="17" t="s">
        <v>4169</v>
      </c>
      <c r="B2179" s="18">
        <v>875</v>
      </c>
      <c r="C2179" s="18" t="s">
        <v>4170</v>
      </c>
      <c r="D2179" s="19" t="s">
        <v>4171</v>
      </c>
      <c r="E2179" s="20" t="s">
        <v>414</v>
      </c>
      <c r="F2179" s="21">
        <v>1976</v>
      </c>
      <c r="G2179" s="40">
        <v>2021</v>
      </c>
      <c r="H2179" s="23">
        <v>948196601158</v>
      </c>
      <c r="I2179" s="23">
        <v>1559517987028</v>
      </c>
      <c r="J2179" s="23">
        <v>418969098170</v>
      </c>
      <c r="K2179" s="23">
        <f>(J2179+448783906493)/2</f>
        <v>433876502331.5</v>
      </c>
      <c r="L2179" s="23">
        <v>286965689966</v>
      </c>
      <c r="M2179" s="23">
        <f t="shared" si="779"/>
        <v>1140548888858</v>
      </c>
      <c r="N2179" s="23">
        <v>1634683825343</v>
      </c>
      <c r="O2179" s="25">
        <f t="shared" si="744"/>
        <v>661230911192</v>
      </c>
      <c r="P2179" s="23">
        <v>189123578445</v>
      </c>
      <c r="Q2179" s="23">
        <f>278389055175+127048044656</f>
        <v>405437099831</v>
      </c>
      <c r="R2179" s="25">
        <f t="shared" si="745"/>
        <v>1229246725512</v>
      </c>
      <c r="S2179" s="26">
        <f t="shared" si="746"/>
        <v>0.26865294382941779</v>
      </c>
      <c r="T2179" s="27">
        <f t="shared" si="747"/>
        <v>3.3042159195768086</v>
      </c>
      <c r="U2179" s="26">
        <f t="shared" si="748"/>
        <v>28.075397906770654</v>
      </c>
      <c r="V2179" s="26">
        <f t="shared" si="749"/>
        <v>3.7676246963335949</v>
      </c>
      <c r="W2179" s="143"/>
      <c r="X2179" s="143"/>
      <c r="Y2179" s="143"/>
      <c r="Z2179" s="30">
        <f t="shared" ref="Z2179:Z2181" si="781">X2179*Y2179</f>
        <v>0</v>
      </c>
      <c r="AA2179" s="31">
        <f t="shared" si="705"/>
        <v>45</v>
      </c>
      <c r="AB2179" s="32">
        <v>1.84E-2</v>
      </c>
      <c r="AC2179" s="32">
        <v>2.58E-2</v>
      </c>
      <c r="AD2179" s="33">
        <f t="shared" si="772"/>
        <v>0.42399697643251877</v>
      </c>
      <c r="AE2179" s="34">
        <f t="shared" si="773"/>
        <v>0.12127053359956176</v>
      </c>
      <c r="AF2179" s="33">
        <f t="shared" si="774"/>
        <v>0.78822221720866226</v>
      </c>
      <c r="AG2179" s="33">
        <f t="shared" si="775"/>
        <v>0</v>
      </c>
      <c r="AH2179" s="35">
        <f t="shared" si="776"/>
        <v>3.9016811322913227</v>
      </c>
      <c r="AI2179" s="36">
        <f t="shared" si="756"/>
        <v>7.1813895678383171</v>
      </c>
      <c r="AJ2179" s="23"/>
      <c r="AK2179" s="120">
        <v>1231</v>
      </c>
      <c r="AL2179" s="44"/>
      <c r="AM2179" s="44"/>
      <c r="AN2179" s="44"/>
      <c r="AO2179" s="44"/>
      <c r="AP2179" s="44"/>
      <c r="AQ2179" s="44"/>
      <c r="AR2179" s="44"/>
    </row>
    <row r="2180" spans="1:44" ht="16.8">
      <c r="A2180" s="17" t="s">
        <v>4172</v>
      </c>
      <c r="B2180" s="18"/>
      <c r="C2180" s="18" t="s">
        <v>4170</v>
      </c>
      <c r="D2180" s="19" t="s">
        <v>4171</v>
      </c>
      <c r="E2180" s="20" t="s">
        <v>414</v>
      </c>
      <c r="F2180" s="21">
        <v>1976</v>
      </c>
      <c r="G2180" s="40">
        <v>2022</v>
      </c>
      <c r="H2180" s="23">
        <v>1247789018909</v>
      </c>
      <c r="I2180" s="23">
        <v>1895717209447</v>
      </c>
      <c r="J2180" s="23">
        <v>540580153262</v>
      </c>
      <c r="K2180" s="23">
        <f t="shared" ref="K2180:K2181" si="782">(J2180+J2179)/2</f>
        <v>479774625716</v>
      </c>
      <c r="L2180" s="23">
        <v>405457018941</v>
      </c>
      <c r="M2180" s="23">
        <f t="shared" si="779"/>
        <v>1355137056185</v>
      </c>
      <c r="N2180" s="23">
        <v>1617008973558</v>
      </c>
      <c r="O2180" s="25">
        <f t="shared" si="744"/>
        <v>842331999968</v>
      </c>
      <c r="P2180" s="23">
        <v>243555116974</v>
      </c>
      <c r="Q2180" s="23">
        <f>357370999827+136941483830</f>
        <v>494312483657</v>
      </c>
      <c r="R2180" s="25">
        <f t="shared" si="745"/>
        <v>1122696489901</v>
      </c>
      <c r="S2180" s="26">
        <f t="shared" si="746"/>
        <v>0.28515864632557336</v>
      </c>
      <c r="T2180" s="27">
        <f t="shared" si="747"/>
        <v>3.0774877745810385</v>
      </c>
      <c r="U2180" s="26">
        <f t="shared" si="748"/>
        <v>28.270618357501693</v>
      </c>
      <c r="V2180" s="26">
        <f t="shared" si="749"/>
        <v>3.3703511750852364</v>
      </c>
      <c r="W2180" s="143"/>
      <c r="X2180" s="143"/>
      <c r="Y2180" s="143"/>
      <c r="Z2180" s="30">
        <f t="shared" si="781"/>
        <v>0</v>
      </c>
      <c r="AA2180" s="31">
        <f t="shared" si="705"/>
        <v>46</v>
      </c>
      <c r="AB2180" s="32">
        <v>3.15E-2</v>
      </c>
      <c r="AC2180" s="32">
        <v>8.0199999999999994E-2</v>
      </c>
      <c r="AD2180" s="33">
        <f t="shared" si="772"/>
        <v>0.44433420542387586</v>
      </c>
      <c r="AE2180" s="34">
        <f t="shared" si="773"/>
        <v>0.12847650259241331</v>
      </c>
      <c r="AF2180" s="33">
        <f t="shared" si="774"/>
        <v>0.59222783034633208</v>
      </c>
      <c r="AG2180" s="33">
        <f t="shared" si="775"/>
        <v>0</v>
      </c>
      <c r="AH2180" s="35">
        <f t="shared" si="776"/>
        <v>2.9912473919002593</v>
      </c>
      <c r="AI2180" s="36">
        <f t="shared" si="756"/>
        <v>5.6586673821811848</v>
      </c>
      <c r="AJ2180" s="23"/>
      <c r="AK2180" s="120">
        <v>1232</v>
      </c>
      <c r="AL2180" s="44"/>
      <c r="AM2180" s="44"/>
      <c r="AN2180" s="44"/>
      <c r="AO2180" s="44"/>
      <c r="AP2180" s="44"/>
      <c r="AQ2180" s="44"/>
      <c r="AR2180" s="44"/>
    </row>
    <row r="2181" spans="1:44" ht="16.8">
      <c r="A2181" s="17" t="s">
        <v>4173</v>
      </c>
      <c r="B2181" s="18"/>
      <c r="C2181" s="18" t="s">
        <v>4170</v>
      </c>
      <c r="D2181" s="19" t="s">
        <v>4171</v>
      </c>
      <c r="E2181" s="20" t="s">
        <v>414</v>
      </c>
      <c r="F2181" s="21">
        <v>1976</v>
      </c>
      <c r="G2181" s="40">
        <v>2023</v>
      </c>
      <c r="H2181" s="23">
        <v>1260686049632</v>
      </c>
      <c r="I2181" s="23">
        <v>1988909304796</v>
      </c>
      <c r="J2181" s="23">
        <v>556067765007</v>
      </c>
      <c r="K2181" s="23">
        <f t="shared" si="782"/>
        <v>548323959134.5</v>
      </c>
      <c r="L2181" s="23">
        <v>417989445788</v>
      </c>
      <c r="M2181" s="23">
        <f t="shared" si="779"/>
        <v>1432841539789</v>
      </c>
      <c r="N2181" s="23">
        <v>1731725782465</v>
      </c>
      <c r="O2181" s="25">
        <f t="shared" si="744"/>
        <v>842696603844</v>
      </c>
      <c r="P2181" s="23">
        <v>269054870446</v>
      </c>
      <c r="Q2181" s="23">
        <f>375562332884+125976158264</f>
        <v>501538491148</v>
      </c>
      <c r="R2181" s="25">
        <f t="shared" si="745"/>
        <v>1230187291317</v>
      </c>
      <c r="S2181" s="26">
        <f t="shared" si="746"/>
        <v>0.27958427448959783</v>
      </c>
      <c r="T2181" s="27">
        <f t="shared" si="747"/>
        <v>3.0160714877748545</v>
      </c>
      <c r="U2181" s="26">
        <f t="shared" si="748"/>
        <v>28.318607516367582</v>
      </c>
      <c r="V2181" s="26">
        <f t="shared" si="749"/>
        <v>3.1582165134611961</v>
      </c>
      <c r="W2181" s="143"/>
      <c r="X2181" s="143"/>
      <c r="Y2181" s="143"/>
      <c r="Z2181" s="30">
        <f t="shared" si="781"/>
        <v>0</v>
      </c>
      <c r="AA2181" s="31">
        <f t="shared" si="705"/>
        <v>47</v>
      </c>
      <c r="AB2181" s="32">
        <v>3.2500000000000001E-2</v>
      </c>
      <c r="AC2181" s="32">
        <v>5.0500000000000003E-2</v>
      </c>
      <c r="AD2181" s="33">
        <f t="shared" si="772"/>
        <v>0.42369785379953984</v>
      </c>
      <c r="AE2181" s="34">
        <f t="shared" si="773"/>
        <v>0.13527759651845794</v>
      </c>
      <c r="AF2181" s="33">
        <f t="shared" si="774"/>
        <v>0.61852357387567192</v>
      </c>
      <c r="AG2181" s="33">
        <f t="shared" si="775"/>
        <v>0</v>
      </c>
      <c r="AH2181" s="35">
        <f t="shared" si="776"/>
        <v>3.1142351552120635</v>
      </c>
      <c r="AI2181" s="36">
        <f t="shared" si="756"/>
        <v>5.8531890086870693</v>
      </c>
      <c r="AJ2181" s="23"/>
      <c r="AK2181" s="120">
        <v>1233</v>
      </c>
      <c r="AL2181" s="44"/>
      <c r="AM2181" s="44"/>
      <c r="AN2181" s="44"/>
      <c r="AO2181" s="44"/>
      <c r="AP2181" s="44"/>
      <c r="AQ2181" s="44"/>
      <c r="AR2181" s="44"/>
    </row>
    <row r="2182" spans="1:44" ht="16.8">
      <c r="A2182" s="145">
        <v>88</v>
      </c>
      <c r="B2182" s="145">
        <v>876</v>
      </c>
      <c r="C2182" s="145" t="s">
        <v>4174</v>
      </c>
      <c r="D2182" s="146" t="s">
        <v>4175</v>
      </c>
      <c r="E2182" s="147" t="s">
        <v>1371</v>
      </c>
      <c r="F2182" s="148"/>
      <c r="G2182" s="148"/>
      <c r="H2182" s="149"/>
      <c r="I2182" s="149"/>
      <c r="J2182" s="149"/>
      <c r="K2182" s="149"/>
      <c r="L2182" s="149"/>
      <c r="M2182" s="149">
        <f t="shared" si="779"/>
        <v>0</v>
      </c>
      <c r="N2182" s="149"/>
      <c r="O2182" s="149">
        <f t="shared" si="744"/>
        <v>0</v>
      </c>
      <c r="P2182" s="149"/>
      <c r="Q2182" s="149"/>
      <c r="R2182" s="149">
        <f t="shared" si="745"/>
        <v>0</v>
      </c>
      <c r="S2182" s="150" t="e">
        <f t="shared" si="746"/>
        <v>#DIV/0!</v>
      </c>
      <c r="T2182" s="151" t="e">
        <f t="shared" si="747"/>
        <v>#DIV/0!</v>
      </c>
      <c r="U2182" s="150" t="e">
        <f t="shared" si="748"/>
        <v>#NUM!</v>
      </c>
      <c r="V2182" s="150" t="e">
        <f t="shared" si="749"/>
        <v>#DIV/0!</v>
      </c>
      <c r="W2182" s="152"/>
      <c r="X2182" s="152"/>
      <c r="Y2182" s="152"/>
      <c r="Z2182" s="153">
        <f t="shared" ref="Z2182:Z2208" si="783">W2182*Y2182</f>
        <v>0</v>
      </c>
      <c r="AA2182" s="148">
        <f t="shared" si="705"/>
        <v>0</v>
      </c>
      <c r="AB2182" s="149"/>
      <c r="AC2182" s="149"/>
      <c r="AD2182" s="150" t="e">
        <f t="shared" si="772"/>
        <v>#DIV/0!</v>
      </c>
      <c r="AE2182" s="154" t="e">
        <f t="shared" si="773"/>
        <v>#DIV/0!</v>
      </c>
      <c r="AF2182" s="150" t="e">
        <f t="shared" si="774"/>
        <v>#DIV/0!</v>
      </c>
      <c r="AG2182" s="150" t="e">
        <f t="shared" si="775"/>
        <v>#DIV/0!</v>
      </c>
      <c r="AH2182" s="155" t="e">
        <f t="shared" si="776"/>
        <v>#DIV/0!</v>
      </c>
      <c r="AI2182" s="156" t="e">
        <f t="shared" si="756"/>
        <v>#DIV/0!</v>
      </c>
      <c r="AJ2182" s="149"/>
      <c r="AK2182" s="149"/>
      <c r="AL2182" s="157"/>
      <c r="AM2182" s="157"/>
      <c r="AN2182" s="157"/>
      <c r="AO2182" s="157"/>
      <c r="AP2182" s="157"/>
      <c r="AQ2182" s="157"/>
      <c r="AR2182" s="157"/>
    </row>
    <row r="2183" spans="1:44" ht="16.8">
      <c r="A2183" s="145">
        <v>89</v>
      </c>
      <c r="B2183" s="145">
        <v>877</v>
      </c>
      <c r="C2183" s="145" t="s">
        <v>4176</v>
      </c>
      <c r="D2183" s="146" t="s">
        <v>4177</v>
      </c>
      <c r="E2183" s="147" t="s">
        <v>178</v>
      </c>
      <c r="F2183" s="148"/>
      <c r="G2183" s="148"/>
      <c r="H2183" s="149"/>
      <c r="I2183" s="149"/>
      <c r="J2183" s="149"/>
      <c r="K2183" s="149"/>
      <c r="L2183" s="149"/>
      <c r="M2183" s="149">
        <f t="shared" si="779"/>
        <v>0</v>
      </c>
      <c r="N2183" s="149"/>
      <c r="O2183" s="149">
        <f t="shared" si="744"/>
        <v>0</v>
      </c>
      <c r="P2183" s="149"/>
      <c r="Q2183" s="149"/>
      <c r="R2183" s="149">
        <f t="shared" si="745"/>
        <v>0</v>
      </c>
      <c r="S2183" s="150" t="e">
        <f t="shared" si="746"/>
        <v>#DIV/0!</v>
      </c>
      <c r="T2183" s="151" t="e">
        <f t="shared" si="747"/>
        <v>#DIV/0!</v>
      </c>
      <c r="U2183" s="150" t="e">
        <f t="shared" si="748"/>
        <v>#NUM!</v>
      </c>
      <c r="V2183" s="150" t="e">
        <f t="shared" si="749"/>
        <v>#DIV/0!</v>
      </c>
      <c r="W2183" s="152"/>
      <c r="X2183" s="152"/>
      <c r="Y2183" s="152"/>
      <c r="Z2183" s="153">
        <f t="shared" si="783"/>
        <v>0</v>
      </c>
      <c r="AA2183" s="148">
        <f t="shared" si="705"/>
        <v>0</v>
      </c>
      <c r="AB2183" s="149"/>
      <c r="AC2183" s="149"/>
      <c r="AD2183" s="150" t="e">
        <f t="shared" si="772"/>
        <v>#DIV/0!</v>
      </c>
      <c r="AE2183" s="154" t="e">
        <f t="shared" si="773"/>
        <v>#DIV/0!</v>
      </c>
      <c r="AF2183" s="150" t="e">
        <f t="shared" si="774"/>
        <v>#DIV/0!</v>
      </c>
      <c r="AG2183" s="150" t="e">
        <f t="shared" si="775"/>
        <v>#DIV/0!</v>
      </c>
      <c r="AH2183" s="155" t="e">
        <f t="shared" si="776"/>
        <v>#DIV/0!</v>
      </c>
      <c r="AI2183" s="156" t="e">
        <f t="shared" si="756"/>
        <v>#DIV/0!</v>
      </c>
      <c r="AJ2183" s="149"/>
      <c r="AK2183" s="149"/>
      <c r="AL2183" s="157"/>
      <c r="AM2183" s="157"/>
      <c r="AN2183" s="157"/>
      <c r="AO2183" s="157"/>
      <c r="AP2183" s="157"/>
      <c r="AQ2183" s="157"/>
      <c r="AR2183" s="157"/>
    </row>
    <row r="2184" spans="1:44" ht="16.8">
      <c r="A2184" s="145">
        <v>90</v>
      </c>
      <c r="B2184" s="145">
        <v>878</v>
      </c>
      <c r="C2184" s="145" t="s">
        <v>4178</v>
      </c>
      <c r="D2184" s="146" t="s">
        <v>4179</v>
      </c>
      <c r="E2184" s="147" t="s">
        <v>1371</v>
      </c>
      <c r="F2184" s="148"/>
      <c r="G2184" s="148"/>
      <c r="H2184" s="149"/>
      <c r="I2184" s="149"/>
      <c r="J2184" s="149"/>
      <c r="K2184" s="149"/>
      <c r="L2184" s="149"/>
      <c r="M2184" s="149">
        <f t="shared" si="779"/>
        <v>0</v>
      </c>
      <c r="N2184" s="149"/>
      <c r="O2184" s="149">
        <f t="shared" si="744"/>
        <v>0</v>
      </c>
      <c r="P2184" s="149"/>
      <c r="Q2184" s="149"/>
      <c r="R2184" s="149">
        <f t="shared" si="745"/>
        <v>0</v>
      </c>
      <c r="S2184" s="150" t="e">
        <f t="shared" si="746"/>
        <v>#DIV/0!</v>
      </c>
      <c r="T2184" s="151" t="e">
        <f t="shared" si="747"/>
        <v>#DIV/0!</v>
      </c>
      <c r="U2184" s="150" t="e">
        <f t="shared" si="748"/>
        <v>#NUM!</v>
      </c>
      <c r="V2184" s="150" t="e">
        <f t="shared" si="749"/>
        <v>#DIV/0!</v>
      </c>
      <c r="W2184" s="152"/>
      <c r="X2184" s="152"/>
      <c r="Y2184" s="152"/>
      <c r="Z2184" s="153">
        <f t="shared" si="783"/>
        <v>0</v>
      </c>
      <c r="AA2184" s="148">
        <f t="shared" si="705"/>
        <v>0</v>
      </c>
      <c r="AB2184" s="149"/>
      <c r="AC2184" s="149"/>
      <c r="AD2184" s="150" t="e">
        <f t="shared" si="772"/>
        <v>#DIV/0!</v>
      </c>
      <c r="AE2184" s="154" t="e">
        <f t="shared" si="773"/>
        <v>#DIV/0!</v>
      </c>
      <c r="AF2184" s="150" t="e">
        <f t="shared" si="774"/>
        <v>#DIV/0!</v>
      </c>
      <c r="AG2184" s="150" t="e">
        <f t="shared" si="775"/>
        <v>#DIV/0!</v>
      </c>
      <c r="AH2184" s="155" t="e">
        <f t="shared" si="776"/>
        <v>#DIV/0!</v>
      </c>
      <c r="AI2184" s="156" t="e">
        <f t="shared" si="756"/>
        <v>#DIV/0!</v>
      </c>
      <c r="AJ2184" s="149"/>
      <c r="AK2184" s="149"/>
      <c r="AL2184" s="157"/>
      <c r="AM2184" s="157"/>
      <c r="AN2184" s="157"/>
      <c r="AO2184" s="157"/>
      <c r="AP2184" s="157"/>
      <c r="AQ2184" s="157"/>
      <c r="AR2184" s="157"/>
    </row>
    <row r="2185" spans="1:44" ht="16.8">
      <c r="A2185" s="145">
        <v>91</v>
      </c>
      <c r="B2185" s="145">
        <v>879</v>
      </c>
      <c r="C2185" s="145" t="s">
        <v>4180</v>
      </c>
      <c r="D2185" s="146" t="s">
        <v>4181</v>
      </c>
      <c r="E2185" s="147" t="s">
        <v>178</v>
      </c>
      <c r="F2185" s="148"/>
      <c r="G2185" s="148"/>
      <c r="H2185" s="149"/>
      <c r="I2185" s="149"/>
      <c r="J2185" s="149"/>
      <c r="K2185" s="149"/>
      <c r="L2185" s="149"/>
      <c r="M2185" s="149">
        <f t="shared" si="779"/>
        <v>0</v>
      </c>
      <c r="N2185" s="149"/>
      <c r="O2185" s="149">
        <f t="shared" si="744"/>
        <v>0</v>
      </c>
      <c r="P2185" s="149"/>
      <c r="Q2185" s="149"/>
      <c r="R2185" s="149">
        <f t="shared" si="745"/>
        <v>0</v>
      </c>
      <c r="S2185" s="150" t="e">
        <f t="shared" si="746"/>
        <v>#DIV/0!</v>
      </c>
      <c r="T2185" s="151" t="e">
        <f t="shared" si="747"/>
        <v>#DIV/0!</v>
      </c>
      <c r="U2185" s="150" t="e">
        <f t="shared" si="748"/>
        <v>#NUM!</v>
      </c>
      <c r="V2185" s="150" t="e">
        <f t="shared" si="749"/>
        <v>#DIV/0!</v>
      </c>
      <c r="W2185" s="152"/>
      <c r="X2185" s="152"/>
      <c r="Y2185" s="152"/>
      <c r="Z2185" s="153">
        <f t="shared" si="783"/>
        <v>0</v>
      </c>
      <c r="AA2185" s="148">
        <f t="shared" si="705"/>
        <v>0</v>
      </c>
      <c r="AB2185" s="149"/>
      <c r="AC2185" s="149"/>
      <c r="AD2185" s="150" t="e">
        <f t="shared" si="772"/>
        <v>#DIV/0!</v>
      </c>
      <c r="AE2185" s="154" t="e">
        <f t="shared" si="773"/>
        <v>#DIV/0!</v>
      </c>
      <c r="AF2185" s="150" t="e">
        <f t="shared" si="774"/>
        <v>#DIV/0!</v>
      </c>
      <c r="AG2185" s="150" t="e">
        <f t="shared" si="775"/>
        <v>#DIV/0!</v>
      </c>
      <c r="AH2185" s="155" t="e">
        <f t="shared" si="776"/>
        <v>#DIV/0!</v>
      </c>
      <c r="AI2185" s="156" t="e">
        <f t="shared" si="756"/>
        <v>#DIV/0!</v>
      </c>
      <c r="AJ2185" s="149"/>
      <c r="AK2185" s="149"/>
      <c r="AL2185" s="157"/>
      <c r="AM2185" s="157"/>
      <c r="AN2185" s="157"/>
      <c r="AO2185" s="157"/>
      <c r="AP2185" s="157"/>
      <c r="AQ2185" s="157"/>
      <c r="AR2185" s="157"/>
    </row>
    <row r="2186" spans="1:44" ht="16.8">
      <c r="A2186" s="145">
        <v>92</v>
      </c>
      <c r="B2186" s="145">
        <v>880</v>
      </c>
      <c r="C2186" s="145" t="s">
        <v>4182</v>
      </c>
      <c r="D2186" s="146" t="s">
        <v>4183</v>
      </c>
      <c r="E2186" s="147" t="s">
        <v>178</v>
      </c>
      <c r="F2186" s="148"/>
      <c r="G2186" s="148"/>
      <c r="H2186" s="149"/>
      <c r="I2186" s="149"/>
      <c r="J2186" s="149"/>
      <c r="K2186" s="149"/>
      <c r="L2186" s="149"/>
      <c r="M2186" s="149">
        <f t="shared" si="779"/>
        <v>0</v>
      </c>
      <c r="N2186" s="149"/>
      <c r="O2186" s="149">
        <f t="shared" si="744"/>
        <v>0</v>
      </c>
      <c r="P2186" s="149"/>
      <c r="Q2186" s="149"/>
      <c r="R2186" s="149">
        <f t="shared" si="745"/>
        <v>0</v>
      </c>
      <c r="S2186" s="150" t="e">
        <f t="shared" si="746"/>
        <v>#DIV/0!</v>
      </c>
      <c r="T2186" s="151" t="e">
        <f t="shared" si="747"/>
        <v>#DIV/0!</v>
      </c>
      <c r="U2186" s="150" t="e">
        <f t="shared" si="748"/>
        <v>#NUM!</v>
      </c>
      <c r="V2186" s="150" t="e">
        <f t="shared" si="749"/>
        <v>#DIV/0!</v>
      </c>
      <c r="W2186" s="152"/>
      <c r="X2186" s="152"/>
      <c r="Y2186" s="152"/>
      <c r="Z2186" s="153">
        <f t="shared" si="783"/>
        <v>0</v>
      </c>
      <c r="AA2186" s="148">
        <f t="shared" si="705"/>
        <v>0</v>
      </c>
      <c r="AB2186" s="149"/>
      <c r="AC2186" s="149"/>
      <c r="AD2186" s="150" t="e">
        <f t="shared" si="772"/>
        <v>#DIV/0!</v>
      </c>
      <c r="AE2186" s="154" t="e">
        <f t="shared" si="773"/>
        <v>#DIV/0!</v>
      </c>
      <c r="AF2186" s="150" t="e">
        <f t="shared" si="774"/>
        <v>#DIV/0!</v>
      </c>
      <c r="AG2186" s="150" t="e">
        <f t="shared" si="775"/>
        <v>#DIV/0!</v>
      </c>
      <c r="AH2186" s="155" t="e">
        <f t="shared" si="776"/>
        <v>#DIV/0!</v>
      </c>
      <c r="AI2186" s="156" t="e">
        <f t="shared" si="756"/>
        <v>#DIV/0!</v>
      </c>
      <c r="AJ2186" s="149"/>
      <c r="AK2186" s="149"/>
      <c r="AL2186" s="157"/>
      <c r="AM2186" s="157"/>
      <c r="AN2186" s="157"/>
      <c r="AO2186" s="157"/>
      <c r="AP2186" s="157"/>
      <c r="AQ2186" s="157"/>
      <c r="AR2186" s="157"/>
    </row>
    <row r="2187" spans="1:44" ht="16.8">
      <c r="A2187" s="145">
        <v>93</v>
      </c>
      <c r="B2187" s="145">
        <v>881</v>
      </c>
      <c r="C2187" s="145" t="s">
        <v>4184</v>
      </c>
      <c r="D2187" s="146" t="s">
        <v>4185</v>
      </c>
      <c r="E2187" s="147" t="s">
        <v>178</v>
      </c>
      <c r="F2187" s="148"/>
      <c r="G2187" s="148"/>
      <c r="H2187" s="149"/>
      <c r="I2187" s="149"/>
      <c r="J2187" s="149"/>
      <c r="K2187" s="149"/>
      <c r="L2187" s="149"/>
      <c r="M2187" s="149">
        <f t="shared" si="779"/>
        <v>0</v>
      </c>
      <c r="N2187" s="149"/>
      <c r="O2187" s="149">
        <f t="shared" si="744"/>
        <v>0</v>
      </c>
      <c r="P2187" s="149"/>
      <c r="Q2187" s="149"/>
      <c r="R2187" s="149">
        <f t="shared" si="745"/>
        <v>0</v>
      </c>
      <c r="S2187" s="150" t="e">
        <f t="shared" si="746"/>
        <v>#DIV/0!</v>
      </c>
      <c r="T2187" s="151" t="e">
        <f t="shared" si="747"/>
        <v>#DIV/0!</v>
      </c>
      <c r="U2187" s="150" t="e">
        <f t="shared" si="748"/>
        <v>#NUM!</v>
      </c>
      <c r="V2187" s="150" t="e">
        <f t="shared" si="749"/>
        <v>#DIV/0!</v>
      </c>
      <c r="W2187" s="152"/>
      <c r="X2187" s="152"/>
      <c r="Y2187" s="152"/>
      <c r="Z2187" s="153">
        <f t="shared" si="783"/>
        <v>0</v>
      </c>
      <c r="AA2187" s="148">
        <f t="shared" ref="AA2187:AA2441" si="784">G2187-F2187</f>
        <v>0</v>
      </c>
      <c r="AB2187" s="149"/>
      <c r="AC2187" s="149"/>
      <c r="AD2187" s="150" t="e">
        <f t="shared" si="772"/>
        <v>#DIV/0!</v>
      </c>
      <c r="AE2187" s="154" t="e">
        <f t="shared" si="773"/>
        <v>#DIV/0!</v>
      </c>
      <c r="AF2187" s="150" t="e">
        <f t="shared" si="774"/>
        <v>#DIV/0!</v>
      </c>
      <c r="AG2187" s="150" t="e">
        <f t="shared" si="775"/>
        <v>#DIV/0!</v>
      </c>
      <c r="AH2187" s="155" t="e">
        <f t="shared" si="776"/>
        <v>#DIV/0!</v>
      </c>
      <c r="AI2187" s="156" t="e">
        <f t="shared" si="756"/>
        <v>#DIV/0!</v>
      </c>
      <c r="AJ2187" s="149"/>
      <c r="AK2187" s="149"/>
      <c r="AL2187" s="157"/>
      <c r="AM2187" s="157"/>
      <c r="AN2187" s="157"/>
      <c r="AO2187" s="157"/>
      <c r="AP2187" s="157"/>
      <c r="AQ2187" s="157"/>
      <c r="AR2187" s="157"/>
    </row>
    <row r="2188" spans="1:44" ht="16.8">
      <c r="A2188" s="145">
        <v>94</v>
      </c>
      <c r="B2188" s="145">
        <v>882</v>
      </c>
      <c r="C2188" s="145" t="s">
        <v>4186</v>
      </c>
      <c r="D2188" s="146" t="s">
        <v>4187</v>
      </c>
      <c r="E2188" s="147" t="s">
        <v>1371</v>
      </c>
      <c r="F2188" s="148"/>
      <c r="G2188" s="148"/>
      <c r="H2188" s="149"/>
      <c r="I2188" s="149"/>
      <c r="J2188" s="149"/>
      <c r="K2188" s="149"/>
      <c r="L2188" s="149"/>
      <c r="M2188" s="149">
        <f t="shared" si="779"/>
        <v>0</v>
      </c>
      <c r="N2188" s="149"/>
      <c r="O2188" s="149">
        <f t="shared" si="744"/>
        <v>0</v>
      </c>
      <c r="P2188" s="149"/>
      <c r="Q2188" s="149"/>
      <c r="R2188" s="149">
        <f t="shared" si="745"/>
        <v>0</v>
      </c>
      <c r="S2188" s="150" t="e">
        <f t="shared" si="746"/>
        <v>#DIV/0!</v>
      </c>
      <c r="T2188" s="151" t="e">
        <f t="shared" si="747"/>
        <v>#DIV/0!</v>
      </c>
      <c r="U2188" s="150" t="e">
        <f t="shared" si="748"/>
        <v>#NUM!</v>
      </c>
      <c r="V2188" s="150" t="e">
        <f t="shared" si="749"/>
        <v>#DIV/0!</v>
      </c>
      <c r="W2188" s="152"/>
      <c r="X2188" s="152"/>
      <c r="Y2188" s="152"/>
      <c r="Z2188" s="153">
        <f t="shared" si="783"/>
        <v>0</v>
      </c>
      <c r="AA2188" s="148">
        <f t="shared" si="784"/>
        <v>0</v>
      </c>
      <c r="AB2188" s="149"/>
      <c r="AC2188" s="149"/>
      <c r="AD2188" s="150" t="e">
        <f t="shared" si="772"/>
        <v>#DIV/0!</v>
      </c>
      <c r="AE2188" s="154" t="e">
        <f t="shared" si="773"/>
        <v>#DIV/0!</v>
      </c>
      <c r="AF2188" s="150" t="e">
        <f t="shared" si="774"/>
        <v>#DIV/0!</v>
      </c>
      <c r="AG2188" s="150" t="e">
        <f t="shared" si="775"/>
        <v>#DIV/0!</v>
      </c>
      <c r="AH2188" s="155" t="e">
        <f t="shared" si="776"/>
        <v>#DIV/0!</v>
      </c>
      <c r="AI2188" s="156" t="e">
        <f t="shared" si="756"/>
        <v>#DIV/0!</v>
      </c>
      <c r="AJ2188" s="149"/>
      <c r="AK2188" s="149"/>
      <c r="AL2188" s="157"/>
      <c r="AM2188" s="157"/>
      <c r="AN2188" s="157"/>
      <c r="AO2188" s="157"/>
      <c r="AP2188" s="157"/>
      <c r="AQ2188" s="157"/>
      <c r="AR2188" s="157"/>
    </row>
    <row r="2189" spans="1:44" ht="16.8">
      <c r="A2189" s="145">
        <v>95</v>
      </c>
      <c r="B2189" s="145">
        <v>883</v>
      </c>
      <c r="C2189" s="145" t="s">
        <v>4188</v>
      </c>
      <c r="D2189" s="146" t="s">
        <v>4189</v>
      </c>
      <c r="E2189" s="147" t="s">
        <v>178</v>
      </c>
      <c r="F2189" s="148"/>
      <c r="G2189" s="148"/>
      <c r="H2189" s="149"/>
      <c r="I2189" s="149"/>
      <c r="J2189" s="149"/>
      <c r="K2189" s="149"/>
      <c r="L2189" s="149"/>
      <c r="M2189" s="149">
        <f t="shared" si="779"/>
        <v>0</v>
      </c>
      <c r="N2189" s="149"/>
      <c r="O2189" s="149">
        <f t="shared" si="744"/>
        <v>0</v>
      </c>
      <c r="P2189" s="149"/>
      <c r="Q2189" s="149"/>
      <c r="R2189" s="149">
        <f t="shared" si="745"/>
        <v>0</v>
      </c>
      <c r="S2189" s="150" t="e">
        <f t="shared" si="746"/>
        <v>#DIV/0!</v>
      </c>
      <c r="T2189" s="151" t="e">
        <f t="shared" si="747"/>
        <v>#DIV/0!</v>
      </c>
      <c r="U2189" s="150" t="e">
        <f t="shared" si="748"/>
        <v>#NUM!</v>
      </c>
      <c r="V2189" s="150" t="e">
        <f t="shared" si="749"/>
        <v>#DIV/0!</v>
      </c>
      <c r="W2189" s="152"/>
      <c r="X2189" s="152"/>
      <c r="Y2189" s="152"/>
      <c r="Z2189" s="153">
        <f t="shared" si="783"/>
        <v>0</v>
      </c>
      <c r="AA2189" s="148">
        <f t="shared" si="784"/>
        <v>0</v>
      </c>
      <c r="AB2189" s="149"/>
      <c r="AC2189" s="149"/>
      <c r="AD2189" s="150" t="e">
        <f t="shared" si="772"/>
        <v>#DIV/0!</v>
      </c>
      <c r="AE2189" s="154" t="e">
        <f t="shared" si="773"/>
        <v>#DIV/0!</v>
      </c>
      <c r="AF2189" s="150" t="e">
        <f t="shared" si="774"/>
        <v>#DIV/0!</v>
      </c>
      <c r="AG2189" s="150" t="e">
        <f t="shared" si="775"/>
        <v>#DIV/0!</v>
      </c>
      <c r="AH2189" s="155" t="e">
        <f t="shared" si="776"/>
        <v>#DIV/0!</v>
      </c>
      <c r="AI2189" s="156" t="e">
        <f t="shared" si="756"/>
        <v>#DIV/0!</v>
      </c>
      <c r="AJ2189" s="149"/>
      <c r="AK2189" s="149"/>
      <c r="AL2189" s="157"/>
      <c r="AM2189" s="157"/>
      <c r="AN2189" s="157"/>
      <c r="AO2189" s="157"/>
      <c r="AP2189" s="157"/>
      <c r="AQ2189" s="157"/>
      <c r="AR2189" s="157"/>
    </row>
    <row r="2190" spans="1:44" ht="16.8">
      <c r="A2190" s="145">
        <v>96</v>
      </c>
      <c r="B2190" s="145">
        <v>884</v>
      </c>
      <c r="C2190" s="145" t="s">
        <v>4190</v>
      </c>
      <c r="D2190" s="146" t="s">
        <v>4191</v>
      </c>
      <c r="E2190" s="147" t="s">
        <v>178</v>
      </c>
      <c r="F2190" s="148"/>
      <c r="G2190" s="148"/>
      <c r="H2190" s="149"/>
      <c r="I2190" s="149"/>
      <c r="J2190" s="149"/>
      <c r="K2190" s="149"/>
      <c r="L2190" s="149"/>
      <c r="M2190" s="149">
        <f t="shared" si="779"/>
        <v>0</v>
      </c>
      <c r="N2190" s="149"/>
      <c r="O2190" s="149">
        <f t="shared" si="744"/>
        <v>0</v>
      </c>
      <c r="P2190" s="149"/>
      <c r="Q2190" s="149"/>
      <c r="R2190" s="149">
        <f t="shared" si="745"/>
        <v>0</v>
      </c>
      <c r="S2190" s="150" t="e">
        <f t="shared" si="746"/>
        <v>#DIV/0!</v>
      </c>
      <c r="T2190" s="151" t="e">
        <f t="shared" si="747"/>
        <v>#DIV/0!</v>
      </c>
      <c r="U2190" s="150" t="e">
        <f t="shared" si="748"/>
        <v>#NUM!</v>
      </c>
      <c r="V2190" s="150" t="e">
        <f t="shared" si="749"/>
        <v>#DIV/0!</v>
      </c>
      <c r="W2190" s="152"/>
      <c r="X2190" s="152"/>
      <c r="Y2190" s="152"/>
      <c r="Z2190" s="153">
        <f t="shared" si="783"/>
        <v>0</v>
      </c>
      <c r="AA2190" s="148">
        <f t="shared" si="784"/>
        <v>0</v>
      </c>
      <c r="AB2190" s="149"/>
      <c r="AC2190" s="149"/>
      <c r="AD2190" s="150" t="e">
        <f t="shared" si="772"/>
        <v>#DIV/0!</v>
      </c>
      <c r="AE2190" s="154" t="e">
        <f t="shared" si="773"/>
        <v>#DIV/0!</v>
      </c>
      <c r="AF2190" s="150" t="e">
        <f t="shared" si="774"/>
        <v>#DIV/0!</v>
      </c>
      <c r="AG2190" s="150" t="e">
        <f t="shared" si="775"/>
        <v>#DIV/0!</v>
      </c>
      <c r="AH2190" s="155" t="e">
        <f t="shared" si="776"/>
        <v>#DIV/0!</v>
      </c>
      <c r="AI2190" s="156" t="e">
        <f t="shared" si="756"/>
        <v>#DIV/0!</v>
      </c>
      <c r="AJ2190" s="149"/>
      <c r="AK2190" s="149"/>
      <c r="AL2190" s="157"/>
      <c r="AM2190" s="157"/>
      <c r="AN2190" s="157"/>
      <c r="AO2190" s="157"/>
      <c r="AP2190" s="157"/>
      <c r="AQ2190" s="157"/>
      <c r="AR2190" s="157"/>
    </row>
    <row r="2191" spans="1:44" ht="16.8">
      <c r="A2191" s="145">
        <v>97</v>
      </c>
      <c r="B2191" s="145">
        <v>885</v>
      </c>
      <c r="C2191" s="145" t="s">
        <v>4192</v>
      </c>
      <c r="D2191" s="146" t="s">
        <v>4193</v>
      </c>
      <c r="E2191" s="147" t="s">
        <v>178</v>
      </c>
      <c r="F2191" s="148"/>
      <c r="G2191" s="148"/>
      <c r="H2191" s="149"/>
      <c r="I2191" s="149"/>
      <c r="J2191" s="149"/>
      <c r="K2191" s="149"/>
      <c r="L2191" s="149"/>
      <c r="M2191" s="149">
        <f t="shared" si="779"/>
        <v>0</v>
      </c>
      <c r="N2191" s="149"/>
      <c r="O2191" s="149">
        <f t="shared" si="744"/>
        <v>0</v>
      </c>
      <c r="P2191" s="149"/>
      <c r="Q2191" s="149"/>
      <c r="R2191" s="149">
        <f t="shared" si="745"/>
        <v>0</v>
      </c>
      <c r="S2191" s="150" t="e">
        <f t="shared" si="746"/>
        <v>#DIV/0!</v>
      </c>
      <c r="T2191" s="151" t="e">
        <f t="shared" si="747"/>
        <v>#DIV/0!</v>
      </c>
      <c r="U2191" s="150" t="e">
        <f t="shared" si="748"/>
        <v>#NUM!</v>
      </c>
      <c r="V2191" s="150" t="e">
        <f t="shared" si="749"/>
        <v>#DIV/0!</v>
      </c>
      <c r="W2191" s="152"/>
      <c r="X2191" s="152"/>
      <c r="Y2191" s="152"/>
      <c r="Z2191" s="153">
        <f t="shared" si="783"/>
        <v>0</v>
      </c>
      <c r="AA2191" s="148">
        <f t="shared" si="784"/>
        <v>0</v>
      </c>
      <c r="AB2191" s="149"/>
      <c r="AC2191" s="149"/>
      <c r="AD2191" s="150" t="e">
        <f t="shared" si="772"/>
        <v>#DIV/0!</v>
      </c>
      <c r="AE2191" s="154" t="e">
        <f t="shared" si="773"/>
        <v>#DIV/0!</v>
      </c>
      <c r="AF2191" s="150" t="e">
        <f t="shared" si="774"/>
        <v>#DIV/0!</v>
      </c>
      <c r="AG2191" s="150" t="e">
        <f t="shared" si="775"/>
        <v>#DIV/0!</v>
      </c>
      <c r="AH2191" s="155" t="e">
        <f t="shared" si="776"/>
        <v>#DIV/0!</v>
      </c>
      <c r="AI2191" s="156" t="e">
        <f t="shared" si="756"/>
        <v>#DIV/0!</v>
      </c>
      <c r="AJ2191" s="149"/>
      <c r="AK2191" s="149"/>
      <c r="AL2191" s="157"/>
      <c r="AM2191" s="157"/>
      <c r="AN2191" s="157"/>
      <c r="AO2191" s="157"/>
      <c r="AP2191" s="157"/>
      <c r="AQ2191" s="157"/>
      <c r="AR2191" s="157"/>
    </row>
    <row r="2192" spans="1:44" ht="16.8">
      <c r="A2192" s="145">
        <v>98</v>
      </c>
      <c r="B2192" s="145">
        <v>886</v>
      </c>
      <c r="C2192" s="145" t="s">
        <v>4194</v>
      </c>
      <c r="D2192" s="146" t="s">
        <v>4195</v>
      </c>
      <c r="E2192" s="147" t="s">
        <v>178</v>
      </c>
      <c r="F2192" s="148"/>
      <c r="G2192" s="148"/>
      <c r="H2192" s="149"/>
      <c r="I2192" s="149"/>
      <c r="J2192" s="149"/>
      <c r="K2192" s="149"/>
      <c r="L2192" s="149"/>
      <c r="M2192" s="149">
        <f t="shared" si="779"/>
        <v>0</v>
      </c>
      <c r="N2192" s="149"/>
      <c r="O2192" s="149">
        <f t="shared" si="744"/>
        <v>0</v>
      </c>
      <c r="P2192" s="149"/>
      <c r="Q2192" s="149"/>
      <c r="R2192" s="149">
        <f t="shared" si="745"/>
        <v>0</v>
      </c>
      <c r="S2192" s="150" t="e">
        <f t="shared" si="746"/>
        <v>#DIV/0!</v>
      </c>
      <c r="T2192" s="151" t="e">
        <f t="shared" si="747"/>
        <v>#DIV/0!</v>
      </c>
      <c r="U2192" s="150" t="e">
        <f t="shared" si="748"/>
        <v>#NUM!</v>
      </c>
      <c r="V2192" s="150" t="e">
        <f t="shared" si="749"/>
        <v>#DIV/0!</v>
      </c>
      <c r="W2192" s="152"/>
      <c r="X2192" s="152"/>
      <c r="Y2192" s="152"/>
      <c r="Z2192" s="153">
        <f t="shared" si="783"/>
        <v>0</v>
      </c>
      <c r="AA2192" s="148">
        <f t="shared" si="784"/>
        <v>0</v>
      </c>
      <c r="AB2192" s="149"/>
      <c r="AC2192" s="149"/>
      <c r="AD2192" s="150" t="e">
        <f t="shared" si="772"/>
        <v>#DIV/0!</v>
      </c>
      <c r="AE2192" s="154" t="e">
        <f t="shared" si="773"/>
        <v>#DIV/0!</v>
      </c>
      <c r="AF2192" s="150" t="e">
        <f t="shared" si="774"/>
        <v>#DIV/0!</v>
      </c>
      <c r="AG2192" s="150" t="e">
        <f t="shared" si="775"/>
        <v>#DIV/0!</v>
      </c>
      <c r="AH2192" s="155" t="e">
        <f t="shared" si="776"/>
        <v>#DIV/0!</v>
      </c>
      <c r="AI2192" s="156" t="e">
        <f t="shared" si="756"/>
        <v>#DIV/0!</v>
      </c>
      <c r="AJ2192" s="149"/>
      <c r="AK2192" s="149"/>
      <c r="AL2192" s="157"/>
      <c r="AM2192" s="157"/>
      <c r="AN2192" s="157"/>
      <c r="AO2192" s="157"/>
      <c r="AP2192" s="157"/>
      <c r="AQ2192" s="157"/>
      <c r="AR2192" s="157"/>
    </row>
    <row r="2193" spans="1:44" ht="16.8">
      <c r="A2193" s="145">
        <v>99</v>
      </c>
      <c r="B2193" s="145">
        <v>887</v>
      </c>
      <c r="C2193" s="145" t="s">
        <v>4196</v>
      </c>
      <c r="D2193" s="146" t="s">
        <v>4197</v>
      </c>
      <c r="E2193" s="147" t="s">
        <v>178</v>
      </c>
      <c r="F2193" s="148"/>
      <c r="G2193" s="148"/>
      <c r="H2193" s="149"/>
      <c r="I2193" s="149"/>
      <c r="J2193" s="149"/>
      <c r="K2193" s="149"/>
      <c r="L2193" s="149"/>
      <c r="M2193" s="149">
        <f t="shared" si="779"/>
        <v>0</v>
      </c>
      <c r="N2193" s="149"/>
      <c r="O2193" s="149">
        <f t="shared" si="744"/>
        <v>0</v>
      </c>
      <c r="P2193" s="149"/>
      <c r="Q2193" s="149"/>
      <c r="R2193" s="149">
        <f t="shared" si="745"/>
        <v>0</v>
      </c>
      <c r="S2193" s="150" t="e">
        <f t="shared" si="746"/>
        <v>#DIV/0!</v>
      </c>
      <c r="T2193" s="151" t="e">
        <f t="shared" si="747"/>
        <v>#DIV/0!</v>
      </c>
      <c r="U2193" s="150" t="e">
        <f t="shared" si="748"/>
        <v>#NUM!</v>
      </c>
      <c r="V2193" s="150" t="e">
        <f t="shared" si="749"/>
        <v>#DIV/0!</v>
      </c>
      <c r="W2193" s="152"/>
      <c r="X2193" s="152"/>
      <c r="Y2193" s="152"/>
      <c r="Z2193" s="153">
        <f t="shared" si="783"/>
        <v>0</v>
      </c>
      <c r="AA2193" s="148">
        <f t="shared" si="784"/>
        <v>0</v>
      </c>
      <c r="AB2193" s="149"/>
      <c r="AC2193" s="149"/>
      <c r="AD2193" s="150" t="e">
        <f t="shared" si="772"/>
        <v>#DIV/0!</v>
      </c>
      <c r="AE2193" s="154" t="e">
        <f t="shared" si="773"/>
        <v>#DIV/0!</v>
      </c>
      <c r="AF2193" s="150" t="e">
        <f t="shared" si="774"/>
        <v>#DIV/0!</v>
      </c>
      <c r="AG2193" s="150" t="e">
        <f t="shared" si="775"/>
        <v>#DIV/0!</v>
      </c>
      <c r="AH2193" s="155" t="e">
        <f t="shared" si="776"/>
        <v>#DIV/0!</v>
      </c>
      <c r="AI2193" s="156" t="e">
        <f t="shared" si="756"/>
        <v>#DIV/0!</v>
      </c>
      <c r="AJ2193" s="149"/>
      <c r="AK2193" s="149"/>
      <c r="AL2193" s="157"/>
      <c r="AM2193" s="157"/>
      <c r="AN2193" s="157"/>
      <c r="AO2193" s="157"/>
      <c r="AP2193" s="157"/>
      <c r="AQ2193" s="157"/>
      <c r="AR2193" s="157"/>
    </row>
    <row r="2194" spans="1:44" ht="16.8">
      <c r="A2194" s="145">
        <v>100</v>
      </c>
      <c r="B2194" s="145">
        <v>888</v>
      </c>
      <c r="C2194" s="145" t="s">
        <v>4198</v>
      </c>
      <c r="D2194" s="146" t="s">
        <v>4199</v>
      </c>
      <c r="E2194" s="147" t="s">
        <v>178</v>
      </c>
      <c r="F2194" s="148"/>
      <c r="G2194" s="148"/>
      <c r="H2194" s="149"/>
      <c r="I2194" s="149"/>
      <c r="J2194" s="149"/>
      <c r="K2194" s="149"/>
      <c r="L2194" s="149"/>
      <c r="M2194" s="149">
        <f t="shared" si="779"/>
        <v>0</v>
      </c>
      <c r="N2194" s="149"/>
      <c r="O2194" s="149">
        <f t="shared" si="744"/>
        <v>0</v>
      </c>
      <c r="P2194" s="149"/>
      <c r="Q2194" s="149"/>
      <c r="R2194" s="149">
        <f t="shared" si="745"/>
        <v>0</v>
      </c>
      <c r="S2194" s="150" t="e">
        <f t="shared" si="746"/>
        <v>#DIV/0!</v>
      </c>
      <c r="T2194" s="151" t="e">
        <f t="shared" si="747"/>
        <v>#DIV/0!</v>
      </c>
      <c r="U2194" s="150" t="e">
        <f t="shared" si="748"/>
        <v>#NUM!</v>
      </c>
      <c r="V2194" s="150" t="e">
        <f t="shared" si="749"/>
        <v>#DIV/0!</v>
      </c>
      <c r="W2194" s="152"/>
      <c r="X2194" s="152"/>
      <c r="Y2194" s="152"/>
      <c r="Z2194" s="153">
        <f t="shared" si="783"/>
        <v>0</v>
      </c>
      <c r="AA2194" s="148">
        <f t="shared" si="784"/>
        <v>0</v>
      </c>
      <c r="AB2194" s="149"/>
      <c r="AC2194" s="149"/>
      <c r="AD2194" s="150" t="e">
        <f t="shared" si="772"/>
        <v>#DIV/0!</v>
      </c>
      <c r="AE2194" s="154" t="e">
        <f t="shared" si="773"/>
        <v>#DIV/0!</v>
      </c>
      <c r="AF2194" s="150" t="e">
        <f t="shared" si="774"/>
        <v>#DIV/0!</v>
      </c>
      <c r="AG2194" s="150" t="e">
        <f t="shared" si="775"/>
        <v>#DIV/0!</v>
      </c>
      <c r="AH2194" s="155" t="e">
        <f t="shared" si="776"/>
        <v>#DIV/0!</v>
      </c>
      <c r="AI2194" s="156" t="e">
        <f t="shared" si="756"/>
        <v>#DIV/0!</v>
      </c>
      <c r="AJ2194" s="149"/>
      <c r="AK2194" s="149"/>
      <c r="AL2194" s="157"/>
      <c r="AM2194" s="157"/>
      <c r="AN2194" s="157"/>
      <c r="AO2194" s="157"/>
      <c r="AP2194" s="157"/>
      <c r="AQ2194" s="157"/>
      <c r="AR2194" s="157"/>
    </row>
    <row r="2195" spans="1:44" ht="16.8">
      <c r="A2195" s="145">
        <v>101</v>
      </c>
      <c r="B2195" s="145">
        <v>889</v>
      </c>
      <c r="C2195" s="145" t="s">
        <v>4200</v>
      </c>
      <c r="D2195" s="146" t="s">
        <v>4201</v>
      </c>
      <c r="E2195" s="147" t="s">
        <v>178</v>
      </c>
      <c r="F2195" s="148"/>
      <c r="G2195" s="148"/>
      <c r="H2195" s="149"/>
      <c r="I2195" s="149"/>
      <c r="J2195" s="149"/>
      <c r="K2195" s="149"/>
      <c r="L2195" s="149"/>
      <c r="M2195" s="149">
        <f t="shared" si="779"/>
        <v>0</v>
      </c>
      <c r="N2195" s="149"/>
      <c r="O2195" s="149">
        <f t="shared" si="744"/>
        <v>0</v>
      </c>
      <c r="P2195" s="149"/>
      <c r="Q2195" s="149"/>
      <c r="R2195" s="149">
        <f t="shared" si="745"/>
        <v>0</v>
      </c>
      <c r="S2195" s="150" t="e">
        <f t="shared" si="746"/>
        <v>#DIV/0!</v>
      </c>
      <c r="T2195" s="151" t="e">
        <f t="shared" si="747"/>
        <v>#DIV/0!</v>
      </c>
      <c r="U2195" s="150" t="e">
        <f t="shared" si="748"/>
        <v>#NUM!</v>
      </c>
      <c r="V2195" s="150" t="e">
        <f t="shared" si="749"/>
        <v>#DIV/0!</v>
      </c>
      <c r="W2195" s="152"/>
      <c r="X2195" s="152"/>
      <c r="Y2195" s="152"/>
      <c r="Z2195" s="153">
        <f t="shared" si="783"/>
        <v>0</v>
      </c>
      <c r="AA2195" s="148">
        <f t="shared" si="784"/>
        <v>0</v>
      </c>
      <c r="AB2195" s="149"/>
      <c r="AC2195" s="149"/>
      <c r="AD2195" s="150" t="e">
        <f t="shared" si="772"/>
        <v>#DIV/0!</v>
      </c>
      <c r="AE2195" s="154" t="e">
        <f t="shared" si="773"/>
        <v>#DIV/0!</v>
      </c>
      <c r="AF2195" s="150" t="e">
        <f t="shared" si="774"/>
        <v>#DIV/0!</v>
      </c>
      <c r="AG2195" s="150" t="e">
        <f t="shared" si="775"/>
        <v>#DIV/0!</v>
      </c>
      <c r="AH2195" s="155" t="e">
        <f t="shared" si="776"/>
        <v>#DIV/0!</v>
      </c>
      <c r="AI2195" s="156" t="e">
        <f t="shared" si="756"/>
        <v>#DIV/0!</v>
      </c>
      <c r="AJ2195" s="149"/>
      <c r="AK2195" s="149"/>
      <c r="AL2195" s="157"/>
      <c r="AM2195" s="157"/>
      <c r="AN2195" s="157"/>
      <c r="AO2195" s="157"/>
      <c r="AP2195" s="157"/>
      <c r="AQ2195" s="157"/>
      <c r="AR2195" s="157"/>
    </row>
    <row r="2196" spans="1:44" ht="16.8">
      <c r="A2196" s="145">
        <v>102</v>
      </c>
      <c r="B2196" s="145">
        <v>890</v>
      </c>
      <c r="C2196" s="145" t="s">
        <v>4202</v>
      </c>
      <c r="D2196" s="146" t="s">
        <v>4203</v>
      </c>
      <c r="E2196" s="147" t="s">
        <v>178</v>
      </c>
      <c r="F2196" s="148"/>
      <c r="G2196" s="148"/>
      <c r="H2196" s="149"/>
      <c r="I2196" s="149"/>
      <c r="J2196" s="149"/>
      <c r="K2196" s="149"/>
      <c r="L2196" s="149"/>
      <c r="M2196" s="149">
        <f t="shared" si="779"/>
        <v>0</v>
      </c>
      <c r="N2196" s="149"/>
      <c r="O2196" s="149">
        <f t="shared" si="744"/>
        <v>0</v>
      </c>
      <c r="P2196" s="149"/>
      <c r="Q2196" s="149"/>
      <c r="R2196" s="149">
        <f t="shared" si="745"/>
        <v>0</v>
      </c>
      <c r="S2196" s="150" t="e">
        <f t="shared" si="746"/>
        <v>#DIV/0!</v>
      </c>
      <c r="T2196" s="151" t="e">
        <f t="shared" si="747"/>
        <v>#DIV/0!</v>
      </c>
      <c r="U2196" s="150" t="e">
        <f t="shared" si="748"/>
        <v>#NUM!</v>
      </c>
      <c r="V2196" s="150" t="e">
        <f t="shared" si="749"/>
        <v>#DIV/0!</v>
      </c>
      <c r="W2196" s="152"/>
      <c r="X2196" s="152"/>
      <c r="Y2196" s="152"/>
      <c r="Z2196" s="153">
        <f t="shared" si="783"/>
        <v>0</v>
      </c>
      <c r="AA2196" s="148">
        <f t="shared" si="784"/>
        <v>0</v>
      </c>
      <c r="AB2196" s="149"/>
      <c r="AC2196" s="149"/>
      <c r="AD2196" s="150" t="e">
        <f t="shared" si="772"/>
        <v>#DIV/0!</v>
      </c>
      <c r="AE2196" s="154" t="e">
        <f t="shared" si="773"/>
        <v>#DIV/0!</v>
      </c>
      <c r="AF2196" s="150" t="e">
        <f t="shared" si="774"/>
        <v>#DIV/0!</v>
      </c>
      <c r="AG2196" s="150" t="e">
        <f t="shared" si="775"/>
        <v>#DIV/0!</v>
      </c>
      <c r="AH2196" s="155" t="e">
        <f t="shared" si="776"/>
        <v>#DIV/0!</v>
      </c>
      <c r="AI2196" s="156" t="e">
        <f t="shared" si="756"/>
        <v>#DIV/0!</v>
      </c>
      <c r="AJ2196" s="149"/>
      <c r="AK2196" s="149"/>
      <c r="AL2196" s="157"/>
      <c r="AM2196" s="157"/>
      <c r="AN2196" s="157"/>
      <c r="AO2196" s="157"/>
      <c r="AP2196" s="157"/>
      <c r="AQ2196" s="157"/>
      <c r="AR2196" s="157"/>
    </row>
    <row r="2197" spans="1:44" ht="16.8">
      <c r="A2197" s="145">
        <v>103</v>
      </c>
      <c r="B2197" s="145">
        <v>891</v>
      </c>
      <c r="C2197" s="145" t="s">
        <v>4204</v>
      </c>
      <c r="D2197" s="146" t="s">
        <v>4205</v>
      </c>
      <c r="E2197" s="147" t="s">
        <v>178</v>
      </c>
      <c r="F2197" s="148"/>
      <c r="G2197" s="148"/>
      <c r="H2197" s="149"/>
      <c r="I2197" s="149"/>
      <c r="J2197" s="149"/>
      <c r="K2197" s="149"/>
      <c r="L2197" s="149"/>
      <c r="M2197" s="149">
        <f t="shared" si="779"/>
        <v>0</v>
      </c>
      <c r="N2197" s="149"/>
      <c r="O2197" s="149">
        <f t="shared" si="744"/>
        <v>0</v>
      </c>
      <c r="P2197" s="149"/>
      <c r="Q2197" s="149"/>
      <c r="R2197" s="149">
        <f t="shared" si="745"/>
        <v>0</v>
      </c>
      <c r="S2197" s="150" t="e">
        <f t="shared" si="746"/>
        <v>#DIV/0!</v>
      </c>
      <c r="T2197" s="151" t="e">
        <f t="shared" si="747"/>
        <v>#DIV/0!</v>
      </c>
      <c r="U2197" s="150" t="e">
        <f t="shared" si="748"/>
        <v>#NUM!</v>
      </c>
      <c r="V2197" s="150" t="e">
        <f t="shared" si="749"/>
        <v>#DIV/0!</v>
      </c>
      <c r="W2197" s="152"/>
      <c r="X2197" s="152"/>
      <c r="Y2197" s="152"/>
      <c r="Z2197" s="153">
        <f t="shared" si="783"/>
        <v>0</v>
      </c>
      <c r="AA2197" s="148">
        <f t="shared" si="784"/>
        <v>0</v>
      </c>
      <c r="AB2197" s="149"/>
      <c r="AC2197" s="149"/>
      <c r="AD2197" s="150" t="e">
        <f t="shared" si="772"/>
        <v>#DIV/0!</v>
      </c>
      <c r="AE2197" s="154" t="e">
        <f t="shared" si="773"/>
        <v>#DIV/0!</v>
      </c>
      <c r="AF2197" s="150" t="e">
        <f t="shared" si="774"/>
        <v>#DIV/0!</v>
      </c>
      <c r="AG2197" s="150" t="e">
        <f t="shared" si="775"/>
        <v>#DIV/0!</v>
      </c>
      <c r="AH2197" s="155" t="e">
        <f t="shared" si="776"/>
        <v>#DIV/0!</v>
      </c>
      <c r="AI2197" s="156" t="e">
        <f t="shared" si="756"/>
        <v>#DIV/0!</v>
      </c>
      <c r="AJ2197" s="149"/>
      <c r="AK2197" s="149"/>
      <c r="AL2197" s="157"/>
      <c r="AM2197" s="157"/>
      <c r="AN2197" s="157"/>
      <c r="AO2197" s="157"/>
      <c r="AP2197" s="157"/>
      <c r="AQ2197" s="157"/>
      <c r="AR2197" s="157"/>
    </row>
    <row r="2198" spans="1:44" ht="16.8">
      <c r="A2198" s="145">
        <v>104</v>
      </c>
      <c r="B2198" s="145">
        <v>892</v>
      </c>
      <c r="C2198" s="145" t="s">
        <v>4206</v>
      </c>
      <c r="D2198" s="146" t="s">
        <v>4207</v>
      </c>
      <c r="E2198" s="147" t="s">
        <v>178</v>
      </c>
      <c r="F2198" s="148"/>
      <c r="G2198" s="148"/>
      <c r="H2198" s="149"/>
      <c r="I2198" s="149"/>
      <c r="J2198" s="149"/>
      <c r="K2198" s="149"/>
      <c r="L2198" s="149"/>
      <c r="M2198" s="149">
        <f t="shared" si="779"/>
        <v>0</v>
      </c>
      <c r="N2198" s="149"/>
      <c r="O2198" s="149">
        <f t="shared" si="744"/>
        <v>0</v>
      </c>
      <c r="P2198" s="149"/>
      <c r="Q2198" s="149"/>
      <c r="R2198" s="149">
        <f t="shared" si="745"/>
        <v>0</v>
      </c>
      <c r="S2198" s="150" t="e">
        <f t="shared" si="746"/>
        <v>#DIV/0!</v>
      </c>
      <c r="T2198" s="151" t="e">
        <f t="shared" si="747"/>
        <v>#DIV/0!</v>
      </c>
      <c r="U2198" s="150" t="e">
        <f t="shared" si="748"/>
        <v>#NUM!</v>
      </c>
      <c r="V2198" s="150" t="e">
        <f t="shared" si="749"/>
        <v>#DIV/0!</v>
      </c>
      <c r="W2198" s="152"/>
      <c r="X2198" s="152"/>
      <c r="Y2198" s="152"/>
      <c r="Z2198" s="153">
        <f t="shared" si="783"/>
        <v>0</v>
      </c>
      <c r="AA2198" s="148">
        <f t="shared" si="784"/>
        <v>0</v>
      </c>
      <c r="AB2198" s="149"/>
      <c r="AC2198" s="149"/>
      <c r="AD2198" s="150" t="e">
        <f t="shared" si="772"/>
        <v>#DIV/0!</v>
      </c>
      <c r="AE2198" s="154" t="e">
        <f t="shared" si="773"/>
        <v>#DIV/0!</v>
      </c>
      <c r="AF2198" s="150" t="e">
        <f t="shared" si="774"/>
        <v>#DIV/0!</v>
      </c>
      <c r="AG2198" s="150" t="e">
        <f t="shared" si="775"/>
        <v>#DIV/0!</v>
      </c>
      <c r="AH2198" s="155" t="e">
        <f t="shared" si="776"/>
        <v>#DIV/0!</v>
      </c>
      <c r="AI2198" s="156" t="e">
        <f t="shared" si="756"/>
        <v>#DIV/0!</v>
      </c>
      <c r="AJ2198" s="149"/>
      <c r="AK2198" s="149"/>
      <c r="AL2198" s="157"/>
      <c r="AM2198" s="157"/>
      <c r="AN2198" s="157"/>
      <c r="AO2198" s="157"/>
      <c r="AP2198" s="157"/>
      <c r="AQ2198" s="157"/>
      <c r="AR2198" s="157"/>
    </row>
    <row r="2199" spans="1:44" ht="16.8">
      <c r="A2199" s="145">
        <v>105</v>
      </c>
      <c r="B2199" s="145">
        <v>893</v>
      </c>
      <c r="C2199" s="145" t="s">
        <v>4208</v>
      </c>
      <c r="D2199" s="146" t="s">
        <v>4209</v>
      </c>
      <c r="E2199" s="147" t="s">
        <v>1371</v>
      </c>
      <c r="F2199" s="148"/>
      <c r="G2199" s="148"/>
      <c r="H2199" s="149"/>
      <c r="I2199" s="149"/>
      <c r="J2199" s="149"/>
      <c r="K2199" s="149"/>
      <c r="L2199" s="149"/>
      <c r="M2199" s="149">
        <f t="shared" si="779"/>
        <v>0</v>
      </c>
      <c r="N2199" s="149"/>
      <c r="O2199" s="149">
        <f t="shared" si="744"/>
        <v>0</v>
      </c>
      <c r="P2199" s="149"/>
      <c r="Q2199" s="149"/>
      <c r="R2199" s="149">
        <f t="shared" si="745"/>
        <v>0</v>
      </c>
      <c r="S2199" s="150" t="e">
        <f t="shared" si="746"/>
        <v>#DIV/0!</v>
      </c>
      <c r="T2199" s="151" t="e">
        <f t="shared" si="747"/>
        <v>#DIV/0!</v>
      </c>
      <c r="U2199" s="150" t="e">
        <f t="shared" si="748"/>
        <v>#NUM!</v>
      </c>
      <c r="V2199" s="150" t="e">
        <f t="shared" si="749"/>
        <v>#DIV/0!</v>
      </c>
      <c r="W2199" s="152"/>
      <c r="X2199" s="152"/>
      <c r="Y2199" s="152"/>
      <c r="Z2199" s="153">
        <f t="shared" si="783"/>
        <v>0</v>
      </c>
      <c r="AA2199" s="148">
        <f t="shared" si="784"/>
        <v>0</v>
      </c>
      <c r="AB2199" s="149"/>
      <c r="AC2199" s="149"/>
      <c r="AD2199" s="150" t="e">
        <f t="shared" si="772"/>
        <v>#DIV/0!</v>
      </c>
      <c r="AE2199" s="154" t="e">
        <f t="shared" si="773"/>
        <v>#DIV/0!</v>
      </c>
      <c r="AF2199" s="150" t="e">
        <f t="shared" si="774"/>
        <v>#DIV/0!</v>
      </c>
      <c r="AG2199" s="150" t="e">
        <f t="shared" si="775"/>
        <v>#DIV/0!</v>
      </c>
      <c r="AH2199" s="155" t="e">
        <f t="shared" si="776"/>
        <v>#DIV/0!</v>
      </c>
      <c r="AI2199" s="156" t="e">
        <f t="shared" si="756"/>
        <v>#DIV/0!</v>
      </c>
      <c r="AJ2199" s="149"/>
      <c r="AK2199" s="149"/>
      <c r="AL2199" s="157"/>
      <c r="AM2199" s="157"/>
      <c r="AN2199" s="157"/>
      <c r="AO2199" s="157"/>
      <c r="AP2199" s="157"/>
      <c r="AQ2199" s="157"/>
      <c r="AR2199" s="157"/>
    </row>
    <row r="2200" spans="1:44" ht="16.8">
      <c r="A2200" s="145">
        <v>106</v>
      </c>
      <c r="B2200" s="145">
        <v>894</v>
      </c>
      <c r="C2200" s="145" t="s">
        <v>4210</v>
      </c>
      <c r="D2200" s="146" t="s">
        <v>4211</v>
      </c>
      <c r="E2200" s="147" t="s">
        <v>178</v>
      </c>
      <c r="F2200" s="148"/>
      <c r="G2200" s="148"/>
      <c r="H2200" s="149"/>
      <c r="I2200" s="149"/>
      <c r="J2200" s="149"/>
      <c r="K2200" s="149"/>
      <c r="L2200" s="149"/>
      <c r="M2200" s="149">
        <f t="shared" si="779"/>
        <v>0</v>
      </c>
      <c r="N2200" s="149"/>
      <c r="O2200" s="149">
        <f t="shared" si="744"/>
        <v>0</v>
      </c>
      <c r="P2200" s="149"/>
      <c r="Q2200" s="149"/>
      <c r="R2200" s="149">
        <f t="shared" si="745"/>
        <v>0</v>
      </c>
      <c r="S2200" s="150" t="e">
        <f t="shared" si="746"/>
        <v>#DIV/0!</v>
      </c>
      <c r="T2200" s="151" t="e">
        <f t="shared" si="747"/>
        <v>#DIV/0!</v>
      </c>
      <c r="U2200" s="150" t="e">
        <f t="shared" si="748"/>
        <v>#NUM!</v>
      </c>
      <c r="V2200" s="150" t="e">
        <f t="shared" si="749"/>
        <v>#DIV/0!</v>
      </c>
      <c r="W2200" s="152"/>
      <c r="X2200" s="152"/>
      <c r="Y2200" s="152"/>
      <c r="Z2200" s="153">
        <f t="shared" si="783"/>
        <v>0</v>
      </c>
      <c r="AA2200" s="148">
        <f t="shared" si="784"/>
        <v>0</v>
      </c>
      <c r="AB2200" s="149"/>
      <c r="AC2200" s="149"/>
      <c r="AD2200" s="150" t="e">
        <f t="shared" si="772"/>
        <v>#DIV/0!</v>
      </c>
      <c r="AE2200" s="154" t="e">
        <f t="shared" si="773"/>
        <v>#DIV/0!</v>
      </c>
      <c r="AF2200" s="150" t="e">
        <f t="shared" si="774"/>
        <v>#DIV/0!</v>
      </c>
      <c r="AG2200" s="150" t="e">
        <f t="shared" si="775"/>
        <v>#DIV/0!</v>
      </c>
      <c r="AH2200" s="155" t="e">
        <f t="shared" si="776"/>
        <v>#DIV/0!</v>
      </c>
      <c r="AI2200" s="156" t="e">
        <f t="shared" si="756"/>
        <v>#DIV/0!</v>
      </c>
      <c r="AJ2200" s="149"/>
      <c r="AK2200" s="149"/>
      <c r="AL2200" s="157"/>
      <c r="AM2200" s="157"/>
      <c r="AN2200" s="157"/>
      <c r="AO2200" s="157"/>
      <c r="AP2200" s="157"/>
      <c r="AQ2200" s="157"/>
      <c r="AR2200" s="157"/>
    </row>
    <row r="2201" spans="1:44" ht="16.8">
      <c r="A2201" s="145">
        <v>107</v>
      </c>
      <c r="B2201" s="145">
        <v>895</v>
      </c>
      <c r="C2201" s="145" t="s">
        <v>4212</v>
      </c>
      <c r="D2201" s="146" t="s">
        <v>4213</v>
      </c>
      <c r="E2201" s="147" t="s">
        <v>1371</v>
      </c>
      <c r="F2201" s="148"/>
      <c r="G2201" s="148"/>
      <c r="H2201" s="149"/>
      <c r="I2201" s="149"/>
      <c r="J2201" s="149"/>
      <c r="K2201" s="149"/>
      <c r="L2201" s="149"/>
      <c r="M2201" s="149">
        <f t="shared" si="779"/>
        <v>0</v>
      </c>
      <c r="N2201" s="149"/>
      <c r="O2201" s="149">
        <f t="shared" si="744"/>
        <v>0</v>
      </c>
      <c r="P2201" s="149"/>
      <c r="Q2201" s="149"/>
      <c r="R2201" s="149">
        <f t="shared" si="745"/>
        <v>0</v>
      </c>
      <c r="S2201" s="150" t="e">
        <f t="shared" si="746"/>
        <v>#DIV/0!</v>
      </c>
      <c r="T2201" s="151" t="e">
        <f t="shared" si="747"/>
        <v>#DIV/0!</v>
      </c>
      <c r="U2201" s="150" t="e">
        <f t="shared" si="748"/>
        <v>#NUM!</v>
      </c>
      <c r="V2201" s="150" t="e">
        <f t="shared" si="749"/>
        <v>#DIV/0!</v>
      </c>
      <c r="W2201" s="152"/>
      <c r="X2201" s="152"/>
      <c r="Y2201" s="152"/>
      <c r="Z2201" s="153">
        <f t="shared" si="783"/>
        <v>0</v>
      </c>
      <c r="AA2201" s="148">
        <f t="shared" si="784"/>
        <v>0</v>
      </c>
      <c r="AB2201" s="149"/>
      <c r="AC2201" s="149"/>
      <c r="AD2201" s="150" t="e">
        <f t="shared" si="772"/>
        <v>#DIV/0!</v>
      </c>
      <c r="AE2201" s="154" t="e">
        <f t="shared" si="773"/>
        <v>#DIV/0!</v>
      </c>
      <c r="AF2201" s="150" t="e">
        <f t="shared" si="774"/>
        <v>#DIV/0!</v>
      </c>
      <c r="AG2201" s="150" t="e">
        <f t="shared" si="775"/>
        <v>#DIV/0!</v>
      </c>
      <c r="AH2201" s="155" t="e">
        <f t="shared" si="776"/>
        <v>#DIV/0!</v>
      </c>
      <c r="AI2201" s="156" t="e">
        <f t="shared" si="756"/>
        <v>#DIV/0!</v>
      </c>
      <c r="AJ2201" s="149"/>
      <c r="AK2201" s="149"/>
      <c r="AL2201" s="157"/>
      <c r="AM2201" s="157"/>
      <c r="AN2201" s="157"/>
      <c r="AO2201" s="157"/>
      <c r="AP2201" s="157"/>
      <c r="AQ2201" s="157"/>
      <c r="AR2201" s="157"/>
    </row>
    <row r="2202" spans="1:44" ht="16.8">
      <c r="A2202" s="145">
        <v>108</v>
      </c>
      <c r="B2202" s="145">
        <v>896</v>
      </c>
      <c r="C2202" s="145" t="s">
        <v>4214</v>
      </c>
      <c r="D2202" s="146" t="s">
        <v>4215</v>
      </c>
      <c r="E2202" s="147" t="s">
        <v>178</v>
      </c>
      <c r="F2202" s="148"/>
      <c r="G2202" s="148"/>
      <c r="H2202" s="149"/>
      <c r="I2202" s="149"/>
      <c r="J2202" s="149"/>
      <c r="K2202" s="149"/>
      <c r="L2202" s="149"/>
      <c r="M2202" s="149">
        <f t="shared" si="779"/>
        <v>0</v>
      </c>
      <c r="N2202" s="149"/>
      <c r="O2202" s="149">
        <f t="shared" si="744"/>
        <v>0</v>
      </c>
      <c r="P2202" s="149"/>
      <c r="Q2202" s="149"/>
      <c r="R2202" s="149">
        <f t="shared" si="745"/>
        <v>0</v>
      </c>
      <c r="S2202" s="150" t="e">
        <f t="shared" si="746"/>
        <v>#DIV/0!</v>
      </c>
      <c r="T2202" s="151" t="e">
        <f t="shared" si="747"/>
        <v>#DIV/0!</v>
      </c>
      <c r="U2202" s="150" t="e">
        <f t="shared" si="748"/>
        <v>#NUM!</v>
      </c>
      <c r="V2202" s="150" t="e">
        <f t="shared" si="749"/>
        <v>#DIV/0!</v>
      </c>
      <c r="W2202" s="152"/>
      <c r="X2202" s="152"/>
      <c r="Y2202" s="152"/>
      <c r="Z2202" s="153">
        <f t="shared" si="783"/>
        <v>0</v>
      </c>
      <c r="AA2202" s="148">
        <f t="shared" si="784"/>
        <v>0</v>
      </c>
      <c r="AB2202" s="149"/>
      <c r="AC2202" s="149"/>
      <c r="AD2202" s="150" t="e">
        <f t="shared" si="772"/>
        <v>#DIV/0!</v>
      </c>
      <c r="AE2202" s="154" t="e">
        <f t="shared" si="773"/>
        <v>#DIV/0!</v>
      </c>
      <c r="AF2202" s="150" t="e">
        <f t="shared" si="774"/>
        <v>#DIV/0!</v>
      </c>
      <c r="AG2202" s="150" t="e">
        <f t="shared" si="775"/>
        <v>#DIV/0!</v>
      </c>
      <c r="AH2202" s="155" t="e">
        <f t="shared" si="776"/>
        <v>#DIV/0!</v>
      </c>
      <c r="AI2202" s="156" t="e">
        <f t="shared" si="756"/>
        <v>#DIV/0!</v>
      </c>
      <c r="AJ2202" s="149"/>
      <c r="AK2202" s="149"/>
      <c r="AL2202" s="157"/>
      <c r="AM2202" s="157"/>
      <c r="AN2202" s="157"/>
      <c r="AO2202" s="157"/>
      <c r="AP2202" s="157"/>
      <c r="AQ2202" s="157"/>
      <c r="AR2202" s="157"/>
    </row>
    <row r="2203" spans="1:44" ht="16.8">
      <c r="A2203" s="145">
        <v>109</v>
      </c>
      <c r="B2203" s="145">
        <v>897</v>
      </c>
      <c r="C2203" s="145" t="s">
        <v>4216</v>
      </c>
      <c r="D2203" s="146" t="s">
        <v>4217</v>
      </c>
      <c r="E2203" s="147" t="s">
        <v>1371</v>
      </c>
      <c r="F2203" s="148"/>
      <c r="G2203" s="148"/>
      <c r="H2203" s="149"/>
      <c r="I2203" s="149"/>
      <c r="J2203" s="149"/>
      <c r="K2203" s="149"/>
      <c r="L2203" s="149"/>
      <c r="M2203" s="149">
        <f t="shared" si="779"/>
        <v>0</v>
      </c>
      <c r="N2203" s="149"/>
      <c r="O2203" s="149">
        <f t="shared" si="744"/>
        <v>0</v>
      </c>
      <c r="P2203" s="149"/>
      <c r="Q2203" s="149"/>
      <c r="R2203" s="149">
        <f t="shared" si="745"/>
        <v>0</v>
      </c>
      <c r="S2203" s="150" t="e">
        <f t="shared" si="746"/>
        <v>#DIV/0!</v>
      </c>
      <c r="T2203" s="151" t="e">
        <f t="shared" si="747"/>
        <v>#DIV/0!</v>
      </c>
      <c r="U2203" s="150" t="e">
        <f t="shared" si="748"/>
        <v>#NUM!</v>
      </c>
      <c r="V2203" s="150" t="e">
        <f t="shared" si="749"/>
        <v>#DIV/0!</v>
      </c>
      <c r="W2203" s="152"/>
      <c r="X2203" s="152"/>
      <c r="Y2203" s="152"/>
      <c r="Z2203" s="153">
        <f t="shared" si="783"/>
        <v>0</v>
      </c>
      <c r="AA2203" s="148">
        <f t="shared" si="784"/>
        <v>0</v>
      </c>
      <c r="AB2203" s="149"/>
      <c r="AC2203" s="149"/>
      <c r="AD2203" s="150" t="e">
        <f t="shared" si="772"/>
        <v>#DIV/0!</v>
      </c>
      <c r="AE2203" s="154" t="e">
        <f t="shared" si="773"/>
        <v>#DIV/0!</v>
      </c>
      <c r="AF2203" s="150" t="e">
        <f t="shared" si="774"/>
        <v>#DIV/0!</v>
      </c>
      <c r="AG2203" s="150" t="e">
        <f t="shared" si="775"/>
        <v>#DIV/0!</v>
      </c>
      <c r="AH2203" s="155" t="e">
        <f t="shared" si="776"/>
        <v>#DIV/0!</v>
      </c>
      <c r="AI2203" s="156" t="e">
        <f t="shared" si="756"/>
        <v>#DIV/0!</v>
      </c>
      <c r="AJ2203" s="149"/>
      <c r="AK2203" s="149"/>
      <c r="AL2203" s="157"/>
      <c r="AM2203" s="157"/>
      <c r="AN2203" s="157"/>
      <c r="AO2203" s="157"/>
      <c r="AP2203" s="157"/>
      <c r="AQ2203" s="157"/>
      <c r="AR2203" s="157"/>
    </row>
    <row r="2204" spans="1:44" ht="16.8">
      <c r="A2204" s="145">
        <v>110</v>
      </c>
      <c r="B2204" s="145">
        <v>898</v>
      </c>
      <c r="C2204" s="145" t="s">
        <v>4218</v>
      </c>
      <c r="D2204" s="146" t="s">
        <v>4219</v>
      </c>
      <c r="E2204" s="147" t="s">
        <v>1371</v>
      </c>
      <c r="F2204" s="148"/>
      <c r="G2204" s="148"/>
      <c r="H2204" s="149"/>
      <c r="I2204" s="149"/>
      <c r="J2204" s="149"/>
      <c r="K2204" s="149"/>
      <c r="L2204" s="149"/>
      <c r="M2204" s="149">
        <f t="shared" si="779"/>
        <v>0</v>
      </c>
      <c r="N2204" s="149"/>
      <c r="O2204" s="149">
        <f t="shared" si="744"/>
        <v>0</v>
      </c>
      <c r="P2204" s="149"/>
      <c r="Q2204" s="149"/>
      <c r="R2204" s="149">
        <f t="shared" si="745"/>
        <v>0</v>
      </c>
      <c r="S2204" s="150" t="e">
        <f t="shared" si="746"/>
        <v>#DIV/0!</v>
      </c>
      <c r="T2204" s="151" t="e">
        <f t="shared" si="747"/>
        <v>#DIV/0!</v>
      </c>
      <c r="U2204" s="150" t="e">
        <f t="shared" si="748"/>
        <v>#NUM!</v>
      </c>
      <c r="V2204" s="150" t="e">
        <f t="shared" si="749"/>
        <v>#DIV/0!</v>
      </c>
      <c r="W2204" s="152"/>
      <c r="X2204" s="152"/>
      <c r="Y2204" s="152"/>
      <c r="Z2204" s="153">
        <f t="shared" si="783"/>
        <v>0</v>
      </c>
      <c r="AA2204" s="148">
        <f t="shared" si="784"/>
        <v>0</v>
      </c>
      <c r="AB2204" s="149"/>
      <c r="AC2204" s="149"/>
      <c r="AD2204" s="150" t="e">
        <f t="shared" si="772"/>
        <v>#DIV/0!</v>
      </c>
      <c r="AE2204" s="154" t="e">
        <f t="shared" si="773"/>
        <v>#DIV/0!</v>
      </c>
      <c r="AF2204" s="150" t="e">
        <f t="shared" si="774"/>
        <v>#DIV/0!</v>
      </c>
      <c r="AG2204" s="150" t="e">
        <f t="shared" si="775"/>
        <v>#DIV/0!</v>
      </c>
      <c r="AH2204" s="155" t="e">
        <f t="shared" si="776"/>
        <v>#DIV/0!</v>
      </c>
      <c r="AI2204" s="156" t="e">
        <f t="shared" si="756"/>
        <v>#DIV/0!</v>
      </c>
      <c r="AJ2204" s="149"/>
      <c r="AK2204" s="149"/>
      <c r="AL2204" s="157"/>
      <c r="AM2204" s="157"/>
      <c r="AN2204" s="157"/>
      <c r="AO2204" s="157"/>
      <c r="AP2204" s="157"/>
      <c r="AQ2204" s="157"/>
      <c r="AR2204" s="157"/>
    </row>
    <row r="2205" spans="1:44" ht="16.8">
      <c r="A2205" s="145">
        <v>111</v>
      </c>
      <c r="B2205" s="145">
        <v>899</v>
      </c>
      <c r="C2205" s="145" t="s">
        <v>4220</v>
      </c>
      <c r="D2205" s="146" t="s">
        <v>4221</v>
      </c>
      <c r="E2205" s="147" t="s">
        <v>178</v>
      </c>
      <c r="F2205" s="148"/>
      <c r="G2205" s="148"/>
      <c r="H2205" s="149"/>
      <c r="I2205" s="149"/>
      <c r="J2205" s="149"/>
      <c r="K2205" s="149"/>
      <c r="L2205" s="149"/>
      <c r="M2205" s="149">
        <f t="shared" si="779"/>
        <v>0</v>
      </c>
      <c r="N2205" s="149"/>
      <c r="O2205" s="149">
        <f t="shared" si="744"/>
        <v>0</v>
      </c>
      <c r="P2205" s="149"/>
      <c r="Q2205" s="149"/>
      <c r="R2205" s="149">
        <f t="shared" si="745"/>
        <v>0</v>
      </c>
      <c r="S2205" s="150" t="e">
        <f t="shared" si="746"/>
        <v>#DIV/0!</v>
      </c>
      <c r="T2205" s="151" t="e">
        <f t="shared" si="747"/>
        <v>#DIV/0!</v>
      </c>
      <c r="U2205" s="150" t="e">
        <f t="shared" si="748"/>
        <v>#NUM!</v>
      </c>
      <c r="V2205" s="150" t="e">
        <f t="shared" si="749"/>
        <v>#DIV/0!</v>
      </c>
      <c r="W2205" s="152"/>
      <c r="X2205" s="152"/>
      <c r="Y2205" s="152"/>
      <c r="Z2205" s="153">
        <f t="shared" si="783"/>
        <v>0</v>
      </c>
      <c r="AA2205" s="148">
        <f t="shared" si="784"/>
        <v>0</v>
      </c>
      <c r="AB2205" s="149"/>
      <c r="AC2205" s="149"/>
      <c r="AD2205" s="150" t="e">
        <f t="shared" si="772"/>
        <v>#DIV/0!</v>
      </c>
      <c r="AE2205" s="154" t="e">
        <f t="shared" si="773"/>
        <v>#DIV/0!</v>
      </c>
      <c r="AF2205" s="150" t="e">
        <f t="shared" si="774"/>
        <v>#DIV/0!</v>
      </c>
      <c r="AG2205" s="150" t="e">
        <f t="shared" si="775"/>
        <v>#DIV/0!</v>
      </c>
      <c r="AH2205" s="155" t="e">
        <f t="shared" si="776"/>
        <v>#DIV/0!</v>
      </c>
      <c r="AI2205" s="156" t="e">
        <f t="shared" si="756"/>
        <v>#DIV/0!</v>
      </c>
      <c r="AJ2205" s="149"/>
      <c r="AK2205" s="149"/>
      <c r="AL2205" s="157"/>
      <c r="AM2205" s="157"/>
      <c r="AN2205" s="157"/>
      <c r="AO2205" s="157"/>
      <c r="AP2205" s="157"/>
      <c r="AQ2205" s="157"/>
      <c r="AR2205" s="157"/>
    </row>
    <row r="2206" spans="1:44" ht="16.8">
      <c r="A2206" s="145">
        <v>112</v>
      </c>
      <c r="B2206" s="145">
        <v>900</v>
      </c>
      <c r="C2206" s="145" t="s">
        <v>4222</v>
      </c>
      <c r="D2206" s="146" t="s">
        <v>4223</v>
      </c>
      <c r="E2206" s="147" t="s">
        <v>178</v>
      </c>
      <c r="F2206" s="148"/>
      <c r="G2206" s="148"/>
      <c r="H2206" s="149"/>
      <c r="I2206" s="149"/>
      <c r="J2206" s="149"/>
      <c r="K2206" s="149"/>
      <c r="L2206" s="149"/>
      <c r="M2206" s="149">
        <f t="shared" si="779"/>
        <v>0</v>
      </c>
      <c r="N2206" s="149"/>
      <c r="O2206" s="149">
        <f t="shared" si="744"/>
        <v>0</v>
      </c>
      <c r="P2206" s="149"/>
      <c r="Q2206" s="149"/>
      <c r="R2206" s="149">
        <f t="shared" si="745"/>
        <v>0</v>
      </c>
      <c r="S2206" s="150" t="e">
        <f t="shared" si="746"/>
        <v>#DIV/0!</v>
      </c>
      <c r="T2206" s="151" t="e">
        <f t="shared" si="747"/>
        <v>#DIV/0!</v>
      </c>
      <c r="U2206" s="150" t="e">
        <f t="shared" si="748"/>
        <v>#NUM!</v>
      </c>
      <c r="V2206" s="150" t="e">
        <f t="shared" si="749"/>
        <v>#DIV/0!</v>
      </c>
      <c r="W2206" s="152"/>
      <c r="X2206" s="152"/>
      <c r="Y2206" s="152"/>
      <c r="Z2206" s="153">
        <f t="shared" si="783"/>
        <v>0</v>
      </c>
      <c r="AA2206" s="148">
        <f t="shared" si="784"/>
        <v>0</v>
      </c>
      <c r="AB2206" s="149"/>
      <c r="AC2206" s="149"/>
      <c r="AD2206" s="150" t="e">
        <f t="shared" si="772"/>
        <v>#DIV/0!</v>
      </c>
      <c r="AE2206" s="154" t="e">
        <f t="shared" si="773"/>
        <v>#DIV/0!</v>
      </c>
      <c r="AF2206" s="150" t="e">
        <f t="shared" si="774"/>
        <v>#DIV/0!</v>
      </c>
      <c r="AG2206" s="150" t="e">
        <f t="shared" si="775"/>
        <v>#DIV/0!</v>
      </c>
      <c r="AH2206" s="155" t="e">
        <f t="shared" si="776"/>
        <v>#DIV/0!</v>
      </c>
      <c r="AI2206" s="156" t="e">
        <f t="shared" si="756"/>
        <v>#DIV/0!</v>
      </c>
      <c r="AJ2206" s="149"/>
      <c r="AK2206" s="149"/>
      <c r="AL2206" s="157"/>
      <c r="AM2206" s="157"/>
      <c r="AN2206" s="157"/>
      <c r="AO2206" s="157"/>
      <c r="AP2206" s="157"/>
      <c r="AQ2206" s="157"/>
      <c r="AR2206" s="157"/>
    </row>
    <row r="2207" spans="1:44" ht="16.8">
      <c r="A2207" s="145">
        <v>113</v>
      </c>
      <c r="B2207" s="145">
        <v>901</v>
      </c>
      <c r="C2207" s="145" t="s">
        <v>4224</v>
      </c>
      <c r="D2207" s="146" t="s">
        <v>4225</v>
      </c>
      <c r="E2207" s="147" t="s">
        <v>178</v>
      </c>
      <c r="F2207" s="148"/>
      <c r="G2207" s="148"/>
      <c r="H2207" s="149"/>
      <c r="I2207" s="149"/>
      <c r="J2207" s="149"/>
      <c r="K2207" s="149"/>
      <c r="L2207" s="149"/>
      <c r="M2207" s="149">
        <f t="shared" si="779"/>
        <v>0</v>
      </c>
      <c r="N2207" s="149"/>
      <c r="O2207" s="149">
        <f t="shared" si="744"/>
        <v>0</v>
      </c>
      <c r="P2207" s="149"/>
      <c r="Q2207" s="149"/>
      <c r="R2207" s="149">
        <f t="shared" si="745"/>
        <v>0</v>
      </c>
      <c r="S2207" s="150" t="e">
        <f t="shared" si="746"/>
        <v>#DIV/0!</v>
      </c>
      <c r="T2207" s="151" t="e">
        <f t="shared" si="747"/>
        <v>#DIV/0!</v>
      </c>
      <c r="U2207" s="150" t="e">
        <f t="shared" si="748"/>
        <v>#NUM!</v>
      </c>
      <c r="V2207" s="150" t="e">
        <f t="shared" si="749"/>
        <v>#DIV/0!</v>
      </c>
      <c r="W2207" s="152"/>
      <c r="X2207" s="152"/>
      <c r="Y2207" s="152"/>
      <c r="Z2207" s="153">
        <f t="shared" si="783"/>
        <v>0</v>
      </c>
      <c r="AA2207" s="148">
        <f t="shared" si="784"/>
        <v>0</v>
      </c>
      <c r="AB2207" s="149"/>
      <c r="AC2207" s="149"/>
      <c r="AD2207" s="150" t="e">
        <f t="shared" si="772"/>
        <v>#DIV/0!</v>
      </c>
      <c r="AE2207" s="154" t="e">
        <f t="shared" si="773"/>
        <v>#DIV/0!</v>
      </c>
      <c r="AF2207" s="150" t="e">
        <f t="shared" si="774"/>
        <v>#DIV/0!</v>
      </c>
      <c r="AG2207" s="150" t="e">
        <f t="shared" si="775"/>
        <v>#DIV/0!</v>
      </c>
      <c r="AH2207" s="155" t="e">
        <f t="shared" si="776"/>
        <v>#DIV/0!</v>
      </c>
      <c r="AI2207" s="156" t="e">
        <f t="shared" si="756"/>
        <v>#DIV/0!</v>
      </c>
      <c r="AJ2207" s="149"/>
      <c r="AK2207" s="149"/>
      <c r="AL2207" s="157"/>
      <c r="AM2207" s="157"/>
      <c r="AN2207" s="157"/>
      <c r="AO2207" s="157"/>
      <c r="AP2207" s="157"/>
      <c r="AQ2207" s="157"/>
      <c r="AR2207" s="157"/>
    </row>
    <row r="2208" spans="1:44" ht="16.8">
      <c r="A2208" s="145">
        <v>114</v>
      </c>
      <c r="B2208" s="145">
        <v>902</v>
      </c>
      <c r="C2208" s="145" t="s">
        <v>4226</v>
      </c>
      <c r="D2208" s="146" t="s">
        <v>4227</v>
      </c>
      <c r="E2208" s="147" t="s">
        <v>178</v>
      </c>
      <c r="F2208" s="148"/>
      <c r="G2208" s="148"/>
      <c r="H2208" s="149"/>
      <c r="I2208" s="149"/>
      <c r="J2208" s="149"/>
      <c r="K2208" s="149"/>
      <c r="L2208" s="149"/>
      <c r="M2208" s="149">
        <f t="shared" si="779"/>
        <v>0</v>
      </c>
      <c r="N2208" s="149"/>
      <c r="O2208" s="149">
        <f t="shared" si="744"/>
        <v>0</v>
      </c>
      <c r="P2208" s="149"/>
      <c r="Q2208" s="149"/>
      <c r="R2208" s="149">
        <f t="shared" si="745"/>
        <v>0</v>
      </c>
      <c r="S2208" s="150" t="e">
        <f t="shared" si="746"/>
        <v>#DIV/0!</v>
      </c>
      <c r="T2208" s="151" t="e">
        <f t="shared" si="747"/>
        <v>#DIV/0!</v>
      </c>
      <c r="U2208" s="150" t="e">
        <f t="shared" si="748"/>
        <v>#NUM!</v>
      </c>
      <c r="V2208" s="150" t="e">
        <f t="shared" si="749"/>
        <v>#DIV/0!</v>
      </c>
      <c r="W2208" s="152"/>
      <c r="X2208" s="152"/>
      <c r="Y2208" s="152"/>
      <c r="Z2208" s="153">
        <f t="shared" si="783"/>
        <v>0</v>
      </c>
      <c r="AA2208" s="148">
        <f t="shared" si="784"/>
        <v>0</v>
      </c>
      <c r="AB2208" s="149"/>
      <c r="AC2208" s="149"/>
      <c r="AD2208" s="150" t="e">
        <f t="shared" si="772"/>
        <v>#DIV/0!</v>
      </c>
      <c r="AE2208" s="154" t="e">
        <f t="shared" si="773"/>
        <v>#DIV/0!</v>
      </c>
      <c r="AF2208" s="150" t="e">
        <f t="shared" si="774"/>
        <v>#DIV/0!</v>
      </c>
      <c r="AG2208" s="150" t="e">
        <f t="shared" si="775"/>
        <v>#DIV/0!</v>
      </c>
      <c r="AH2208" s="155" t="e">
        <f t="shared" si="776"/>
        <v>#DIV/0!</v>
      </c>
      <c r="AI2208" s="156" t="e">
        <f t="shared" si="756"/>
        <v>#DIV/0!</v>
      </c>
      <c r="AJ2208" s="149"/>
      <c r="AK2208" s="149"/>
      <c r="AL2208" s="157"/>
      <c r="AM2208" s="157"/>
      <c r="AN2208" s="157"/>
      <c r="AO2208" s="157"/>
      <c r="AP2208" s="157"/>
      <c r="AQ2208" s="157"/>
      <c r="AR2208" s="157"/>
    </row>
    <row r="2209" spans="1:44" ht="16.8">
      <c r="A2209" s="17" t="s">
        <v>4228</v>
      </c>
      <c r="B2209" s="18">
        <v>903</v>
      </c>
      <c r="C2209" s="18" t="s">
        <v>4229</v>
      </c>
      <c r="D2209" s="19" t="s">
        <v>4230</v>
      </c>
      <c r="E2209" s="20" t="s">
        <v>414</v>
      </c>
      <c r="F2209" s="21">
        <v>2002</v>
      </c>
      <c r="G2209" s="40">
        <v>2021</v>
      </c>
      <c r="H2209" s="23">
        <v>2628773050855</v>
      </c>
      <c r="I2209" s="23">
        <v>5950725075703</v>
      </c>
      <c r="J2209" s="23">
        <v>4168880183689</v>
      </c>
      <c r="K2209" s="23">
        <f>(J2209+3414103952565)/2</f>
        <v>3791492068127</v>
      </c>
      <c r="L2209" s="23">
        <v>2432374845116</v>
      </c>
      <c r="M2209" s="23">
        <f t="shared" si="779"/>
        <v>1781844892014</v>
      </c>
      <c r="N2209" s="23">
        <v>2545455736494</v>
      </c>
      <c r="O2209" s="25">
        <f t="shared" si="744"/>
        <v>196398205739</v>
      </c>
      <c r="P2209" s="23">
        <v>449126616668</v>
      </c>
      <c r="Q2209" s="23">
        <f>166689469264+61926549088</f>
        <v>228616018352</v>
      </c>
      <c r="R2209" s="25">
        <f t="shared" si="745"/>
        <v>2316839718142</v>
      </c>
      <c r="S2209" s="26">
        <f t="shared" si="746"/>
        <v>0.70056675962239801</v>
      </c>
      <c r="T2209" s="27">
        <f t="shared" si="747"/>
        <v>1.0807433961641852</v>
      </c>
      <c r="U2209" s="26">
        <f t="shared" si="748"/>
        <v>29.414534189524272</v>
      </c>
      <c r="V2209" s="26">
        <f t="shared" si="749"/>
        <v>0.67135990020716485</v>
      </c>
      <c r="W2209" s="143"/>
      <c r="X2209" s="143"/>
      <c r="Y2209" s="143"/>
      <c r="Z2209" s="30">
        <f t="shared" ref="Z2209:Z2211" si="785">X2209*Y2209</f>
        <v>0</v>
      </c>
      <c r="AA2209" s="31">
        <f t="shared" si="784"/>
        <v>19</v>
      </c>
      <c r="AB2209" s="32">
        <v>1.84E-2</v>
      </c>
      <c r="AC2209" s="32">
        <v>2.58E-2</v>
      </c>
      <c r="AD2209" s="33">
        <f t="shared" si="772"/>
        <v>3.3004079879425136E-2</v>
      </c>
      <c r="AE2209" s="34">
        <f t="shared" si="773"/>
        <v>7.5474267581575605E-2</v>
      </c>
      <c r="AF2209" s="33">
        <f t="shared" si="774"/>
        <v>0.38933738135571583</v>
      </c>
      <c r="AG2209" s="33">
        <f t="shared" si="775"/>
        <v>0</v>
      </c>
      <c r="AH2209" s="35">
        <f t="shared" si="776"/>
        <v>0.61058500708493668</v>
      </c>
      <c r="AI2209" s="36">
        <f t="shared" si="756"/>
        <v>2.0406672360283147</v>
      </c>
      <c r="AJ2209" s="23"/>
      <c r="AK2209" s="120">
        <v>1234</v>
      </c>
      <c r="AL2209" s="44"/>
      <c r="AM2209" s="44"/>
      <c r="AN2209" s="44"/>
      <c r="AO2209" s="44"/>
      <c r="AP2209" s="44"/>
      <c r="AQ2209" s="44"/>
      <c r="AR2209" s="44"/>
    </row>
    <row r="2210" spans="1:44" ht="16.8">
      <c r="A2210" s="17" t="s">
        <v>4231</v>
      </c>
      <c r="B2210" s="18"/>
      <c r="C2210" s="18" t="s">
        <v>4229</v>
      </c>
      <c r="D2210" s="19" t="s">
        <v>4230</v>
      </c>
      <c r="E2210" s="20" t="s">
        <v>414</v>
      </c>
      <c r="F2210" s="21">
        <v>2002</v>
      </c>
      <c r="G2210" s="40">
        <v>2022</v>
      </c>
      <c r="H2210" s="23">
        <v>3292870676403</v>
      </c>
      <c r="I2210" s="23">
        <v>6138985381151</v>
      </c>
      <c r="J2210" s="23">
        <v>3932174610604</v>
      </c>
      <c r="K2210" s="23">
        <f t="shared" ref="K2210:K2211" si="786">(J2210+J2209)/2</f>
        <v>4050527397146.5</v>
      </c>
      <c r="L2210" s="23">
        <v>2218915595502</v>
      </c>
      <c r="M2210" s="23">
        <f t="shared" si="779"/>
        <v>2206810770547</v>
      </c>
      <c r="N2210" s="23">
        <v>3319477249236</v>
      </c>
      <c r="O2210" s="25">
        <f t="shared" si="744"/>
        <v>1073955080901</v>
      </c>
      <c r="P2210" s="23">
        <v>519312730280</v>
      </c>
      <c r="Q2210" s="23">
        <f>99951682011+90496134744</f>
        <v>190447816755</v>
      </c>
      <c r="R2210" s="25">
        <f t="shared" si="745"/>
        <v>3129029432481</v>
      </c>
      <c r="S2210" s="26">
        <f t="shared" si="746"/>
        <v>0.64052516278622507</v>
      </c>
      <c r="T2210" s="27">
        <f t="shared" si="747"/>
        <v>1.4839999696599691</v>
      </c>
      <c r="U2210" s="26">
        <f t="shared" si="748"/>
        <v>29.445680597063205</v>
      </c>
      <c r="V2210" s="26">
        <f t="shared" si="749"/>
        <v>0.81951729337135026</v>
      </c>
      <c r="W2210" s="143"/>
      <c r="X2210" s="143"/>
      <c r="Y2210" s="143"/>
      <c r="Z2210" s="30">
        <f t="shared" si="785"/>
        <v>0</v>
      </c>
      <c r="AA2210" s="31">
        <f t="shared" si="784"/>
        <v>20</v>
      </c>
      <c r="AB2210" s="32">
        <v>3.15E-2</v>
      </c>
      <c r="AC2210" s="32">
        <v>8.0199999999999994E-2</v>
      </c>
      <c r="AD2210" s="33">
        <f t="shared" si="772"/>
        <v>0.17494015936223714</v>
      </c>
      <c r="AE2210" s="34">
        <f t="shared" si="773"/>
        <v>8.4592599271287719E-2</v>
      </c>
      <c r="AF2210" s="33">
        <f t="shared" si="774"/>
        <v>0.50969814036180972</v>
      </c>
      <c r="AG2210" s="33">
        <f t="shared" si="775"/>
        <v>0</v>
      </c>
      <c r="AH2210" s="35">
        <f t="shared" si="776"/>
        <v>0.84418358235778168</v>
      </c>
      <c r="AI2210" s="36">
        <f t="shared" si="756"/>
        <v>2.8545452757662408</v>
      </c>
      <c r="AJ2210" s="23"/>
      <c r="AK2210" s="120">
        <v>1235</v>
      </c>
      <c r="AL2210" s="44"/>
      <c r="AM2210" s="44"/>
      <c r="AN2210" s="44"/>
      <c r="AO2210" s="44"/>
      <c r="AP2210" s="44"/>
      <c r="AQ2210" s="44"/>
      <c r="AR2210" s="44"/>
    </row>
    <row r="2211" spans="1:44" ht="16.8">
      <c r="A2211" s="17" t="s">
        <v>4232</v>
      </c>
      <c r="B2211" s="18"/>
      <c r="C2211" s="18" t="s">
        <v>4229</v>
      </c>
      <c r="D2211" s="19" t="s">
        <v>4230</v>
      </c>
      <c r="E2211" s="20" t="s">
        <v>414</v>
      </c>
      <c r="F2211" s="21">
        <v>2002</v>
      </c>
      <c r="G2211" s="40">
        <v>2023</v>
      </c>
      <c r="H2211" s="23">
        <v>3768010308814</v>
      </c>
      <c r="I2211" s="23">
        <v>6689450921725</v>
      </c>
      <c r="J2211" s="23">
        <v>4339585049395</v>
      </c>
      <c r="K2211" s="23">
        <f t="shared" si="786"/>
        <v>4135879829999.5</v>
      </c>
      <c r="L2211" s="23">
        <v>2879750939103</v>
      </c>
      <c r="M2211" s="23">
        <f t="shared" si="779"/>
        <v>2349865872330</v>
      </c>
      <c r="N2211" s="23">
        <v>3450139573539</v>
      </c>
      <c r="O2211" s="25">
        <f t="shared" si="744"/>
        <v>888259369711</v>
      </c>
      <c r="P2211" s="23">
        <v>282686723503</v>
      </c>
      <c r="Q2211" s="23">
        <f>9831759665+84716421626</f>
        <v>94548181291</v>
      </c>
      <c r="R2211" s="25">
        <f t="shared" si="745"/>
        <v>3355591392248</v>
      </c>
      <c r="S2211" s="26">
        <f t="shared" si="746"/>
        <v>0.64872066484583113</v>
      </c>
      <c r="T2211" s="27">
        <f t="shared" si="747"/>
        <v>1.3084500668615737</v>
      </c>
      <c r="U2211" s="26">
        <f t="shared" si="748"/>
        <v>29.531552912219823</v>
      </c>
      <c r="V2211" s="26">
        <f t="shared" si="749"/>
        <v>0.8341972483130432</v>
      </c>
      <c r="W2211" s="143"/>
      <c r="X2211" s="143"/>
      <c r="Y2211" s="143"/>
      <c r="Z2211" s="30">
        <f t="shared" si="785"/>
        <v>0</v>
      </c>
      <c r="AA2211" s="31">
        <f t="shared" si="784"/>
        <v>21</v>
      </c>
      <c r="AB2211" s="32">
        <v>3.2500000000000001E-2</v>
      </c>
      <c r="AC2211" s="32">
        <v>5.0500000000000003E-2</v>
      </c>
      <c r="AD2211" s="33">
        <f t="shared" si="772"/>
        <v>0.13278509403907035</v>
      </c>
      <c r="AE2211" s="34">
        <f t="shared" si="773"/>
        <v>4.2258583972106328E-2</v>
      </c>
      <c r="AF2211" s="33">
        <f t="shared" si="774"/>
        <v>0.50162433830708153</v>
      </c>
      <c r="AG2211" s="33">
        <f t="shared" si="775"/>
        <v>0</v>
      </c>
      <c r="AH2211" s="35">
        <f t="shared" si="776"/>
        <v>0.79503904964830652</v>
      </c>
      <c r="AI2211" s="36">
        <f t="shared" si="756"/>
        <v>2.6689034964695089</v>
      </c>
      <c r="AJ2211" s="23"/>
      <c r="AK2211" s="120">
        <v>1236</v>
      </c>
      <c r="AL2211" s="44"/>
      <c r="AM2211" s="44"/>
      <c r="AN2211" s="44"/>
      <c r="AO2211" s="44"/>
      <c r="AP2211" s="44"/>
      <c r="AQ2211" s="44"/>
      <c r="AR2211" s="44"/>
    </row>
    <row r="2212" spans="1:44" ht="16.8">
      <c r="A2212" s="145">
        <v>116</v>
      </c>
      <c r="B2212" s="145">
        <v>904</v>
      </c>
      <c r="C2212" s="145" t="s">
        <v>4233</v>
      </c>
      <c r="D2212" s="146" t="s">
        <v>4234</v>
      </c>
      <c r="E2212" s="147" t="s">
        <v>178</v>
      </c>
      <c r="F2212" s="148"/>
      <c r="G2212" s="148"/>
      <c r="H2212" s="149"/>
      <c r="I2212" s="149"/>
      <c r="J2212" s="149"/>
      <c r="K2212" s="149"/>
      <c r="L2212" s="149"/>
      <c r="M2212" s="149">
        <f t="shared" si="779"/>
        <v>0</v>
      </c>
      <c r="N2212" s="149"/>
      <c r="O2212" s="149">
        <f t="shared" si="744"/>
        <v>0</v>
      </c>
      <c r="P2212" s="149"/>
      <c r="Q2212" s="149"/>
      <c r="R2212" s="149">
        <f t="shared" si="745"/>
        <v>0</v>
      </c>
      <c r="S2212" s="150" t="e">
        <f t="shared" si="746"/>
        <v>#DIV/0!</v>
      </c>
      <c r="T2212" s="151" t="e">
        <f t="shared" si="747"/>
        <v>#DIV/0!</v>
      </c>
      <c r="U2212" s="150" t="e">
        <f t="shared" si="748"/>
        <v>#NUM!</v>
      </c>
      <c r="V2212" s="150" t="e">
        <f t="shared" si="749"/>
        <v>#DIV/0!</v>
      </c>
      <c r="W2212" s="152"/>
      <c r="X2212" s="152"/>
      <c r="Y2212" s="152"/>
      <c r="Z2212" s="153">
        <f t="shared" ref="Z2212:Z2216" si="787">W2212*Y2212</f>
        <v>0</v>
      </c>
      <c r="AA2212" s="148">
        <f t="shared" si="784"/>
        <v>0</v>
      </c>
      <c r="AB2212" s="149"/>
      <c r="AC2212" s="149"/>
      <c r="AD2212" s="150" t="e">
        <f t="shared" si="772"/>
        <v>#DIV/0!</v>
      </c>
      <c r="AE2212" s="154" t="e">
        <f t="shared" si="773"/>
        <v>#DIV/0!</v>
      </c>
      <c r="AF2212" s="150" t="e">
        <f t="shared" si="774"/>
        <v>#DIV/0!</v>
      </c>
      <c r="AG2212" s="150" t="e">
        <f t="shared" si="775"/>
        <v>#DIV/0!</v>
      </c>
      <c r="AH2212" s="155" t="e">
        <f t="shared" si="776"/>
        <v>#DIV/0!</v>
      </c>
      <c r="AI2212" s="156" t="e">
        <f t="shared" si="756"/>
        <v>#DIV/0!</v>
      </c>
      <c r="AJ2212" s="149"/>
      <c r="AK2212" s="149"/>
      <c r="AL2212" s="157"/>
      <c r="AM2212" s="157"/>
      <c r="AN2212" s="157"/>
      <c r="AO2212" s="157"/>
      <c r="AP2212" s="157"/>
      <c r="AQ2212" s="157"/>
      <c r="AR2212" s="157"/>
    </row>
    <row r="2213" spans="1:44" ht="16.8">
      <c r="A2213" s="145">
        <v>117</v>
      </c>
      <c r="B2213" s="145">
        <v>905</v>
      </c>
      <c r="C2213" s="145" t="s">
        <v>4235</v>
      </c>
      <c r="D2213" s="146" t="s">
        <v>4236</v>
      </c>
      <c r="E2213" s="147" t="s">
        <v>178</v>
      </c>
      <c r="F2213" s="148"/>
      <c r="G2213" s="148"/>
      <c r="H2213" s="149"/>
      <c r="I2213" s="149"/>
      <c r="J2213" s="149"/>
      <c r="K2213" s="149"/>
      <c r="L2213" s="149"/>
      <c r="M2213" s="149">
        <f t="shared" si="779"/>
        <v>0</v>
      </c>
      <c r="N2213" s="149"/>
      <c r="O2213" s="149">
        <f t="shared" si="744"/>
        <v>0</v>
      </c>
      <c r="P2213" s="149"/>
      <c r="Q2213" s="149"/>
      <c r="R2213" s="149">
        <f t="shared" si="745"/>
        <v>0</v>
      </c>
      <c r="S2213" s="150" t="e">
        <f t="shared" si="746"/>
        <v>#DIV/0!</v>
      </c>
      <c r="T2213" s="151" t="e">
        <f t="shared" si="747"/>
        <v>#DIV/0!</v>
      </c>
      <c r="U2213" s="150" t="e">
        <f t="shared" si="748"/>
        <v>#NUM!</v>
      </c>
      <c r="V2213" s="150" t="e">
        <f t="shared" si="749"/>
        <v>#DIV/0!</v>
      </c>
      <c r="W2213" s="152"/>
      <c r="X2213" s="152"/>
      <c r="Y2213" s="152"/>
      <c r="Z2213" s="153">
        <f t="shared" si="787"/>
        <v>0</v>
      </c>
      <c r="AA2213" s="148">
        <f t="shared" si="784"/>
        <v>0</v>
      </c>
      <c r="AB2213" s="149"/>
      <c r="AC2213" s="149"/>
      <c r="AD2213" s="150" t="e">
        <f t="shared" si="772"/>
        <v>#DIV/0!</v>
      </c>
      <c r="AE2213" s="154" t="e">
        <f t="shared" si="773"/>
        <v>#DIV/0!</v>
      </c>
      <c r="AF2213" s="150" t="e">
        <f t="shared" si="774"/>
        <v>#DIV/0!</v>
      </c>
      <c r="AG2213" s="150" t="e">
        <f t="shared" si="775"/>
        <v>#DIV/0!</v>
      </c>
      <c r="AH2213" s="155" t="e">
        <f t="shared" si="776"/>
        <v>#DIV/0!</v>
      </c>
      <c r="AI2213" s="156" t="e">
        <f t="shared" si="756"/>
        <v>#DIV/0!</v>
      </c>
      <c r="AJ2213" s="149"/>
      <c r="AK2213" s="149"/>
      <c r="AL2213" s="157"/>
      <c r="AM2213" s="157"/>
      <c r="AN2213" s="157"/>
      <c r="AO2213" s="157"/>
      <c r="AP2213" s="157"/>
      <c r="AQ2213" s="157"/>
      <c r="AR2213" s="157"/>
    </row>
    <row r="2214" spans="1:44" ht="16.8">
      <c r="A2214" s="145">
        <v>118</v>
      </c>
      <c r="B2214" s="145">
        <v>906</v>
      </c>
      <c r="C2214" s="145" t="s">
        <v>4237</v>
      </c>
      <c r="D2214" s="146" t="s">
        <v>4238</v>
      </c>
      <c r="E2214" s="147" t="s">
        <v>1371</v>
      </c>
      <c r="F2214" s="148"/>
      <c r="G2214" s="148"/>
      <c r="H2214" s="149"/>
      <c r="I2214" s="149"/>
      <c r="J2214" s="149"/>
      <c r="K2214" s="149"/>
      <c r="L2214" s="149"/>
      <c r="M2214" s="149">
        <f t="shared" si="779"/>
        <v>0</v>
      </c>
      <c r="N2214" s="149"/>
      <c r="O2214" s="149">
        <f t="shared" si="744"/>
        <v>0</v>
      </c>
      <c r="P2214" s="149"/>
      <c r="Q2214" s="149"/>
      <c r="R2214" s="149">
        <f t="shared" si="745"/>
        <v>0</v>
      </c>
      <c r="S2214" s="150" t="e">
        <f t="shared" si="746"/>
        <v>#DIV/0!</v>
      </c>
      <c r="T2214" s="151" t="e">
        <f t="shared" si="747"/>
        <v>#DIV/0!</v>
      </c>
      <c r="U2214" s="150" t="e">
        <f t="shared" si="748"/>
        <v>#NUM!</v>
      </c>
      <c r="V2214" s="150" t="e">
        <f t="shared" si="749"/>
        <v>#DIV/0!</v>
      </c>
      <c r="W2214" s="152"/>
      <c r="X2214" s="152"/>
      <c r="Y2214" s="152"/>
      <c r="Z2214" s="153">
        <f t="shared" si="787"/>
        <v>0</v>
      </c>
      <c r="AA2214" s="148">
        <f t="shared" si="784"/>
        <v>0</v>
      </c>
      <c r="AB2214" s="149"/>
      <c r="AC2214" s="149"/>
      <c r="AD2214" s="150" t="e">
        <f t="shared" si="772"/>
        <v>#DIV/0!</v>
      </c>
      <c r="AE2214" s="154" t="e">
        <f t="shared" si="773"/>
        <v>#DIV/0!</v>
      </c>
      <c r="AF2214" s="150" t="e">
        <f t="shared" si="774"/>
        <v>#DIV/0!</v>
      </c>
      <c r="AG2214" s="150" t="e">
        <f t="shared" si="775"/>
        <v>#DIV/0!</v>
      </c>
      <c r="AH2214" s="155" t="e">
        <f t="shared" si="776"/>
        <v>#DIV/0!</v>
      </c>
      <c r="AI2214" s="156" t="e">
        <f t="shared" si="756"/>
        <v>#DIV/0!</v>
      </c>
      <c r="AJ2214" s="149"/>
      <c r="AK2214" s="149"/>
      <c r="AL2214" s="157"/>
      <c r="AM2214" s="157"/>
      <c r="AN2214" s="157"/>
      <c r="AO2214" s="157"/>
      <c r="AP2214" s="157"/>
      <c r="AQ2214" s="157"/>
      <c r="AR2214" s="157"/>
    </row>
    <row r="2215" spans="1:44" ht="16.8">
      <c r="A2215" s="145">
        <v>119</v>
      </c>
      <c r="B2215" s="145">
        <v>907</v>
      </c>
      <c r="C2215" s="145" t="s">
        <v>4239</v>
      </c>
      <c r="D2215" s="146" t="s">
        <v>4240</v>
      </c>
      <c r="E2215" s="147" t="s">
        <v>1371</v>
      </c>
      <c r="F2215" s="148"/>
      <c r="G2215" s="148"/>
      <c r="H2215" s="149"/>
      <c r="I2215" s="149"/>
      <c r="J2215" s="149"/>
      <c r="K2215" s="149"/>
      <c r="L2215" s="149"/>
      <c r="M2215" s="149">
        <f t="shared" si="779"/>
        <v>0</v>
      </c>
      <c r="N2215" s="149"/>
      <c r="O2215" s="149">
        <f t="shared" si="744"/>
        <v>0</v>
      </c>
      <c r="P2215" s="149"/>
      <c r="Q2215" s="149"/>
      <c r="R2215" s="149">
        <f t="shared" si="745"/>
        <v>0</v>
      </c>
      <c r="S2215" s="150" t="e">
        <f t="shared" si="746"/>
        <v>#DIV/0!</v>
      </c>
      <c r="T2215" s="151" t="e">
        <f t="shared" si="747"/>
        <v>#DIV/0!</v>
      </c>
      <c r="U2215" s="150" t="e">
        <f t="shared" si="748"/>
        <v>#NUM!</v>
      </c>
      <c r="V2215" s="150" t="e">
        <f t="shared" si="749"/>
        <v>#DIV/0!</v>
      </c>
      <c r="W2215" s="152"/>
      <c r="X2215" s="152"/>
      <c r="Y2215" s="152"/>
      <c r="Z2215" s="153">
        <f t="shared" si="787"/>
        <v>0</v>
      </c>
      <c r="AA2215" s="148">
        <f t="shared" si="784"/>
        <v>0</v>
      </c>
      <c r="AB2215" s="149"/>
      <c r="AC2215" s="149"/>
      <c r="AD2215" s="150" t="e">
        <f t="shared" si="772"/>
        <v>#DIV/0!</v>
      </c>
      <c r="AE2215" s="154" t="e">
        <f t="shared" si="773"/>
        <v>#DIV/0!</v>
      </c>
      <c r="AF2215" s="150" t="e">
        <f t="shared" si="774"/>
        <v>#DIV/0!</v>
      </c>
      <c r="AG2215" s="150" t="e">
        <f t="shared" si="775"/>
        <v>#DIV/0!</v>
      </c>
      <c r="AH2215" s="155" t="e">
        <f t="shared" si="776"/>
        <v>#DIV/0!</v>
      </c>
      <c r="AI2215" s="156" t="e">
        <f t="shared" si="756"/>
        <v>#DIV/0!</v>
      </c>
      <c r="AJ2215" s="149"/>
      <c r="AK2215" s="149"/>
      <c r="AL2215" s="157"/>
      <c r="AM2215" s="157"/>
      <c r="AN2215" s="157"/>
      <c r="AO2215" s="157"/>
      <c r="AP2215" s="157"/>
      <c r="AQ2215" s="157"/>
      <c r="AR2215" s="157"/>
    </row>
    <row r="2216" spans="1:44" ht="16.8">
      <c r="A2216" s="18"/>
      <c r="B2216" s="18">
        <v>908</v>
      </c>
      <c r="C2216" s="18" t="s">
        <v>4241</v>
      </c>
      <c r="D2216" s="19" t="s">
        <v>4242</v>
      </c>
      <c r="E2216" s="20" t="s">
        <v>39</v>
      </c>
      <c r="F2216" s="21"/>
      <c r="G2216" s="40">
        <v>2021</v>
      </c>
      <c r="H2216" s="23"/>
      <c r="I2216" s="23"/>
      <c r="J2216" s="23"/>
      <c r="K2216" s="23"/>
      <c r="L2216" s="23"/>
      <c r="M2216" s="23">
        <f t="shared" si="779"/>
        <v>0</v>
      </c>
      <c r="N2216" s="23"/>
      <c r="O2216" s="25">
        <f t="shared" si="744"/>
        <v>0</v>
      </c>
      <c r="P2216" s="23"/>
      <c r="Q2216" s="23"/>
      <c r="R2216" s="25">
        <f t="shared" si="745"/>
        <v>0</v>
      </c>
      <c r="S2216" s="26" t="e">
        <f t="shared" si="746"/>
        <v>#DIV/0!</v>
      </c>
      <c r="T2216" s="27" t="e">
        <f t="shared" si="747"/>
        <v>#DIV/0!</v>
      </c>
      <c r="U2216" s="26" t="e">
        <f t="shared" si="748"/>
        <v>#NUM!</v>
      </c>
      <c r="V2216" s="26" t="e">
        <f t="shared" si="749"/>
        <v>#DIV/0!</v>
      </c>
      <c r="W2216" s="143"/>
      <c r="X2216" s="143"/>
      <c r="Y2216" s="143"/>
      <c r="Z2216" s="30">
        <f t="shared" si="787"/>
        <v>0</v>
      </c>
      <c r="AA2216" s="31">
        <f t="shared" si="784"/>
        <v>2021</v>
      </c>
      <c r="AB2216" s="32">
        <v>1.84E-2</v>
      </c>
      <c r="AC2216" s="32">
        <v>2.58E-2</v>
      </c>
      <c r="AD2216" s="33" t="e">
        <f t="shared" si="772"/>
        <v>#DIV/0!</v>
      </c>
      <c r="AE2216" s="34" t="e">
        <f t="shared" si="773"/>
        <v>#DIV/0!</v>
      </c>
      <c r="AF2216" s="33" t="e">
        <f t="shared" si="774"/>
        <v>#DIV/0!</v>
      </c>
      <c r="AG2216" s="33" t="e">
        <f t="shared" si="775"/>
        <v>#DIV/0!</v>
      </c>
      <c r="AH2216" s="35" t="e">
        <f t="shared" si="776"/>
        <v>#DIV/0!</v>
      </c>
      <c r="AI2216" s="36" t="e">
        <f t="shared" si="756"/>
        <v>#DIV/0!</v>
      </c>
      <c r="AJ2216" s="23"/>
      <c r="AK2216" s="120">
        <v>1237</v>
      </c>
      <c r="AL2216" s="44"/>
      <c r="AM2216" s="44"/>
      <c r="AN2216" s="44"/>
      <c r="AO2216" s="44"/>
      <c r="AP2216" s="44"/>
      <c r="AQ2216" s="44"/>
      <c r="AR2216" s="44"/>
    </row>
    <row r="2217" spans="1:44" ht="16.8">
      <c r="A2217" s="18"/>
      <c r="B2217" s="18"/>
      <c r="C2217" s="18"/>
      <c r="D2217" s="19"/>
      <c r="E2217" s="20" t="s">
        <v>39</v>
      </c>
      <c r="F2217" s="21"/>
      <c r="G2217" s="40">
        <v>2022</v>
      </c>
      <c r="H2217" s="23"/>
      <c r="I2217" s="23"/>
      <c r="J2217" s="23"/>
      <c r="K2217" s="23"/>
      <c r="L2217" s="23"/>
      <c r="M2217" s="23"/>
      <c r="N2217" s="23"/>
      <c r="O2217" s="25">
        <f t="shared" si="744"/>
        <v>0</v>
      </c>
      <c r="P2217" s="23"/>
      <c r="Q2217" s="23"/>
      <c r="R2217" s="25">
        <f t="shared" si="745"/>
        <v>0</v>
      </c>
      <c r="S2217" s="26" t="e">
        <f t="shared" si="746"/>
        <v>#DIV/0!</v>
      </c>
      <c r="T2217" s="27" t="e">
        <f t="shared" si="747"/>
        <v>#DIV/0!</v>
      </c>
      <c r="U2217" s="26" t="e">
        <f t="shared" si="748"/>
        <v>#NUM!</v>
      </c>
      <c r="V2217" s="26" t="e">
        <f t="shared" si="749"/>
        <v>#DIV/0!</v>
      </c>
      <c r="W2217" s="143"/>
      <c r="X2217" s="143"/>
      <c r="Y2217" s="143"/>
      <c r="Z2217" s="30"/>
      <c r="AA2217" s="31">
        <f t="shared" si="784"/>
        <v>2022</v>
      </c>
      <c r="AB2217" s="32">
        <v>3.15E-2</v>
      </c>
      <c r="AC2217" s="32">
        <v>8.0199999999999994E-2</v>
      </c>
      <c r="AD2217" s="33" t="e">
        <f t="shared" si="772"/>
        <v>#DIV/0!</v>
      </c>
      <c r="AE2217" s="34" t="e">
        <f t="shared" si="773"/>
        <v>#DIV/0!</v>
      </c>
      <c r="AF2217" s="33" t="e">
        <f t="shared" si="774"/>
        <v>#DIV/0!</v>
      </c>
      <c r="AG2217" s="33" t="e">
        <f t="shared" si="775"/>
        <v>#DIV/0!</v>
      </c>
      <c r="AH2217" s="35" t="e">
        <f t="shared" si="776"/>
        <v>#DIV/0!</v>
      </c>
      <c r="AI2217" s="36" t="e">
        <f t="shared" si="756"/>
        <v>#DIV/0!</v>
      </c>
      <c r="AJ2217" s="23"/>
      <c r="AK2217" s="120">
        <v>1238</v>
      </c>
      <c r="AL2217" s="44"/>
      <c r="AM2217" s="44"/>
      <c r="AN2217" s="44"/>
      <c r="AO2217" s="44"/>
      <c r="AP2217" s="44"/>
      <c r="AQ2217" s="44"/>
      <c r="AR2217" s="44"/>
    </row>
    <row r="2218" spans="1:44" ht="16.8">
      <c r="A2218" s="18"/>
      <c r="B2218" s="18"/>
      <c r="C2218" s="18"/>
      <c r="D2218" s="19"/>
      <c r="E2218" s="20" t="s">
        <v>39</v>
      </c>
      <c r="F2218" s="21"/>
      <c r="G2218" s="40">
        <v>2023</v>
      </c>
      <c r="H2218" s="23"/>
      <c r="I2218" s="23"/>
      <c r="J2218" s="23"/>
      <c r="K2218" s="23"/>
      <c r="L2218" s="23"/>
      <c r="M2218" s="23"/>
      <c r="N2218" s="23"/>
      <c r="O2218" s="25">
        <f t="shared" si="744"/>
        <v>0</v>
      </c>
      <c r="P2218" s="23"/>
      <c r="Q2218" s="23"/>
      <c r="R2218" s="25">
        <f t="shared" si="745"/>
        <v>0</v>
      </c>
      <c r="S2218" s="26" t="e">
        <f t="shared" si="746"/>
        <v>#DIV/0!</v>
      </c>
      <c r="T2218" s="27" t="e">
        <f t="shared" si="747"/>
        <v>#DIV/0!</v>
      </c>
      <c r="U2218" s="26" t="e">
        <f t="shared" si="748"/>
        <v>#NUM!</v>
      </c>
      <c r="V2218" s="26" t="e">
        <f t="shared" si="749"/>
        <v>#DIV/0!</v>
      </c>
      <c r="W2218" s="143"/>
      <c r="X2218" s="143"/>
      <c r="Y2218" s="143"/>
      <c r="Z2218" s="30"/>
      <c r="AA2218" s="31">
        <f t="shared" si="784"/>
        <v>2023</v>
      </c>
      <c r="AB2218" s="32">
        <v>3.2500000000000001E-2</v>
      </c>
      <c r="AC2218" s="32">
        <v>5.0500000000000003E-2</v>
      </c>
      <c r="AD2218" s="33" t="e">
        <f t="shared" si="772"/>
        <v>#DIV/0!</v>
      </c>
      <c r="AE2218" s="34" t="e">
        <f t="shared" si="773"/>
        <v>#DIV/0!</v>
      </c>
      <c r="AF2218" s="33" t="e">
        <f t="shared" si="774"/>
        <v>#DIV/0!</v>
      </c>
      <c r="AG2218" s="33" t="e">
        <f t="shared" si="775"/>
        <v>#DIV/0!</v>
      </c>
      <c r="AH2218" s="35" t="e">
        <f t="shared" si="776"/>
        <v>#DIV/0!</v>
      </c>
      <c r="AI2218" s="36" t="e">
        <f t="shared" si="756"/>
        <v>#DIV/0!</v>
      </c>
      <c r="AJ2218" s="23"/>
      <c r="AK2218" s="120">
        <v>1239</v>
      </c>
      <c r="AL2218" s="44"/>
      <c r="AM2218" s="44"/>
      <c r="AN2218" s="44"/>
      <c r="AO2218" s="44"/>
      <c r="AP2218" s="44"/>
      <c r="AQ2218" s="44"/>
      <c r="AR2218" s="44"/>
    </row>
    <row r="2219" spans="1:44" ht="16.8">
      <c r="A2219" s="18"/>
      <c r="B2219" s="18">
        <v>909</v>
      </c>
      <c r="C2219" s="18" t="s">
        <v>4243</v>
      </c>
      <c r="D2219" s="19" t="s">
        <v>4244</v>
      </c>
      <c r="E2219" s="20" t="s">
        <v>39</v>
      </c>
      <c r="F2219" s="21"/>
      <c r="G2219" s="40">
        <v>2021</v>
      </c>
      <c r="H2219" s="23"/>
      <c r="I2219" s="23"/>
      <c r="J2219" s="23"/>
      <c r="K2219" s="23"/>
      <c r="L2219" s="23"/>
      <c r="M2219" s="23">
        <f>I2219-J2219</f>
        <v>0</v>
      </c>
      <c r="N2219" s="23"/>
      <c r="O2219" s="25">
        <f t="shared" si="744"/>
        <v>0</v>
      </c>
      <c r="P2219" s="23"/>
      <c r="Q2219" s="23"/>
      <c r="R2219" s="25">
        <f t="shared" si="745"/>
        <v>0</v>
      </c>
      <c r="S2219" s="26" t="e">
        <f t="shared" si="746"/>
        <v>#DIV/0!</v>
      </c>
      <c r="T2219" s="27" t="e">
        <f t="shared" si="747"/>
        <v>#DIV/0!</v>
      </c>
      <c r="U2219" s="26" t="e">
        <f t="shared" si="748"/>
        <v>#NUM!</v>
      </c>
      <c r="V2219" s="26" t="e">
        <f t="shared" si="749"/>
        <v>#DIV/0!</v>
      </c>
      <c r="W2219" s="143"/>
      <c r="X2219" s="143"/>
      <c r="Y2219" s="143"/>
      <c r="Z2219" s="30">
        <f>W2219*Y2219</f>
        <v>0</v>
      </c>
      <c r="AA2219" s="31">
        <f t="shared" si="784"/>
        <v>2021</v>
      </c>
      <c r="AB2219" s="32">
        <v>1.84E-2</v>
      </c>
      <c r="AC2219" s="32">
        <v>2.58E-2</v>
      </c>
      <c r="AD2219" s="33" t="e">
        <f t="shared" si="772"/>
        <v>#DIV/0!</v>
      </c>
      <c r="AE2219" s="34" t="e">
        <f t="shared" si="773"/>
        <v>#DIV/0!</v>
      </c>
      <c r="AF2219" s="33" t="e">
        <f t="shared" si="774"/>
        <v>#DIV/0!</v>
      </c>
      <c r="AG2219" s="33" t="e">
        <f t="shared" si="775"/>
        <v>#DIV/0!</v>
      </c>
      <c r="AH2219" s="35" t="e">
        <f t="shared" si="776"/>
        <v>#DIV/0!</v>
      </c>
      <c r="AI2219" s="36" t="e">
        <f t="shared" si="756"/>
        <v>#DIV/0!</v>
      </c>
      <c r="AJ2219" s="23"/>
      <c r="AK2219" s="120">
        <v>1240</v>
      </c>
      <c r="AL2219" s="44"/>
      <c r="AM2219" s="44"/>
      <c r="AN2219" s="44"/>
      <c r="AO2219" s="44"/>
      <c r="AP2219" s="44"/>
      <c r="AQ2219" s="44"/>
      <c r="AR2219" s="44"/>
    </row>
    <row r="2220" spans="1:44" ht="16.8">
      <c r="A2220" s="18"/>
      <c r="B2220" s="18"/>
      <c r="C2220" s="18"/>
      <c r="D2220" s="19"/>
      <c r="E2220" s="20" t="s">
        <v>39</v>
      </c>
      <c r="F2220" s="21"/>
      <c r="G2220" s="40">
        <v>2022</v>
      </c>
      <c r="H2220" s="23"/>
      <c r="I2220" s="23"/>
      <c r="J2220" s="23"/>
      <c r="K2220" s="23"/>
      <c r="L2220" s="23"/>
      <c r="M2220" s="23"/>
      <c r="N2220" s="23"/>
      <c r="O2220" s="25">
        <f t="shared" si="744"/>
        <v>0</v>
      </c>
      <c r="P2220" s="23"/>
      <c r="Q2220" s="23"/>
      <c r="R2220" s="25">
        <f t="shared" si="745"/>
        <v>0</v>
      </c>
      <c r="S2220" s="26" t="e">
        <f t="shared" si="746"/>
        <v>#DIV/0!</v>
      </c>
      <c r="T2220" s="27" t="e">
        <f t="shared" si="747"/>
        <v>#DIV/0!</v>
      </c>
      <c r="U2220" s="26" t="e">
        <f t="shared" si="748"/>
        <v>#NUM!</v>
      </c>
      <c r="V2220" s="26" t="e">
        <f t="shared" si="749"/>
        <v>#DIV/0!</v>
      </c>
      <c r="W2220" s="143"/>
      <c r="X2220" s="143"/>
      <c r="Y2220" s="143"/>
      <c r="Z2220" s="30"/>
      <c r="AA2220" s="31">
        <f t="shared" si="784"/>
        <v>2022</v>
      </c>
      <c r="AB2220" s="32">
        <v>3.15E-2</v>
      </c>
      <c r="AC2220" s="32">
        <v>8.0199999999999994E-2</v>
      </c>
      <c r="AD2220" s="33" t="e">
        <f t="shared" si="772"/>
        <v>#DIV/0!</v>
      </c>
      <c r="AE2220" s="34" t="e">
        <f t="shared" si="773"/>
        <v>#DIV/0!</v>
      </c>
      <c r="AF2220" s="33" t="e">
        <f t="shared" si="774"/>
        <v>#DIV/0!</v>
      </c>
      <c r="AG2220" s="33" t="e">
        <f t="shared" si="775"/>
        <v>#DIV/0!</v>
      </c>
      <c r="AH2220" s="35" t="e">
        <f t="shared" si="776"/>
        <v>#DIV/0!</v>
      </c>
      <c r="AI2220" s="36" t="e">
        <f t="shared" si="756"/>
        <v>#DIV/0!</v>
      </c>
      <c r="AJ2220" s="23"/>
      <c r="AK2220" s="120">
        <v>1241</v>
      </c>
      <c r="AL2220" s="44"/>
      <c r="AM2220" s="44"/>
      <c r="AN2220" s="44"/>
      <c r="AO2220" s="44"/>
      <c r="AP2220" s="44"/>
      <c r="AQ2220" s="44"/>
      <c r="AR2220" s="44"/>
    </row>
    <row r="2221" spans="1:44" ht="16.8">
      <c r="A2221" s="18"/>
      <c r="B2221" s="18"/>
      <c r="C2221" s="18"/>
      <c r="D2221" s="19"/>
      <c r="E2221" s="20" t="s">
        <v>39</v>
      </c>
      <c r="F2221" s="21"/>
      <c r="G2221" s="40">
        <v>2023</v>
      </c>
      <c r="H2221" s="23"/>
      <c r="I2221" s="23"/>
      <c r="J2221" s="23"/>
      <c r="K2221" s="23"/>
      <c r="L2221" s="23"/>
      <c r="M2221" s="23"/>
      <c r="N2221" s="23"/>
      <c r="O2221" s="25">
        <f t="shared" si="744"/>
        <v>0</v>
      </c>
      <c r="P2221" s="23"/>
      <c r="Q2221" s="23"/>
      <c r="R2221" s="25">
        <f t="shared" si="745"/>
        <v>0</v>
      </c>
      <c r="S2221" s="26" t="e">
        <f t="shared" si="746"/>
        <v>#DIV/0!</v>
      </c>
      <c r="T2221" s="27" t="e">
        <f t="shared" si="747"/>
        <v>#DIV/0!</v>
      </c>
      <c r="U2221" s="26" t="e">
        <f t="shared" si="748"/>
        <v>#NUM!</v>
      </c>
      <c r="V2221" s="26" t="e">
        <f t="shared" si="749"/>
        <v>#DIV/0!</v>
      </c>
      <c r="W2221" s="143"/>
      <c r="X2221" s="143"/>
      <c r="Y2221" s="143"/>
      <c r="Z2221" s="30"/>
      <c r="AA2221" s="31">
        <f t="shared" si="784"/>
        <v>2023</v>
      </c>
      <c r="AB2221" s="32">
        <v>3.2500000000000001E-2</v>
      </c>
      <c r="AC2221" s="32">
        <v>5.0500000000000003E-2</v>
      </c>
      <c r="AD2221" s="33" t="e">
        <f t="shared" si="772"/>
        <v>#DIV/0!</v>
      </c>
      <c r="AE2221" s="34" t="e">
        <f t="shared" si="773"/>
        <v>#DIV/0!</v>
      </c>
      <c r="AF2221" s="33" t="e">
        <f t="shared" si="774"/>
        <v>#DIV/0!</v>
      </c>
      <c r="AG2221" s="33" t="e">
        <f t="shared" si="775"/>
        <v>#DIV/0!</v>
      </c>
      <c r="AH2221" s="35" t="e">
        <f t="shared" si="776"/>
        <v>#DIV/0!</v>
      </c>
      <c r="AI2221" s="36" t="e">
        <f t="shared" si="756"/>
        <v>#DIV/0!</v>
      </c>
      <c r="AJ2221" s="23"/>
      <c r="AK2221" s="120">
        <v>1242</v>
      </c>
      <c r="AL2221" s="44"/>
      <c r="AM2221" s="44"/>
      <c r="AN2221" s="44"/>
      <c r="AO2221" s="44"/>
      <c r="AP2221" s="44"/>
      <c r="AQ2221" s="44"/>
      <c r="AR2221" s="44"/>
    </row>
    <row r="2222" spans="1:44" ht="16.8">
      <c r="A2222" s="18"/>
      <c r="B2222" s="18">
        <v>910</v>
      </c>
      <c r="C2222" s="18" t="s">
        <v>4245</v>
      </c>
      <c r="D2222" s="19" t="s">
        <v>4246</v>
      </c>
      <c r="E2222" s="20" t="s">
        <v>39</v>
      </c>
      <c r="F2222" s="21"/>
      <c r="G2222" s="40">
        <v>2021</v>
      </c>
      <c r="H2222" s="23"/>
      <c r="I2222" s="23"/>
      <c r="J2222" s="23"/>
      <c r="K2222" s="23"/>
      <c r="L2222" s="23"/>
      <c r="M2222" s="23">
        <f>I2222-J2222</f>
        <v>0</v>
      </c>
      <c r="N2222" s="23"/>
      <c r="O2222" s="25">
        <f t="shared" si="744"/>
        <v>0</v>
      </c>
      <c r="P2222" s="23"/>
      <c r="Q2222" s="23"/>
      <c r="R2222" s="25">
        <f t="shared" si="745"/>
        <v>0</v>
      </c>
      <c r="S2222" s="26" t="e">
        <f t="shared" si="746"/>
        <v>#DIV/0!</v>
      </c>
      <c r="T2222" s="27" t="e">
        <f t="shared" si="747"/>
        <v>#DIV/0!</v>
      </c>
      <c r="U2222" s="26" t="e">
        <f t="shared" si="748"/>
        <v>#NUM!</v>
      </c>
      <c r="V2222" s="26" t="e">
        <f t="shared" si="749"/>
        <v>#DIV/0!</v>
      </c>
      <c r="W2222" s="143"/>
      <c r="X2222" s="143"/>
      <c r="Y2222" s="143"/>
      <c r="Z2222" s="30">
        <f>W2222*Y2222</f>
        <v>0</v>
      </c>
      <c r="AA2222" s="31">
        <f t="shared" si="784"/>
        <v>2021</v>
      </c>
      <c r="AB2222" s="32">
        <v>1.84E-2</v>
      </c>
      <c r="AC2222" s="32">
        <v>2.58E-2</v>
      </c>
      <c r="AD2222" s="33" t="e">
        <f t="shared" si="772"/>
        <v>#DIV/0!</v>
      </c>
      <c r="AE2222" s="34" t="e">
        <f t="shared" si="773"/>
        <v>#DIV/0!</v>
      </c>
      <c r="AF2222" s="33" t="e">
        <f t="shared" si="774"/>
        <v>#DIV/0!</v>
      </c>
      <c r="AG2222" s="33" t="e">
        <f t="shared" si="775"/>
        <v>#DIV/0!</v>
      </c>
      <c r="AH2222" s="35" t="e">
        <f t="shared" si="776"/>
        <v>#DIV/0!</v>
      </c>
      <c r="AI2222" s="36" t="e">
        <f t="shared" si="756"/>
        <v>#DIV/0!</v>
      </c>
      <c r="AJ2222" s="23"/>
      <c r="AK2222" s="120">
        <v>1243</v>
      </c>
      <c r="AL2222" s="44"/>
      <c r="AM2222" s="44"/>
      <c r="AN2222" s="44"/>
      <c r="AO2222" s="44"/>
      <c r="AP2222" s="44"/>
      <c r="AQ2222" s="44"/>
      <c r="AR2222" s="44"/>
    </row>
    <row r="2223" spans="1:44" ht="16.8">
      <c r="A2223" s="18"/>
      <c r="B2223" s="18"/>
      <c r="C2223" s="18"/>
      <c r="D2223" s="19"/>
      <c r="E2223" s="20" t="s">
        <v>39</v>
      </c>
      <c r="F2223" s="21"/>
      <c r="G2223" s="40">
        <v>2022</v>
      </c>
      <c r="H2223" s="23"/>
      <c r="I2223" s="23"/>
      <c r="J2223" s="23"/>
      <c r="K2223" s="23"/>
      <c r="L2223" s="23"/>
      <c r="M2223" s="23"/>
      <c r="N2223" s="23"/>
      <c r="O2223" s="25">
        <f t="shared" si="744"/>
        <v>0</v>
      </c>
      <c r="P2223" s="23"/>
      <c r="Q2223" s="23"/>
      <c r="R2223" s="25">
        <f t="shared" si="745"/>
        <v>0</v>
      </c>
      <c r="S2223" s="26" t="e">
        <f t="shared" si="746"/>
        <v>#DIV/0!</v>
      </c>
      <c r="T2223" s="27" t="e">
        <f t="shared" si="747"/>
        <v>#DIV/0!</v>
      </c>
      <c r="U2223" s="26" t="e">
        <f t="shared" si="748"/>
        <v>#NUM!</v>
      </c>
      <c r="V2223" s="26" t="e">
        <f t="shared" si="749"/>
        <v>#DIV/0!</v>
      </c>
      <c r="W2223" s="143"/>
      <c r="X2223" s="143"/>
      <c r="Y2223" s="143"/>
      <c r="Z2223" s="30"/>
      <c r="AA2223" s="31">
        <f t="shared" si="784"/>
        <v>2022</v>
      </c>
      <c r="AB2223" s="32">
        <v>3.15E-2</v>
      </c>
      <c r="AC2223" s="32">
        <v>8.0199999999999994E-2</v>
      </c>
      <c r="AD2223" s="33" t="e">
        <f t="shared" si="772"/>
        <v>#DIV/0!</v>
      </c>
      <c r="AE2223" s="34" t="e">
        <f t="shared" si="773"/>
        <v>#DIV/0!</v>
      </c>
      <c r="AF2223" s="33" t="e">
        <f t="shared" si="774"/>
        <v>#DIV/0!</v>
      </c>
      <c r="AG2223" s="33" t="e">
        <f t="shared" si="775"/>
        <v>#DIV/0!</v>
      </c>
      <c r="AH2223" s="35" t="e">
        <f t="shared" si="776"/>
        <v>#DIV/0!</v>
      </c>
      <c r="AI2223" s="36" t="e">
        <f t="shared" si="756"/>
        <v>#DIV/0!</v>
      </c>
      <c r="AJ2223" s="23"/>
      <c r="AK2223" s="120">
        <v>1244</v>
      </c>
      <c r="AL2223" s="44"/>
      <c r="AM2223" s="44"/>
      <c r="AN2223" s="44"/>
      <c r="AO2223" s="44"/>
      <c r="AP2223" s="44"/>
      <c r="AQ2223" s="44"/>
      <c r="AR2223" s="44"/>
    </row>
    <row r="2224" spans="1:44" ht="16.8">
      <c r="A2224" s="18"/>
      <c r="B2224" s="18"/>
      <c r="C2224" s="18"/>
      <c r="D2224" s="19"/>
      <c r="E2224" s="20" t="s">
        <v>39</v>
      </c>
      <c r="F2224" s="21"/>
      <c r="G2224" s="40">
        <v>2023</v>
      </c>
      <c r="H2224" s="23"/>
      <c r="I2224" s="23"/>
      <c r="J2224" s="23"/>
      <c r="K2224" s="23"/>
      <c r="L2224" s="23"/>
      <c r="M2224" s="23"/>
      <c r="N2224" s="23"/>
      <c r="O2224" s="25">
        <f t="shared" si="744"/>
        <v>0</v>
      </c>
      <c r="P2224" s="23"/>
      <c r="Q2224" s="23"/>
      <c r="R2224" s="25">
        <f t="shared" si="745"/>
        <v>0</v>
      </c>
      <c r="S2224" s="26" t="e">
        <f t="shared" si="746"/>
        <v>#DIV/0!</v>
      </c>
      <c r="T2224" s="27" t="e">
        <f t="shared" si="747"/>
        <v>#DIV/0!</v>
      </c>
      <c r="U2224" s="26" t="e">
        <f t="shared" si="748"/>
        <v>#NUM!</v>
      </c>
      <c r="V2224" s="26" t="e">
        <f t="shared" si="749"/>
        <v>#DIV/0!</v>
      </c>
      <c r="W2224" s="143"/>
      <c r="X2224" s="143"/>
      <c r="Y2224" s="143"/>
      <c r="Z2224" s="30"/>
      <c r="AA2224" s="31">
        <f t="shared" si="784"/>
        <v>2023</v>
      </c>
      <c r="AB2224" s="32">
        <v>3.2500000000000001E-2</v>
      </c>
      <c r="AC2224" s="32">
        <v>5.0500000000000003E-2</v>
      </c>
      <c r="AD2224" s="33" t="e">
        <f t="shared" si="772"/>
        <v>#DIV/0!</v>
      </c>
      <c r="AE2224" s="34" t="e">
        <f t="shared" si="773"/>
        <v>#DIV/0!</v>
      </c>
      <c r="AF2224" s="33" t="e">
        <f t="shared" si="774"/>
        <v>#DIV/0!</v>
      </c>
      <c r="AG2224" s="33" t="e">
        <f t="shared" si="775"/>
        <v>#DIV/0!</v>
      </c>
      <c r="AH2224" s="35" t="e">
        <f t="shared" si="776"/>
        <v>#DIV/0!</v>
      </c>
      <c r="AI2224" s="36" t="e">
        <f t="shared" si="756"/>
        <v>#DIV/0!</v>
      </c>
      <c r="AJ2224" s="23"/>
      <c r="AK2224" s="120">
        <v>1245</v>
      </c>
      <c r="AL2224" s="44"/>
      <c r="AM2224" s="44"/>
      <c r="AN2224" s="44"/>
      <c r="AO2224" s="44"/>
      <c r="AP2224" s="44"/>
      <c r="AQ2224" s="44"/>
      <c r="AR2224" s="44"/>
    </row>
    <row r="2225" spans="1:44" ht="16.8">
      <c r="A2225" s="145">
        <v>123</v>
      </c>
      <c r="B2225" s="145">
        <v>911</v>
      </c>
      <c r="C2225" s="145" t="s">
        <v>4247</v>
      </c>
      <c r="D2225" s="146" t="s">
        <v>4248</v>
      </c>
      <c r="E2225" s="147" t="s">
        <v>1371</v>
      </c>
      <c r="F2225" s="148"/>
      <c r="G2225" s="148"/>
      <c r="H2225" s="149"/>
      <c r="I2225" s="149"/>
      <c r="J2225" s="149"/>
      <c r="K2225" s="149"/>
      <c r="L2225" s="149"/>
      <c r="M2225" s="149">
        <f t="shared" ref="M2225:M2241" si="788">I2225-J2225</f>
        <v>0</v>
      </c>
      <c r="N2225" s="149"/>
      <c r="O2225" s="149">
        <f t="shared" si="744"/>
        <v>0</v>
      </c>
      <c r="P2225" s="149"/>
      <c r="Q2225" s="149"/>
      <c r="R2225" s="149">
        <f t="shared" si="745"/>
        <v>0</v>
      </c>
      <c r="S2225" s="150" t="e">
        <f t="shared" si="746"/>
        <v>#DIV/0!</v>
      </c>
      <c r="T2225" s="151" t="e">
        <f t="shared" si="747"/>
        <v>#DIV/0!</v>
      </c>
      <c r="U2225" s="150" t="e">
        <f t="shared" si="748"/>
        <v>#NUM!</v>
      </c>
      <c r="V2225" s="150" t="e">
        <f t="shared" si="749"/>
        <v>#DIV/0!</v>
      </c>
      <c r="W2225" s="152"/>
      <c r="X2225" s="152"/>
      <c r="Y2225" s="152"/>
      <c r="Z2225" s="153">
        <f t="shared" ref="Z2225:Z2241" si="789">W2225*Y2225</f>
        <v>0</v>
      </c>
      <c r="AA2225" s="148">
        <f t="shared" si="784"/>
        <v>0</v>
      </c>
      <c r="AB2225" s="149"/>
      <c r="AC2225" s="149"/>
      <c r="AD2225" s="150" t="e">
        <f t="shared" si="772"/>
        <v>#DIV/0!</v>
      </c>
      <c r="AE2225" s="154" t="e">
        <f t="shared" si="773"/>
        <v>#DIV/0!</v>
      </c>
      <c r="AF2225" s="150" t="e">
        <f t="shared" si="774"/>
        <v>#DIV/0!</v>
      </c>
      <c r="AG2225" s="150" t="e">
        <f t="shared" si="775"/>
        <v>#DIV/0!</v>
      </c>
      <c r="AH2225" s="155" t="e">
        <f t="shared" si="776"/>
        <v>#DIV/0!</v>
      </c>
      <c r="AI2225" s="156" t="e">
        <f t="shared" si="756"/>
        <v>#DIV/0!</v>
      </c>
      <c r="AJ2225" s="149"/>
      <c r="AK2225" s="149"/>
      <c r="AL2225" s="157"/>
      <c r="AM2225" s="157"/>
      <c r="AN2225" s="157"/>
      <c r="AO2225" s="157"/>
      <c r="AP2225" s="157"/>
      <c r="AQ2225" s="157"/>
      <c r="AR2225" s="157"/>
    </row>
    <row r="2226" spans="1:44" ht="16.8">
      <c r="A2226" s="145">
        <v>124</v>
      </c>
      <c r="B2226" s="145">
        <v>912</v>
      </c>
      <c r="C2226" s="145" t="s">
        <v>4249</v>
      </c>
      <c r="D2226" s="146" t="s">
        <v>4250</v>
      </c>
      <c r="E2226" s="147" t="s">
        <v>1371</v>
      </c>
      <c r="F2226" s="148"/>
      <c r="G2226" s="148"/>
      <c r="H2226" s="149"/>
      <c r="I2226" s="149"/>
      <c r="J2226" s="149"/>
      <c r="K2226" s="149"/>
      <c r="L2226" s="149"/>
      <c r="M2226" s="149">
        <f t="shared" si="788"/>
        <v>0</v>
      </c>
      <c r="N2226" s="149"/>
      <c r="O2226" s="149">
        <f t="shared" si="744"/>
        <v>0</v>
      </c>
      <c r="P2226" s="149"/>
      <c r="Q2226" s="149"/>
      <c r="R2226" s="149">
        <f t="shared" si="745"/>
        <v>0</v>
      </c>
      <c r="S2226" s="150" t="e">
        <f t="shared" si="746"/>
        <v>#DIV/0!</v>
      </c>
      <c r="T2226" s="151" t="e">
        <f t="shared" si="747"/>
        <v>#DIV/0!</v>
      </c>
      <c r="U2226" s="150" t="e">
        <f t="shared" si="748"/>
        <v>#NUM!</v>
      </c>
      <c r="V2226" s="150" t="e">
        <f t="shared" si="749"/>
        <v>#DIV/0!</v>
      </c>
      <c r="W2226" s="152"/>
      <c r="X2226" s="152"/>
      <c r="Y2226" s="152"/>
      <c r="Z2226" s="153">
        <f t="shared" si="789"/>
        <v>0</v>
      </c>
      <c r="AA2226" s="148">
        <f t="shared" si="784"/>
        <v>0</v>
      </c>
      <c r="AB2226" s="149"/>
      <c r="AC2226" s="149"/>
      <c r="AD2226" s="150" t="e">
        <f t="shared" si="772"/>
        <v>#DIV/0!</v>
      </c>
      <c r="AE2226" s="154" t="e">
        <f t="shared" si="773"/>
        <v>#DIV/0!</v>
      </c>
      <c r="AF2226" s="150" t="e">
        <f t="shared" si="774"/>
        <v>#DIV/0!</v>
      </c>
      <c r="AG2226" s="150" t="e">
        <f t="shared" si="775"/>
        <v>#DIV/0!</v>
      </c>
      <c r="AH2226" s="155" t="e">
        <f t="shared" si="776"/>
        <v>#DIV/0!</v>
      </c>
      <c r="AI2226" s="156" t="e">
        <f t="shared" si="756"/>
        <v>#DIV/0!</v>
      </c>
      <c r="AJ2226" s="149"/>
      <c r="AK2226" s="149"/>
      <c r="AL2226" s="157"/>
      <c r="AM2226" s="157"/>
      <c r="AN2226" s="157"/>
      <c r="AO2226" s="157"/>
      <c r="AP2226" s="157"/>
      <c r="AQ2226" s="157"/>
      <c r="AR2226" s="157"/>
    </row>
    <row r="2227" spans="1:44" ht="16.8">
      <c r="A2227" s="145">
        <v>125</v>
      </c>
      <c r="B2227" s="145">
        <v>913</v>
      </c>
      <c r="C2227" s="145" t="s">
        <v>4251</v>
      </c>
      <c r="D2227" s="146" t="s">
        <v>4252</v>
      </c>
      <c r="E2227" s="147" t="s">
        <v>178</v>
      </c>
      <c r="F2227" s="148"/>
      <c r="G2227" s="148"/>
      <c r="H2227" s="149"/>
      <c r="I2227" s="149"/>
      <c r="J2227" s="149"/>
      <c r="K2227" s="149"/>
      <c r="L2227" s="149"/>
      <c r="M2227" s="149">
        <f t="shared" si="788"/>
        <v>0</v>
      </c>
      <c r="N2227" s="149"/>
      <c r="O2227" s="149">
        <f t="shared" si="744"/>
        <v>0</v>
      </c>
      <c r="P2227" s="149"/>
      <c r="Q2227" s="149"/>
      <c r="R2227" s="149">
        <f t="shared" si="745"/>
        <v>0</v>
      </c>
      <c r="S2227" s="150" t="e">
        <f t="shared" si="746"/>
        <v>#DIV/0!</v>
      </c>
      <c r="T2227" s="151" t="e">
        <f t="shared" si="747"/>
        <v>#DIV/0!</v>
      </c>
      <c r="U2227" s="150" t="e">
        <f t="shared" si="748"/>
        <v>#NUM!</v>
      </c>
      <c r="V2227" s="150" t="e">
        <f t="shared" si="749"/>
        <v>#DIV/0!</v>
      </c>
      <c r="W2227" s="152"/>
      <c r="X2227" s="152"/>
      <c r="Y2227" s="152"/>
      <c r="Z2227" s="153">
        <f t="shared" si="789"/>
        <v>0</v>
      </c>
      <c r="AA2227" s="148">
        <f t="shared" si="784"/>
        <v>0</v>
      </c>
      <c r="AB2227" s="149"/>
      <c r="AC2227" s="149"/>
      <c r="AD2227" s="150" t="e">
        <f t="shared" si="772"/>
        <v>#DIV/0!</v>
      </c>
      <c r="AE2227" s="154" t="e">
        <f t="shared" si="773"/>
        <v>#DIV/0!</v>
      </c>
      <c r="AF2227" s="150" t="e">
        <f t="shared" si="774"/>
        <v>#DIV/0!</v>
      </c>
      <c r="AG2227" s="150" t="e">
        <f t="shared" si="775"/>
        <v>#DIV/0!</v>
      </c>
      <c r="AH2227" s="155" t="e">
        <f t="shared" si="776"/>
        <v>#DIV/0!</v>
      </c>
      <c r="AI2227" s="156" t="e">
        <f t="shared" si="756"/>
        <v>#DIV/0!</v>
      </c>
      <c r="AJ2227" s="149"/>
      <c r="AK2227" s="149"/>
      <c r="AL2227" s="157"/>
      <c r="AM2227" s="157"/>
      <c r="AN2227" s="157"/>
      <c r="AO2227" s="157"/>
      <c r="AP2227" s="157"/>
      <c r="AQ2227" s="157"/>
      <c r="AR2227" s="157"/>
    </row>
    <row r="2228" spans="1:44" ht="16.8">
      <c r="A2228" s="145">
        <v>126</v>
      </c>
      <c r="B2228" s="145">
        <v>914</v>
      </c>
      <c r="C2228" s="145" t="s">
        <v>4253</v>
      </c>
      <c r="D2228" s="146" t="s">
        <v>4254</v>
      </c>
      <c r="E2228" s="147" t="s">
        <v>178</v>
      </c>
      <c r="F2228" s="148"/>
      <c r="G2228" s="148"/>
      <c r="H2228" s="149"/>
      <c r="I2228" s="149"/>
      <c r="J2228" s="149"/>
      <c r="K2228" s="149"/>
      <c r="L2228" s="149"/>
      <c r="M2228" s="149">
        <f t="shared" si="788"/>
        <v>0</v>
      </c>
      <c r="N2228" s="149"/>
      <c r="O2228" s="149">
        <f t="shared" si="744"/>
        <v>0</v>
      </c>
      <c r="P2228" s="149"/>
      <c r="Q2228" s="149"/>
      <c r="R2228" s="149">
        <f t="shared" si="745"/>
        <v>0</v>
      </c>
      <c r="S2228" s="150" t="e">
        <f t="shared" si="746"/>
        <v>#DIV/0!</v>
      </c>
      <c r="T2228" s="151" t="e">
        <f t="shared" si="747"/>
        <v>#DIV/0!</v>
      </c>
      <c r="U2228" s="150" t="e">
        <f t="shared" si="748"/>
        <v>#NUM!</v>
      </c>
      <c r="V2228" s="150" t="e">
        <f t="shared" si="749"/>
        <v>#DIV/0!</v>
      </c>
      <c r="W2228" s="152"/>
      <c r="X2228" s="152"/>
      <c r="Y2228" s="152"/>
      <c r="Z2228" s="153">
        <f t="shared" si="789"/>
        <v>0</v>
      </c>
      <c r="AA2228" s="148">
        <f t="shared" si="784"/>
        <v>0</v>
      </c>
      <c r="AB2228" s="149"/>
      <c r="AC2228" s="149"/>
      <c r="AD2228" s="150" t="e">
        <f t="shared" si="772"/>
        <v>#DIV/0!</v>
      </c>
      <c r="AE2228" s="154" t="e">
        <f t="shared" si="773"/>
        <v>#DIV/0!</v>
      </c>
      <c r="AF2228" s="150" t="e">
        <f t="shared" si="774"/>
        <v>#DIV/0!</v>
      </c>
      <c r="AG2228" s="150" t="e">
        <f t="shared" si="775"/>
        <v>#DIV/0!</v>
      </c>
      <c r="AH2228" s="155" t="e">
        <f t="shared" si="776"/>
        <v>#DIV/0!</v>
      </c>
      <c r="AI2228" s="156" t="e">
        <f t="shared" si="756"/>
        <v>#DIV/0!</v>
      </c>
      <c r="AJ2228" s="149"/>
      <c r="AK2228" s="149"/>
      <c r="AL2228" s="157"/>
      <c r="AM2228" s="157"/>
      <c r="AN2228" s="157"/>
      <c r="AO2228" s="157"/>
      <c r="AP2228" s="157"/>
      <c r="AQ2228" s="157"/>
      <c r="AR2228" s="157"/>
    </row>
    <row r="2229" spans="1:44" ht="16.8">
      <c r="A2229" s="145">
        <v>127</v>
      </c>
      <c r="B2229" s="145">
        <v>915</v>
      </c>
      <c r="C2229" s="145" t="s">
        <v>4255</v>
      </c>
      <c r="D2229" s="146" t="s">
        <v>4256</v>
      </c>
      <c r="E2229" s="147" t="s">
        <v>178</v>
      </c>
      <c r="F2229" s="148"/>
      <c r="G2229" s="148"/>
      <c r="H2229" s="149"/>
      <c r="I2229" s="149"/>
      <c r="J2229" s="149"/>
      <c r="K2229" s="149"/>
      <c r="L2229" s="149"/>
      <c r="M2229" s="149">
        <f t="shared" si="788"/>
        <v>0</v>
      </c>
      <c r="N2229" s="149"/>
      <c r="O2229" s="149">
        <f t="shared" si="744"/>
        <v>0</v>
      </c>
      <c r="P2229" s="149"/>
      <c r="Q2229" s="149"/>
      <c r="R2229" s="149">
        <f t="shared" si="745"/>
        <v>0</v>
      </c>
      <c r="S2229" s="150" t="e">
        <f t="shared" si="746"/>
        <v>#DIV/0!</v>
      </c>
      <c r="T2229" s="151" t="e">
        <f t="shared" si="747"/>
        <v>#DIV/0!</v>
      </c>
      <c r="U2229" s="150" t="e">
        <f t="shared" si="748"/>
        <v>#NUM!</v>
      </c>
      <c r="V2229" s="150" t="e">
        <f t="shared" si="749"/>
        <v>#DIV/0!</v>
      </c>
      <c r="W2229" s="152"/>
      <c r="X2229" s="152"/>
      <c r="Y2229" s="152"/>
      <c r="Z2229" s="153">
        <f t="shared" si="789"/>
        <v>0</v>
      </c>
      <c r="AA2229" s="148">
        <f t="shared" si="784"/>
        <v>0</v>
      </c>
      <c r="AB2229" s="149"/>
      <c r="AC2229" s="149"/>
      <c r="AD2229" s="150" t="e">
        <f t="shared" si="772"/>
        <v>#DIV/0!</v>
      </c>
      <c r="AE2229" s="154" t="e">
        <f t="shared" si="773"/>
        <v>#DIV/0!</v>
      </c>
      <c r="AF2229" s="150" t="e">
        <f t="shared" si="774"/>
        <v>#DIV/0!</v>
      </c>
      <c r="AG2229" s="150" t="e">
        <f t="shared" si="775"/>
        <v>#DIV/0!</v>
      </c>
      <c r="AH2229" s="155" t="e">
        <f t="shared" si="776"/>
        <v>#DIV/0!</v>
      </c>
      <c r="AI2229" s="156" t="e">
        <f t="shared" si="756"/>
        <v>#DIV/0!</v>
      </c>
      <c r="AJ2229" s="149"/>
      <c r="AK2229" s="149"/>
      <c r="AL2229" s="157"/>
      <c r="AM2229" s="157"/>
      <c r="AN2229" s="157"/>
      <c r="AO2229" s="157"/>
      <c r="AP2229" s="157"/>
      <c r="AQ2229" s="157"/>
      <c r="AR2229" s="157"/>
    </row>
    <row r="2230" spans="1:44" ht="16.8">
      <c r="A2230" s="145">
        <v>128</v>
      </c>
      <c r="B2230" s="145">
        <v>916</v>
      </c>
      <c r="C2230" s="145" t="s">
        <v>4257</v>
      </c>
      <c r="D2230" s="146" t="s">
        <v>4258</v>
      </c>
      <c r="E2230" s="147" t="s">
        <v>1371</v>
      </c>
      <c r="F2230" s="148"/>
      <c r="G2230" s="148"/>
      <c r="H2230" s="149"/>
      <c r="I2230" s="149"/>
      <c r="J2230" s="149"/>
      <c r="K2230" s="149"/>
      <c r="L2230" s="149"/>
      <c r="M2230" s="149">
        <f t="shared" si="788"/>
        <v>0</v>
      </c>
      <c r="N2230" s="149"/>
      <c r="O2230" s="149">
        <f t="shared" si="744"/>
        <v>0</v>
      </c>
      <c r="P2230" s="149"/>
      <c r="Q2230" s="149"/>
      <c r="R2230" s="149">
        <f t="shared" si="745"/>
        <v>0</v>
      </c>
      <c r="S2230" s="150" t="e">
        <f t="shared" si="746"/>
        <v>#DIV/0!</v>
      </c>
      <c r="T2230" s="151" t="e">
        <f t="shared" si="747"/>
        <v>#DIV/0!</v>
      </c>
      <c r="U2230" s="150" t="e">
        <f t="shared" si="748"/>
        <v>#NUM!</v>
      </c>
      <c r="V2230" s="150" t="e">
        <f t="shared" si="749"/>
        <v>#DIV/0!</v>
      </c>
      <c r="W2230" s="152"/>
      <c r="X2230" s="152"/>
      <c r="Y2230" s="152"/>
      <c r="Z2230" s="153">
        <f t="shared" si="789"/>
        <v>0</v>
      </c>
      <c r="AA2230" s="148">
        <f t="shared" si="784"/>
        <v>0</v>
      </c>
      <c r="AB2230" s="149"/>
      <c r="AC2230" s="149"/>
      <c r="AD2230" s="150" t="e">
        <f t="shared" si="772"/>
        <v>#DIV/0!</v>
      </c>
      <c r="AE2230" s="154" t="e">
        <f t="shared" si="773"/>
        <v>#DIV/0!</v>
      </c>
      <c r="AF2230" s="150" t="e">
        <f t="shared" si="774"/>
        <v>#DIV/0!</v>
      </c>
      <c r="AG2230" s="150" t="e">
        <f t="shared" si="775"/>
        <v>#DIV/0!</v>
      </c>
      <c r="AH2230" s="155" t="e">
        <f t="shared" si="776"/>
        <v>#DIV/0!</v>
      </c>
      <c r="AI2230" s="156" t="e">
        <f t="shared" si="756"/>
        <v>#DIV/0!</v>
      </c>
      <c r="AJ2230" s="149"/>
      <c r="AK2230" s="149"/>
      <c r="AL2230" s="157"/>
      <c r="AM2230" s="157"/>
      <c r="AN2230" s="157"/>
      <c r="AO2230" s="157"/>
      <c r="AP2230" s="157"/>
      <c r="AQ2230" s="157"/>
      <c r="AR2230" s="157"/>
    </row>
    <row r="2231" spans="1:44" ht="16.8">
      <c r="A2231" s="145">
        <v>129</v>
      </c>
      <c r="B2231" s="145">
        <v>917</v>
      </c>
      <c r="C2231" s="145" t="s">
        <v>4259</v>
      </c>
      <c r="D2231" s="146" t="s">
        <v>4260</v>
      </c>
      <c r="E2231" s="147" t="s">
        <v>178</v>
      </c>
      <c r="F2231" s="148"/>
      <c r="G2231" s="148"/>
      <c r="H2231" s="149"/>
      <c r="I2231" s="149"/>
      <c r="J2231" s="149"/>
      <c r="K2231" s="149"/>
      <c r="L2231" s="149"/>
      <c r="M2231" s="149">
        <f t="shared" si="788"/>
        <v>0</v>
      </c>
      <c r="N2231" s="149"/>
      <c r="O2231" s="149">
        <f t="shared" si="744"/>
        <v>0</v>
      </c>
      <c r="P2231" s="149"/>
      <c r="Q2231" s="149"/>
      <c r="R2231" s="149">
        <f t="shared" si="745"/>
        <v>0</v>
      </c>
      <c r="S2231" s="150" t="e">
        <f t="shared" si="746"/>
        <v>#DIV/0!</v>
      </c>
      <c r="T2231" s="151" t="e">
        <f t="shared" si="747"/>
        <v>#DIV/0!</v>
      </c>
      <c r="U2231" s="150" t="e">
        <f t="shared" si="748"/>
        <v>#NUM!</v>
      </c>
      <c r="V2231" s="150" t="e">
        <f t="shared" si="749"/>
        <v>#DIV/0!</v>
      </c>
      <c r="W2231" s="152"/>
      <c r="X2231" s="152"/>
      <c r="Y2231" s="152"/>
      <c r="Z2231" s="153">
        <f t="shared" si="789"/>
        <v>0</v>
      </c>
      <c r="AA2231" s="148">
        <f t="shared" si="784"/>
        <v>0</v>
      </c>
      <c r="AB2231" s="149"/>
      <c r="AC2231" s="149"/>
      <c r="AD2231" s="150" t="e">
        <f t="shared" si="772"/>
        <v>#DIV/0!</v>
      </c>
      <c r="AE2231" s="154" t="e">
        <f t="shared" si="773"/>
        <v>#DIV/0!</v>
      </c>
      <c r="AF2231" s="150" t="e">
        <f t="shared" si="774"/>
        <v>#DIV/0!</v>
      </c>
      <c r="AG2231" s="150" t="e">
        <f t="shared" si="775"/>
        <v>#DIV/0!</v>
      </c>
      <c r="AH2231" s="155" t="e">
        <f t="shared" si="776"/>
        <v>#DIV/0!</v>
      </c>
      <c r="AI2231" s="156" t="e">
        <f t="shared" si="756"/>
        <v>#DIV/0!</v>
      </c>
      <c r="AJ2231" s="149"/>
      <c r="AK2231" s="149"/>
      <c r="AL2231" s="157"/>
      <c r="AM2231" s="157"/>
      <c r="AN2231" s="157"/>
      <c r="AO2231" s="157"/>
      <c r="AP2231" s="157"/>
      <c r="AQ2231" s="157"/>
      <c r="AR2231" s="157"/>
    </row>
    <row r="2232" spans="1:44" ht="16.8">
      <c r="A2232" s="145">
        <v>130</v>
      </c>
      <c r="B2232" s="145">
        <v>918</v>
      </c>
      <c r="C2232" s="145" t="s">
        <v>4261</v>
      </c>
      <c r="D2232" s="146" t="s">
        <v>4262</v>
      </c>
      <c r="E2232" s="147" t="s">
        <v>178</v>
      </c>
      <c r="F2232" s="148"/>
      <c r="G2232" s="148"/>
      <c r="H2232" s="149"/>
      <c r="I2232" s="149"/>
      <c r="J2232" s="149"/>
      <c r="K2232" s="149"/>
      <c r="L2232" s="149"/>
      <c r="M2232" s="149">
        <f t="shared" si="788"/>
        <v>0</v>
      </c>
      <c r="N2232" s="149"/>
      <c r="O2232" s="149">
        <f t="shared" si="744"/>
        <v>0</v>
      </c>
      <c r="P2232" s="149"/>
      <c r="Q2232" s="149"/>
      <c r="R2232" s="149">
        <f t="shared" si="745"/>
        <v>0</v>
      </c>
      <c r="S2232" s="150" t="e">
        <f t="shared" si="746"/>
        <v>#DIV/0!</v>
      </c>
      <c r="T2232" s="151" t="e">
        <f t="shared" si="747"/>
        <v>#DIV/0!</v>
      </c>
      <c r="U2232" s="150" t="e">
        <f t="shared" si="748"/>
        <v>#NUM!</v>
      </c>
      <c r="V2232" s="150" t="e">
        <f t="shared" si="749"/>
        <v>#DIV/0!</v>
      </c>
      <c r="W2232" s="152"/>
      <c r="X2232" s="152"/>
      <c r="Y2232" s="152"/>
      <c r="Z2232" s="153">
        <f t="shared" si="789"/>
        <v>0</v>
      </c>
      <c r="AA2232" s="148">
        <f t="shared" si="784"/>
        <v>0</v>
      </c>
      <c r="AB2232" s="149"/>
      <c r="AC2232" s="149"/>
      <c r="AD2232" s="150" t="e">
        <f t="shared" si="772"/>
        <v>#DIV/0!</v>
      </c>
      <c r="AE2232" s="154" t="e">
        <f t="shared" si="773"/>
        <v>#DIV/0!</v>
      </c>
      <c r="AF2232" s="150" t="e">
        <f t="shared" si="774"/>
        <v>#DIV/0!</v>
      </c>
      <c r="AG2232" s="150" t="e">
        <f t="shared" si="775"/>
        <v>#DIV/0!</v>
      </c>
      <c r="AH2232" s="155" t="e">
        <f t="shared" si="776"/>
        <v>#DIV/0!</v>
      </c>
      <c r="AI2232" s="156" t="e">
        <f t="shared" si="756"/>
        <v>#DIV/0!</v>
      </c>
      <c r="AJ2232" s="149"/>
      <c r="AK2232" s="149"/>
      <c r="AL2232" s="157"/>
      <c r="AM2232" s="157"/>
      <c r="AN2232" s="157"/>
      <c r="AO2232" s="157"/>
      <c r="AP2232" s="157"/>
      <c r="AQ2232" s="157"/>
      <c r="AR2232" s="157"/>
    </row>
    <row r="2233" spans="1:44" ht="16.8">
      <c r="A2233" s="145">
        <v>131</v>
      </c>
      <c r="B2233" s="145">
        <v>919</v>
      </c>
      <c r="C2233" s="145" t="s">
        <v>4263</v>
      </c>
      <c r="D2233" s="146" t="s">
        <v>4264</v>
      </c>
      <c r="E2233" s="147" t="s">
        <v>178</v>
      </c>
      <c r="F2233" s="148"/>
      <c r="G2233" s="148"/>
      <c r="H2233" s="149"/>
      <c r="I2233" s="149"/>
      <c r="J2233" s="149"/>
      <c r="K2233" s="149"/>
      <c r="L2233" s="149"/>
      <c r="M2233" s="149">
        <f t="shared" si="788"/>
        <v>0</v>
      </c>
      <c r="N2233" s="149"/>
      <c r="O2233" s="149">
        <f t="shared" si="744"/>
        <v>0</v>
      </c>
      <c r="P2233" s="149"/>
      <c r="Q2233" s="149"/>
      <c r="R2233" s="149">
        <f t="shared" si="745"/>
        <v>0</v>
      </c>
      <c r="S2233" s="150" t="e">
        <f t="shared" si="746"/>
        <v>#DIV/0!</v>
      </c>
      <c r="T2233" s="151" t="e">
        <f t="shared" si="747"/>
        <v>#DIV/0!</v>
      </c>
      <c r="U2233" s="150" t="e">
        <f t="shared" si="748"/>
        <v>#NUM!</v>
      </c>
      <c r="V2233" s="150" t="e">
        <f t="shared" si="749"/>
        <v>#DIV/0!</v>
      </c>
      <c r="W2233" s="152"/>
      <c r="X2233" s="152"/>
      <c r="Y2233" s="152"/>
      <c r="Z2233" s="153">
        <f t="shared" si="789"/>
        <v>0</v>
      </c>
      <c r="AA2233" s="148">
        <f t="shared" si="784"/>
        <v>0</v>
      </c>
      <c r="AB2233" s="149"/>
      <c r="AC2233" s="149"/>
      <c r="AD2233" s="150" t="e">
        <f t="shared" si="772"/>
        <v>#DIV/0!</v>
      </c>
      <c r="AE2233" s="154" t="e">
        <f t="shared" si="773"/>
        <v>#DIV/0!</v>
      </c>
      <c r="AF2233" s="150" t="e">
        <f t="shared" si="774"/>
        <v>#DIV/0!</v>
      </c>
      <c r="AG2233" s="150" t="e">
        <f t="shared" si="775"/>
        <v>#DIV/0!</v>
      </c>
      <c r="AH2233" s="155" t="e">
        <f t="shared" si="776"/>
        <v>#DIV/0!</v>
      </c>
      <c r="AI2233" s="156" t="e">
        <f t="shared" si="756"/>
        <v>#DIV/0!</v>
      </c>
      <c r="AJ2233" s="149"/>
      <c r="AK2233" s="149"/>
      <c r="AL2233" s="157"/>
      <c r="AM2233" s="157"/>
      <c r="AN2233" s="157"/>
      <c r="AO2233" s="157"/>
      <c r="AP2233" s="157"/>
      <c r="AQ2233" s="157"/>
      <c r="AR2233" s="157"/>
    </row>
    <row r="2234" spans="1:44" ht="16.8">
      <c r="A2234" s="145">
        <v>132</v>
      </c>
      <c r="B2234" s="145">
        <v>920</v>
      </c>
      <c r="C2234" s="145" t="s">
        <v>4265</v>
      </c>
      <c r="D2234" s="146" t="s">
        <v>4266</v>
      </c>
      <c r="E2234" s="147" t="s">
        <v>178</v>
      </c>
      <c r="F2234" s="148"/>
      <c r="G2234" s="148"/>
      <c r="H2234" s="149"/>
      <c r="I2234" s="149"/>
      <c r="J2234" s="149"/>
      <c r="K2234" s="149"/>
      <c r="L2234" s="149"/>
      <c r="M2234" s="149">
        <f t="shared" si="788"/>
        <v>0</v>
      </c>
      <c r="N2234" s="149"/>
      <c r="O2234" s="149">
        <f t="shared" si="744"/>
        <v>0</v>
      </c>
      <c r="P2234" s="149"/>
      <c r="Q2234" s="149"/>
      <c r="R2234" s="149">
        <f t="shared" si="745"/>
        <v>0</v>
      </c>
      <c r="S2234" s="150" t="e">
        <f t="shared" si="746"/>
        <v>#DIV/0!</v>
      </c>
      <c r="T2234" s="151" t="e">
        <f t="shared" si="747"/>
        <v>#DIV/0!</v>
      </c>
      <c r="U2234" s="150" t="e">
        <f t="shared" si="748"/>
        <v>#NUM!</v>
      </c>
      <c r="V2234" s="150" t="e">
        <f t="shared" si="749"/>
        <v>#DIV/0!</v>
      </c>
      <c r="W2234" s="152"/>
      <c r="X2234" s="152"/>
      <c r="Y2234" s="152"/>
      <c r="Z2234" s="153">
        <f t="shared" si="789"/>
        <v>0</v>
      </c>
      <c r="AA2234" s="148">
        <f t="shared" si="784"/>
        <v>0</v>
      </c>
      <c r="AB2234" s="149"/>
      <c r="AC2234" s="149"/>
      <c r="AD2234" s="150" t="e">
        <f t="shared" si="772"/>
        <v>#DIV/0!</v>
      </c>
      <c r="AE2234" s="154" t="e">
        <f t="shared" si="773"/>
        <v>#DIV/0!</v>
      </c>
      <c r="AF2234" s="150" t="e">
        <f t="shared" si="774"/>
        <v>#DIV/0!</v>
      </c>
      <c r="AG2234" s="150" t="e">
        <f t="shared" si="775"/>
        <v>#DIV/0!</v>
      </c>
      <c r="AH2234" s="155" t="e">
        <f t="shared" si="776"/>
        <v>#DIV/0!</v>
      </c>
      <c r="AI2234" s="156" t="e">
        <f t="shared" si="756"/>
        <v>#DIV/0!</v>
      </c>
      <c r="AJ2234" s="149"/>
      <c r="AK2234" s="149"/>
      <c r="AL2234" s="157"/>
      <c r="AM2234" s="157"/>
      <c r="AN2234" s="157"/>
      <c r="AO2234" s="157"/>
      <c r="AP2234" s="157"/>
      <c r="AQ2234" s="157"/>
      <c r="AR2234" s="157"/>
    </row>
    <row r="2235" spans="1:44" ht="16.8">
      <c r="A2235" s="145">
        <v>133</v>
      </c>
      <c r="B2235" s="145">
        <v>921</v>
      </c>
      <c r="C2235" s="145" t="s">
        <v>4267</v>
      </c>
      <c r="D2235" s="146" t="s">
        <v>4268</v>
      </c>
      <c r="E2235" s="147" t="s">
        <v>178</v>
      </c>
      <c r="F2235" s="148"/>
      <c r="G2235" s="148"/>
      <c r="H2235" s="149"/>
      <c r="I2235" s="149"/>
      <c r="J2235" s="149"/>
      <c r="K2235" s="149"/>
      <c r="L2235" s="149"/>
      <c r="M2235" s="149">
        <f t="shared" si="788"/>
        <v>0</v>
      </c>
      <c r="N2235" s="149"/>
      <c r="O2235" s="149">
        <f t="shared" si="744"/>
        <v>0</v>
      </c>
      <c r="P2235" s="149"/>
      <c r="Q2235" s="149"/>
      <c r="R2235" s="149">
        <f t="shared" si="745"/>
        <v>0</v>
      </c>
      <c r="S2235" s="150" t="e">
        <f t="shared" si="746"/>
        <v>#DIV/0!</v>
      </c>
      <c r="T2235" s="151" t="e">
        <f t="shared" si="747"/>
        <v>#DIV/0!</v>
      </c>
      <c r="U2235" s="150" t="e">
        <f t="shared" si="748"/>
        <v>#NUM!</v>
      </c>
      <c r="V2235" s="150" t="e">
        <f t="shared" si="749"/>
        <v>#DIV/0!</v>
      </c>
      <c r="W2235" s="152"/>
      <c r="X2235" s="152"/>
      <c r="Y2235" s="152"/>
      <c r="Z2235" s="153">
        <f t="shared" si="789"/>
        <v>0</v>
      </c>
      <c r="AA2235" s="148">
        <f t="shared" si="784"/>
        <v>0</v>
      </c>
      <c r="AB2235" s="149"/>
      <c r="AC2235" s="149"/>
      <c r="AD2235" s="150" t="e">
        <f t="shared" si="772"/>
        <v>#DIV/0!</v>
      </c>
      <c r="AE2235" s="154" t="e">
        <f t="shared" si="773"/>
        <v>#DIV/0!</v>
      </c>
      <c r="AF2235" s="150" t="e">
        <f t="shared" si="774"/>
        <v>#DIV/0!</v>
      </c>
      <c r="AG2235" s="150" t="e">
        <f t="shared" si="775"/>
        <v>#DIV/0!</v>
      </c>
      <c r="AH2235" s="155" t="e">
        <f t="shared" si="776"/>
        <v>#DIV/0!</v>
      </c>
      <c r="AI2235" s="156" t="e">
        <f t="shared" si="756"/>
        <v>#DIV/0!</v>
      </c>
      <c r="AJ2235" s="149"/>
      <c r="AK2235" s="149"/>
      <c r="AL2235" s="157"/>
      <c r="AM2235" s="157"/>
      <c r="AN2235" s="157"/>
      <c r="AO2235" s="157"/>
      <c r="AP2235" s="157"/>
      <c r="AQ2235" s="157"/>
      <c r="AR2235" s="157"/>
    </row>
    <row r="2236" spans="1:44" ht="16.8">
      <c r="A2236" s="145">
        <v>134</v>
      </c>
      <c r="B2236" s="145">
        <v>922</v>
      </c>
      <c r="C2236" s="145" t="s">
        <v>4269</v>
      </c>
      <c r="D2236" s="146" t="s">
        <v>4270</v>
      </c>
      <c r="E2236" s="147" t="s">
        <v>1371</v>
      </c>
      <c r="F2236" s="148"/>
      <c r="G2236" s="148"/>
      <c r="H2236" s="149"/>
      <c r="I2236" s="149"/>
      <c r="J2236" s="149"/>
      <c r="K2236" s="149"/>
      <c r="L2236" s="149"/>
      <c r="M2236" s="149">
        <f t="shared" si="788"/>
        <v>0</v>
      </c>
      <c r="N2236" s="149"/>
      <c r="O2236" s="149">
        <f t="shared" si="744"/>
        <v>0</v>
      </c>
      <c r="P2236" s="149"/>
      <c r="Q2236" s="149"/>
      <c r="R2236" s="149">
        <f t="shared" si="745"/>
        <v>0</v>
      </c>
      <c r="S2236" s="150" t="e">
        <f t="shared" si="746"/>
        <v>#DIV/0!</v>
      </c>
      <c r="T2236" s="151" t="e">
        <f t="shared" si="747"/>
        <v>#DIV/0!</v>
      </c>
      <c r="U2236" s="150" t="e">
        <f t="shared" si="748"/>
        <v>#NUM!</v>
      </c>
      <c r="V2236" s="150" t="e">
        <f t="shared" si="749"/>
        <v>#DIV/0!</v>
      </c>
      <c r="W2236" s="152"/>
      <c r="X2236" s="152"/>
      <c r="Y2236" s="152"/>
      <c r="Z2236" s="153">
        <f t="shared" si="789"/>
        <v>0</v>
      </c>
      <c r="AA2236" s="148">
        <f t="shared" si="784"/>
        <v>0</v>
      </c>
      <c r="AB2236" s="149"/>
      <c r="AC2236" s="149"/>
      <c r="AD2236" s="150" t="e">
        <f t="shared" si="772"/>
        <v>#DIV/0!</v>
      </c>
      <c r="AE2236" s="154" t="e">
        <f t="shared" si="773"/>
        <v>#DIV/0!</v>
      </c>
      <c r="AF2236" s="150" t="e">
        <f t="shared" si="774"/>
        <v>#DIV/0!</v>
      </c>
      <c r="AG2236" s="150" t="e">
        <f t="shared" si="775"/>
        <v>#DIV/0!</v>
      </c>
      <c r="AH2236" s="155" t="e">
        <f t="shared" si="776"/>
        <v>#DIV/0!</v>
      </c>
      <c r="AI2236" s="156" t="e">
        <f t="shared" si="756"/>
        <v>#DIV/0!</v>
      </c>
      <c r="AJ2236" s="149"/>
      <c r="AK2236" s="149"/>
      <c r="AL2236" s="157"/>
      <c r="AM2236" s="157"/>
      <c r="AN2236" s="157"/>
      <c r="AO2236" s="157"/>
      <c r="AP2236" s="157"/>
      <c r="AQ2236" s="157"/>
      <c r="AR2236" s="157"/>
    </row>
    <row r="2237" spans="1:44" ht="16.8">
      <c r="A2237" s="145">
        <v>135</v>
      </c>
      <c r="B2237" s="145">
        <v>923</v>
      </c>
      <c r="C2237" s="145" t="s">
        <v>4271</v>
      </c>
      <c r="D2237" s="146" t="s">
        <v>4272</v>
      </c>
      <c r="E2237" s="147" t="s">
        <v>178</v>
      </c>
      <c r="F2237" s="148"/>
      <c r="G2237" s="148"/>
      <c r="H2237" s="149"/>
      <c r="I2237" s="149"/>
      <c r="J2237" s="149"/>
      <c r="K2237" s="149"/>
      <c r="L2237" s="149"/>
      <c r="M2237" s="149">
        <f t="shared" si="788"/>
        <v>0</v>
      </c>
      <c r="N2237" s="149"/>
      <c r="O2237" s="149">
        <f t="shared" si="744"/>
        <v>0</v>
      </c>
      <c r="P2237" s="149"/>
      <c r="Q2237" s="149"/>
      <c r="R2237" s="149">
        <f t="shared" si="745"/>
        <v>0</v>
      </c>
      <c r="S2237" s="150" t="e">
        <f t="shared" si="746"/>
        <v>#DIV/0!</v>
      </c>
      <c r="T2237" s="151" t="e">
        <f t="shared" si="747"/>
        <v>#DIV/0!</v>
      </c>
      <c r="U2237" s="150" t="e">
        <f t="shared" si="748"/>
        <v>#NUM!</v>
      </c>
      <c r="V2237" s="150" t="e">
        <f t="shared" si="749"/>
        <v>#DIV/0!</v>
      </c>
      <c r="W2237" s="152"/>
      <c r="X2237" s="152"/>
      <c r="Y2237" s="152"/>
      <c r="Z2237" s="153">
        <f t="shared" si="789"/>
        <v>0</v>
      </c>
      <c r="AA2237" s="148">
        <f t="shared" si="784"/>
        <v>0</v>
      </c>
      <c r="AB2237" s="149"/>
      <c r="AC2237" s="149"/>
      <c r="AD2237" s="150" t="e">
        <f t="shared" si="772"/>
        <v>#DIV/0!</v>
      </c>
      <c r="AE2237" s="154" t="e">
        <f t="shared" si="773"/>
        <v>#DIV/0!</v>
      </c>
      <c r="AF2237" s="150" t="e">
        <f t="shared" si="774"/>
        <v>#DIV/0!</v>
      </c>
      <c r="AG2237" s="150" t="e">
        <f t="shared" si="775"/>
        <v>#DIV/0!</v>
      </c>
      <c r="AH2237" s="155" t="e">
        <f t="shared" si="776"/>
        <v>#DIV/0!</v>
      </c>
      <c r="AI2237" s="156" t="e">
        <f t="shared" si="756"/>
        <v>#DIV/0!</v>
      </c>
      <c r="AJ2237" s="149"/>
      <c r="AK2237" s="149"/>
      <c r="AL2237" s="157"/>
      <c r="AM2237" s="157"/>
      <c r="AN2237" s="157"/>
      <c r="AO2237" s="157"/>
      <c r="AP2237" s="157"/>
      <c r="AQ2237" s="157"/>
      <c r="AR2237" s="157"/>
    </row>
    <row r="2238" spans="1:44" ht="16.8">
      <c r="A2238" s="145">
        <v>136</v>
      </c>
      <c r="B2238" s="145">
        <v>924</v>
      </c>
      <c r="C2238" s="145" t="s">
        <v>4273</v>
      </c>
      <c r="D2238" s="146" t="s">
        <v>4274</v>
      </c>
      <c r="E2238" s="147" t="s">
        <v>178</v>
      </c>
      <c r="F2238" s="148"/>
      <c r="G2238" s="148"/>
      <c r="H2238" s="149"/>
      <c r="I2238" s="149"/>
      <c r="J2238" s="149"/>
      <c r="K2238" s="149"/>
      <c r="L2238" s="149"/>
      <c r="M2238" s="149">
        <f t="shared" si="788"/>
        <v>0</v>
      </c>
      <c r="N2238" s="149"/>
      <c r="O2238" s="149">
        <f t="shared" si="744"/>
        <v>0</v>
      </c>
      <c r="P2238" s="149"/>
      <c r="Q2238" s="149"/>
      <c r="R2238" s="149">
        <f t="shared" si="745"/>
        <v>0</v>
      </c>
      <c r="S2238" s="150" t="e">
        <f t="shared" si="746"/>
        <v>#DIV/0!</v>
      </c>
      <c r="T2238" s="151" t="e">
        <f t="shared" si="747"/>
        <v>#DIV/0!</v>
      </c>
      <c r="U2238" s="150" t="e">
        <f t="shared" si="748"/>
        <v>#NUM!</v>
      </c>
      <c r="V2238" s="150" t="e">
        <f t="shared" si="749"/>
        <v>#DIV/0!</v>
      </c>
      <c r="W2238" s="152"/>
      <c r="X2238" s="152"/>
      <c r="Y2238" s="152"/>
      <c r="Z2238" s="153">
        <f t="shared" si="789"/>
        <v>0</v>
      </c>
      <c r="AA2238" s="148">
        <f t="shared" si="784"/>
        <v>0</v>
      </c>
      <c r="AB2238" s="149"/>
      <c r="AC2238" s="149"/>
      <c r="AD2238" s="150" t="e">
        <f t="shared" si="772"/>
        <v>#DIV/0!</v>
      </c>
      <c r="AE2238" s="154" t="e">
        <f t="shared" si="773"/>
        <v>#DIV/0!</v>
      </c>
      <c r="AF2238" s="150" t="e">
        <f t="shared" si="774"/>
        <v>#DIV/0!</v>
      </c>
      <c r="AG2238" s="150" t="e">
        <f t="shared" si="775"/>
        <v>#DIV/0!</v>
      </c>
      <c r="AH2238" s="155" t="e">
        <f t="shared" si="776"/>
        <v>#DIV/0!</v>
      </c>
      <c r="AI2238" s="156" t="e">
        <f t="shared" si="756"/>
        <v>#DIV/0!</v>
      </c>
      <c r="AJ2238" s="149"/>
      <c r="AK2238" s="149"/>
      <c r="AL2238" s="157"/>
      <c r="AM2238" s="157"/>
      <c r="AN2238" s="157"/>
      <c r="AO2238" s="157"/>
      <c r="AP2238" s="157"/>
      <c r="AQ2238" s="157"/>
      <c r="AR2238" s="157"/>
    </row>
    <row r="2239" spans="1:44" ht="16.8">
      <c r="A2239" s="145">
        <v>137</v>
      </c>
      <c r="B2239" s="145">
        <v>925</v>
      </c>
      <c r="C2239" s="145" t="s">
        <v>4275</v>
      </c>
      <c r="D2239" s="146" t="s">
        <v>4276</v>
      </c>
      <c r="E2239" s="147" t="s">
        <v>178</v>
      </c>
      <c r="F2239" s="148"/>
      <c r="G2239" s="148"/>
      <c r="H2239" s="149"/>
      <c r="I2239" s="149"/>
      <c r="J2239" s="149"/>
      <c r="K2239" s="149"/>
      <c r="L2239" s="149"/>
      <c r="M2239" s="149">
        <f t="shared" si="788"/>
        <v>0</v>
      </c>
      <c r="N2239" s="149"/>
      <c r="O2239" s="149">
        <f t="shared" si="744"/>
        <v>0</v>
      </c>
      <c r="P2239" s="149"/>
      <c r="Q2239" s="149"/>
      <c r="R2239" s="149">
        <f t="shared" si="745"/>
        <v>0</v>
      </c>
      <c r="S2239" s="150" t="e">
        <f t="shared" si="746"/>
        <v>#DIV/0!</v>
      </c>
      <c r="T2239" s="151" t="e">
        <f t="shared" si="747"/>
        <v>#DIV/0!</v>
      </c>
      <c r="U2239" s="150" t="e">
        <f t="shared" si="748"/>
        <v>#NUM!</v>
      </c>
      <c r="V2239" s="150" t="e">
        <f t="shared" si="749"/>
        <v>#DIV/0!</v>
      </c>
      <c r="W2239" s="152"/>
      <c r="X2239" s="152"/>
      <c r="Y2239" s="152"/>
      <c r="Z2239" s="153">
        <f t="shared" si="789"/>
        <v>0</v>
      </c>
      <c r="AA2239" s="148">
        <f t="shared" si="784"/>
        <v>0</v>
      </c>
      <c r="AB2239" s="149"/>
      <c r="AC2239" s="149"/>
      <c r="AD2239" s="150" t="e">
        <f t="shared" si="772"/>
        <v>#DIV/0!</v>
      </c>
      <c r="AE2239" s="154" t="e">
        <f t="shared" si="773"/>
        <v>#DIV/0!</v>
      </c>
      <c r="AF2239" s="150" t="e">
        <f t="shared" si="774"/>
        <v>#DIV/0!</v>
      </c>
      <c r="AG2239" s="150" t="e">
        <f t="shared" si="775"/>
        <v>#DIV/0!</v>
      </c>
      <c r="AH2239" s="155" t="e">
        <f t="shared" si="776"/>
        <v>#DIV/0!</v>
      </c>
      <c r="AI2239" s="156" t="e">
        <f t="shared" si="756"/>
        <v>#DIV/0!</v>
      </c>
      <c r="AJ2239" s="149"/>
      <c r="AK2239" s="149"/>
      <c r="AL2239" s="157"/>
      <c r="AM2239" s="157"/>
      <c r="AN2239" s="157"/>
      <c r="AO2239" s="157"/>
      <c r="AP2239" s="157"/>
      <c r="AQ2239" s="157"/>
      <c r="AR2239" s="157"/>
    </row>
    <row r="2240" spans="1:44" ht="16.8">
      <c r="A2240" s="145">
        <v>138</v>
      </c>
      <c r="B2240" s="145">
        <v>926</v>
      </c>
      <c r="C2240" s="145" t="s">
        <v>4277</v>
      </c>
      <c r="D2240" s="146" t="s">
        <v>4278</v>
      </c>
      <c r="E2240" s="147" t="s">
        <v>178</v>
      </c>
      <c r="F2240" s="148"/>
      <c r="G2240" s="148"/>
      <c r="H2240" s="149"/>
      <c r="I2240" s="149"/>
      <c r="J2240" s="149"/>
      <c r="K2240" s="149"/>
      <c r="L2240" s="149"/>
      <c r="M2240" s="149">
        <f t="shared" si="788"/>
        <v>0</v>
      </c>
      <c r="N2240" s="149"/>
      <c r="O2240" s="149">
        <f t="shared" si="744"/>
        <v>0</v>
      </c>
      <c r="P2240" s="149"/>
      <c r="Q2240" s="149"/>
      <c r="R2240" s="149">
        <f t="shared" si="745"/>
        <v>0</v>
      </c>
      <c r="S2240" s="150" t="e">
        <f t="shared" si="746"/>
        <v>#DIV/0!</v>
      </c>
      <c r="T2240" s="151" t="e">
        <f t="shared" si="747"/>
        <v>#DIV/0!</v>
      </c>
      <c r="U2240" s="150" t="e">
        <f t="shared" si="748"/>
        <v>#NUM!</v>
      </c>
      <c r="V2240" s="150" t="e">
        <f t="shared" si="749"/>
        <v>#DIV/0!</v>
      </c>
      <c r="W2240" s="152"/>
      <c r="X2240" s="152"/>
      <c r="Y2240" s="152"/>
      <c r="Z2240" s="153">
        <f t="shared" si="789"/>
        <v>0</v>
      </c>
      <c r="AA2240" s="148">
        <f t="shared" si="784"/>
        <v>0</v>
      </c>
      <c r="AB2240" s="149"/>
      <c r="AC2240" s="149"/>
      <c r="AD2240" s="150" t="e">
        <f t="shared" si="772"/>
        <v>#DIV/0!</v>
      </c>
      <c r="AE2240" s="154" t="e">
        <f t="shared" si="773"/>
        <v>#DIV/0!</v>
      </c>
      <c r="AF2240" s="150" t="e">
        <f t="shared" si="774"/>
        <v>#DIV/0!</v>
      </c>
      <c r="AG2240" s="150" t="e">
        <f t="shared" si="775"/>
        <v>#DIV/0!</v>
      </c>
      <c r="AH2240" s="155" t="e">
        <f t="shared" si="776"/>
        <v>#DIV/0!</v>
      </c>
      <c r="AI2240" s="156" t="e">
        <f t="shared" si="756"/>
        <v>#DIV/0!</v>
      </c>
      <c r="AJ2240" s="149"/>
      <c r="AK2240" s="149"/>
      <c r="AL2240" s="157"/>
      <c r="AM2240" s="157"/>
      <c r="AN2240" s="157"/>
      <c r="AO2240" s="157"/>
      <c r="AP2240" s="157"/>
      <c r="AQ2240" s="157"/>
      <c r="AR2240" s="157"/>
    </row>
    <row r="2241" spans="1:44" ht="16.8">
      <c r="A2241" s="18"/>
      <c r="B2241" s="18">
        <v>927</v>
      </c>
      <c r="C2241" s="18" t="s">
        <v>4279</v>
      </c>
      <c r="D2241" s="19" t="s">
        <v>4280</v>
      </c>
      <c r="E2241" s="20" t="s">
        <v>39</v>
      </c>
      <c r="F2241" s="21"/>
      <c r="G2241" s="40">
        <v>2021</v>
      </c>
      <c r="H2241" s="23"/>
      <c r="I2241" s="23"/>
      <c r="J2241" s="23"/>
      <c r="K2241" s="23"/>
      <c r="L2241" s="23"/>
      <c r="M2241" s="23">
        <f t="shared" si="788"/>
        <v>0</v>
      </c>
      <c r="N2241" s="23"/>
      <c r="O2241" s="25">
        <f t="shared" si="744"/>
        <v>0</v>
      </c>
      <c r="P2241" s="23"/>
      <c r="Q2241" s="23"/>
      <c r="R2241" s="25">
        <f t="shared" si="745"/>
        <v>0</v>
      </c>
      <c r="S2241" s="26" t="e">
        <f t="shared" si="746"/>
        <v>#DIV/0!</v>
      </c>
      <c r="T2241" s="27" t="e">
        <f t="shared" si="747"/>
        <v>#DIV/0!</v>
      </c>
      <c r="U2241" s="26" t="e">
        <f t="shared" si="748"/>
        <v>#NUM!</v>
      </c>
      <c r="V2241" s="26" t="e">
        <f t="shared" si="749"/>
        <v>#DIV/0!</v>
      </c>
      <c r="W2241" s="143"/>
      <c r="X2241" s="143"/>
      <c r="Y2241" s="143"/>
      <c r="Z2241" s="30">
        <f t="shared" si="789"/>
        <v>0</v>
      </c>
      <c r="AA2241" s="31">
        <f t="shared" si="784"/>
        <v>2021</v>
      </c>
      <c r="AB2241" s="32">
        <v>1.84E-2</v>
      </c>
      <c r="AC2241" s="32">
        <v>2.58E-2</v>
      </c>
      <c r="AD2241" s="33" t="e">
        <f t="shared" si="772"/>
        <v>#DIV/0!</v>
      </c>
      <c r="AE2241" s="34" t="e">
        <f t="shared" si="773"/>
        <v>#DIV/0!</v>
      </c>
      <c r="AF2241" s="33" t="e">
        <f t="shared" si="774"/>
        <v>#DIV/0!</v>
      </c>
      <c r="AG2241" s="33" t="e">
        <f t="shared" si="775"/>
        <v>#DIV/0!</v>
      </c>
      <c r="AH2241" s="35" t="e">
        <f t="shared" si="776"/>
        <v>#DIV/0!</v>
      </c>
      <c r="AI2241" s="36" t="e">
        <f t="shared" si="756"/>
        <v>#DIV/0!</v>
      </c>
      <c r="AJ2241" s="23"/>
      <c r="AK2241" s="120">
        <v>1246</v>
      </c>
      <c r="AL2241" s="44"/>
      <c r="AM2241" s="44"/>
      <c r="AN2241" s="44"/>
      <c r="AO2241" s="44"/>
      <c r="AP2241" s="44"/>
      <c r="AQ2241" s="44"/>
      <c r="AR2241" s="44"/>
    </row>
    <row r="2242" spans="1:44" ht="16.8">
      <c r="A2242" s="18"/>
      <c r="B2242" s="18"/>
      <c r="C2242" s="18"/>
      <c r="D2242" s="19"/>
      <c r="E2242" s="20" t="s">
        <v>39</v>
      </c>
      <c r="F2242" s="21"/>
      <c r="G2242" s="40">
        <v>2022</v>
      </c>
      <c r="H2242" s="23"/>
      <c r="I2242" s="23"/>
      <c r="J2242" s="23"/>
      <c r="K2242" s="23"/>
      <c r="L2242" s="23"/>
      <c r="M2242" s="23"/>
      <c r="N2242" s="23"/>
      <c r="O2242" s="25">
        <f t="shared" si="744"/>
        <v>0</v>
      </c>
      <c r="P2242" s="23"/>
      <c r="Q2242" s="23"/>
      <c r="R2242" s="25">
        <f t="shared" si="745"/>
        <v>0</v>
      </c>
      <c r="S2242" s="26" t="e">
        <f t="shared" si="746"/>
        <v>#DIV/0!</v>
      </c>
      <c r="T2242" s="27" t="e">
        <f t="shared" si="747"/>
        <v>#DIV/0!</v>
      </c>
      <c r="U2242" s="26" t="e">
        <f t="shared" si="748"/>
        <v>#NUM!</v>
      </c>
      <c r="V2242" s="26" t="e">
        <f t="shared" si="749"/>
        <v>#DIV/0!</v>
      </c>
      <c r="W2242" s="143"/>
      <c r="X2242" s="143"/>
      <c r="Y2242" s="143"/>
      <c r="Z2242" s="30"/>
      <c r="AA2242" s="31">
        <f t="shared" si="784"/>
        <v>2022</v>
      </c>
      <c r="AB2242" s="32">
        <v>3.15E-2</v>
      </c>
      <c r="AC2242" s="32">
        <v>8.0199999999999994E-2</v>
      </c>
      <c r="AD2242" s="33" t="e">
        <f t="shared" si="772"/>
        <v>#DIV/0!</v>
      </c>
      <c r="AE2242" s="34" t="e">
        <f t="shared" si="773"/>
        <v>#DIV/0!</v>
      </c>
      <c r="AF2242" s="33" t="e">
        <f t="shared" si="774"/>
        <v>#DIV/0!</v>
      </c>
      <c r="AG2242" s="33" t="e">
        <f t="shared" si="775"/>
        <v>#DIV/0!</v>
      </c>
      <c r="AH2242" s="35" t="e">
        <f t="shared" si="776"/>
        <v>#DIV/0!</v>
      </c>
      <c r="AI2242" s="36" t="e">
        <f t="shared" si="756"/>
        <v>#DIV/0!</v>
      </c>
      <c r="AJ2242" s="23"/>
      <c r="AK2242" s="120">
        <v>1247</v>
      </c>
      <c r="AL2242" s="44"/>
      <c r="AM2242" s="44"/>
      <c r="AN2242" s="44"/>
      <c r="AO2242" s="44"/>
      <c r="AP2242" s="44"/>
      <c r="AQ2242" s="44"/>
      <c r="AR2242" s="44"/>
    </row>
    <row r="2243" spans="1:44" ht="16.8">
      <c r="A2243" s="18"/>
      <c r="B2243" s="18"/>
      <c r="C2243" s="18"/>
      <c r="D2243" s="19"/>
      <c r="E2243" s="20" t="s">
        <v>39</v>
      </c>
      <c r="F2243" s="21"/>
      <c r="G2243" s="40">
        <v>2023</v>
      </c>
      <c r="H2243" s="23"/>
      <c r="I2243" s="23"/>
      <c r="J2243" s="23"/>
      <c r="K2243" s="23"/>
      <c r="L2243" s="23"/>
      <c r="M2243" s="23"/>
      <c r="N2243" s="23"/>
      <c r="O2243" s="25">
        <f t="shared" si="744"/>
        <v>0</v>
      </c>
      <c r="P2243" s="23"/>
      <c r="Q2243" s="23"/>
      <c r="R2243" s="25">
        <f t="shared" si="745"/>
        <v>0</v>
      </c>
      <c r="S2243" s="26" t="e">
        <f t="shared" si="746"/>
        <v>#DIV/0!</v>
      </c>
      <c r="T2243" s="27" t="e">
        <f t="shared" si="747"/>
        <v>#DIV/0!</v>
      </c>
      <c r="U2243" s="26" t="e">
        <f t="shared" si="748"/>
        <v>#NUM!</v>
      </c>
      <c r="V2243" s="26" t="e">
        <f t="shared" si="749"/>
        <v>#DIV/0!</v>
      </c>
      <c r="W2243" s="143"/>
      <c r="X2243" s="143"/>
      <c r="Y2243" s="143"/>
      <c r="Z2243" s="30"/>
      <c r="AA2243" s="31">
        <f t="shared" si="784"/>
        <v>2023</v>
      </c>
      <c r="AB2243" s="32">
        <v>3.2500000000000001E-2</v>
      </c>
      <c r="AC2243" s="32">
        <v>5.0500000000000003E-2</v>
      </c>
      <c r="AD2243" s="33" t="e">
        <f t="shared" si="772"/>
        <v>#DIV/0!</v>
      </c>
      <c r="AE2243" s="34" t="e">
        <f t="shared" si="773"/>
        <v>#DIV/0!</v>
      </c>
      <c r="AF2243" s="33" t="e">
        <f t="shared" si="774"/>
        <v>#DIV/0!</v>
      </c>
      <c r="AG2243" s="33" t="e">
        <f t="shared" si="775"/>
        <v>#DIV/0!</v>
      </c>
      <c r="AH2243" s="35" t="e">
        <f t="shared" si="776"/>
        <v>#DIV/0!</v>
      </c>
      <c r="AI2243" s="36" t="e">
        <f t="shared" si="756"/>
        <v>#DIV/0!</v>
      </c>
      <c r="AJ2243" s="23"/>
      <c r="AK2243" s="120">
        <v>1248</v>
      </c>
      <c r="AL2243" s="44"/>
      <c r="AM2243" s="44"/>
      <c r="AN2243" s="44"/>
      <c r="AO2243" s="44"/>
      <c r="AP2243" s="44"/>
      <c r="AQ2243" s="44"/>
      <c r="AR2243" s="44"/>
    </row>
    <row r="2244" spans="1:44" ht="16.8">
      <c r="A2244" s="145">
        <v>140</v>
      </c>
      <c r="B2244" s="145">
        <v>928</v>
      </c>
      <c r="C2244" s="145" t="s">
        <v>4281</v>
      </c>
      <c r="D2244" s="146" t="s">
        <v>4282</v>
      </c>
      <c r="E2244" s="147" t="s">
        <v>178</v>
      </c>
      <c r="F2244" s="148"/>
      <c r="G2244" s="148"/>
      <c r="H2244" s="149"/>
      <c r="I2244" s="149"/>
      <c r="J2244" s="149"/>
      <c r="K2244" s="149"/>
      <c r="L2244" s="149"/>
      <c r="M2244" s="149">
        <f t="shared" ref="M2244:M2498" si="790">I2244-J2244</f>
        <v>0</v>
      </c>
      <c r="N2244" s="149"/>
      <c r="O2244" s="149">
        <f t="shared" si="744"/>
        <v>0</v>
      </c>
      <c r="P2244" s="149"/>
      <c r="Q2244" s="149"/>
      <c r="R2244" s="149">
        <f t="shared" si="745"/>
        <v>0</v>
      </c>
      <c r="S2244" s="150" t="e">
        <f t="shared" si="746"/>
        <v>#DIV/0!</v>
      </c>
      <c r="T2244" s="151" t="e">
        <f t="shared" si="747"/>
        <v>#DIV/0!</v>
      </c>
      <c r="U2244" s="150" t="e">
        <f t="shared" si="748"/>
        <v>#NUM!</v>
      </c>
      <c r="V2244" s="150" t="e">
        <f t="shared" si="749"/>
        <v>#DIV/0!</v>
      </c>
      <c r="W2244" s="152"/>
      <c r="X2244" s="152"/>
      <c r="Y2244" s="152"/>
      <c r="Z2244" s="153">
        <f>W2244*Y2244</f>
        <v>0</v>
      </c>
      <c r="AA2244" s="148">
        <f t="shared" si="784"/>
        <v>0</v>
      </c>
      <c r="AB2244" s="149"/>
      <c r="AC2244" s="149"/>
      <c r="AD2244" s="150" t="e">
        <f t="shared" si="772"/>
        <v>#DIV/0!</v>
      </c>
      <c r="AE2244" s="154" t="e">
        <f t="shared" si="773"/>
        <v>#DIV/0!</v>
      </c>
      <c r="AF2244" s="150" t="e">
        <f t="shared" si="774"/>
        <v>#DIV/0!</v>
      </c>
      <c r="AG2244" s="150" t="e">
        <f t="shared" si="775"/>
        <v>#DIV/0!</v>
      </c>
      <c r="AH2244" s="155" t="e">
        <f t="shared" si="776"/>
        <v>#DIV/0!</v>
      </c>
      <c r="AI2244" s="156" t="e">
        <f t="shared" si="756"/>
        <v>#DIV/0!</v>
      </c>
      <c r="AJ2244" s="149"/>
      <c r="AK2244" s="149"/>
      <c r="AL2244" s="157"/>
      <c r="AM2244" s="157"/>
      <c r="AN2244" s="157"/>
      <c r="AO2244" s="157"/>
      <c r="AP2244" s="157"/>
      <c r="AQ2244" s="157"/>
      <c r="AR2244" s="157"/>
    </row>
    <row r="2245" spans="1:44" ht="16.8">
      <c r="A2245" s="17" t="s">
        <v>4283</v>
      </c>
      <c r="B2245" s="18">
        <v>929</v>
      </c>
      <c r="C2245" s="18" t="s">
        <v>4284</v>
      </c>
      <c r="D2245" s="19" t="s">
        <v>4285</v>
      </c>
      <c r="E2245" s="20" t="s">
        <v>414</v>
      </c>
      <c r="F2245" s="21">
        <v>1995</v>
      </c>
      <c r="G2245" s="40">
        <v>2021</v>
      </c>
      <c r="H2245" s="23">
        <v>29803333350042</v>
      </c>
      <c r="I2245" s="23">
        <v>61189346991646</v>
      </c>
      <c r="J2245" s="23">
        <v>40691545386910</v>
      </c>
      <c r="K2245" s="23">
        <f>(J2245+18936906032823)/2</f>
        <v>29814225709866.5</v>
      </c>
      <c r="L2245" s="23">
        <v>22974454819014</v>
      </c>
      <c r="M2245" s="23">
        <f t="shared" si="790"/>
        <v>20497801604736</v>
      </c>
      <c r="N2245" s="23">
        <v>28762798502282</v>
      </c>
      <c r="O2245" s="25">
        <f t="shared" si="744"/>
        <v>6828878531028</v>
      </c>
      <c r="P2245" s="23">
        <v>1666359302064</v>
      </c>
      <c r="Q2245" s="23">
        <f>887044001805+1289304525228</f>
        <v>2176348527033</v>
      </c>
      <c r="R2245" s="25">
        <f t="shared" si="745"/>
        <v>26586449975249</v>
      </c>
      <c r="S2245" s="26">
        <f t="shared" si="746"/>
        <v>0.66501028998504419</v>
      </c>
      <c r="T2245" s="27">
        <f t="shared" si="747"/>
        <v>1.2972378924690007</v>
      </c>
      <c r="U2245" s="26">
        <f t="shared" si="748"/>
        <v>31.744994221531147</v>
      </c>
      <c r="V2245" s="26">
        <f t="shared" si="749"/>
        <v>0.9647340428084118</v>
      </c>
      <c r="W2245" s="143"/>
      <c r="X2245" s="143"/>
      <c r="Y2245" s="143"/>
      <c r="Z2245" s="30">
        <f t="shared" ref="Z2245:Z2247" si="791">X2245*Y2245</f>
        <v>0</v>
      </c>
      <c r="AA2245" s="31">
        <f t="shared" si="784"/>
        <v>26</v>
      </c>
      <c r="AB2245" s="32">
        <v>1.84E-2</v>
      </c>
      <c r="AC2245" s="32">
        <v>2.58E-2</v>
      </c>
      <c r="AD2245" s="33">
        <f t="shared" si="772"/>
        <v>0.11160240902653082</v>
      </c>
      <c r="AE2245" s="34">
        <f t="shared" si="773"/>
        <v>2.7232833556656569E-2</v>
      </c>
      <c r="AF2245" s="33">
        <f t="shared" si="774"/>
        <v>0.43449474920656972</v>
      </c>
      <c r="AG2245" s="33">
        <f t="shared" si="775"/>
        <v>0</v>
      </c>
      <c r="AH2245" s="35">
        <f t="shared" si="776"/>
        <v>0.70684949978662304</v>
      </c>
      <c r="AI2245" s="36">
        <f t="shared" si="756"/>
        <v>2.3127310299794592</v>
      </c>
      <c r="AJ2245" s="23"/>
      <c r="AK2245" s="120">
        <v>1249</v>
      </c>
      <c r="AL2245" s="44"/>
      <c r="AM2245" s="44"/>
      <c r="AN2245" s="44"/>
      <c r="AO2245" s="44"/>
      <c r="AP2245" s="44"/>
      <c r="AQ2245" s="44"/>
      <c r="AR2245" s="44"/>
    </row>
    <row r="2246" spans="1:44" ht="16.8">
      <c r="A2246" s="17" t="s">
        <v>4286</v>
      </c>
      <c r="B2246" s="18"/>
      <c r="C2246" s="18" t="s">
        <v>4284</v>
      </c>
      <c r="D2246" s="19" t="s">
        <v>4285</v>
      </c>
      <c r="E2246" s="20" t="s">
        <v>414</v>
      </c>
      <c r="F2246" s="21">
        <v>1995</v>
      </c>
      <c r="G2246" s="40">
        <v>2022</v>
      </c>
      <c r="H2246" s="23">
        <v>19800289125653</v>
      </c>
      <c r="I2246" s="23">
        <v>52384834524135</v>
      </c>
      <c r="J2246" s="23">
        <v>31341456664406</v>
      </c>
      <c r="K2246" s="23">
        <f t="shared" ref="K2246:K2247" si="792">(J2246+J2245)/2</f>
        <v>36016501025658</v>
      </c>
      <c r="L2246" s="23">
        <v>17276008893499</v>
      </c>
      <c r="M2246" s="23">
        <f t="shared" si="790"/>
        <v>21043377859729</v>
      </c>
      <c r="N2246" s="23">
        <v>32262726561846</v>
      </c>
      <c r="O2246" s="25">
        <f t="shared" si="744"/>
        <v>2524280232154</v>
      </c>
      <c r="P2246" s="23">
        <v>1531756801098</v>
      </c>
      <c r="Q2246" s="23">
        <f>1289959042165+166812641326</f>
        <v>1456771683491</v>
      </c>
      <c r="R2246" s="25">
        <f t="shared" si="745"/>
        <v>30805954878355</v>
      </c>
      <c r="S2246" s="26">
        <f t="shared" si="746"/>
        <v>0.59829255831601813</v>
      </c>
      <c r="T2246" s="27">
        <f t="shared" si="747"/>
        <v>1.1461147796181033</v>
      </c>
      <c r="U2246" s="26">
        <f t="shared" si="748"/>
        <v>31.589638247887883</v>
      </c>
      <c r="V2246" s="26">
        <f t="shared" si="749"/>
        <v>0.89577625930020721</v>
      </c>
      <c r="W2246" s="143"/>
      <c r="X2246" s="143"/>
      <c r="Y2246" s="143"/>
      <c r="Z2246" s="30">
        <f t="shared" si="791"/>
        <v>0</v>
      </c>
      <c r="AA2246" s="31">
        <f t="shared" si="784"/>
        <v>27</v>
      </c>
      <c r="AB2246" s="32">
        <v>3.15E-2</v>
      </c>
      <c r="AC2246" s="32">
        <v>8.0199999999999994E-2</v>
      </c>
      <c r="AD2246" s="33">
        <f t="shared" si="772"/>
        <v>4.8187233100660101E-2</v>
      </c>
      <c r="AE2246" s="34">
        <f t="shared" si="773"/>
        <v>2.9240462721940669E-2</v>
      </c>
      <c r="AF2246" s="33">
        <f t="shared" si="774"/>
        <v>0.58807010002411919</v>
      </c>
      <c r="AG2246" s="33">
        <f t="shared" si="775"/>
        <v>0</v>
      </c>
      <c r="AH2246" s="35">
        <f t="shared" si="776"/>
        <v>1.0293946100624696</v>
      </c>
      <c r="AI2246" s="36">
        <f t="shared" si="756"/>
        <v>3.0687872676735717</v>
      </c>
      <c r="AJ2246" s="23"/>
      <c r="AK2246" s="120">
        <v>1250</v>
      </c>
      <c r="AL2246" s="44"/>
      <c r="AM2246" s="44"/>
      <c r="AN2246" s="44"/>
      <c r="AO2246" s="44"/>
      <c r="AP2246" s="44"/>
      <c r="AQ2246" s="44"/>
      <c r="AR2246" s="44"/>
    </row>
    <row r="2247" spans="1:44" ht="16.8">
      <c r="A2247" s="17" t="s">
        <v>4287</v>
      </c>
      <c r="B2247" s="18"/>
      <c r="C2247" s="18" t="s">
        <v>4284</v>
      </c>
      <c r="D2247" s="19" t="s">
        <v>4285</v>
      </c>
      <c r="E2247" s="20" t="s">
        <v>414</v>
      </c>
      <c r="F2247" s="21">
        <v>1995</v>
      </c>
      <c r="G2247" s="40">
        <v>2023</v>
      </c>
      <c r="H2247" s="23">
        <v>20299049443139</v>
      </c>
      <c r="I2247" s="23">
        <v>55076875644451</v>
      </c>
      <c r="J2247" s="23">
        <v>33853117241346</v>
      </c>
      <c r="K2247" s="23">
        <f t="shared" si="792"/>
        <v>32597286952876</v>
      </c>
      <c r="L2247" s="23">
        <v>18590964345781</v>
      </c>
      <c r="M2247" s="23">
        <f t="shared" si="790"/>
        <v>21223758403105</v>
      </c>
      <c r="N2247" s="23">
        <v>30296407854092</v>
      </c>
      <c r="O2247" s="25">
        <f t="shared" si="744"/>
        <v>1708085097358</v>
      </c>
      <c r="P2247" s="23">
        <v>863884246392</v>
      </c>
      <c r="Q2247" s="23">
        <f>1140667296329+1574517688723</f>
        <v>2715184985052</v>
      </c>
      <c r="R2247" s="25">
        <f t="shared" si="745"/>
        <v>27581222869040</v>
      </c>
      <c r="S2247" s="26">
        <f t="shared" si="746"/>
        <v>0.61465209936534781</v>
      </c>
      <c r="T2247" s="27">
        <f t="shared" si="747"/>
        <v>1.0918771649274681</v>
      </c>
      <c r="U2247" s="26">
        <f t="shared" si="748"/>
        <v>31.639751064223184</v>
      </c>
      <c r="V2247" s="26">
        <f t="shared" si="749"/>
        <v>0.92941501229503398</v>
      </c>
      <c r="W2247" s="143"/>
      <c r="X2247" s="143"/>
      <c r="Y2247" s="143"/>
      <c r="Z2247" s="30">
        <f t="shared" si="791"/>
        <v>0</v>
      </c>
      <c r="AA2247" s="31">
        <f t="shared" si="784"/>
        <v>28</v>
      </c>
      <c r="AB2247" s="32">
        <v>3.2500000000000001E-2</v>
      </c>
      <c r="AC2247" s="32">
        <v>5.0500000000000003E-2</v>
      </c>
      <c r="AD2247" s="33">
        <f t="shared" si="772"/>
        <v>3.1012744956423283E-2</v>
      </c>
      <c r="AE2247" s="34">
        <f t="shared" si="773"/>
        <v>1.568506267437551E-2</v>
      </c>
      <c r="AF2247" s="33">
        <f t="shared" si="774"/>
        <v>0.50077682414468638</v>
      </c>
      <c r="AG2247" s="33">
        <f t="shared" si="775"/>
        <v>0</v>
      </c>
      <c r="AH2247" s="35">
        <f t="shared" si="776"/>
        <v>0.89493701977583129</v>
      </c>
      <c r="AI2247" s="36">
        <f t="shared" si="756"/>
        <v>2.6066749211451299</v>
      </c>
      <c r="AJ2247" s="23"/>
      <c r="AK2247" s="120">
        <v>1251</v>
      </c>
      <c r="AL2247" s="44"/>
      <c r="AM2247" s="44"/>
      <c r="AN2247" s="44"/>
      <c r="AO2247" s="44"/>
      <c r="AP2247" s="44"/>
      <c r="AQ2247" s="44"/>
      <c r="AR2247" s="44"/>
    </row>
    <row r="2248" spans="1:44" ht="16.8">
      <c r="A2248" s="145">
        <v>142</v>
      </c>
      <c r="B2248" s="145">
        <v>930</v>
      </c>
      <c r="C2248" s="145" t="s">
        <v>4288</v>
      </c>
      <c r="D2248" s="146" t="s">
        <v>4289</v>
      </c>
      <c r="E2248" s="147" t="s">
        <v>178</v>
      </c>
      <c r="F2248" s="148"/>
      <c r="G2248" s="148"/>
      <c r="H2248" s="149"/>
      <c r="I2248" s="149"/>
      <c r="J2248" s="149"/>
      <c r="K2248" s="149"/>
      <c r="L2248" s="149"/>
      <c r="M2248" s="149">
        <f t="shared" si="790"/>
        <v>0</v>
      </c>
      <c r="N2248" s="149"/>
      <c r="O2248" s="149">
        <f t="shared" si="744"/>
        <v>0</v>
      </c>
      <c r="P2248" s="149"/>
      <c r="Q2248" s="149"/>
      <c r="R2248" s="149">
        <f t="shared" si="745"/>
        <v>0</v>
      </c>
      <c r="S2248" s="150" t="e">
        <f t="shared" si="746"/>
        <v>#DIV/0!</v>
      </c>
      <c r="T2248" s="151" t="e">
        <f t="shared" si="747"/>
        <v>#DIV/0!</v>
      </c>
      <c r="U2248" s="150" t="e">
        <f t="shared" si="748"/>
        <v>#NUM!</v>
      </c>
      <c r="V2248" s="150" t="e">
        <f t="shared" si="749"/>
        <v>#DIV/0!</v>
      </c>
      <c r="W2248" s="152"/>
      <c r="X2248" s="152"/>
      <c r="Y2248" s="152"/>
      <c r="Z2248" s="153">
        <f t="shared" ref="Z2248:Z2276" si="793">W2248*Y2248</f>
        <v>0</v>
      </c>
      <c r="AA2248" s="148">
        <f t="shared" si="784"/>
        <v>0</v>
      </c>
      <c r="AB2248" s="149"/>
      <c r="AC2248" s="149"/>
      <c r="AD2248" s="150" t="e">
        <f t="shared" si="772"/>
        <v>#DIV/0!</v>
      </c>
      <c r="AE2248" s="154" t="e">
        <f t="shared" si="773"/>
        <v>#DIV/0!</v>
      </c>
      <c r="AF2248" s="150" t="e">
        <f t="shared" si="774"/>
        <v>#DIV/0!</v>
      </c>
      <c r="AG2248" s="150" t="e">
        <f t="shared" si="775"/>
        <v>#DIV/0!</v>
      </c>
      <c r="AH2248" s="155" t="e">
        <f t="shared" si="776"/>
        <v>#DIV/0!</v>
      </c>
      <c r="AI2248" s="156" t="e">
        <f t="shared" si="756"/>
        <v>#DIV/0!</v>
      </c>
      <c r="AJ2248" s="149"/>
      <c r="AK2248" s="149"/>
      <c r="AL2248" s="157"/>
      <c r="AM2248" s="157"/>
      <c r="AN2248" s="157"/>
      <c r="AO2248" s="157"/>
      <c r="AP2248" s="157"/>
      <c r="AQ2248" s="157"/>
      <c r="AR2248" s="157"/>
    </row>
    <row r="2249" spans="1:44" ht="16.8">
      <c r="A2249" s="145">
        <v>143</v>
      </c>
      <c r="B2249" s="145">
        <v>931</v>
      </c>
      <c r="C2249" s="145" t="s">
        <v>4290</v>
      </c>
      <c r="D2249" s="146" t="s">
        <v>4291</v>
      </c>
      <c r="E2249" s="147" t="s">
        <v>1371</v>
      </c>
      <c r="F2249" s="148"/>
      <c r="G2249" s="148"/>
      <c r="H2249" s="149"/>
      <c r="I2249" s="149"/>
      <c r="J2249" s="149"/>
      <c r="K2249" s="149"/>
      <c r="L2249" s="149"/>
      <c r="M2249" s="149">
        <f t="shared" si="790"/>
        <v>0</v>
      </c>
      <c r="N2249" s="149"/>
      <c r="O2249" s="149">
        <f t="shared" si="744"/>
        <v>0</v>
      </c>
      <c r="P2249" s="149"/>
      <c r="Q2249" s="149"/>
      <c r="R2249" s="149">
        <f t="shared" si="745"/>
        <v>0</v>
      </c>
      <c r="S2249" s="150" t="e">
        <f t="shared" si="746"/>
        <v>#DIV/0!</v>
      </c>
      <c r="T2249" s="151" t="e">
        <f t="shared" si="747"/>
        <v>#DIV/0!</v>
      </c>
      <c r="U2249" s="150" t="e">
        <f t="shared" si="748"/>
        <v>#NUM!</v>
      </c>
      <c r="V2249" s="150" t="e">
        <f t="shared" si="749"/>
        <v>#DIV/0!</v>
      </c>
      <c r="W2249" s="152"/>
      <c r="X2249" s="152"/>
      <c r="Y2249" s="152"/>
      <c r="Z2249" s="153">
        <f t="shared" si="793"/>
        <v>0</v>
      </c>
      <c r="AA2249" s="148">
        <f t="shared" si="784"/>
        <v>0</v>
      </c>
      <c r="AB2249" s="149"/>
      <c r="AC2249" s="149"/>
      <c r="AD2249" s="150" t="e">
        <f t="shared" si="772"/>
        <v>#DIV/0!</v>
      </c>
      <c r="AE2249" s="154" t="e">
        <f t="shared" si="773"/>
        <v>#DIV/0!</v>
      </c>
      <c r="AF2249" s="150" t="e">
        <f t="shared" si="774"/>
        <v>#DIV/0!</v>
      </c>
      <c r="AG2249" s="150" t="e">
        <f t="shared" si="775"/>
        <v>#DIV/0!</v>
      </c>
      <c r="AH2249" s="155" t="e">
        <f t="shared" si="776"/>
        <v>#DIV/0!</v>
      </c>
      <c r="AI2249" s="156" t="e">
        <f t="shared" si="756"/>
        <v>#DIV/0!</v>
      </c>
      <c r="AJ2249" s="149"/>
      <c r="AK2249" s="149"/>
      <c r="AL2249" s="157"/>
      <c r="AM2249" s="157"/>
      <c r="AN2249" s="157"/>
      <c r="AO2249" s="157"/>
      <c r="AP2249" s="157"/>
      <c r="AQ2249" s="157"/>
      <c r="AR2249" s="157"/>
    </row>
    <row r="2250" spans="1:44" ht="16.8">
      <c r="A2250" s="145">
        <v>144</v>
      </c>
      <c r="B2250" s="145">
        <v>932</v>
      </c>
      <c r="C2250" s="145" t="s">
        <v>4292</v>
      </c>
      <c r="D2250" s="146" t="s">
        <v>4293</v>
      </c>
      <c r="E2250" s="147" t="s">
        <v>178</v>
      </c>
      <c r="F2250" s="148"/>
      <c r="G2250" s="148"/>
      <c r="H2250" s="149"/>
      <c r="I2250" s="149"/>
      <c r="J2250" s="149"/>
      <c r="K2250" s="149"/>
      <c r="L2250" s="149"/>
      <c r="M2250" s="149">
        <f t="shared" si="790"/>
        <v>0</v>
      </c>
      <c r="N2250" s="149"/>
      <c r="O2250" s="149">
        <f t="shared" si="744"/>
        <v>0</v>
      </c>
      <c r="P2250" s="149"/>
      <c r="Q2250" s="149"/>
      <c r="R2250" s="149">
        <f t="shared" si="745"/>
        <v>0</v>
      </c>
      <c r="S2250" s="150" t="e">
        <f t="shared" si="746"/>
        <v>#DIV/0!</v>
      </c>
      <c r="T2250" s="151" t="e">
        <f t="shared" si="747"/>
        <v>#DIV/0!</v>
      </c>
      <c r="U2250" s="150" t="e">
        <f t="shared" si="748"/>
        <v>#NUM!</v>
      </c>
      <c r="V2250" s="150" t="e">
        <f t="shared" si="749"/>
        <v>#DIV/0!</v>
      </c>
      <c r="W2250" s="152"/>
      <c r="X2250" s="152"/>
      <c r="Y2250" s="152"/>
      <c r="Z2250" s="153">
        <f t="shared" si="793"/>
        <v>0</v>
      </c>
      <c r="AA2250" s="148">
        <f t="shared" si="784"/>
        <v>0</v>
      </c>
      <c r="AB2250" s="149"/>
      <c r="AC2250" s="149"/>
      <c r="AD2250" s="150" t="e">
        <f t="shared" si="772"/>
        <v>#DIV/0!</v>
      </c>
      <c r="AE2250" s="154" t="e">
        <f t="shared" si="773"/>
        <v>#DIV/0!</v>
      </c>
      <c r="AF2250" s="150" t="e">
        <f t="shared" si="774"/>
        <v>#DIV/0!</v>
      </c>
      <c r="AG2250" s="150" t="e">
        <f t="shared" si="775"/>
        <v>#DIV/0!</v>
      </c>
      <c r="AH2250" s="155" t="e">
        <f t="shared" si="776"/>
        <v>#DIV/0!</v>
      </c>
      <c r="AI2250" s="156" t="e">
        <f t="shared" si="756"/>
        <v>#DIV/0!</v>
      </c>
      <c r="AJ2250" s="149"/>
      <c r="AK2250" s="149"/>
      <c r="AL2250" s="157"/>
      <c r="AM2250" s="157"/>
      <c r="AN2250" s="157"/>
      <c r="AO2250" s="157"/>
      <c r="AP2250" s="157"/>
      <c r="AQ2250" s="157"/>
      <c r="AR2250" s="157"/>
    </row>
    <row r="2251" spans="1:44" ht="16.8">
      <c r="A2251" s="145">
        <v>145</v>
      </c>
      <c r="B2251" s="145">
        <v>933</v>
      </c>
      <c r="C2251" s="145" t="s">
        <v>4294</v>
      </c>
      <c r="D2251" s="146" t="s">
        <v>4295</v>
      </c>
      <c r="E2251" s="147" t="s">
        <v>178</v>
      </c>
      <c r="F2251" s="148"/>
      <c r="G2251" s="148"/>
      <c r="H2251" s="149"/>
      <c r="I2251" s="149"/>
      <c r="J2251" s="149"/>
      <c r="K2251" s="149"/>
      <c r="L2251" s="149"/>
      <c r="M2251" s="149">
        <f t="shared" si="790"/>
        <v>0</v>
      </c>
      <c r="N2251" s="149"/>
      <c r="O2251" s="149">
        <f t="shared" si="744"/>
        <v>0</v>
      </c>
      <c r="P2251" s="149"/>
      <c r="Q2251" s="149"/>
      <c r="R2251" s="149">
        <f t="shared" si="745"/>
        <v>0</v>
      </c>
      <c r="S2251" s="150" t="e">
        <f t="shared" si="746"/>
        <v>#DIV/0!</v>
      </c>
      <c r="T2251" s="151" t="e">
        <f t="shared" si="747"/>
        <v>#DIV/0!</v>
      </c>
      <c r="U2251" s="150" t="e">
        <f t="shared" si="748"/>
        <v>#NUM!</v>
      </c>
      <c r="V2251" s="150" t="e">
        <f t="shared" si="749"/>
        <v>#DIV/0!</v>
      </c>
      <c r="W2251" s="152"/>
      <c r="X2251" s="152"/>
      <c r="Y2251" s="152"/>
      <c r="Z2251" s="153">
        <f t="shared" si="793"/>
        <v>0</v>
      </c>
      <c r="AA2251" s="148">
        <f t="shared" si="784"/>
        <v>0</v>
      </c>
      <c r="AB2251" s="149"/>
      <c r="AC2251" s="149"/>
      <c r="AD2251" s="150" t="e">
        <f t="shared" si="772"/>
        <v>#DIV/0!</v>
      </c>
      <c r="AE2251" s="154" t="e">
        <f t="shared" si="773"/>
        <v>#DIV/0!</v>
      </c>
      <c r="AF2251" s="150" t="e">
        <f t="shared" si="774"/>
        <v>#DIV/0!</v>
      </c>
      <c r="AG2251" s="150" t="e">
        <f t="shared" si="775"/>
        <v>#DIV/0!</v>
      </c>
      <c r="AH2251" s="155" t="e">
        <f t="shared" si="776"/>
        <v>#DIV/0!</v>
      </c>
      <c r="AI2251" s="156" t="e">
        <f t="shared" si="756"/>
        <v>#DIV/0!</v>
      </c>
      <c r="AJ2251" s="149"/>
      <c r="AK2251" s="149"/>
      <c r="AL2251" s="157"/>
      <c r="AM2251" s="157"/>
      <c r="AN2251" s="157"/>
      <c r="AO2251" s="157"/>
      <c r="AP2251" s="157"/>
      <c r="AQ2251" s="157"/>
      <c r="AR2251" s="157"/>
    </row>
    <row r="2252" spans="1:44" ht="16.8">
      <c r="A2252" s="145">
        <v>146</v>
      </c>
      <c r="B2252" s="145">
        <v>934</v>
      </c>
      <c r="C2252" s="145" t="s">
        <v>4296</v>
      </c>
      <c r="D2252" s="146" t="s">
        <v>4297</v>
      </c>
      <c r="E2252" s="147" t="s">
        <v>178</v>
      </c>
      <c r="F2252" s="148"/>
      <c r="G2252" s="148"/>
      <c r="H2252" s="149"/>
      <c r="I2252" s="149"/>
      <c r="J2252" s="149"/>
      <c r="K2252" s="149"/>
      <c r="L2252" s="149"/>
      <c r="M2252" s="149">
        <f t="shared" si="790"/>
        <v>0</v>
      </c>
      <c r="N2252" s="149"/>
      <c r="O2252" s="149">
        <f t="shared" si="744"/>
        <v>0</v>
      </c>
      <c r="P2252" s="149"/>
      <c r="Q2252" s="149"/>
      <c r="R2252" s="149">
        <f t="shared" si="745"/>
        <v>0</v>
      </c>
      <c r="S2252" s="150" t="e">
        <f t="shared" si="746"/>
        <v>#DIV/0!</v>
      </c>
      <c r="T2252" s="151" t="e">
        <f t="shared" si="747"/>
        <v>#DIV/0!</v>
      </c>
      <c r="U2252" s="150" t="e">
        <f t="shared" si="748"/>
        <v>#NUM!</v>
      </c>
      <c r="V2252" s="150" t="e">
        <f t="shared" si="749"/>
        <v>#DIV/0!</v>
      </c>
      <c r="W2252" s="152"/>
      <c r="X2252" s="152"/>
      <c r="Y2252" s="152"/>
      <c r="Z2252" s="153">
        <f t="shared" si="793"/>
        <v>0</v>
      </c>
      <c r="AA2252" s="148">
        <f t="shared" si="784"/>
        <v>0</v>
      </c>
      <c r="AB2252" s="149"/>
      <c r="AC2252" s="149"/>
      <c r="AD2252" s="150" t="e">
        <f t="shared" si="772"/>
        <v>#DIV/0!</v>
      </c>
      <c r="AE2252" s="154" t="e">
        <f t="shared" si="773"/>
        <v>#DIV/0!</v>
      </c>
      <c r="AF2252" s="150" t="e">
        <f t="shared" si="774"/>
        <v>#DIV/0!</v>
      </c>
      <c r="AG2252" s="150" t="e">
        <f t="shared" si="775"/>
        <v>#DIV/0!</v>
      </c>
      <c r="AH2252" s="155" t="e">
        <f t="shared" si="776"/>
        <v>#DIV/0!</v>
      </c>
      <c r="AI2252" s="156" t="e">
        <f t="shared" si="756"/>
        <v>#DIV/0!</v>
      </c>
      <c r="AJ2252" s="149"/>
      <c r="AK2252" s="149"/>
      <c r="AL2252" s="157"/>
      <c r="AM2252" s="157"/>
      <c r="AN2252" s="157"/>
      <c r="AO2252" s="157"/>
      <c r="AP2252" s="157"/>
      <c r="AQ2252" s="157"/>
      <c r="AR2252" s="157"/>
    </row>
    <row r="2253" spans="1:44" ht="16.8">
      <c r="A2253" s="145">
        <v>147</v>
      </c>
      <c r="B2253" s="145">
        <v>935</v>
      </c>
      <c r="C2253" s="145" t="s">
        <v>4298</v>
      </c>
      <c r="D2253" s="146" t="s">
        <v>4299</v>
      </c>
      <c r="E2253" s="147" t="s">
        <v>1371</v>
      </c>
      <c r="F2253" s="148"/>
      <c r="G2253" s="148"/>
      <c r="H2253" s="149"/>
      <c r="I2253" s="149"/>
      <c r="J2253" s="149"/>
      <c r="K2253" s="149"/>
      <c r="L2253" s="149"/>
      <c r="M2253" s="149">
        <f t="shared" si="790"/>
        <v>0</v>
      </c>
      <c r="N2253" s="149"/>
      <c r="O2253" s="149">
        <f t="shared" si="744"/>
        <v>0</v>
      </c>
      <c r="P2253" s="149"/>
      <c r="Q2253" s="149"/>
      <c r="R2253" s="149">
        <f t="shared" si="745"/>
        <v>0</v>
      </c>
      <c r="S2253" s="150" t="e">
        <f t="shared" si="746"/>
        <v>#DIV/0!</v>
      </c>
      <c r="T2253" s="151" t="e">
        <f t="shared" si="747"/>
        <v>#DIV/0!</v>
      </c>
      <c r="U2253" s="150" t="e">
        <f t="shared" si="748"/>
        <v>#NUM!</v>
      </c>
      <c r="V2253" s="150" t="e">
        <f t="shared" si="749"/>
        <v>#DIV/0!</v>
      </c>
      <c r="W2253" s="152"/>
      <c r="X2253" s="152"/>
      <c r="Y2253" s="152"/>
      <c r="Z2253" s="153">
        <f t="shared" si="793"/>
        <v>0</v>
      </c>
      <c r="AA2253" s="148">
        <f t="shared" si="784"/>
        <v>0</v>
      </c>
      <c r="AB2253" s="149"/>
      <c r="AC2253" s="149"/>
      <c r="AD2253" s="150" t="e">
        <f t="shared" si="772"/>
        <v>#DIV/0!</v>
      </c>
      <c r="AE2253" s="154" t="e">
        <f t="shared" si="773"/>
        <v>#DIV/0!</v>
      </c>
      <c r="AF2253" s="150" t="e">
        <f t="shared" si="774"/>
        <v>#DIV/0!</v>
      </c>
      <c r="AG2253" s="150" t="e">
        <f t="shared" si="775"/>
        <v>#DIV/0!</v>
      </c>
      <c r="AH2253" s="155" t="e">
        <f t="shared" si="776"/>
        <v>#DIV/0!</v>
      </c>
      <c r="AI2253" s="156" t="e">
        <f t="shared" si="756"/>
        <v>#DIV/0!</v>
      </c>
      <c r="AJ2253" s="149"/>
      <c r="AK2253" s="149"/>
      <c r="AL2253" s="157"/>
      <c r="AM2253" s="157"/>
      <c r="AN2253" s="157"/>
      <c r="AO2253" s="157"/>
      <c r="AP2253" s="157"/>
      <c r="AQ2253" s="157"/>
      <c r="AR2253" s="157"/>
    </row>
    <row r="2254" spans="1:44" ht="16.8">
      <c r="A2254" s="145">
        <v>148</v>
      </c>
      <c r="B2254" s="145">
        <v>936</v>
      </c>
      <c r="C2254" s="145" t="s">
        <v>4300</v>
      </c>
      <c r="D2254" s="146" t="s">
        <v>4301</v>
      </c>
      <c r="E2254" s="147" t="s">
        <v>178</v>
      </c>
      <c r="F2254" s="148"/>
      <c r="G2254" s="148"/>
      <c r="H2254" s="149"/>
      <c r="I2254" s="149"/>
      <c r="J2254" s="149"/>
      <c r="K2254" s="149"/>
      <c r="L2254" s="149"/>
      <c r="M2254" s="149">
        <f t="shared" si="790"/>
        <v>0</v>
      </c>
      <c r="N2254" s="149"/>
      <c r="O2254" s="149">
        <f t="shared" si="744"/>
        <v>0</v>
      </c>
      <c r="P2254" s="149"/>
      <c r="Q2254" s="149"/>
      <c r="R2254" s="149">
        <f t="shared" si="745"/>
        <v>0</v>
      </c>
      <c r="S2254" s="150" t="e">
        <f t="shared" si="746"/>
        <v>#DIV/0!</v>
      </c>
      <c r="T2254" s="151" t="e">
        <f t="shared" si="747"/>
        <v>#DIV/0!</v>
      </c>
      <c r="U2254" s="150" t="e">
        <f t="shared" si="748"/>
        <v>#NUM!</v>
      </c>
      <c r="V2254" s="150" t="e">
        <f t="shared" si="749"/>
        <v>#DIV/0!</v>
      </c>
      <c r="W2254" s="152"/>
      <c r="X2254" s="152"/>
      <c r="Y2254" s="152"/>
      <c r="Z2254" s="153">
        <f t="shared" si="793"/>
        <v>0</v>
      </c>
      <c r="AA2254" s="148">
        <f t="shared" si="784"/>
        <v>0</v>
      </c>
      <c r="AB2254" s="149"/>
      <c r="AC2254" s="149"/>
      <c r="AD2254" s="150" t="e">
        <f t="shared" si="772"/>
        <v>#DIV/0!</v>
      </c>
      <c r="AE2254" s="154" t="e">
        <f t="shared" si="773"/>
        <v>#DIV/0!</v>
      </c>
      <c r="AF2254" s="150" t="e">
        <f t="shared" si="774"/>
        <v>#DIV/0!</v>
      </c>
      <c r="AG2254" s="150" t="e">
        <f t="shared" si="775"/>
        <v>#DIV/0!</v>
      </c>
      <c r="AH2254" s="155" t="e">
        <f t="shared" si="776"/>
        <v>#DIV/0!</v>
      </c>
      <c r="AI2254" s="156" t="e">
        <f t="shared" si="756"/>
        <v>#DIV/0!</v>
      </c>
      <c r="AJ2254" s="149"/>
      <c r="AK2254" s="149"/>
      <c r="AL2254" s="157"/>
      <c r="AM2254" s="157"/>
      <c r="AN2254" s="157"/>
      <c r="AO2254" s="157"/>
      <c r="AP2254" s="157"/>
      <c r="AQ2254" s="157"/>
      <c r="AR2254" s="157"/>
    </row>
    <row r="2255" spans="1:44" ht="16.8">
      <c r="A2255" s="145">
        <v>149</v>
      </c>
      <c r="B2255" s="145">
        <v>937</v>
      </c>
      <c r="C2255" s="145" t="s">
        <v>4302</v>
      </c>
      <c r="D2255" s="146" t="s">
        <v>4303</v>
      </c>
      <c r="E2255" s="147" t="s">
        <v>1371</v>
      </c>
      <c r="F2255" s="148"/>
      <c r="G2255" s="148"/>
      <c r="H2255" s="149"/>
      <c r="I2255" s="149"/>
      <c r="J2255" s="149"/>
      <c r="K2255" s="149"/>
      <c r="L2255" s="149"/>
      <c r="M2255" s="149">
        <f t="shared" si="790"/>
        <v>0</v>
      </c>
      <c r="N2255" s="149"/>
      <c r="O2255" s="149">
        <f t="shared" si="744"/>
        <v>0</v>
      </c>
      <c r="P2255" s="149"/>
      <c r="Q2255" s="149"/>
      <c r="R2255" s="149">
        <f t="shared" si="745"/>
        <v>0</v>
      </c>
      <c r="S2255" s="150" t="e">
        <f t="shared" si="746"/>
        <v>#DIV/0!</v>
      </c>
      <c r="T2255" s="151" t="e">
        <f t="shared" si="747"/>
        <v>#DIV/0!</v>
      </c>
      <c r="U2255" s="150" t="e">
        <f t="shared" si="748"/>
        <v>#NUM!</v>
      </c>
      <c r="V2255" s="150" t="e">
        <f t="shared" si="749"/>
        <v>#DIV/0!</v>
      </c>
      <c r="W2255" s="152"/>
      <c r="X2255" s="152"/>
      <c r="Y2255" s="152"/>
      <c r="Z2255" s="153">
        <f t="shared" si="793"/>
        <v>0</v>
      </c>
      <c r="AA2255" s="148">
        <f t="shared" si="784"/>
        <v>0</v>
      </c>
      <c r="AB2255" s="149"/>
      <c r="AC2255" s="149"/>
      <c r="AD2255" s="150" t="e">
        <f t="shared" si="772"/>
        <v>#DIV/0!</v>
      </c>
      <c r="AE2255" s="154" t="e">
        <f t="shared" si="773"/>
        <v>#DIV/0!</v>
      </c>
      <c r="AF2255" s="150" t="e">
        <f t="shared" si="774"/>
        <v>#DIV/0!</v>
      </c>
      <c r="AG2255" s="150" t="e">
        <f t="shared" si="775"/>
        <v>#DIV/0!</v>
      </c>
      <c r="AH2255" s="155" t="e">
        <f t="shared" si="776"/>
        <v>#DIV/0!</v>
      </c>
      <c r="AI2255" s="156" t="e">
        <f t="shared" si="756"/>
        <v>#DIV/0!</v>
      </c>
      <c r="AJ2255" s="149"/>
      <c r="AK2255" s="149"/>
      <c r="AL2255" s="157"/>
      <c r="AM2255" s="157"/>
      <c r="AN2255" s="157"/>
      <c r="AO2255" s="157"/>
      <c r="AP2255" s="157"/>
      <c r="AQ2255" s="157"/>
      <c r="AR2255" s="157"/>
    </row>
    <row r="2256" spans="1:44" ht="16.8">
      <c r="A2256" s="145">
        <v>150</v>
      </c>
      <c r="B2256" s="145">
        <v>938</v>
      </c>
      <c r="C2256" s="145" t="s">
        <v>4304</v>
      </c>
      <c r="D2256" s="146" t="s">
        <v>4305</v>
      </c>
      <c r="E2256" s="147" t="s">
        <v>178</v>
      </c>
      <c r="F2256" s="148"/>
      <c r="G2256" s="148"/>
      <c r="H2256" s="149"/>
      <c r="I2256" s="149"/>
      <c r="J2256" s="149"/>
      <c r="K2256" s="149"/>
      <c r="L2256" s="149"/>
      <c r="M2256" s="149">
        <f t="shared" si="790"/>
        <v>0</v>
      </c>
      <c r="N2256" s="149"/>
      <c r="O2256" s="149">
        <f t="shared" si="744"/>
        <v>0</v>
      </c>
      <c r="P2256" s="149"/>
      <c r="Q2256" s="149"/>
      <c r="R2256" s="149">
        <f t="shared" si="745"/>
        <v>0</v>
      </c>
      <c r="S2256" s="150" t="e">
        <f t="shared" si="746"/>
        <v>#DIV/0!</v>
      </c>
      <c r="T2256" s="151" t="e">
        <f t="shared" si="747"/>
        <v>#DIV/0!</v>
      </c>
      <c r="U2256" s="150" t="e">
        <f t="shared" si="748"/>
        <v>#NUM!</v>
      </c>
      <c r="V2256" s="150" t="e">
        <f t="shared" si="749"/>
        <v>#DIV/0!</v>
      </c>
      <c r="W2256" s="152"/>
      <c r="X2256" s="152"/>
      <c r="Y2256" s="152"/>
      <c r="Z2256" s="153">
        <f t="shared" si="793"/>
        <v>0</v>
      </c>
      <c r="AA2256" s="148">
        <f t="shared" si="784"/>
        <v>0</v>
      </c>
      <c r="AB2256" s="149"/>
      <c r="AC2256" s="149"/>
      <c r="AD2256" s="150" t="e">
        <f t="shared" si="772"/>
        <v>#DIV/0!</v>
      </c>
      <c r="AE2256" s="154" t="e">
        <f t="shared" si="773"/>
        <v>#DIV/0!</v>
      </c>
      <c r="AF2256" s="150" t="e">
        <f t="shared" si="774"/>
        <v>#DIV/0!</v>
      </c>
      <c r="AG2256" s="150" t="e">
        <f t="shared" si="775"/>
        <v>#DIV/0!</v>
      </c>
      <c r="AH2256" s="155" t="e">
        <f t="shared" si="776"/>
        <v>#DIV/0!</v>
      </c>
      <c r="AI2256" s="156" t="e">
        <f t="shared" si="756"/>
        <v>#DIV/0!</v>
      </c>
      <c r="AJ2256" s="149"/>
      <c r="AK2256" s="149"/>
      <c r="AL2256" s="157"/>
      <c r="AM2256" s="157"/>
      <c r="AN2256" s="157"/>
      <c r="AO2256" s="157"/>
      <c r="AP2256" s="157"/>
      <c r="AQ2256" s="157"/>
      <c r="AR2256" s="157"/>
    </row>
    <row r="2257" spans="1:44" ht="16.8">
      <c r="A2257" s="145">
        <v>151</v>
      </c>
      <c r="B2257" s="145">
        <v>939</v>
      </c>
      <c r="C2257" s="145" t="s">
        <v>4306</v>
      </c>
      <c r="D2257" s="146" t="s">
        <v>4307</v>
      </c>
      <c r="E2257" s="147" t="s">
        <v>178</v>
      </c>
      <c r="F2257" s="148"/>
      <c r="G2257" s="148"/>
      <c r="H2257" s="149"/>
      <c r="I2257" s="149"/>
      <c r="J2257" s="149"/>
      <c r="K2257" s="149"/>
      <c r="L2257" s="149"/>
      <c r="M2257" s="149">
        <f t="shared" si="790"/>
        <v>0</v>
      </c>
      <c r="N2257" s="149"/>
      <c r="O2257" s="149">
        <f t="shared" si="744"/>
        <v>0</v>
      </c>
      <c r="P2257" s="149"/>
      <c r="Q2257" s="149"/>
      <c r="R2257" s="149">
        <f t="shared" si="745"/>
        <v>0</v>
      </c>
      <c r="S2257" s="150" t="e">
        <f t="shared" si="746"/>
        <v>#DIV/0!</v>
      </c>
      <c r="T2257" s="151" t="e">
        <f t="shared" si="747"/>
        <v>#DIV/0!</v>
      </c>
      <c r="U2257" s="150" t="e">
        <f t="shared" si="748"/>
        <v>#NUM!</v>
      </c>
      <c r="V2257" s="150" t="e">
        <f t="shared" si="749"/>
        <v>#DIV/0!</v>
      </c>
      <c r="W2257" s="152"/>
      <c r="X2257" s="152"/>
      <c r="Y2257" s="152"/>
      <c r="Z2257" s="153">
        <f t="shared" si="793"/>
        <v>0</v>
      </c>
      <c r="AA2257" s="148">
        <f t="shared" si="784"/>
        <v>0</v>
      </c>
      <c r="AB2257" s="149"/>
      <c r="AC2257" s="149"/>
      <c r="AD2257" s="150" t="e">
        <f t="shared" si="772"/>
        <v>#DIV/0!</v>
      </c>
      <c r="AE2257" s="154" t="e">
        <f t="shared" si="773"/>
        <v>#DIV/0!</v>
      </c>
      <c r="AF2257" s="150" t="e">
        <f t="shared" si="774"/>
        <v>#DIV/0!</v>
      </c>
      <c r="AG2257" s="150" t="e">
        <f t="shared" si="775"/>
        <v>#DIV/0!</v>
      </c>
      <c r="AH2257" s="155" t="e">
        <f t="shared" si="776"/>
        <v>#DIV/0!</v>
      </c>
      <c r="AI2257" s="156" t="e">
        <f t="shared" si="756"/>
        <v>#DIV/0!</v>
      </c>
      <c r="AJ2257" s="149"/>
      <c r="AK2257" s="149"/>
      <c r="AL2257" s="157"/>
      <c r="AM2257" s="157"/>
      <c r="AN2257" s="157"/>
      <c r="AO2257" s="157"/>
      <c r="AP2257" s="157"/>
      <c r="AQ2257" s="157"/>
      <c r="AR2257" s="157"/>
    </row>
    <row r="2258" spans="1:44" ht="16.8">
      <c r="A2258" s="145">
        <v>152</v>
      </c>
      <c r="B2258" s="145">
        <v>940</v>
      </c>
      <c r="C2258" s="145" t="s">
        <v>4308</v>
      </c>
      <c r="D2258" s="146" t="s">
        <v>4309</v>
      </c>
      <c r="E2258" s="147" t="s">
        <v>178</v>
      </c>
      <c r="F2258" s="148"/>
      <c r="G2258" s="148"/>
      <c r="H2258" s="149"/>
      <c r="I2258" s="149"/>
      <c r="J2258" s="149"/>
      <c r="K2258" s="149"/>
      <c r="L2258" s="149"/>
      <c r="M2258" s="149">
        <f t="shared" si="790"/>
        <v>0</v>
      </c>
      <c r="N2258" s="149"/>
      <c r="O2258" s="149">
        <f t="shared" si="744"/>
        <v>0</v>
      </c>
      <c r="P2258" s="149"/>
      <c r="Q2258" s="149"/>
      <c r="R2258" s="149">
        <f t="shared" si="745"/>
        <v>0</v>
      </c>
      <c r="S2258" s="150" t="e">
        <f t="shared" si="746"/>
        <v>#DIV/0!</v>
      </c>
      <c r="T2258" s="151" t="e">
        <f t="shared" si="747"/>
        <v>#DIV/0!</v>
      </c>
      <c r="U2258" s="150" t="e">
        <f t="shared" si="748"/>
        <v>#NUM!</v>
      </c>
      <c r="V2258" s="150" t="e">
        <f t="shared" si="749"/>
        <v>#DIV/0!</v>
      </c>
      <c r="W2258" s="152"/>
      <c r="X2258" s="152"/>
      <c r="Y2258" s="152"/>
      <c r="Z2258" s="153">
        <f t="shared" si="793"/>
        <v>0</v>
      </c>
      <c r="AA2258" s="148">
        <f t="shared" si="784"/>
        <v>0</v>
      </c>
      <c r="AB2258" s="149"/>
      <c r="AC2258" s="149"/>
      <c r="AD2258" s="150" t="e">
        <f t="shared" si="772"/>
        <v>#DIV/0!</v>
      </c>
      <c r="AE2258" s="154" t="e">
        <f t="shared" si="773"/>
        <v>#DIV/0!</v>
      </c>
      <c r="AF2258" s="150" t="e">
        <f t="shared" si="774"/>
        <v>#DIV/0!</v>
      </c>
      <c r="AG2258" s="150" t="e">
        <f t="shared" si="775"/>
        <v>#DIV/0!</v>
      </c>
      <c r="AH2258" s="155" t="e">
        <f t="shared" si="776"/>
        <v>#DIV/0!</v>
      </c>
      <c r="AI2258" s="156" t="e">
        <f t="shared" si="756"/>
        <v>#DIV/0!</v>
      </c>
      <c r="AJ2258" s="149"/>
      <c r="AK2258" s="149"/>
      <c r="AL2258" s="157"/>
      <c r="AM2258" s="157"/>
      <c r="AN2258" s="157"/>
      <c r="AO2258" s="157"/>
      <c r="AP2258" s="157"/>
      <c r="AQ2258" s="157"/>
      <c r="AR2258" s="157"/>
    </row>
    <row r="2259" spans="1:44" ht="16.8">
      <c r="A2259" s="145">
        <v>153</v>
      </c>
      <c r="B2259" s="145">
        <v>941</v>
      </c>
      <c r="C2259" s="145" t="s">
        <v>4310</v>
      </c>
      <c r="D2259" s="146" t="s">
        <v>4311</v>
      </c>
      <c r="E2259" s="147" t="s">
        <v>178</v>
      </c>
      <c r="F2259" s="148"/>
      <c r="G2259" s="148"/>
      <c r="H2259" s="149"/>
      <c r="I2259" s="149"/>
      <c r="J2259" s="149"/>
      <c r="K2259" s="149"/>
      <c r="L2259" s="149"/>
      <c r="M2259" s="149">
        <f t="shared" si="790"/>
        <v>0</v>
      </c>
      <c r="N2259" s="149"/>
      <c r="O2259" s="149">
        <f t="shared" si="744"/>
        <v>0</v>
      </c>
      <c r="P2259" s="149"/>
      <c r="Q2259" s="149"/>
      <c r="R2259" s="149">
        <f t="shared" si="745"/>
        <v>0</v>
      </c>
      <c r="S2259" s="150" t="e">
        <f t="shared" si="746"/>
        <v>#DIV/0!</v>
      </c>
      <c r="T2259" s="151" t="e">
        <f t="shared" si="747"/>
        <v>#DIV/0!</v>
      </c>
      <c r="U2259" s="150" t="e">
        <f t="shared" si="748"/>
        <v>#NUM!</v>
      </c>
      <c r="V2259" s="150" t="e">
        <f t="shared" si="749"/>
        <v>#DIV/0!</v>
      </c>
      <c r="W2259" s="152"/>
      <c r="X2259" s="152"/>
      <c r="Y2259" s="152"/>
      <c r="Z2259" s="153">
        <f t="shared" si="793"/>
        <v>0</v>
      </c>
      <c r="AA2259" s="148">
        <f t="shared" si="784"/>
        <v>0</v>
      </c>
      <c r="AB2259" s="149"/>
      <c r="AC2259" s="149"/>
      <c r="AD2259" s="150" t="e">
        <f t="shared" si="772"/>
        <v>#DIV/0!</v>
      </c>
      <c r="AE2259" s="154" t="e">
        <f t="shared" si="773"/>
        <v>#DIV/0!</v>
      </c>
      <c r="AF2259" s="150" t="e">
        <f t="shared" si="774"/>
        <v>#DIV/0!</v>
      </c>
      <c r="AG2259" s="150" t="e">
        <f t="shared" si="775"/>
        <v>#DIV/0!</v>
      </c>
      <c r="AH2259" s="155" t="e">
        <f t="shared" si="776"/>
        <v>#DIV/0!</v>
      </c>
      <c r="AI2259" s="156" t="e">
        <f t="shared" si="756"/>
        <v>#DIV/0!</v>
      </c>
      <c r="AJ2259" s="149"/>
      <c r="AK2259" s="149"/>
      <c r="AL2259" s="157"/>
      <c r="AM2259" s="157"/>
      <c r="AN2259" s="157"/>
      <c r="AO2259" s="157"/>
      <c r="AP2259" s="157"/>
      <c r="AQ2259" s="157"/>
      <c r="AR2259" s="157"/>
    </row>
    <row r="2260" spans="1:44" ht="16.8">
      <c r="A2260" s="145">
        <v>154</v>
      </c>
      <c r="B2260" s="145">
        <v>942</v>
      </c>
      <c r="C2260" s="145" t="s">
        <v>4312</v>
      </c>
      <c r="D2260" s="146" t="s">
        <v>816</v>
      </c>
      <c r="E2260" s="147" t="s">
        <v>178</v>
      </c>
      <c r="F2260" s="148"/>
      <c r="G2260" s="148"/>
      <c r="H2260" s="149"/>
      <c r="I2260" s="149"/>
      <c r="J2260" s="149"/>
      <c r="K2260" s="149"/>
      <c r="L2260" s="149"/>
      <c r="M2260" s="149">
        <f t="shared" si="790"/>
        <v>0</v>
      </c>
      <c r="N2260" s="149"/>
      <c r="O2260" s="149">
        <f t="shared" si="744"/>
        <v>0</v>
      </c>
      <c r="P2260" s="149"/>
      <c r="Q2260" s="149"/>
      <c r="R2260" s="149">
        <f t="shared" si="745"/>
        <v>0</v>
      </c>
      <c r="S2260" s="150" t="e">
        <f t="shared" si="746"/>
        <v>#DIV/0!</v>
      </c>
      <c r="T2260" s="151" t="e">
        <f t="shared" si="747"/>
        <v>#DIV/0!</v>
      </c>
      <c r="U2260" s="150" t="e">
        <f t="shared" si="748"/>
        <v>#NUM!</v>
      </c>
      <c r="V2260" s="150" t="e">
        <f t="shared" si="749"/>
        <v>#DIV/0!</v>
      </c>
      <c r="W2260" s="152"/>
      <c r="X2260" s="152"/>
      <c r="Y2260" s="152"/>
      <c r="Z2260" s="153">
        <f t="shared" si="793"/>
        <v>0</v>
      </c>
      <c r="AA2260" s="148">
        <f t="shared" si="784"/>
        <v>0</v>
      </c>
      <c r="AB2260" s="149"/>
      <c r="AC2260" s="149"/>
      <c r="AD2260" s="150" t="e">
        <f t="shared" si="772"/>
        <v>#DIV/0!</v>
      </c>
      <c r="AE2260" s="154" t="e">
        <f t="shared" si="773"/>
        <v>#DIV/0!</v>
      </c>
      <c r="AF2260" s="150" t="e">
        <f t="shared" si="774"/>
        <v>#DIV/0!</v>
      </c>
      <c r="AG2260" s="150" t="e">
        <f t="shared" si="775"/>
        <v>#DIV/0!</v>
      </c>
      <c r="AH2260" s="155" t="e">
        <f t="shared" si="776"/>
        <v>#DIV/0!</v>
      </c>
      <c r="AI2260" s="156" t="e">
        <f t="shared" si="756"/>
        <v>#DIV/0!</v>
      </c>
      <c r="AJ2260" s="149"/>
      <c r="AK2260" s="149"/>
      <c r="AL2260" s="157"/>
      <c r="AM2260" s="157"/>
      <c r="AN2260" s="157"/>
      <c r="AO2260" s="157"/>
      <c r="AP2260" s="157"/>
      <c r="AQ2260" s="157"/>
      <c r="AR2260" s="157"/>
    </row>
    <row r="2261" spans="1:44" ht="16.8">
      <c r="A2261" s="145">
        <v>155</v>
      </c>
      <c r="B2261" s="145">
        <v>943</v>
      </c>
      <c r="C2261" s="145" t="s">
        <v>4313</v>
      </c>
      <c r="D2261" s="146" t="s">
        <v>4314</v>
      </c>
      <c r="E2261" s="147" t="s">
        <v>178</v>
      </c>
      <c r="F2261" s="148"/>
      <c r="G2261" s="148"/>
      <c r="H2261" s="149"/>
      <c r="I2261" s="149"/>
      <c r="J2261" s="149"/>
      <c r="K2261" s="149"/>
      <c r="L2261" s="149"/>
      <c r="M2261" s="149">
        <f t="shared" si="790"/>
        <v>0</v>
      </c>
      <c r="N2261" s="149"/>
      <c r="O2261" s="149">
        <f t="shared" si="744"/>
        <v>0</v>
      </c>
      <c r="P2261" s="149"/>
      <c r="Q2261" s="149"/>
      <c r="R2261" s="149">
        <f t="shared" si="745"/>
        <v>0</v>
      </c>
      <c r="S2261" s="150" t="e">
        <f t="shared" si="746"/>
        <v>#DIV/0!</v>
      </c>
      <c r="T2261" s="151" t="e">
        <f t="shared" si="747"/>
        <v>#DIV/0!</v>
      </c>
      <c r="U2261" s="150" t="e">
        <f t="shared" si="748"/>
        <v>#NUM!</v>
      </c>
      <c r="V2261" s="150" t="e">
        <f t="shared" si="749"/>
        <v>#DIV/0!</v>
      </c>
      <c r="W2261" s="152"/>
      <c r="X2261" s="152"/>
      <c r="Y2261" s="152"/>
      <c r="Z2261" s="153">
        <f t="shared" si="793"/>
        <v>0</v>
      </c>
      <c r="AA2261" s="148">
        <f t="shared" si="784"/>
        <v>0</v>
      </c>
      <c r="AB2261" s="149"/>
      <c r="AC2261" s="149"/>
      <c r="AD2261" s="150" t="e">
        <f t="shared" si="772"/>
        <v>#DIV/0!</v>
      </c>
      <c r="AE2261" s="154" t="e">
        <f t="shared" si="773"/>
        <v>#DIV/0!</v>
      </c>
      <c r="AF2261" s="150" t="e">
        <f t="shared" si="774"/>
        <v>#DIV/0!</v>
      </c>
      <c r="AG2261" s="150" t="e">
        <f t="shared" si="775"/>
        <v>#DIV/0!</v>
      </c>
      <c r="AH2261" s="155" t="e">
        <f t="shared" si="776"/>
        <v>#DIV/0!</v>
      </c>
      <c r="AI2261" s="156" t="e">
        <f t="shared" si="756"/>
        <v>#DIV/0!</v>
      </c>
      <c r="AJ2261" s="149"/>
      <c r="AK2261" s="149"/>
      <c r="AL2261" s="157"/>
      <c r="AM2261" s="157"/>
      <c r="AN2261" s="157"/>
      <c r="AO2261" s="157"/>
      <c r="AP2261" s="157"/>
      <c r="AQ2261" s="157"/>
      <c r="AR2261" s="157"/>
    </row>
    <row r="2262" spans="1:44" ht="16.8">
      <c r="A2262" s="145">
        <v>156</v>
      </c>
      <c r="B2262" s="145">
        <v>944</v>
      </c>
      <c r="C2262" s="145" t="s">
        <v>4315</v>
      </c>
      <c r="D2262" s="146" t="s">
        <v>4316</v>
      </c>
      <c r="E2262" s="147" t="s">
        <v>178</v>
      </c>
      <c r="F2262" s="148"/>
      <c r="G2262" s="148"/>
      <c r="H2262" s="149"/>
      <c r="I2262" s="149"/>
      <c r="J2262" s="149"/>
      <c r="K2262" s="149"/>
      <c r="L2262" s="149"/>
      <c r="M2262" s="149">
        <f t="shared" si="790"/>
        <v>0</v>
      </c>
      <c r="N2262" s="149"/>
      <c r="O2262" s="149">
        <f t="shared" si="744"/>
        <v>0</v>
      </c>
      <c r="P2262" s="149"/>
      <c r="Q2262" s="149"/>
      <c r="R2262" s="149">
        <f t="shared" si="745"/>
        <v>0</v>
      </c>
      <c r="S2262" s="150" t="e">
        <f t="shared" si="746"/>
        <v>#DIV/0!</v>
      </c>
      <c r="T2262" s="151" t="e">
        <f t="shared" si="747"/>
        <v>#DIV/0!</v>
      </c>
      <c r="U2262" s="150" t="e">
        <f t="shared" si="748"/>
        <v>#NUM!</v>
      </c>
      <c r="V2262" s="150" t="e">
        <f t="shared" si="749"/>
        <v>#DIV/0!</v>
      </c>
      <c r="W2262" s="152"/>
      <c r="X2262" s="152"/>
      <c r="Y2262" s="152"/>
      <c r="Z2262" s="153">
        <f t="shared" si="793"/>
        <v>0</v>
      </c>
      <c r="AA2262" s="148">
        <f t="shared" si="784"/>
        <v>0</v>
      </c>
      <c r="AB2262" s="149"/>
      <c r="AC2262" s="149"/>
      <c r="AD2262" s="150" t="e">
        <f t="shared" si="772"/>
        <v>#DIV/0!</v>
      </c>
      <c r="AE2262" s="154" t="e">
        <f t="shared" si="773"/>
        <v>#DIV/0!</v>
      </c>
      <c r="AF2262" s="150" t="e">
        <f t="shared" si="774"/>
        <v>#DIV/0!</v>
      </c>
      <c r="AG2262" s="150" t="e">
        <f t="shared" si="775"/>
        <v>#DIV/0!</v>
      </c>
      <c r="AH2262" s="155" t="e">
        <f t="shared" si="776"/>
        <v>#DIV/0!</v>
      </c>
      <c r="AI2262" s="156" t="e">
        <f t="shared" si="756"/>
        <v>#DIV/0!</v>
      </c>
      <c r="AJ2262" s="149"/>
      <c r="AK2262" s="149"/>
      <c r="AL2262" s="157"/>
      <c r="AM2262" s="157"/>
      <c r="AN2262" s="157"/>
      <c r="AO2262" s="157"/>
      <c r="AP2262" s="157"/>
      <c r="AQ2262" s="157"/>
      <c r="AR2262" s="157"/>
    </row>
    <row r="2263" spans="1:44" ht="16.8">
      <c r="A2263" s="145">
        <v>157</v>
      </c>
      <c r="B2263" s="145">
        <v>945</v>
      </c>
      <c r="C2263" s="145" t="s">
        <v>4317</v>
      </c>
      <c r="D2263" s="146" t="s">
        <v>4318</v>
      </c>
      <c r="E2263" s="147" t="s">
        <v>1371</v>
      </c>
      <c r="F2263" s="148"/>
      <c r="G2263" s="148"/>
      <c r="H2263" s="149"/>
      <c r="I2263" s="149"/>
      <c r="J2263" s="149"/>
      <c r="K2263" s="149"/>
      <c r="L2263" s="149"/>
      <c r="M2263" s="149">
        <f t="shared" si="790"/>
        <v>0</v>
      </c>
      <c r="N2263" s="149"/>
      <c r="O2263" s="149">
        <f t="shared" si="744"/>
        <v>0</v>
      </c>
      <c r="P2263" s="149"/>
      <c r="Q2263" s="149"/>
      <c r="R2263" s="149">
        <f t="shared" si="745"/>
        <v>0</v>
      </c>
      <c r="S2263" s="150" t="e">
        <f t="shared" si="746"/>
        <v>#DIV/0!</v>
      </c>
      <c r="T2263" s="151" t="e">
        <f t="shared" si="747"/>
        <v>#DIV/0!</v>
      </c>
      <c r="U2263" s="150" t="e">
        <f t="shared" si="748"/>
        <v>#NUM!</v>
      </c>
      <c r="V2263" s="150" t="e">
        <f t="shared" si="749"/>
        <v>#DIV/0!</v>
      </c>
      <c r="W2263" s="152"/>
      <c r="X2263" s="152"/>
      <c r="Y2263" s="152"/>
      <c r="Z2263" s="153">
        <f t="shared" si="793"/>
        <v>0</v>
      </c>
      <c r="AA2263" s="148">
        <f t="shared" si="784"/>
        <v>0</v>
      </c>
      <c r="AB2263" s="149"/>
      <c r="AC2263" s="149"/>
      <c r="AD2263" s="150" t="e">
        <f t="shared" si="772"/>
        <v>#DIV/0!</v>
      </c>
      <c r="AE2263" s="154" t="e">
        <f t="shared" si="773"/>
        <v>#DIV/0!</v>
      </c>
      <c r="AF2263" s="150" t="e">
        <f t="shared" si="774"/>
        <v>#DIV/0!</v>
      </c>
      <c r="AG2263" s="150" t="e">
        <f t="shared" si="775"/>
        <v>#DIV/0!</v>
      </c>
      <c r="AH2263" s="155" t="e">
        <f t="shared" si="776"/>
        <v>#DIV/0!</v>
      </c>
      <c r="AI2263" s="156" t="e">
        <f t="shared" si="756"/>
        <v>#DIV/0!</v>
      </c>
      <c r="AJ2263" s="149"/>
      <c r="AK2263" s="149"/>
      <c r="AL2263" s="157"/>
      <c r="AM2263" s="157"/>
      <c r="AN2263" s="157"/>
      <c r="AO2263" s="157"/>
      <c r="AP2263" s="157"/>
      <c r="AQ2263" s="157"/>
      <c r="AR2263" s="157"/>
    </row>
    <row r="2264" spans="1:44" ht="16.8">
      <c r="A2264" s="145">
        <v>158</v>
      </c>
      <c r="B2264" s="145">
        <v>946</v>
      </c>
      <c r="C2264" s="145" t="s">
        <v>4319</v>
      </c>
      <c r="D2264" s="146" t="s">
        <v>4320</v>
      </c>
      <c r="E2264" s="147" t="s">
        <v>178</v>
      </c>
      <c r="F2264" s="148"/>
      <c r="G2264" s="148"/>
      <c r="H2264" s="149"/>
      <c r="I2264" s="149"/>
      <c r="J2264" s="149"/>
      <c r="K2264" s="149"/>
      <c r="L2264" s="149"/>
      <c r="M2264" s="149">
        <f t="shared" si="790"/>
        <v>0</v>
      </c>
      <c r="N2264" s="149"/>
      <c r="O2264" s="149">
        <f t="shared" si="744"/>
        <v>0</v>
      </c>
      <c r="P2264" s="149"/>
      <c r="Q2264" s="149"/>
      <c r="R2264" s="149">
        <f t="shared" si="745"/>
        <v>0</v>
      </c>
      <c r="S2264" s="150" t="e">
        <f t="shared" si="746"/>
        <v>#DIV/0!</v>
      </c>
      <c r="T2264" s="151" t="e">
        <f t="shared" si="747"/>
        <v>#DIV/0!</v>
      </c>
      <c r="U2264" s="150" t="e">
        <f t="shared" si="748"/>
        <v>#NUM!</v>
      </c>
      <c r="V2264" s="150" t="e">
        <f t="shared" si="749"/>
        <v>#DIV/0!</v>
      </c>
      <c r="W2264" s="152"/>
      <c r="X2264" s="152"/>
      <c r="Y2264" s="152"/>
      <c r="Z2264" s="153">
        <f t="shared" si="793"/>
        <v>0</v>
      </c>
      <c r="AA2264" s="148">
        <f t="shared" si="784"/>
        <v>0</v>
      </c>
      <c r="AB2264" s="149"/>
      <c r="AC2264" s="149"/>
      <c r="AD2264" s="150" t="e">
        <f t="shared" si="772"/>
        <v>#DIV/0!</v>
      </c>
      <c r="AE2264" s="154" t="e">
        <f t="shared" si="773"/>
        <v>#DIV/0!</v>
      </c>
      <c r="AF2264" s="150" t="e">
        <f t="shared" si="774"/>
        <v>#DIV/0!</v>
      </c>
      <c r="AG2264" s="150" t="e">
        <f t="shared" si="775"/>
        <v>#DIV/0!</v>
      </c>
      <c r="AH2264" s="155" t="e">
        <f t="shared" si="776"/>
        <v>#DIV/0!</v>
      </c>
      <c r="AI2264" s="156" t="e">
        <f t="shared" si="756"/>
        <v>#DIV/0!</v>
      </c>
      <c r="AJ2264" s="149"/>
      <c r="AK2264" s="149"/>
      <c r="AL2264" s="157"/>
      <c r="AM2264" s="157"/>
      <c r="AN2264" s="157"/>
      <c r="AO2264" s="157"/>
      <c r="AP2264" s="157"/>
      <c r="AQ2264" s="157"/>
      <c r="AR2264" s="157"/>
    </row>
    <row r="2265" spans="1:44" ht="16.8">
      <c r="A2265" s="145">
        <v>159</v>
      </c>
      <c r="B2265" s="145">
        <v>947</v>
      </c>
      <c r="C2265" s="145" t="s">
        <v>4321</v>
      </c>
      <c r="D2265" s="146" t="s">
        <v>4322</v>
      </c>
      <c r="E2265" s="147" t="s">
        <v>178</v>
      </c>
      <c r="F2265" s="148"/>
      <c r="G2265" s="148"/>
      <c r="H2265" s="149"/>
      <c r="I2265" s="149"/>
      <c r="J2265" s="149"/>
      <c r="K2265" s="149"/>
      <c r="L2265" s="149"/>
      <c r="M2265" s="149">
        <f t="shared" si="790"/>
        <v>0</v>
      </c>
      <c r="N2265" s="149"/>
      <c r="O2265" s="149">
        <f t="shared" si="744"/>
        <v>0</v>
      </c>
      <c r="P2265" s="149"/>
      <c r="Q2265" s="149"/>
      <c r="R2265" s="149">
        <f t="shared" si="745"/>
        <v>0</v>
      </c>
      <c r="S2265" s="150" t="e">
        <f t="shared" si="746"/>
        <v>#DIV/0!</v>
      </c>
      <c r="T2265" s="151" t="e">
        <f t="shared" si="747"/>
        <v>#DIV/0!</v>
      </c>
      <c r="U2265" s="150" t="e">
        <f t="shared" si="748"/>
        <v>#NUM!</v>
      </c>
      <c r="V2265" s="150" t="e">
        <f t="shared" si="749"/>
        <v>#DIV/0!</v>
      </c>
      <c r="W2265" s="152"/>
      <c r="X2265" s="152"/>
      <c r="Y2265" s="152"/>
      <c r="Z2265" s="153">
        <f t="shared" si="793"/>
        <v>0</v>
      </c>
      <c r="AA2265" s="148">
        <f t="shared" si="784"/>
        <v>0</v>
      </c>
      <c r="AB2265" s="149"/>
      <c r="AC2265" s="149"/>
      <c r="AD2265" s="150" t="e">
        <f t="shared" si="772"/>
        <v>#DIV/0!</v>
      </c>
      <c r="AE2265" s="154" t="e">
        <f t="shared" si="773"/>
        <v>#DIV/0!</v>
      </c>
      <c r="AF2265" s="150" t="e">
        <f t="shared" si="774"/>
        <v>#DIV/0!</v>
      </c>
      <c r="AG2265" s="150" t="e">
        <f t="shared" si="775"/>
        <v>#DIV/0!</v>
      </c>
      <c r="AH2265" s="155" t="e">
        <f t="shared" si="776"/>
        <v>#DIV/0!</v>
      </c>
      <c r="AI2265" s="156" t="e">
        <f t="shared" si="756"/>
        <v>#DIV/0!</v>
      </c>
      <c r="AJ2265" s="149"/>
      <c r="AK2265" s="149"/>
      <c r="AL2265" s="157"/>
      <c r="AM2265" s="157"/>
      <c r="AN2265" s="157"/>
      <c r="AO2265" s="157"/>
      <c r="AP2265" s="157"/>
      <c r="AQ2265" s="157"/>
      <c r="AR2265" s="157"/>
    </row>
    <row r="2266" spans="1:44" ht="16.8">
      <c r="A2266" s="145">
        <v>160</v>
      </c>
      <c r="B2266" s="145">
        <v>948</v>
      </c>
      <c r="C2266" s="145" t="s">
        <v>4323</v>
      </c>
      <c r="D2266" s="146" t="s">
        <v>4324</v>
      </c>
      <c r="E2266" s="147" t="s">
        <v>178</v>
      </c>
      <c r="F2266" s="148"/>
      <c r="G2266" s="148"/>
      <c r="H2266" s="149"/>
      <c r="I2266" s="149"/>
      <c r="J2266" s="149"/>
      <c r="K2266" s="149"/>
      <c r="L2266" s="149"/>
      <c r="M2266" s="149">
        <f t="shared" si="790"/>
        <v>0</v>
      </c>
      <c r="N2266" s="149"/>
      <c r="O2266" s="149">
        <f t="shared" si="744"/>
        <v>0</v>
      </c>
      <c r="P2266" s="149"/>
      <c r="Q2266" s="149"/>
      <c r="R2266" s="149">
        <f t="shared" si="745"/>
        <v>0</v>
      </c>
      <c r="S2266" s="150" t="e">
        <f t="shared" si="746"/>
        <v>#DIV/0!</v>
      </c>
      <c r="T2266" s="151" t="e">
        <f t="shared" si="747"/>
        <v>#DIV/0!</v>
      </c>
      <c r="U2266" s="150" t="e">
        <f t="shared" si="748"/>
        <v>#NUM!</v>
      </c>
      <c r="V2266" s="150" t="e">
        <f t="shared" si="749"/>
        <v>#DIV/0!</v>
      </c>
      <c r="W2266" s="152"/>
      <c r="X2266" s="152"/>
      <c r="Y2266" s="152"/>
      <c r="Z2266" s="153">
        <f t="shared" si="793"/>
        <v>0</v>
      </c>
      <c r="AA2266" s="148">
        <f t="shared" si="784"/>
        <v>0</v>
      </c>
      <c r="AB2266" s="149"/>
      <c r="AC2266" s="149"/>
      <c r="AD2266" s="150" t="e">
        <f t="shared" si="772"/>
        <v>#DIV/0!</v>
      </c>
      <c r="AE2266" s="154" t="e">
        <f t="shared" si="773"/>
        <v>#DIV/0!</v>
      </c>
      <c r="AF2266" s="150" t="e">
        <f t="shared" si="774"/>
        <v>#DIV/0!</v>
      </c>
      <c r="AG2266" s="150" t="e">
        <f t="shared" si="775"/>
        <v>#DIV/0!</v>
      </c>
      <c r="AH2266" s="155" t="e">
        <f t="shared" si="776"/>
        <v>#DIV/0!</v>
      </c>
      <c r="AI2266" s="156" t="e">
        <f t="shared" si="756"/>
        <v>#DIV/0!</v>
      </c>
      <c r="AJ2266" s="149"/>
      <c r="AK2266" s="149"/>
      <c r="AL2266" s="157"/>
      <c r="AM2266" s="157"/>
      <c r="AN2266" s="157"/>
      <c r="AO2266" s="157"/>
      <c r="AP2266" s="157"/>
      <c r="AQ2266" s="157"/>
      <c r="AR2266" s="157"/>
    </row>
    <row r="2267" spans="1:44" ht="16.8">
      <c r="A2267" s="145">
        <v>161</v>
      </c>
      <c r="B2267" s="145">
        <v>949</v>
      </c>
      <c r="C2267" s="145" t="s">
        <v>4325</v>
      </c>
      <c r="D2267" s="146" t="s">
        <v>4326</v>
      </c>
      <c r="E2267" s="147" t="s">
        <v>178</v>
      </c>
      <c r="F2267" s="148"/>
      <c r="G2267" s="148"/>
      <c r="H2267" s="149"/>
      <c r="I2267" s="149"/>
      <c r="J2267" s="149"/>
      <c r="K2267" s="149"/>
      <c r="L2267" s="149"/>
      <c r="M2267" s="149">
        <f t="shared" si="790"/>
        <v>0</v>
      </c>
      <c r="N2267" s="149"/>
      <c r="O2267" s="149">
        <f t="shared" si="744"/>
        <v>0</v>
      </c>
      <c r="P2267" s="149"/>
      <c r="Q2267" s="149"/>
      <c r="R2267" s="149">
        <f t="shared" si="745"/>
        <v>0</v>
      </c>
      <c r="S2267" s="150" t="e">
        <f t="shared" si="746"/>
        <v>#DIV/0!</v>
      </c>
      <c r="T2267" s="151" t="e">
        <f t="shared" si="747"/>
        <v>#DIV/0!</v>
      </c>
      <c r="U2267" s="150" t="e">
        <f t="shared" si="748"/>
        <v>#NUM!</v>
      </c>
      <c r="V2267" s="150" t="e">
        <f t="shared" si="749"/>
        <v>#DIV/0!</v>
      </c>
      <c r="W2267" s="152"/>
      <c r="X2267" s="152"/>
      <c r="Y2267" s="152"/>
      <c r="Z2267" s="153">
        <f t="shared" si="793"/>
        <v>0</v>
      </c>
      <c r="AA2267" s="148">
        <f t="shared" si="784"/>
        <v>0</v>
      </c>
      <c r="AB2267" s="149"/>
      <c r="AC2267" s="149"/>
      <c r="AD2267" s="150" t="e">
        <f t="shared" si="772"/>
        <v>#DIV/0!</v>
      </c>
      <c r="AE2267" s="154" t="e">
        <f t="shared" si="773"/>
        <v>#DIV/0!</v>
      </c>
      <c r="AF2267" s="150" t="e">
        <f t="shared" si="774"/>
        <v>#DIV/0!</v>
      </c>
      <c r="AG2267" s="150" t="e">
        <f t="shared" si="775"/>
        <v>#DIV/0!</v>
      </c>
      <c r="AH2267" s="155" t="e">
        <f t="shared" si="776"/>
        <v>#DIV/0!</v>
      </c>
      <c r="AI2267" s="156" t="e">
        <f t="shared" si="756"/>
        <v>#DIV/0!</v>
      </c>
      <c r="AJ2267" s="149"/>
      <c r="AK2267" s="149"/>
      <c r="AL2267" s="157"/>
      <c r="AM2267" s="157"/>
      <c r="AN2267" s="157"/>
      <c r="AO2267" s="157"/>
      <c r="AP2267" s="157"/>
      <c r="AQ2267" s="157"/>
      <c r="AR2267" s="157"/>
    </row>
    <row r="2268" spans="1:44" ht="16.8">
      <c r="A2268" s="145">
        <v>162</v>
      </c>
      <c r="B2268" s="145">
        <v>950</v>
      </c>
      <c r="C2268" s="145" t="s">
        <v>4327</v>
      </c>
      <c r="D2268" s="146" t="s">
        <v>4328</v>
      </c>
      <c r="E2268" s="147" t="s">
        <v>178</v>
      </c>
      <c r="F2268" s="148"/>
      <c r="G2268" s="148"/>
      <c r="H2268" s="149"/>
      <c r="I2268" s="149"/>
      <c r="J2268" s="149"/>
      <c r="K2268" s="149"/>
      <c r="L2268" s="149"/>
      <c r="M2268" s="149">
        <f t="shared" si="790"/>
        <v>0</v>
      </c>
      <c r="N2268" s="149"/>
      <c r="O2268" s="149">
        <f t="shared" si="744"/>
        <v>0</v>
      </c>
      <c r="P2268" s="149"/>
      <c r="Q2268" s="149"/>
      <c r="R2268" s="149">
        <f t="shared" si="745"/>
        <v>0</v>
      </c>
      <c r="S2268" s="150" t="e">
        <f t="shared" si="746"/>
        <v>#DIV/0!</v>
      </c>
      <c r="T2268" s="151" t="e">
        <f t="shared" si="747"/>
        <v>#DIV/0!</v>
      </c>
      <c r="U2268" s="150" t="e">
        <f t="shared" si="748"/>
        <v>#NUM!</v>
      </c>
      <c r="V2268" s="150" t="e">
        <f t="shared" si="749"/>
        <v>#DIV/0!</v>
      </c>
      <c r="W2268" s="152"/>
      <c r="X2268" s="152"/>
      <c r="Y2268" s="152"/>
      <c r="Z2268" s="153">
        <f t="shared" si="793"/>
        <v>0</v>
      </c>
      <c r="AA2268" s="148">
        <f t="shared" si="784"/>
        <v>0</v>
      </c>
      <c r="AB2268" s="149"/>
      <c r="AC2268" s="149"/>
      <c r="AD2268" s="150" t="e">
        <f t="shared" si="772"/>
        <v>#DIV/0!</v>
      </c>
      <c r="AE2268" s="154" t="e">
        <f t="shared" si="773"/>
        <v>#DIV/0!</v>
      </c>
      <c r="AF2268" s="150" t="e">
        <f t="shared" si="774"/>
        <v>#DIV/0!</v>
      </c>
      <c r="AG2268" s="150" t="e">
        <f t="shared" si="775"/>
        <v>#DIV/0!</v>
      </c>
      <c r="AH2268" s="155" t="e">
        <f t="shared" si="776"/>
        <v>#DIV/0!</v>
      </c>
      <c r="AI2268" s="156" t="e">
        <f t="shared" si="756"/>
        <v>#DIV/0!</v>
      </c>
      <c r="AJ2268" s="149"/>
      <c r="AK2268" s="149"/>
      <c r="AL2268" s="157"/>
      <c r="AM2268" s="157"/>
      <c r="AN2268" s="157"/>
      <c r="AO2268" s="157"/>
      <c r="AP2268" s="157"/>
      <c r="AQ2268" s="157"/>
      <c r="AR2268" s="157"/>
    </row>
    <row r="2269" spans="1:44" ht="16.8">
      <c r="A2269" s="145">
        <v>163</v>
      </c>
      <c r="B2269" s="145">
        <v>951</v>
      </c>
      <c r="C2269" s="145" t="s">
        <v>4329</v>
      </c>
      <c r="D2269" s="146" t="s">
        <v>4330</v>
      </c>
      <c r="E2269" s="147" t="s">
        <v>1371</v>
      </c>
      <c r="F2269" s="148"/>
      <c r="G2269" s="148"/>
      <c r="H2269" s="149"/>
      <c r="I2269" s="149"/>
      <c r="J2269" s="149"/>
      <c r="K2269" s="149"/>
      <c r="L2269" s="149"/>
      <c r="M2269" s="149">
        <f t="shared" si="790"/>
        <v>0</v>
      </c>
      <c r="N2269" s="149"/>
      <c r="O2269" s="149">
        <f t="shared" si="744"/>
        <v>0</v>
      </c>
      <c r="P2269" s="149"/>
      <c r="Q2269" s="149"/>
      <c r="R2269" s="149">
        <f t="shared" si="745"/>
        <v>0</v>
      </c>
      <c r="S2269" s="150" t="e">
        <f t="shared" si="746"/>
        <v>#DIV/0!</v>
      </c>
      <c r="T2269" s="151" t="e">
        <f t="shared" si="747"/>
        <v>#DIV/0!</v>
      </c>
      <c r="U2269" s="150" t="e">
        <f t="shared" si="748"/>
        <v>#NUM!</v>
      </c>
      <c r="V2269" s="150" t="e">
        <f t="shared" si="749"/>
        <v>#DIV/0!</v>
      </c>
      <c r="W2269" s="152"/>
      <c r="X2269" s="152"/>
      <c r="Y2269" s="152"/>
      <c r="Z2269" s="153">
        <f t="shared" si="793"/>
        <v>0</v>
      </c>
      <c r="AA2269" s="148">
        <f t="shared" si="784"/>
        <v>0</v>
      </c>
      <c r="AB2269" s="149"/>
      <c r="AC2269" s="149"/>
      <c r="AD2269" s="150" t="e">
        <f t="shared" si="772"/>
        <v>#DIV/0!</v>
      </c>
      <c r="AE2269" s="154" t="e">
        <f t="shared" si="773"/>
        <v>#DIV/0!</v>
      </c>
      <c r="AF2269" s="150" t="e">
        <f t="shared" si="774"/>
        <v>#DIV/0!</v>
      </c>
      <c r="AG2269" s="150" t="e">
        <f t="shared" si="775"/>
        <v>#DIV/0!</v>
      </c>
      <c r="AH2269" s="155" t="e">
        <f t="shared" si="776"/>
        <v>#DIV/0!</v>
      </c>
      <c r="AI2269" s="156" t="e">
        <f t="shared" si="756"/>
        <v>#DIV/0!</v>
      </c>
      <c r="AJ2269" s="149"/>
      <c r="AK2269" s="149"/>
      <c r="AL2269" s="157"/>
      <c r="AM2269" s="157"/>
      <c r="AN2269" s="157"/>
      <c r="AO2269" s="157"/>
      <c r="AP2269" s="157"/>
      <c r="AQ2269" s="157"/>
      <c r="AR2269" s="157"/>
    </row>
    <row r="2270" spans="1:44" ht="16.8">
      <c r="A2270" s="145">
        <v>164</v>
      </c>
      <c r="B2270" s="145">
        <v>952</v>
      </c>
      <c r="C2270" s="145" t="s">
        <v>4331</v>
      </c>
      <c r="D2270" s="146" t="s">
        <v>4332</v>
      </c>
      <c r="E2270" s="147" t="s">
        <v>178</v>
      </c>
      <c r="F2270" s="148"/>
      <c r="G2270" s="148"/>
      <c r="H2270" s="149"/>
      <c r="I2270" s="149"/>
      <c r="J2270" s="149"/>
      <c r="K2270" s="149"/>
      <c r="L2270" s="149"/>
      <c r="M2270" s="149">
        <f t="shared" si="790"/>
        <v>0</v>
      </c>
      <c r="N2270" s="149"/>
      <c r="O2270" s="149">
        <f t="shared" si="744"/>
        <v>0</v>
      </c>
      <c r="P2270" s="149"/>
      <c r="Q2270" s="149"/>
      <c r="R2270" s="149">
        <f t="shared" si="745"/>
        <v>0</v>
      </c>
      <c r="S2270" s="150" t="e">
        <f t="shared" si="746"/>
        <v>#DIV/0!</v>
      </c>
      <c r="T2270" s="151" t="e">
        <f t="shared" si="747"/>
        <v>#DIV/0!</v>
      </c>
      <c r="U2270" s="150" t="e">
        <f t="shared" si="748"/>
        <v>#NUM!</v>
      </c>
      <c r="V2270" s="150" t="e">
        <f t="shared" si="749"/>
        <v>#DIV/0!</v>
      </c>
      <c r="W2270" s="152"/>
      <c r="X2270" s="152"/>
      <c r="Y2270" s="152"/>
      <c r="Z2270" s="153">
        <f t="shared" si="793"/>
        <v>0</v>
      </c>
      <c r="AA2270" s="148">
        <f t="shared" si="784"/>
        <v>0</v>
      </c>
      <c r="AB2270" s="149"/>
      <c r="AC2270" s="149"/>
      <c r="AD2270" s="150" t="e">
        <f t="shared" si="772"/>
        <v>#DIV/0!</v>
      </c>
      <c r="AE2270" s="154" t="e">
        <f t="shared" si="773"/>
        <v>#DIV/0!</v>
      </c>
      <c r="AF2270" s="150" t="e">
        <f t="shared" si="774"/>
        <v>#DIV/0!</v>
      </c>
      <c r="AG2270" s="150" t="e">
        <f t="shared" si="775"/>
        <v>#DIV/0!</v>
      </c>
      <c r="AH2270" s="155" t="e">
        <f t="shared" si="776"/>
        <v>#DIV/0!</v>
      </c>
      <c r="AI2270" s="156" t="e">
        <f t="shared" si="756"/>
        <v>#DIV/0!</v>
      </c>
      <c r="AJ2270" s="149"/>
      <c r="AK2270" s="149"/>
      <c r="AL2270" s="157"/>
      <c r="AM2270" s="157"/>
      <c r="AN2270" s="157"/>
      <c r="AO2270" s="157"/>
      <c r="AP2270" s="157"/>
      <c r="AQ2270" s="157"/>
      <c r="AR2270" s="157"/>
    </row>
    <row r="2271" spans="1:44" ht="16.8">
      <c r="A2271" s="145">
        <v>165</v>
      </c>
      <c r="B2271" s="145">
        <v>953</v>
      </c>
      <c r="C2271" s="145" t="s">
        <v>4333</v>
      </c>
      <c r="D2271" s="146" t="s">
        <v>4334</v>
      </c>
      <c r="E2271" s="147" t="s">
        <v>178</v>
      </c>
      <c r="F2271" s="148"/>
      <c r="G2271" s="148"/>
      <c r="H2271" s="149"/>
      <c r="I2271" s="149"/>
      <c r="J2271" s="149"/>
      <c r="K2271" s="149"/>
      <c r="L2271" s="149"/>
      <c r="M2271" s="149">
        <f t="shared" si="790"/>
        <v>0</v>
      </c>
      <c r="N2271" s="149"/>
      <c r="O2271" s="149">
        <f t="shared" si="744"/>
        <v>0</v>
      </c>
      <c r="P2271" s="149"/>
      <c r="Q2271" s="149"/>
      <c r="R2271" s="149">
        <f t="shared" si="745"/>
        <v>0</v>
      </c>
      <c r="S2271" s="150" t="e">
        <f t="shared" si="746"/>
        <v>#DIV/0!</v>
      </c>
      <c r="T2271" s="151" t="e">
        <f t="shared" si="747"/>
        <v>#DIV/0!</v>
      </c>
      <c r="U2271" s="150" t="e">
        <f t="shared" si="748"/>
        <v>#NUM!</v>
      </c>
      <c r="V2271" s="150" t="e">
        <f t="shared" si="749"/>
        <v>#DIV/0!</v>
      </c>
      <c r="W2271" s="152"/>
      <c r="X2271" s="152"/>
      <c r="Y2271" s="152"/>
      <c r="Z2271" s="153">
        <f t="shared" si="793"/>
        <v>0</v>
      </c>
      <c r="AA2271" s="148">
        <f t="shared" si="784"/>
        <v>0</v>
      </c>
      <c r="AB2271" s="149"/>
      <c r="AC2271" s="149"/>
      <c r="AD2271" s="150" t="e">
        <f t="shared" si="772"/>
        <v>#DIV/0!</v>
      </c>
      <c r="AE2271" s="154" t="e">
        <f t="shared" si="773"/>
        <v>#DIV/0!</v>
      </c>
      <c r="AF2271" s="150" t="e">
        <f t="shared" si="774"/>
        <v>#DIV/0!</v>
      </c>
      <c r="AG2271" s="150" t="e">
        <f t="shared" si="775"/>
        <v>#DIV/0!</v>
      </c>
      <c r="AH2271" s="155" t="e">
        <f t="shared" si="776"/>
        <v>#DIV/0!</v>
      </c>
      <c r="AI2271" s="156" t="e">
        <f t="shared" si="756"/>
        <v>#DIV/0!</v>
      </c>
      <c r="AJ2271" s="149"/>
      <c r="AK2271" s="149"/>
      <c r="AL2271" s="157"/>
      <c r="AM2271" s="157"/>
      <c r="AN2271" s="157"/>
      <c r="AO2271" s="157"/>
      <c r="AP2271" s="157"/>
      <c r="AQ2271" s="157"/>
      <c r="AR2271" s="157"/>
    </row>
    <row r="2272" spans="1:44" ht="16.8">
      <c r="A2272" s="145">
        <v>166</v>
      </c>
      <c r="B2272" s="145">
        <v>954</v>
      </c>
      <c r="C2272" s="145" t="s">
        <v>4335</v>
      </c>
      <c r="D2272" s="146" t="s">
        <v>4336</v>
      </c>
      <c r="E2272" s="147" t="s">
        <v>178</v>
      </c>
      <c r="F2272" s="148"/>
      <c r="G2272" s="148"/>
      <c r="H2272" s="149"/>
      <c r="I2272" s="149"/>
      <c r="J2272" s="149"/>
      <c r="K2272" s="149"/>
      <c r="L2272" s="149"/>
      <c r="M2272" s="149">
        <f t="shared" si="790"/>
        <v>0</v>
      </c>
      <c r="N2272" s="149"/>
      <c r="O2272" s="149">
        <f t="shared" si="744"/>
        <v>0</v>
      </c>
      <c r="P2272" s="149"/>
      <c r="Q2272" s="149"/>
      <c r="R2272" s="149">
        <f t="shared" si="745"/>
        <v>0</v>
      </c>
      <c r="S2272" s="150" t="e">
        <f t="shared" si="746"/>
        <v>#DIV/0!</v>
      </c>
      <c r="T2272" s="151" t="e">
        <f t="shared" si="747"/>
        <v>#DIV/0!</v>
      </c>
      <c r="U2272" s="150" t="e">
        <f t="shared" si="748"/>
        <v>#NUM!</v>
      </c>
      <c r="V2272" s="150" t="e">
        <f t="shared" si="749"/>
        <v>#DIV/0!</v>
      </c>
      <c r="W2272" s="152"/>
      <c r="X2272" s="152"/>
      <c r="Y2272" s="152"/>
      <c r="Z2272" s="153">
        <f t="shared" si="793"/>
        <v>0</v>
      </c>
      <c r="AA2272" s="148">
        <f t="shared" si="784"/>
        <v>0</v>
      </c>
      <c r="AB2272" s="149"/>
      <c r="AC2272" s="149"/>
      <c r="AD2272" s="150" t="e">
        <f t="shared" si="772"/>
        <v>#DIV/0!</v>
      </c>
      <c r="AE2272" s="154" t="e">
        <f t="shared" si="773"/>
        <v>#DIV/0!</v>
      </c>
      <c r="AF2272" s="150" t="e">
        <f t="shared" si="774"/>
        <v>#DIV/0!</v>
      </c>
      <c r="AG2272" s="150" t="e">
        <f t="shared" si="775"/>
        <v>#DIV/0!</v>
      </c>
      <c r="AH2272" s="155" t="e">
        <f t="shared" si="776"/>
        <v>#DIV/0!</v>
      </c>
      <c r="AI2272" s="156" t="e">
        <f t="shared" si="756"/>
        <v>#DIV/0!</v>
      </c>
      <c r="AJ2272" s="149"/>
      <c r="AK2272" s="149"/>
      <c r="AL2272" s="157"/>
      <c r="AM2272" s="157"/>
      <c r="AN2272" s="157"/>
      <c r="AO2272" s="157"/>
      <c r="AP2272" s="157"/>
      <c r="AQ2272" s="157"/>
      <c r="AR2272" s="157"/>
    </row>
    <row r="2273" spans="1:44" ht="16.8">
      <c r="A2273" s="145">
        <v>167</v>
      </c>
      <c r="B2273" s="145">
        <v>955</v>
      </c>
      <c r="C2273" s="145" t="s">
        <v>4337</v>
      </c>
      <c r="D2273" s="146" t="s">
        <v>4338</v>
      </c>
      <c r="E2273" s="147" t="s">
        <v>1371</v>
      </c>
      <c r="F2273" s="148"/>
      <c r="G2273" s="148"/>
      <c r="H2273" s="149"/>
      <c r="I2273" s="149"/>
      <c r="J2273" s="149"/>
      <c r="K2273" s="149"/>
      <c r="L2273" s="149"/>
      <c r="M2273" s="149">
        <f t="shared" si="790"/>
        <v>0</v>
      </c>
      <c r="N2273" s="149"/>
      <c r="O2273" s="149">
        <f t="shared" si="744"/>
        <v>0</v>
      </c>
      <c r="P2273" s="149"/>
      <c r="Q2273" s="149"/>
      <c r="R2273" s="149">
        <f t="shared" si="745"/>
        <v>0</v>
      </c>
      <c r="S2273" s="150" t="e">
        <f t="shared" si="746"/>
        <v>#DIV/0!</v>
      </c>
      <c r="T2273" s="151" t="e">
        <f t="shared" si="747"/>
        <v>#DIV/0!</v>
      </c>
      <c r="U2273" s="150" t="e">
        <f t="shared" si="748"/>
        <v>#NUM!</v>
      </c>
      <c r="V2273" s="150" t="e">
        <f t="shared" si="749"/>
        <v>#DIV/0!</v>
      </c>
      <c r="W2273" s="152"/>
      <c r="X2273" s="152"/>
      <c r="Y2273" s="152"/>
      <c r="Z2273" s="153">
        <f t="shared" si="793"/>
        <v>0</v>
      </c>
      <c r="AA2273" s="148">
        <f t="shared" si="784"/>
        <v>0</v>
      </c>
      <c r="AB2273" s="149"/>
      <c r="AC2273" s="149"/>
      <c r="AD2273" s="150" t="e">
        <f t="shared" si="772"/>
        <v>#DIV/0!</v>
      </c>
      <c r="AE2273" s="154" t="e">
        <f t="shared" si="773"/>
        <v>#DIV/0!</v>
      </c>
      <c r="AF2273" s="150" t="e">
        <f t="shared" si="774"/>
        <v>#DIV/0!</v>
      </c>
      <c r="AG2273" s="150" t="e">
        <f t="shared" si="775"/>
        <v>#DIV/0!</v>
      </c>
      <c r="AH2273" s="155" t="e">
        <f t="shared" si="776"/>
        <v>#DIV/0!</v>
      </c>
      <c r="AI2273" s="156" t="e">
        <f t="shared" si="756"/>
        <v>#DIV/0!</v>
      </c>
      <c r="AJ2273" s="149"/>
      <c r="AK2273" s="149"/>
      <c r="AL2273" s="157"/>
      <c r="AM2273" s="157"/>
      <c r="AN2273" s="157"/>
      <c r="AO2273" s="157"/>
      <c r="AP2273" s="157"/>
      <c r="AQ2273" s="157"/>
      <c r="AR2273" s="157"/>
    </row>
    <row r="2274" spans="1:44" ht="16.8">
      <c r="A2274" s="145">
        <v>168</v>
      </c>
      <c r="B2274" s="145">
        <v>956</v>
      </c>
      <c r="C2274" s="145" t="s">
        <v>4339</v>
      </c>
      <c r="D2274" s="146" t="s">
        <v>4340</v>
      </c>
      <c r="E2274" s="147" t="s">
        <v>1371</v>
      </c>
      <c r="F2274" s="148"/>
      <c r="G2274" s="148"/>
      <c r="H2274" s="149"/>
      <c r="I2274" s="149"/>
      <c r="J2274" s="149"/>
      <c r="K2274" s="149"/>
      <c r="L2274" s="149"/>
      <c r="M2274" s="149">
        <f t="shared" si="790"/>
        <v>0</v>
      </c>
      <c r="N2274" s="149"/>
      <c r="O2274" s="149">
        <f t="shared" si="744"/>
        <v>0</v>
      </c>
      <c r="P2274" s="149"/>
      <c r="Q2274" s="149"/>
      <c r="R2274" s="149">
        <f t="shared" si="745"/>
        <v>0</v>
      </c>
      <c r="S2274" s="150" t="e">
        <f t="shared" si="746"/>
        <v>#DIV/0!</v>
      </c>
      <c r="T2274" s="151" t="e">
        <f t="shared" si="747"/>
        <v>#DIV/0!</v>
      </c>
      <c r="U2274" s="150" t="e">
        <f t="shared" si="748"/>
        <v>#NUM!</v>
      </c>
      <c r="V2274" s="150" t="e">
        <f t="shared" si="749"/>
        <v>#DIV/0!</v>
      </c>
      <c r="W2274" s="152"/>
      <c r="X2274" s="152"/>
      <c r="Y2274" s="152"/>
      <c r="Z2274" s="153">
        <f t="shared" si="793"/>
        <v>0</v>
      </c>
      <c r="AA2274" s="148">
        <f t="shared" si="784"/>
        <v>0</v>
      </c>
      <c r="AB2274" s="149"/>
      <c r="AC2274" s="149"/>
      <c r="AD2274" s="150" t="e">
        <f t="shared" si="772"/>
        <v>#DIV/0!</v>
      </c>
      <c r="AE2274" s="154" t="e">
        <f t="shared" si="773"/>
        <v>#DIV/0!</v>
      </c>
      <c r="AF2274" s="150" t="e">
        <f t="shared" si="774"/>
        <v>#DIV/0!</v>
      </c>
      <c r="AG2274" s="150" t="e">
        <f t="shared" si="775"/>
        <v>#DIV/0!</v>
      </c>
      <c r="AH2274" s="155" t="e">
        <f t="shared" si="776"/>
        <v>#DIV/0!</v>
      </c>
      <c r="AI2274" s="156" t="e">
        <f t="shared" si="756"/>
        <v>#DIV/0!</v>
      </c>
      <c r="AJ2274" s="149"/>
      <c r="AK2274" s="149"/>
      <c r="AL2274" s="157"/>
      <c r="AM2274" s="157"/>
      <c r="AN2274" s="157"/>
      <c r="AO2274" s="157"/>
      <c r="AP2274" s="157"/>
      <c r="AQ2274" s="157"/>
      <c r="AR2274" s="157"/>
    </row>
    <row r="2275" spans="1:44" ht="16.8">
      <c r="A2275" s="145">
        <v>169</v>
      </c>
      <c r="B2275" s="145">
        <v>957</v>
      </c>
      <c r="C2275" s="145" t="s">
        <v>4341</v>
      </c>
      <c r="D2275" s="146" t="s">
        <v>4342</v>
      </c>
      <c r="E2275" s="147" t="s">
        <v>178</v>
      </c>
      <c r="F2275" s="148"/>
      <c r="G2275" s="148"/>
      <c r="H2275" s="149"/>
      <c r="I2275" s="149"/>
      <c r="J2275" s="149"/>
      <c r="K2275" s="149"/>
      <c r="L2275" s="149"/>
      <c r="M2275" s="149">
        <f t="shared" si="790"/>
        <v>0</v>
      </c>
      <c r="N2275" s="149"/>
      <c r="O2275" s="149">
        <f t="shared" si="744"/>
        <v>0</v>
      </c>
      <c r="P2275" s="149"/>
      <c r="Q2275" s="149"/>
      <c r="R2275" s="149">
        <f t="shared" si="745"/>
        <v>0</v>
      </c>
      <c r="S2275" s="150" t="e">
        <f t="shared" si="746"/>
        <v>#DIV/0!</v>
      </c>
      <c r="T2275" s="151" t="e">
        <f t="shared" si="747"/>
        <v>#DIV/0!</v>
      </c>
      <c r="U2275" s="150" t="e">
        <f t="shared" si="748"/>
        <v>#NUM!</v>
      </c>
      <c r="V2275" s="150" t="e">
        <f t="shared" si="749"/>
        <v>#DIV/0!</v>
      </c>
      <c r="W2275" s="152"/>
      <c r="X2275" s="152"/>
      <c r="Y2275" s="152"/>
      <c r="Z2275" s="153">
        <f t="shared" si="793"/>
        <v>0</v>
      </c>
      <c r="AA2275" s="148">
        <f t="shared" si="784"/>
        <v>0</v>
      </c>
      <c r="AB2275" s="149"/>
      <c r="AC2275" s="149"/>
      <c r="AD2275" s="150" t="e">
        <f t="shared" si="772"/>
        <v>#DIV/0!</v>
      </c>
      <c r="AE2275" s="154" t="e">
        <f t="shared" si="773"/>
        <v>#DIV/0!</v>
      </c>
      <c r="AF2275" s="150" t="e">
        <f t="shared" si="774"/>
        <v>#DIV/0!</v>
      </c>
      <c r="AG2275" s="150" t="e">
        <f t="shared" si="775"/>
        <v>#DIV/0!</v>
      </c>
      <c r="AH2275" s="155" t="e">
        <f t="shared" si="776"/>
        <v>#DIV/0!</v>
      </c>
      <c r="AI2275" s="156" t="e">
        <f t="shared" si="756"/>
        <v>#DIV/0!</v>
      </c>
      <c r="AJ2275" s="149"/>
      <c r="AK2275" s="149"/>
      <c r="AL2275" s="157"/>
      <c r="AM2275" s="157"/>
      <c r="AN2275" s="157"/>
      <c r="AO2275" s="157"/>
      <c r="AP2275" s="157"/>
      <c r="AQ2275" s="157"/>
      <c r="AR2275" s="157"/>
    </row>
    <row r="2276" spans="1:44" ht="16.8">
      <c r="A2276" s="145">
        <v>170</v>
      </c>
      <c r="B2276" s="145">
        <v>958</v>
      </c>
      <c r="C2276" s="145" t="s">
        <v>4343</v>
      </c>
      <c r="D2276" s="146" t="s">
        <v>4344</v>
      </c>
      <c r="E2276" s="147" t="s">
        <v>1371</v>
      </c>
      <c r="F2276" s="148"/>
      <c r="G2276" s="148"/>
      <c r="H2276" s="149"/>
      <c r="I2276" s="149"/>
      <c r="J2276" s="149"/>
      <c r="K2276" s="149"/>
      <c r="L2276" s="149"/>
      <c r="M2276" s="149">
        <f t="shared" si="790"/>
        <v>0</v>
      </c>
      <c r="N2276" s="149"/>
      <c r="O2276" s="149">
        <f t="shared" si="744"/>
        <v>0</v>
      </c>
      <c r="P2276" s="149"/>
      <c r="Q2276" s="149"/>
      <c r="R2276" s="149">
        <f t="shared" si="745"/>
        <v>0</v>
      </c>
      <c r="S2276" s="150" t="e">
        <f t="shared" si="746"/>
        <v>#DIV/0!</v>
      </c>
      <c r="T2276" s="151" t="e">
        <f t="shared" si="747"/>
        <v>#DIV/0!</v>
      </c>
      <c r="U2276" s="150" t="e">
        <f t="shared" si="748"/>
        <v>#NUM!</v>
      </c>
      <c r="V2276" s="150" t="e">
        <f t="shared" si="749"/>
        <v>#DIV/0!</v>
      </c>
      <c r="W2276" s="152"/>
      <c r="X2276" s="152"/>
      <c r="Y2276" s="152"/>
      <c r="Z2276" s="153">
        <f t="shared" si="793"/>
        <v>0</v>
      </c>
      <c r="AA2276" s="148">
        <f t="shared" si="784"/>
        <v>0</v>
      </c>
      <c r="AB2276" s="149"/>
      <c r="AC2276" s="149"/>
      <c r="AD2276" s="150" t="e">
        <f t="shared" si="772"/>
        <v>#DIV/0!</v>
      </c>
      <c r="AE2276" s="154" t="e">
        <f t="shared" si="773"/>
        <v>#DIV/0!</v>
      </c>
      <c r="AF2276" s="150" t="e">
        <f t="shared" si="774"/>
        <v>#DIV/0!</v>
      </c>
      <c r="AG2276" s="150" t="e">
        <f t="shared" si="775"/>
        <v>#DIV/0!</v>
      </c>
      <c r="AH2276" s="155" t="e">
        <f t="shared" si="776"/>
        <v>#DIV/0!</v>
      </c>
      <c r="AI2276" s="156" t="e">
        <f t="shared" si="756"/>
        <v>#DIV/0!</v>
      </c>
      <c r="AJ2276" s="149"/>
      <c r="AK2276" s="149"/>
      <c r="AL2276" s="157"/>
      <c r="AM2276" s="157"/>
      <c r="AN2276" s="157"/>
      <c r="AO2276" s="157"/>
      <c r="AP2276" s="157"/>
      <c r="AQ2276" s="157"/>
      <c r="AR2276" s="157"/>
    </row>
    <row r="2277" spans="1:44" ht="16.8">
      <c r="A2277" s="64" t="s">
        <v>4345</v>
      </c>
      <c r="B2277" s="62">
        <v>959</v>
      </c>
      <c r="C2277" s="62" t="s">
        <v>4346</v>
      </c>
      <c r="D2277" s="19" t="s">
        <v>4347</v>
      </c>
      <c r="E2277" s="20" t="s">
        <v>414</v>
      </c>
      <c r="F2277" s="21">
        <v>1974</v>
      </c>
      <c r="G2277" s="40">
        <v>2021</v>
      </c>
      <c r="H2277" s="23">
        <v>1389055404965</v>
      </c>
      <c r="I2277" s="23">
        <v>33963489243390</v>
      </c>
      <c r="J2277" s="23">
        <v>26287351952886</v>
      </c>
      <c r="K2277" s="23">
        <f>(J2277+25032427964869)/2</f>
        <v>25659889958877.5</v>
      </c>
      <c r="L2277" s="23">
        <v>3234517131998</v>
      </c>
      <c r="M2277" s="23">
        <f t="shared" si="790"/>
        <v>7676137290504</v>
      </c>
      <c r="N2277" s="23">
        <v>1861340178631</v>
      </c>
      <c r="O2277" s="25">
        <f t="shared" si="744"/>
        <v>-1845461727033</v>
      </c>
      <c r="P2277" s="23">
        <v>290647185327</v>
      </c>
      <c r="Q2277" s="23">
        <v>94936165786</v>
      </c>
      <c r="R2277" s="25">
        <f t="shared" si="745"/>
        <v>1766404012845</v>
      </c>
      <c r="S2277" s="26">
        <f t="shared" si="746"/>
        <v>0.77398855472430783</v>
      </c>
      <c r="T2277" s="27">
        <f t="shared" si="747"/>
        <v>0.42944753367466748</v>
      </c>
      <c r="U2277" s="26">
        <f t="shared" si="748"/>
        <v>31.156307217776583</v>
      </c>
      <c r="V2277" s="26">
        <f t="shared" si="749"/>
        <v>7.2538899489202058E-2</v>
      </c>
      <c r="W2277" s="143"/>
      <c r="X2277" s="143"/>
      <c r="Y2277" s="143"/>
      <c r="Z2277" s="30">
        <f t="shared" ref="Z2277:Z2279" si="794">X2277*Y2277</f>
        <v>0</v>
      </c>
      <c r="AA2277" s="31">
        <f t="shared" si="784"/>
        <v>47</v>
      </c>
      <c r="AB2277" s="32">
        <v>1.84E-2</v>
      </c>
      <c r="AC2277" s="32">
        <v>2.58E-2</v>
      </c>
      <c r="AD2277" s="33">
        <f t="shared" si="772"/>
        <v>-5.4336635255818576E-2</v>
      </c>
      <c r="AE2277" s="34">
        <f t="shared" si="773"/>
        <v>8.5576362088169711E-3</v>
      </c>
      <c r="AF2277" s="33">
        <f t="shared" si="774"/>
        <v>5.2008908748643334E-2</v>
      </c>
      <c r="AG2277" s="33">
        <f t="shared" si="775"/>
        <v>0</v>
      </c>
      <c r="AH2277" s="35">
        <f t="shared" si="776"/>
        <v>7.0807443137179502E-2</v>
      </c>
      <c r="AI2277" s="36">
        <f t="shared" si="756"/>
        <v>0.18921357039306397</v>
      </c>
      <c r="AJ2277" s="23"/>
      <c r="AK2277" s="120">
        <v>1252</v>
      </c>
      <c r="AL2277" s="44"/>
      <c r="AM2277" s="44"/>
      <c r="AN2277" s="44"/>
      <c r="AO2277" s="44"/>
      <c r="AP2277" s="44"/>
      <c r="AQ2277" s="44"/>
      <c r="AR2277" s="44"/>
    </row>
    <row r="2278" spans="1:44" ht="16.8">
      <c r="A2278" s="64" t="s">
        <v>4348</v>
      </c>
      <c r="B2278" s="62"/>
      <c r="C2278" s="62" t="s">
        <v>4346</v>
      </c>
      <c r="D2278" s="19" t="s">
        <v>4347</v>
      </c>
      <c r="E2278" s="20" t="s">
        <v>414</v>
      </c>
      <c r="F2278" s="21">
        <v>1974</v>
      </c>
      <c r="G2278" s="40">
        <v>2022</v>
      </c>
      <c r="H2278" s="23">
        <v>1183826382647</v>
      </c>
      <c r="I2278" s="23">
        <v>35653232484507</v>
      </c>
      <c r="J2278" s="23">
        <v>27277719205133</v>
      </c>
      <c r="K2278" s="23">
        <f t="shared" ref="K2278:K2279" si="795">SUM(J2277:J2278)/2</f>
        <v>26782535579009.5</v>
      </c>
      <c r="L2278" s="23">
        <v>3857252850108</v>
      </c>
      <c r="M2278" s="23">
        <f t="shared" si="790"/>
        <v>8375513279374</v>
      </c>
      <c r="N2278" s="23">
        <v>2094582751424</v>
      </c>
      <c r="O2278" s="25">
        <f t="shared" si="744"/>
        <v>-2673426467461</v>
      </c>
      <c r="P2278" s="23">
        <v>297409288870</v>
      </c>
      <c r="Q2278" s="23">
        <v>72874475153</v>
      </c>
      <c r="R2278" s="25">
        <f t="shared" si="745"/>
        <v>2021708276271</v>
      </c>
      <c r="S2278" s="26">
        <f t="shared" si="746"/>
        <v>0.76508404159388488</v>
      </c>
      <c r="T2278" s="27">
        <f t="shared" si="747"/>
        <v>0.30690919902071079</v>
      </c>
      <c r="U2278" s="26">
        <f t="shared" si="748"/>
        <v>31.204860931455521</v>
      </c>
      <c r="V2278" s="26">
        <f t="shared" si="749"/>
        <v>7.8207037016525233E-2</v>
      </c>
      <c r="W2278" s="143"/>
      <c r="X2278" s="143"/>
      <c r="Y2278" s="143"/>
      <c r="Z2278" s="30">
        <f t="shared" si="794"/>
        <v>0</v>
      </c>
      <c r="AA2278" s="31">
        <f t="shared" si="784"/>
        <v>48</v>
      </c>
      <c r="AB2278" s="32">
        <v>3.15E-2</v>
      </c>
      <c r="AC2278" s="32">
        <v>8.0199999999999994E-2</v>
      </c>
      <c r="AD2278" s="33">
        <f t="shared" si="772"/>
        <v>-7.4984125734538346E-2</v>
      </c>
      <c r="AE2278" s="34">
        <f t="shared" si="773"/>
        <v>8.341720179207826E-3</v>
      </c>
      <c r="AF2278" s="33">
        <f t="shared" si="774"/>
        <v>5.6704767994024859E-2</v>
      </c>
      <c r="AG2278" s="33">
        <f t="shared" si="775"/>
        <v>0</v>
      </c>
      <c r="AH2278" s="35">
        <f t="shared" si="776"/>
        <v>7.6787312592830365E-2</v>
      </c>
      <c r="AI2278" s="36">
        <f t="shared" si="756"/>
        <v>0.18561050434255733</v>
      </c>
      <c r="AJ2278" s="23"/>
      <c r="AK2278" s="120">
        <v>1253</v>
      </c>
      <c r="AL2278" s="44"/>
      <c r="AM2278" s="44"/>
      <c r="AN2278" s="44"/>
      <c r="AO2278" s="44"/>
      <c r="AP2278" s="44"/>
      <c r="AQ2278" s="44"/>
      <c r="AR2278" s="44"/>
    </row>
    <row r="2279" spans="1:44" ht="16.8">
      <c r="A2279" s="64" t="s">
        <v>4349</v>
      </c>
      <c r="B2279" s="62"/>
      <c r="C2279" s="62" t="s">
        <v>4346</v>
      </c>
      <c r="D2279" s="19" t="s">
        <v>4347</v>
      </c>
      <c r="E2279" s="20" t="s">
        <v>414</v>
      </c>
      <c r="F2279" s="21">
        <v>1974</v>
      </c>
      <c r="G2279" s="40">
        <v>2023</v>
      </c>
      <c r="H2279" s="23">
        <v>1175974314357</v>
      </c>
      <c r="I2279" s="23">
        <v>36780154788883</v>
      </c>
      <c r="J2279" s="23">
        <v>28047253459419</v>
      </c>
      <c r="K2279" s="23">
        <f t="shared" si="795"/>
        <v>27662486332276</v>
      </c>
      <c r="L2279" s="23">
        <v>3143895667433</v>
      </c>
      <c r="M2279" s="23">
        <f t="shared" si="790"/>
        <v>8732901329464</v>
      </c>
      <c r="N2279" s="23">
        <v>2685542239251</v>
      </c>
      <c r="O2279" s="25">
        <f t="shared" si="744"/>
        <v>-1967921353076</v>
      </c>
      <c r="P2279" s="23">
        <v>364457217861</v>
      </c>
      <c r="Q2279" s="23">
        <v>60780235502</v>
      </c>
      <c r="R2279" s="25">
        <f t="shared" si="745"/>
        <v>2624762003749</v>
      </c>
      <c r="S2279" s="26">
        <f t="shared" si="746"/>
        <v>0.76256485652138783</v>
      </c>
      <c r="T2279" s="27">
        <f t="shared" si="747"/>
        <v>0.37405004451600854</v>
      </c>
      <c r="U2279" s="26">
        <f t="shared" si="748"/>
        <v>31.235979543602745</v>
      </c>
      <c r="V2279" s="26">
        <f t="shared" si="749"/>
        <v>9.7082460592761918E-2</v>
      </c>
      <c r="W2279" s="143"/>
      <c r="X2279" s="143"/>
      <c r="Y2279" s="143"/>
      <c r="Z2279" s="30">
        <f t="shared" si="794"/>
        <v>0</v>
      </c>
      <c r="AA2279" s="31">
        <f t="shared" si="784"/>
        <v>49</v>
      </c>
      <c r="AB2279" s="32">
        <v>3.2500000000000001E-2</v>
      </c>
      <c r="AC2279" s="32">
        <v>5.0500000000000003E-2</v>
      </c>
      <c r="AD2279" s="33">
        <f t="shared" si="772"/>
        <v>-5.3504977463303523E-2</v>
      </c>
      <c r="AE2279" s="34">
        <f t="shared" si="773"/>
        <v>9.9090724319398239E-3</v>
      </c>
      <c r="AF2279" s="33">
        <f t="shared" si="774"/>
        <v>7.1363538810944552E-2</v>
      </c>
      <c r="AG2279" s="33">
        <f t="shared" si="775"/>
        <v>0</v>
      </c>
      <c r="AH2279" s="35">
        <f t="shared" si="776"/>
        <v>9.5750631809159367E-2</v>
      </c>
      <c r="AI2279" s="36">
        <f t="shared" si="756"/>
        <v>0.28091703833402792</v>
      </c>
      <c r="AJ2279" s="23"/>
      <c r="AK2279" s="120">
        <v>1254</v>
      </c>
      <c r="AL2279" s="44"/>
      <c r="AM2279" s="44"/>
      <c r="AN2279" s="44"/>
      <c r="AO2279" s="44"/>
      <c r="AP2279" s="44"/>
      <c r="AQ2279" s="44"/>
      <c r="AR2279" s="44"/>
    </row>
    <row r="2280" spans="1:44" ht="16.8">
      <c r="A2280" s="145">
        <v>172</v>
      </c>
      <c r="B2280" s="145">
        <v>960</v>
      </c>
      <c r="C2280" s="145" t="s">
        <v>4350</v>
      </c>
      <c r="D2280" s="146" t="s">
        <v>4351</v>
      </c>
      <c r="E2280" s="147" t="s">
        <v>178</v>
      </c>
      <c r="F2280" s="148"/>
      <c r="G2280" s="148"/>
      <c r="H2280" s="149"/>
      <c r="I2280" s="149"/>
      <c r="J2280" s="149"/>
      <c r="K2280" s="149"/>
      <c r="L2280" s="149"/>
      <c r="M2280" s="149">
        <f t="shared" si="790"/>
        <v>0</v>
      </c>
      <c r="N2280" s="149"/>
      <c r="O2280" s="149">
        <f t="shared" si="744"/>
        <v>0</v>
      </c>
      <c r="P2280" s="149"/>
      <c r="Q2280" s="149"/>
      <c r="R2280" s="149">
        <f t="shared" si="745"/>
        <v>0</v>
      </c>
      <c r="S2280" s="150" t="e">
        <f t="shared" si="746"/>
        <v>#DIV/0!</v>
      </c>
      <c r="T2280" s="151" t="e">
        <f t="shared" si="747"/>
        <v>#DIV/0!</v>
      </c>
      <c r="U2280" s="150" t="e">
        <f t="shared" si="748"/>
        <v>#NUM!</v>
      </c>
      <c r="V2280" s="150" t="e">
        <f t="shared" si="749"/>
        <v>#DIV/0!</v>
      </c>
      <c r="W2280" s="152"/>
      <c r="X2280" s="152"/>
      <c r="Y2280" s="152"/>
      <c r="Z2280" s="153">
        <f t="shared" ref="Z2280:Z2307" si="796">W2280*Y2280</f>
        <v>0</v>
      </c>
      <c r="AA2280" s="148">
        <f t="shared" si="784"/>
        <v>0</v>
      </c>
      <c r="AB2280" s="149"/>
      <c r="AC2280" s="149"/>
      <c r="AD2280" s="150" t="e">
        <f t="shared" si="772"/>
        <v>#DIV/0!</v>
      </c>
      <c r="AE2280" s="154" t="e">
        <f t="shared" si="773"/>
        <v>#DIV/0!</v>
      </c>
      <c r="AF2280" s="150" t="e">
        <f t="shared" si="774"/>
        <v>#DIV/0!</v>
      </c>
      <c r="AG2280" s="150" t="e">
        <f t="shared" si="775"/>
        <v>#DIV/0!</v>
      </c>
      <c r="AH2280" s="155" t="e">
        <f t="shared" si="776"/>
        <v>#DIV/0!</v>
      </c>
      <c r="AI2280" s="156" t="e">
        <f t="shared" si="756"/>
        <v>#DIV/0!</v>
      </c>
      <c r="AJ2280" s="149"/>
      <c r="AK2280" s="149"/>
      <c r="AL2280" s="157"/>
      <c r="AM2280" s="157"/>
      <c r="AN2280" s="157"/>
      <c r="AO2280" s="157"/>
      <c r="AP2280" s="157"/>
      <c r="AQ2280" s="157"/>
      <c r="AR2280" s="157"/>
    </row>
    <row r="2281" spans="1:44" ht="16.8">
      <c r="A2281" s="145">
        <v>173</v>
      </c>
      <c r="B2281" s="145">
        <v>961</v>
      </c>
      <c r="C2281" s="145" t="s">
        <v>4352</v>
      </c>
      <c r="D2281" s="146" t="s">
        <v>4353</v>
      </c>
      <c r="E2281" s="147" t="s">
        <v>178</v>
      </c>
      <c r="F2281" s="148"/>
      <c r="G2281" s="148"/>
      <c r="H2281" s="149"/>
      <c r="I2281" s="149"/>
      <c r="J2281" s="149"/>
      <c r="K2281" s="149"/>
      <c r="L2281" s="149"/>
      <c r="M2281" s="149">
        <f t="shared" si="790"/>
        <v>0</v>
      </c>
      <c r="N2281" s="149"/>
      <c r="O2281" s="149">
        <f t="shared" si="744"/>
        <v>0</v>
      </c>
      <c r="P2281" s="149"/>
      <c r="Q2281" s="149"/>
      <c r="R2281" s="149">
        <f t="shared" si="745"/>
        <v>0</v>
      </c>
      <c r="S2281" s="150" t="e">
        <f t="shared" si="746"/>
        <v>#DIV/0!</v>
      </c>
      <c r="T2281" s="151" t="e">
        <f t="shared" si="747"/>
        <v>#DIV/0!</v>
      </c>
      <c r="U2281" s="150" t="e">
        <f t="shared" si="748"/>
        <v>#NUM!</v>
      </c>
      <c r="V2281" s="150" t="e">
        <f t="shared" si="749"/>
        <v>#DIV/0!</v>
      </c>
      <c r="W2281" s="152"/>
      <c r="X2281" s="152"/>
      <c r="Y2281" s="152"/>
      <c r="Z2281" s="153">
        <f t="shared" si="796"/>
        <v>0</v>
      </c>
      <c r="AA2281" s="148">
        <f t="shared" si="784"/>
        <v>0</v>
      </c>
      <c r="AB2281" s="149"/>
      <c r="AC2281" s="149"/>
      <c r="AD2281" s="150" t="e">
        <f t="shared" si="772"/>
        <v>#DIV/0!</v>
      </c>
      <c r="AE2281" s="154" t="e">
        <f t="shared" si="773"/>
        <v>#DIV/0!</v>
      </c>
      <c r="AF2281" s="150" t="e">
        <f t="shared" si="774"/>
        <v>#DIV/0!</v>
      </c>
      <c r="AG2281" s="150" t="e">
        <f t="shared" si="775"/>
        <v>#DIV/0!</v>
      </c>
      <c r="AH2281" s="155" t="e">
        <f t="shared" si="776"/>
        <v>#DIV/0!</v>
      </c>
      <c r="AI2281" s="156" t="e">
        <f t="shared" si="756"/>
        <v>#DIV/0!</v>
      </c>
      <c r="AJ2281" s="149"/>
      <c r="AK2281" s="149"/>
      <c r="AL2281" s="157"/>
      <c r="AM2281" s="157"/>
      <c r="AN2281" s="157"/>
      <c r="AO2281" s="157"/>
      <c r="AP2281" s="157"/>
      <c r="AQ2281" s="157"/>
      <c r="AR2281" s="157"/>
    </row>
    <row r="2282" spans="1:44" ht="16.8">
      <c r="A2282" s="145">
        <v>174</v>
      </c>
      <c r="B2282" s="145">
        <v>962</v>
      </c>
      <c r="C2282" s="145" t="s">
        <v>4354</v>
      </c>
      <c r="D2282" s="146" t="s">
        <v>4355</v>
      </c>
      <c r="E2282" s="147" t="s">
        <v>1371</v>
      </c>
      <c r="F2282" s="148"/>
      <c r="G2282" s="148"/>
      <c r="H2282" s="149"/>
      <c r="I2282" s="149"/>
      <c r="J2282" s="149"/>
      <c r="K2282" s="149"/>
      <c r="L2282" s="149"/>
      <c r="M2282" s="149">
        <f t="shared" si="790"/>
        <v>0</v>
      </c>
      <c r="N2282" s="149"/>
      <c r="O2282" s="149">
        <f t="shared" si="744"/>
        <v>0</v>
      </c>
      <c r="P2282" s="149"/>
      <c r="Q2282" s="149"/>
      <c r="R2282" s="149">
        <f t="shared" si="745"/>
        <v>0</v>
      </c>
      <c r="S2282" s="150" t="e">
        <f t="shared" si="746"/>
        <v>#DIV/0!</v>
      </c>
      <c r="T2282" s="151" t="e">
        <f t="shared" si="747"/>
        <v>#DIV/0!</v>
      </c>
      <c r="U2282" s="150" t="e">
        <f t="shared" si="748"/>
        <v>#NUM!</v>
      </c>
      <c r="V2282" s="150" t="e">
        <f t="shared" si="749"/>
        <v>#DIV/0!</v>
      </c>
      <c r="W2282" s="152"/>
      <c r="X2282" s="152"/>
      <c r="Y2282" s="152"/>
      <c r="Z2282" s="153">
        <f t="shared" si="796"/>
        <v>0</v>
      </c>
      <c r="AA2282" s="148">
        <f t="shared" si="784"/>
        <v>0</v>
      </c>
      <c r="AB2282" s="149"/>
      <c r="AC2282" s="149"/>
      <c r="AD2282" s="150" t="e">
        <f t="shared" si="772"/>
        <v>#DIV/0!</v>
      </c>
      <c r="AE2282" s="154" t="e">
        <f t="shared" si="773"/>
        <v>#DIV/0!</v>
      </c>
      <c r="AF2282" s="150" t="e">
        <f t="shared" si="774"/>
        <v>#DIV/0!</v>
      </c>
      <c r="AG2282" s="150" t="e">
        <f t="shared" si="775"/>
        <v>#DIV/0!</v>
      </c>
      <c r="AH2282" s="155" t="e">
        <f t="shared" si="776"/>
        <v>#DIV/0!</v>
      </c>
      <c r="AI2282" s="156" t="e">
        <f t="shared" si="756"/>
        <v>#DIV/0!</v>
      </c>
      <c r="AJ2282" s="149"/>
      <c r="AK2282" s="149"/>
      <c r="AL2282" s="157"/>
      <c r="AM2282" s="157"/>
      <c r="AN2282" s="157"/>
      <c r="AO2282" s="157"/>
      <c r="AP2282" s="157"/>
      <c r="AQ2282" s="157"/>
      <c r="AR2282" s="157"/>
    </row>
    <row r="2283" spans="1:44" ht="16.8">
      <c r="A2283" s="145">
        <v>175</v>
      </c>
      <c r="B2283" s="145">
        <v>963</v>
      </c>
      <c r="C2283" s="145" t="s">
        <v>4356</v>
      </c>
      <c r="D2283" s="146" t="s">
        <v>4357</v>
      </c>
      <c r="E2283" s="147" t="s">
        <v>178</v>
      </c>
      <c r="F2283" s="148"/>
      <c r="G2283" s="148"/>
      <c r="H2283" s="149"/>
      <c r="I2283" s="149"/>
      <c r="J2283" s="149"/>
      <c r="K2283" s="149"/>
      <c r="L2283" s="149"/>
      <c r="M2283" s="149">
        <f t="shared" si="790"/>
        <v>0</v>
      </c>
      <c r="N2283" s="149"/>
      <c r="O2283" s="149">
        <f t="shared" si="744"/>
        <v>0</v>
      </c>
      <c r="P2283" s="149"/>
      <c r="Q2283" s="149"/>
      <c r="R2283" s="149">
        <f t="shared" si="745"/>
        <v>0</v>
      </c>
      <c r="S2283" s="150" t="e">
        <f t="shared" si="746"/>
        <v>#DIV/0!</v>
      </c>
      <c r="T2283" s="151" t="e">
        <f t="shared" si="747"/>
        <v>#DIV/0!</v>
      </c>
      <c r="U2283" s="150" t="e">
        <f t="shared" si="748"/>
        <v>#NUM!</v>
      </c>
      <c r="V2283" s="150" t="e">
        <f t="shared" si="749"/>
        <v>#DIV/0!</v>
      </c>
      <c r="W2283" s="152"/>
      <c r="X2283" s="152"/>
      <c r="Y2283" s="152"/>
      <c r="Z2283" s="153">
        <f t="shared" si="796"/>
        <v>0</v>
      </c>
      <c r="AA2283" s="148">
        <f t="shared" si="784"/>
        <v>0</v>
      </c>
      <c r="AB2283" s="149"/>
      <c r="AC2283" s="149"/>
      <c r="AD2283" s="150" t="e">
        <f t="shared" si="772"/>
        <v>#DIV/0!</v>
      </c>
      <c r="AE2283" s="154" t="e">
        <f t="shared" si="773"/>
        <v>#DIV/0!</v>
      </c>
      <c r="AF2283" s="150" t="e">
        <f t="shared" si="774"/>
        <v>#DIV/0!</v>
      </c>
      <c r="AG2283" s="150" t="e">
        <f t="shared" si="775"/>
        <v>#DIV/0!</v>
      </c>
      <c r="AH2283" s="155" t="e">
        <f t="shared" si="776"/>
        <v>#DIV/0!</v>
      </c>
      <c r="AI2283" s="156" t="e">
        <f t="shared" si="756"/>
        <v>#DIV/0!</v>
      </c>
      <c r="AJ2283" s="149"/>
      <c r="AK2283" s="149"/>
      <c r="AL2283" s="157"/>
      <c r="AM2283" s="157"/>
      <c r="AN2283" s="157"/>
      <c r="AO2283" s="157"/>
      <c r="AP2283" s="157"/>
      <c r="AQ2283" s="157"/>
      <c r="AR2283" s="157"/>
    </row>
    <row r="2284" spans="1:44" ht="16.8">
      <c r="A2284" s="145">
        <v>176</v>
      </c>
      <c r="B2284" s="145">
        <v>964</v>
      </c>
      <c r="C2284" s="145" t="s">
        <v>4358</v>
      </c>
      <c r="D2284" s="146" t="s">
        <v>4359</v>
      </c>
      <c r="E2284" s="147" t="s">
        <v>178</v>
      </c>
      <c r="F2284" s="148"/>
      <c r="G2284" s="148"/>
      <c r="H2284" s="149"/>
      <c r="I2284" s="149"/>
      <c r="J2284" s="149"/>
      <c r="K2284" s="149"/>
      <c r="L2284" s="149"/>
      <c r="M2284" s="149">
        <f t="shared" si="790"/>
        <v>0</v>
      </c>
      <c r="N2284" s="149"/>
      <c r="O2284" s="149">
        <f t="shared" si="744"/>
        <v>0</v>
      </c>
      <c r="P2284" s="149"/>
      <c r="Q2284" s="149"/>
      <c r="R2284" s="149">
        <f t="shared" si="745"/>
        <v>0</v>
      </c>
      <c r="S2284" s="150" t="e">
        <f t="shared" si="746"/>
        <v>#DIV/0!</v>
      </c>
      <c r="T2284" s="151" t="e">
        <f t="shared" si="747"/>
        <v>#DIV/0!</v>
      </c>
      <c r="U2284" s="150" t="e">
        <f t="shared" si="748"/>
        <v>#NUM!</v>
      </c>
      <c r="V2284" s="150" t="e">
        <f t="shared" si="749"/>
        <v>#DIV/0!</v>
      </c>
      <c r="W2284" s="152"/>
      <c r="X2284" s="152"/>
      <c r="Y2284" s="152"/>
      <c r="Z2284" s="153">
        <f t="shared" si="796"/>
        <v>0</v>
      </c>
      <c r="AA2284" s="148">
        <f t="shared" si="784"/>
        <v>0</v>
      </c>
      <c r="AB2284" s="149"/>
      <c r="AC2284" s="149"/>
      <c r="AD2284" s="150" t="e">
        <f t="shared" si="772"/>
        <v>#DIV/0!</v>
      </c>
      <c r="AE2284" s="154" t="e">
        <f t="shared" si="773"/>
        <v>#DIV/0!</v>
      </c>
      <c r="AF2284" s="150" t="e">
        <f t="shared" si="774"/>
        <v>#DIV/0!</v>
      </c>
      <c r="AG2284" s="150" t="e">
        <f t="shared" si="775"/>
        <v>#DIV/0!</v>
      </c>
      <c r="AH2284" s="155" t="e">
        <f t="shared" si="776"/>
        <v>#DIV/0!</v>
      </c>
      <c r="AI2284" s="156" t="e">
        <f t="shared" si="756"/>
        <v>#DIV/0!</v>
      </c>
      <c r="AJ2284" s="149"/>
      <c r="AK2284" s="149"/>
      <c r="AL2284" s="157"/>
      <c r="AM2284" s="157"/>
      <c r="AN2284" s="157"/>
      <c r="AO2284" s="157"/>
      <c r="AP2284" s="157"/>
      <c r="AQ2284" s="157"/>
      <c r="AR2284" s="157"/>
    </row>
    <row r="2285" spans="1:44" ht="16.8">
      <c r="A2285" s="145">
        <v>177</v>
      </c>
      <c r="B2285" s="145">
        <v>965</v>
      </c>
      <c r="C2285" s="145" t="s">
        <v>4360</v>
      </c>
      <c r="D2285" s="146" t="s">
        <v>4361</v>
      </c>
      <c r="E2285" s="147" t="s">
        <v>1371</v>
      </c>
      <c r="F2285" s="148"/>
      <c r="G2285" s="148"/>
      <c r="H2285" s="149"/>
      <c r="I2285" s="149"/>
      <c r="J2285" s="149"/>
      <c r="K2285" s="149"/>
      <c r="L2285" s="149"/>
      <c r="M2285" s="149">
        <f t="shared" si="790"/>
        <v>0</v>
      </c>
      <c r="N2285" s="149"/>
      <c r="O2285" s="149">
        <f t="shared" si="744"/>
        <v>0</v>
      </c>
      <c r="P2285" s="149"/>
      <c r="Q2285" s="149"/>
      <c r="R2285" s="149">
        <f t="shared" si="745"/>
        <v>0</v>
      </c>
      <c r="S2285" s="150" t="e">
        <f t="shared" si="746"/>
        <v>#DIV/0!</v>
      </c>
      <c r="T2285" s="151" t="e">
        <f t="shared" si="747"/>
        <v>#DIV/0!</v>
      </c>
      <c r="U2285" s="150" t="e">
        <f t="shared" si="748"/>
        <v>#NUM!</v>
      </c>
      <c r="V2285" s="150" t="e">
        <f t="shared" si="749"/>
        <v>#DIV/0!</v>
      </c>
      <c r="W2285" s="152"/>
      <c r="X2285" s="152"/>
      <c r="Y2285" s="152"/>
      <c r="Z2285" s="153">
        <f t="shared" si="796"/>
        <v>0</v>
      </c>
      <c r="AA2285" s="148">
        <f t="shared" si="784"/>
        <v>0</v>
      </c>
      <c r="AB2285" s="149"/>
      <c r="AC2285" s="149"/>
      <c r="AD2285" s="150" t="e">
        <f t="shared" si="772"/>
        <v>#DIV/0!</v>
      </c>
      <c r="AE2285" s="154" t="e">
        <f t="shared" si="773"/>
        <v>#DIV/0!</v>
      </c>
      <c r="AF2285" s="150" t="e">
        <f t="shared" si="774"/>
        <v>#DIV/0!</v>
      </c>
      <c r="AG2285" s="150" t="e">
        <f t="shared" si="775"/>
        <v>#DIV/0!</v>
      </c>
      <c r="AH2285" s="155" t="e">
        <f t="shared" si="776"/>
        <v>#DIV/0!</v>
      </c>
      <c r="AI2285" s="156" t="e">
        <f t="shared" si="756"/>
        <v>#DIV/0!</v>
      </c>
      <c r="AJ2285" s="149"/>
      <c r="AK2285" s="149"/>
      <c r="AL2285" s="157"/>
      <c r="AM2285" s="157"/>
      <c r="AN2285" s="157"/>
      <c r="AO2285" s="157"/>
      <c r="AP2285" s="157"/>
      <c r="AQ2285" s="157"/>
      <c r="AR2285" s="157"/>
    </row>
    <row r="2286" spans="1:44" ht="16.8">
      <c r="A2286" s="145">
        <v>178</v>
      </c>
      <c r="B2286" s="145">
        <v>966</v>
      </c>
      <c r="C2286" s="145" t="s">
        <v>4362</v>
      </c>
      <c r="D2286" s="146" t="s">
        <v>4363</v>
      </c>
      <c r="E2286" s="147" t="s">
        <v>178</v>
      </c>
      <c r="F2286" s="148"/>
      <c r="G2286" s="148"/>
      <c r="H2286" s="149"/>
      <c r="I2286" s="149"/>
      <c r="J2286" s="149"/>
      <c r="K2286" s="149"/>
      <c r="L2286" s="149"/>
      <c r="M2286" s="149">
        <f t="shared" si="790"/>
        <v>0</v>
      </c>
      <c r="N2286" s="149"/>
      <c r="O2286" s="149">
        <f t="shared" si="744"/>
        <v>0</v>
      </c>
      <c r="P2286" s="149"/>
      <c r="Q2286" s="149"/>
      <c r="R2286" s="149">
        <f t="shared" si="745"/>
        <v>0</v>
      </c>
      <c r="S2286" s="150" t="e">
        <f t="shared" si="746"/>
        <v>#DIV/0!</v>
      </c>
      <c r="T2286" s="151" t="e">
        <f t="shared" si="747"/>
        <v>#DIV/0!</v>
      </c>
      <c r="U2286" s="150" t="e">
        <f t="shared" si="748"/>
        <v>#NUM!</v>
      </c>
      <c r="V2286" s="150" t="e">
        <f t="shared" si="749"/>
        <v>#DIV/0!</v>
      </c>
      <c r="W2286" s="152"/>
      <c r="X2286" s="152"/>
      <c r="Y2286" s="152"/>
      <c r="Z2286" s="153">
        <f t="shared" si="796"/>
        <v>0</v>
      </c>
      <c r="AA2286" s="148">
        <f t="shared" si="784"/>
        <v>0</v>
      </c>
      <c r="AB2286" s="149"/>
      <c r="AC2286" s="149"/>
      <c r="AD2286" s="150" t="e">
        <f t="shared" si="772"/>
        <v>#DIV/0!</v>
      </c>
      <c r="AE2286" s="154" t="e">
        <f t="shared" si="773"/>
        <v>#DIV/0!</v>
      </c>
      <c r="AF2286" s="150" t="e">
        <f t="shared" si="774"/>
        <v>#DIV/0!</v>
      </c>
      <c r="AG2286" s="150" t="e">
        <f t="shared" si="775"/>
        <v>#DIV/0!</v>
      </c>
      <c r="AH2286" s="155" t="e">
        <f t="shared" si="776"/>
        <v>#DIV/0!</v>
      </c>
      <c r="AI2286" s="156" t="e">
        <f t="shared" si="756"/>
        <v>#DIV/0!</v>
      </c>
      <c r="AJ2286" s="149"/>
      <c r="AK2286" s="149"/>
      <c r="AL2286" s="157"/>
      <c r="AM2286" s="157"/>
      <c r="AN2286" s="157"/>
      <c r="AO2286" s="157"/>
      <c r="AP2286" s="157"/>
      <c r="AQ2286" s="157"/>
      <c r="AR2286" s="157"/>
    </row>
    <row r="2287" spans="1:44" ht="16.8">
      <c r="A2287" s="145">
        <v>179</v>
      </c>
      <c r="B2287" s="145">
        <v>967</v>
      </c>
      <c r="C2287" s="145" t="s">
        <v>4364</v>
      </c>
      <c r="D2287" s="146" t="s">
        <v>4365</v>
      </c>
      <c r="E2287" s="147" t="s">
        <v>178</v>
      </c>
      <c r="F2287" s="148"/>
      <c r="G2287" s="148"/>
      <c r="H2287" s="149"/>
      <c r="I2287" s="149"/>
      <c r="J2287" s="149"/>
      <c r="K2287" s="149"/>
      <c r="L2287" s="149"/>
      <c r="M2287" s="149">
        <f t="shared" si="790"/>
        <v>0</v>
      </c>
      <c r="N2287" s="149"/>
      <c r="O2287" s="149">
        <f t="shared" si="744"/>
        <v>0</v>
      </c>
      <c r="P2287" s="149"/>
      <c r="Q2287" s="149"/>
      <c r="R2287" s="149">
        <f t="shared" si="745"/>
        <v>0</v>
      </c>
      <c r="S2287" s="150" t="e">
        <f t="shared" si="746"/>
        <v>#DIV/0!</v>
      </c>
      <c r="T2287" s="151" t="e">
        <f t="shared" si="747"/>
        <v>#DIV/0!</v>
      </c>
      <c r="U2287" s="150" t="e">
        <f t="shared" si="748"/>
        <v>#NUM!</v>
      </c>
      <c r="V2287" s="150" t="e">
        <f t="shared" si="749"/>
        <v>#DIV/0!</v>
      </c>
      <c r="W2287" s="152"/>
      <c r="X2287" s="152"/>
      <c r="Y2287" s="152"/>
      <c r="Z2287" s="153">
        <f t="shared" si="796"/>
        <v>0</v>
      </c>
      <c r="AA2287" s="148">
        <f t="shared" si="784"/>
        <v>0</v>
      </c>
      <c r="AB2287" s="149"/>
      <c r="AC2287" s="149"/>
      <c r="AD2287" s="150" t="e">
        <f t="shared" si="772"/>
        <v>#DIV/0!</v>
      </c>
      <c r="AE2287" s="154" t="e">
        <f t="shared" si="773"/>
        <v>#DIV/0!</v>
      </c>
      <c r="AF2287" s="150" t="e">
        <f t="shared" si="774"/>
        <v>#DIV/0!</v>
      </c>
      <c r="AG2287" s="150" t="e">
        <f t="shared" si="775"/>
        <v>#DIV/0!</v>
      </c>
      <c r="AH2287" s="155" t="e">
        <f t="shared" si="776"/>
        <v>#DIV/0!</v>
      </c>
      <c r="AI2287" s="156" t="e">
        <f t="shared" si="756"/>
        <v>#DIV/0!</v>
      </c>
      <c r="AJ2287" s="149"/>
      <c r="AK2287" s="149"/>
      <c r="AL2287" s="157"/>
      <c r="AM2287" s="157"/>
      <c r="AN2287" s="157"/>
      <c r="AO2287" s="157"/>
      <c r="AP2287" s="157"/>
      <c r="AQ2287" s="157"/>
      <c r="AR2287" s="157"/>
    </row>
    <row r="2288" spans="1:44" ht="16.8">
      <c r="A2288" s="145">
        <v>180</v>
      </c>
      <c r="B2288" s="145">
        <v>968</v>
      </c>
      <c r="C2288" s="145" t="s">
        <v>4366</v>
      </c>
      <c r="D2288" s="146" t="s">
        <v>4367</v>
      </c>
      <c r="E2288" s="147" t="s">
        <v>178</v>
      </c>
      <c r="F2288" s="148"/>
      <c r="G2288" s="148"/>
      <c r="H2288" s="149"/>
      <c r="I2288" s="149"/>
      <c r="J2288" s="149"/>
      <c r="K2288" s="149"/>
      <c r="L2288" s="149"/>
      <c r="M2288" s="149">
        <f t="shared" si="790"/>
        <v>0</v>
      </c>
      <c r="N2288" s="149"/>
      <c r="O2288" s="149">
        <f t="shared" si="744"/>
        <v>0</v>
      </c>
      <c r="P2288" s="149"/>
      <c r="Q2288" s="149"/>
      <c r="R2288" s="149">
        <f t="shared" si="745"/>
        <v>0</v>
      </c>
      <c r="S2288" s="150" t="e">
        <f t="shared" si="746"/>
        <v>#DIV/0!</v>
      </c>
      <c r="T2288" s="151" t="e">
        <f t="shared" si="747"/>
        <v>#DIV/0!</v>
      </c>
      <c r="U2288" s="150" t="e">
        <f t="shared" si="748"/>
        <v>#NUM!</v>
      </c>
      <c r="V2288" s="150" t="e">
        <f t="shared" si="749"/>
        <v>#DIV/0!</v>
      </c>
      <c r="W2288" s="152"/>
      <c r="X2288" s="152"/>
      <c r="Y2288" s="152"/>
      <c r="Z2288" s="153">
        <f t="shared" si="796"/>
        <v>0</v>
      </c>
      <c r="AA2288" s="148">
        <f t="shared" si="784"/>
        <v>0</v>
      </c>
      <c r="AB2288" s="149"/>
      <c r="AC2288" s="149"/>
      <c r="AD2288" s="150" t="e">
        <f t="shared" si="772"/>
        <v>#DIV/0!</v>
      </c>
      <c r="AE2288" s="154" t="e">
        <f t="shared" si="773"/>
        <v>#DIV/0!</v>
      </c>
      <c r="AF2288" s="150" t="e">
        <f t="shared" si="774"/>
        <v>#DIV/0!</v>
      </c>
      <c r="AG2288" s="150" t="e">
        <f t="shared" si="775"/>
        <v>#DIV/0!</v>
      </c>
      <c r="AH2288" s="155" t="e">
        <f t="shared" si="776"/>
        <v>#DIV/0!</v>
      </c>
      <c r="AI2288" s="156" t="e">
        <f t="shared" si="756"/>
        <v>#DIV/0!</v>
      </c>
      <c r="AJ2288" s="149"/>
      <c r="AK2288" s="149"/>
      <c r="AL2288" s="157"/>
      <c r="AM2288" s="157"/>
      <c r="AN2288" s="157"/>
      <c r="AO2288" s="157"/>
      <c r="AP2288" s="157"/>
      <c r="AQ2288" s="157"/>
      <c r="AR2288" s="157"/>
    </row>
    <row r="2289" spans="1:44" ht="16.8">
      <c r="A2289" s="145">
        <v>181</v>
      </c>
      <c r="B2289" s="145">
        <v>969</v>
      </c>
      <c r="C2289" s="145" t="s">
        <v>4368</v>
      </c>
      <c r="D2289" s="146" t="s">
        <v>4369</v>
      </c>
      <c r="E2289" s="147" t="s">
        <v>178</v>
      </c>
      <c r="F2289" s="148"/>
      <c r="G2289" s="148"/>
      <c r="H2289" s="149"/>
      <c r="I2289" s="149"/>
      <c r="J2289" s="149"/>
      <c r="K2289" s="149"/>
      <c r="L2289" s="149"/>
      <c r="M2289" s="149">
        <f t="shared" si="790"/>
        <v>0</v>
      </c>
      <c r="N2289" s="149"/>
      <c r="O2289" s="149">
        <f t="shared" si="744"/>
        <v>0</v>
      </c>
      <c r="P2289" s="149"/>
      <c r="Q2289" s="149"/>
      <c r="R2289" s="149">
        <f t="shared" si="745"/>
        <v>0</v>
      </c>
      <c r="S2289" s="150" t="e">
        <f t="shared" si="746"/>
        <v>#DIV/0!</v>
      </c>
      <c r="T2289" s="151" t="e">
        <f t="shared" si="747"/>
        <v>#DIV/0!</v>
      </c>
      <c r="U2289" s="150" t="e">
        <f t="shared" si="748"/>
        <v>#NUM!</v>
      </c>
      <c r="V2289" s="150" t="e">
        <f t="shared" si="749"/>
        <v>#DIV/0!</v>
      </c>
      <c r="W2289" s="152"/>
      <c r="X2289" s="152"/>
      <c r="Y2289" s="152"/>
      <c r="Z2289" s="153">
        <f t="shared" si="796"/>
        <v>0</v>
      </c>
      <c r="AA2289" s="148">
        <f t="shared" si="784"/>
        <v>0</v>
      </c>
      <c r="AB2289" s="149"/>
      <c r="AC2289" s="149"/>
      <c r="AD2289" s="150" t="e">
        <f t="shared" si="772"/>
        <v>#DIV/0!</v>
      </c>
      <c r="AE2289" s="154" t="e">
        <f t="shared" si="773"/>
        <v>#DIV/0!</v>
      </c>
      <c r="AF2289" s="150" t="e">
        <f t="shared" si="774"/>
        <v>#DIV/0!</v>
      </c>
      <c r="AG2289" s="150" t="e">
        <f t="shared" si="775"/>
        <v>#DIV/0!</v>
      </c>
      <c r="AH2289" s="155" t="e">
        <f t="shared" si="776"/>
        <v>#DIV/0!</v>
      </c>
      <c r="AI2289" s="156" t="e">
        <f t="shared" si="756"/>
        <v>#DIV/0!</v>
      </c>
      <c r="AJ2289" s="149"/>
      <c r="AK2289" s="149"/>
      <c r="AL2289" s="157"/>
      <c r="AM2289" s="157"/>
      <c r="AN2289" s="157"/>
      <c r="AO2289" s="157"/>
      <c r="AP2289" s="157"/>
      <c r="AQ2289" s="157"/>
      <c r="AR2289" s="157"/>
    </row>
    <row r="2290" spans="1:44" ht="16.8">
      <c r="A2290" s="145">
        <v>182</v>
      </c>
      <c r="B2290" s="145">
        <v>970</v>
      </c>
      <c r="C2290" s="145" t="s">
        <v>4370</v>
      </c>
      <c r="D2290" s="146" t="s">
        <v>4371</v>
      </c>
      <c r="E2290" s="147" t="s">
        <v>178</v>
      </c>
      <c r="F2290" s="148"/>
      <c r="G2290" s="148"/>
      <c r="H2290" s="149"/>
      <c r="I2290" s="149"/>
      <c r="J2290" s="149"/>
      <c r="K2290" s="149"/>
      <c r="L2290" s="149"/>
      <c r="M2290" s="149">
        <f t="shared" si="790"/>
        <v>0</v>
      </c>
      <c r="N2290" s="149"/>
      <c r="O2290" s="149">
        <f t="shared" si="744"/>
        <v>0</v>
      </c>
      <c r="P2290" s="149"/>
      <c r="Q2290" s="149"/>
      <c r="R2290" s="149">
        <f t="shared" si="745"/>
        <v>0</v>
      </c>
      <c r="S2290" s="150" t="e">
        <f t="shared" si="746"/>
        <v>#DIV/0!</v>
      </c>
      <c r="T2290" s="151" t="e">
        <f t="shared" si="747"/>
        <v>#DIV/0!</v>
      </c>
      <c r="U2290" s="150" t="e">
        <f t="shared" si="748"/>
        <v>#NUM!</v>
      </c>
      <c r="V2290" s="150" t="e">
        <f t="shared" si="749"/>
        <v>#DIV/0!</v>
      </c>
      <c r="W2290" s="152"/>
      <c r="X2290" s="152"/>
      <c r="Y2290" s="152"/>
      <c r="Z2290" s="153">
        <f t="shared" si="796"/>
        <v>0</v>
      </c>
      <c r="AA2290" s="148">
        <f t="shared" si="784"/>
        <v>0</v>
      </c>
      <c r="AB2290" s="149"/>
      <c r="AC2290" s="149"/>
      <c r="AD2290" s="150" t="e">
        <f t="shared" si="772"/>
        <v>#DIV/0!</v>
      </c>
      <c r="AE2290" s="154" t="e">
        <f t="shared" si="773"/>
        <v>#DIV/0!</v>
      </c>
      <c r="AF2290" s="150" t="e">
        <f t="shared" si="774"/>
        <v>#DIV/0!</v>
      </c>
      <c r="AG2290" s="150" t="e">
        <f t="shared" si="775"/>
        <v>#DIV/0!</v>
      </c>
      <c r="AH2290" s="155" t="e">
        <f t="shared" si="776"/>
        <v>#DIV/0!</v>
      </c>
      <c r="AI2290" s="156" t="e">
        <f t="shared" si="756"/>
        <v>#DIV/0!</v>
      </c>
      <c r="AJ2290" s="149"/>
      <c r="AK2290" s="149"/>
      <c r="AL2290" s="157"/>
      <c r="AM2290" s="157"/>
      <c r="AN2290" s="157"/>
      <c r="AO2290" s="157"/>
      <c r="AP2290" s="157"/>
      <c r="AQ2290" s="157"/>
      <c r="AR2290" s="157"/>
    </row>
    <row r="2291" spans="1:44" ht="16.8">
      <c r="A2291" s="145">
        <v>183</v>
      </c>
      <c r="B2291" s="145">
        <v>971</v>
      </c>
      <c r="C2291" s="145" t="s">
        <v>4372</v>
      </c>
      <c r="D2291" s="146" t="s">
        <v>4373</v>
      </c>
      <c r="E2291" s="147" t="s">
        <v>1371</v>
      </c>
      <c r="F2291" s="148"/>
      <c r="G2291" s="148"/>
      <c r="H2291" s="149"/>
      <c r="I2291" s="149"/>
      <c r="J2291" s="149"/>
      <c r="K2291" s="149"/>
      <c r="L2291" s="149"/>
      <c r="M2291" s="149">
        <f t="shared" si="790"/>
        <v>0</v>
      </c>
      <c r="N2291" s="149"/>
      <c r="O2291" s="149">
        <f t="shared" si="744"/>
        <v>0</v>
      </c>
      <c r="P2291" s="149"/>
      <c r="Q2291" s="149"/>
      <c r="R2291" s="149">
        <f t="shared" si="745"/>
        <v>0</v>
      </c>
      <c r="S2291" s="150" t="e">
        <f t="shared" si="746"/>
        <v>#DIV/0!</v>
      </c>
      <c r="T2291" s="151" t="e">
        <f t="shared" si="747"/>
        <v>#DIV/0!</v>
      </c>
      <c r="U2291" s="150" t="e">
        <f t="shared" si="748"/>
        <v>#NUM!</v>
      </c>
      <c r="V2291" s="150" t="e">
        <f t="shared" si="749"/>
        <v>#DIV/0!</v>
      </c>
      <c r="W2291" s="152"/>
      <c r="X2291" s="152"/>
      <c r="Y2291" s="152"/>
      <c r="Z2291" s="153">
        <f t="shared" si="796"/>
        <v>0</v>
      </c>
      <c r="AA2291" s="148">
        <f t="shared" si="784"/>
        <v>0</v>
      </c>
      <c r="AB2291" s="149"/>
      <c r="AC2291" s="149"/>
      <c r="AD2291" s="150" t="e">
        <f t="shared" si="772"/>
        <v>#DIV/0!</v>
      </c>
      <c r="AE2291" s="154" t="e">
        <f t="shared" si="773"/>
        <v>#DIV/0!</v>
      </c>
      <c r="AF2291" s="150" t="e">
        <f t="shared" si="774"/>
        <v>#DIV/0!</v>
      </c>
      <c r="AG2291" s="150" t="e">
        <f t="shared" si="775"/>
        <v>#DIV/0!</v>
      </c>
      <c r="AH2291" s="155" t="e">
        <f t="shared" si="776"/>
        <v>#DIV/0!</v>
      </c>
      <c r="AI2291" s="156" t="e">
        <f t="shared" si="756"/>
        <v>#DIV/0!</v>
      </c>
      <c r="AJ2291" s="149"/>
      <c r="AK2291" s="149"/>
      <c r="AL2291" s="157"/>
      <c r="AM2291" s="157"/>
      <c r="AN2291" s="157"/>
      <c r="AO2291" s="157"/>
      <c r="AP2291" s="157"/>
      <c r="AQ2291" s="157"/>
      <c r="AR2291" s="157"/>
    </row>
    <row r="2292" spans="1:44" ht="16.8">
      <c r="A2292" s="145">
        <v>184</v>
      </c>
      <c r="B2292" s="145">
        <v>972</v>
      </c>
      <c r="C2292" s="145" t="s">
        <v>4374</v>
      </c>
      <c r="D2292" s="146" t="s">
        <v>4375</v>
      </c>
      <c r="E2292" s="147" t="s">
        <v>178</v>
      </c>
      <c r="F2292" s="148"/>
      <c r="G2292" s="148"/>
      <c r="H2292" s="149"/>
      <c r="I2292" s="149"/>
      <c r="J2292" s="149"/>
      <c r="K2292" s="149"/>
      <c r="L2292" s="149"/>
      <c r="M2292" s="149">
        <f t="shared" si="790"/>
        <v>0</v>
      </c>
      <c r="N2292" s="149"/>
      <c r="O2292" s="149">
        <f t="shared" si="744"/>
        <v>0</v>
      </c>
      <c r="P2292" s="149"/>
      <c r="Q2292" s="149"/>
      <c r="R2292" s="149">
        <f t="shared" si="745"/>
        <v>0</v>
      </c>
      <c r="S2292" s="150" t="e">
        <f t="shared" si="746"/>
        <v>#DIV/0!</v>
      </c>
      <c r="T2292" s="151" t="e">
        <f t="shared" si="747"/>
        <v>#DIV/0!</v>
      </c>
      <c r="U2292" s="150" t="e">
        <f t="shared" si="748"/>
        <v>#NUM!</v>
      </c>
      <c r="V2292" s="150" t="e">
        <f t="shared" si="749"/>
        <v>#DIV/0!</v>
      </c>
      <c r="W2292" s="152"/>
      <c r="X2292" s="152"/>
      <c r="Y2292" s="152"/>
      <c r="Z2292" s="153">
        <f t="shared" si="796"/>
        <v>0</v>
      </c>
      <c r="AA2292" s="148">
        <f t="shared" si="784"/>
        <v>0</v>
      </c>
      <c r="AB2292" s="149"/>
      <c r="AC2292" s="149"/>
      <c r="AD2292" s="150" t="e">
        <f t="shared" si="772"/>
        <v>#DIV/0!</v>
      </c>
      <c r="AE2292" s="154" t="e">
        <f t="shared" si="773"/>
        <v>#DIV/0!</v>
      </c>
      <c r="AF2292" s="150" t="e">
        <f t="shared" si="774"/>
        <v>#DIV/0!</v>
      </c>
      <c r="AG2292" s="150" t="e">
        <f t="shared" si="775"/>
        <v>#DIV/0!</v>
      </c>
      <c r="AH2292" s="155" t="e">
        <f t="shared" si="776"/>
        <v>#DIV/0!</v>
      </c>
      <c r="AI2292" s="156" t="e">
        <f t="shared" si="756"/>
        <v>#DIV/0!</v>
      </c>
      <c r="AJ2292" s="149"/>
      <c r="AK2292" s="149"/>
      <c r="AL2292" s="157"/>
      <c r="AM2292" s="157"/>
      <c r="AN2292" s="157"/>
      <c r="AO2292" s="157"/>
      <c r="AP2292" s="157"/>
      <c r="AQ2292" s="157"/>
      <c r="AR2292" s="157"/>
    </row>
    <row r="2293" spans="1:44" ht="16.8">
      <c r="A2293" s="145">
        <v>185</v>
      </c>
      <c r="B2293" s="145">
        <v>973</v>
      </c>
      <c r="C2293" s="145" t="s">
        <v>4376</v>
      </c>
      <c r="D2293" s="146" t="s">
        <v>4377</v>
      </c>
      <c r="E2293" s="147" t="s">
        <v>178</v>
      </c>
      <c r="F2293" s="148"/>
      <c r="G2293" s="148"/>
      <c r="H2293" s="149"/>
      <c r="I2293" s="149"/>
      <c r="J2293" s="149"/>
      <c r="K2293" s="149"/>
      <c r="L2293" s="149"/>
      <c r="M2293" s="149">
        <f t="shared" si="790"/>
        <v>0</v>
      </c>
      <c r="N2293" s="149"/>
      <c r="O2293" s="149">
        <f t="shared" si="744"/>
        <v>0</v>
      </c>
      <c r="P2293" s="149"/>
      <c r="Q2293" s="149"/>
      <c r="R2293" s="149">
        <f t="shared" si="745"/>
        <v>0</v>
      </c>
      <c r="S2293" s="150" t="e">
        <f t="shared" si="746"/>
        <v>#DIV/0!</v>
      </c>
      <c r="T2293" s="151" t="e">
        <f t="shared" si="747"/>
        <v>#DIV/0!</v>
      </c>
      <c r="U2293" s="150" t="e">
        <f t="shared" si="748"/>
        <v>#NUM!</v>
      </c>
      <c r="V2293" s="150" t="e">
        <f t="shared" si="749"/>
        <v>#DIV/0!</v>
      </c>
      <c r="W2293" s="152"/>
      <c r="X2293" s="152"/>
      <c r="Y2293" s="152"/>
      <c r="Z2293" s="153">
        <f t="shared" si="796"/>
        <v>0</v>
      </c>
      <c r="AA2293" s="148">
        <f t="shared" si="784"/>
        <v>0</v>
      </c>
      <c r="AB2293" s="149"/>
      <c r="AC2293" s="149"/>
      <c r="AD2293" s="150" t="e">
        <f t="shared" si="772"/>
        <v>#DIV/0!</v>
      </c>
      <c r="AE2293" s="154" t="e">
        <f t="shared" si="773"/>
        <v>#DIV/0!</v>
      </c>
      <c r="AF2293" s="150" t="e">
        <f t="shared" si="774"/>
        <v>#DIV/0!</v>
      </c>
      <c r="AG2293" s="150" t="e">
        <f t="shared" si="775"/>
        <v>#DIV/0!</v>
      </c>
      <c r="AH2293" s="155" t="e">
        <f t="shared" si="776"/>
        <v>#DIV/0!</v>
      </c>
      <c r="AI2293" s="156" t="e">
        <f t="shared" si="756"/>
        <v>#DIV/0!</v>
      </c>
      <c r="AJ2293" s="149"/>
      <c r="AK2293" s="149"/>
      <c r="AL2293" s="157"/>
      <c r="AM2293" s="157"/>
      <c r="AN2293" s="157"/>
      <c r="AO2293" s="157"/>
      <c r="AP2293" s="157"/>
      <c r="AQ2293" s="157"/>
      <c r="AR2293" s="157"/>
    </row>
    <row r="2294" spans="1:44" ht="16.8">
      <c r="A2294" s="145">
        <v>186</v>
      </c>
      <c r="B2294" s="145">
        <v>974</v>
      </c>
      <c r="C2294" s="145" t="s">
        <v>4378</v>
      </c>
      <c r="D2294" s="146" t="s">
        <v>4379</v>
      </c>
      <c r="E2294" s="147" t="s">
        <v>1371</v>
      </c>
      <c r="F2294" s="148"/>
      <c r="G2294" s="148"/>
      <c r="H2294" s="149"/>
      <c r="I2294" s="149"/>
      <c r="J2294" s="149"/>
      <c r="K2294" s="149"/>
      <c r="L2294" s="149"/>
      <c r="M2294" s="149">
        <f t="shared" si="790"/>
        <v>0</v>
      </c>
      <c r="N2294" s="149"/>
      <c r="O2294" s="149">
        <f t="shared" si="744"/>
        <v>0</v>
      </c>
      <c r="P2294" s="149"/>
      <c r="Q2294" s="149"/>
      <c r="R2294" s="149">
        <f t="shared" si="745"/>
        <v>0</v>
      </c>
      <c r="S2294" s="150" t="e">
        <f t="shared" si="746"/>
        <v>#DIV/0!</v>
      </c>
      <c r="T2294" s="151" t="e">
        <f t="shared" si="747"/>
        <v>#DIV/0!</v>
      </c>
      <c r="U2294" s="150" t="e">
        <f t="shared" si="748"/>
        <v>#NUM!</v>
      </c>
      <c r="V2294" s="150" t="e">
        <f t="shared" si="749"/>
        <v>#DIV/0!</v>
      </c>
      <c r="W2294" s="152"/>
      <c r="X2294" s="152"/>
      <c r="Y2294" s="152"/>
      <c r="Z2294" s="153">
        <f t="shared" si="796"/>
        <v>0</v>
      </c>
      <c r="AA2294" s="148">
        <f t="shared" si="784"/>
        <v>0</v>
      </c>
      <c r="AB2294" s="149"/>
      <c r="AC2294" s="149"/>
      <c r="AD2294" s="150" t="e">
        <f t="shared" si="772"/>
        <v>#DIV/0!</v>
      </c>
      <c r="AE2294" s="154" t="e">
        <f t="shared" si="773"/>
        <v>#DIV/0!</v>
      </c>
      <c r="AF2294" s="150" t="e">
        <f t="shared" si="774"/>
        <v>#DIV/0!</v>
      </c>
      <c r="AG2294" s="150" t="e">
        <f t="shared" si="775"/>
        <v>#DIV/0!</v>
      </c>
      <c r="AH2294" s="155" t="e">
        <f t="shared" si="776"/>
        <v>#DIV/0!</v>
      </c>
      <c r="AI2294" s="156" t="e">
        <f t="shared" si="756"/>
        <v>#DIV/0!</v>
      </c>
      <c r="AJ2294" s="149"/>
      <c r="AK2294" s="149"/>
      <c r="AL2294" s="157"/>
      <c r="AM2294" s="157"/>
      <c r="AN2294" s="157"/>
      <c r="AO2294" s="157"/>
      <c r="AP2294" s="157"/>
      <c r="AQ2294" s="157"/>
      <c r="AR2294" s="157"/>
    </row>
    <row r="2295" spans="1:44" ht="16.8">
      <c r="A2295" s="145">
        <v>187</v>
      </c>
      <c r="B2295" s="145">
        <v>975</v>
      </c>
      <c r="C2295" s="145" t="s">
        <v>4380</v>
      </c>
      <c r="D2295" s="146" t="s">
        <v>4381</v>
      </c>
      <c r="E2295" s="147" t="s">
        <v>178</v>
      </c>
      <c r="F2295" s="148"/>
      <c r="G2295" s="148"/>
      <c r="H2295" s="149"/>
      <c r="I2295" s="149"/>
      <c r="J2295" s="149"/>
      <c r="K2295" s="149"/>
      <c r="L2295" s="149"/>
      <c r="M2295" s="149">
        <f t="shared" si="790"/>
        <v>0</v>
      </c>
      <c r="N2295" s="149"/>
      <c r="O2295" s="149">
        <f t="shared" si="744"/>
        <v>0</v>
      </c>
      <c r="P2295" s="149"/>
      <c r="Q2295" s="149"/>
      <c r="R2295" s="149">
        <f t="shared" si="745"/>
        <v>0</v>
      </c>
      <c r="S2295" s="150" t="e">
        <f t="shared" si="746"/>
        <v>#DIV/0!</v>
      </c>
      <c r="T2295" s="151" t="e">
        <f t="shared" si="747"/>
        <v>#DIV/0!</v>
      </c>
      <c r="U2295" s="150" t="e">
        <f t="shared" si="748"/>
        <v>#NUM!</v>
      </c>
      <c r="V2295" s="150" t="e">
        <f t="shared" si="749"/>
        <v>#DIV/0!</v>
      </c>
      <c r="W2295" s="152"/>
      <c r="X2295" s="152"/>
      <c r="Y2295" s="152"/>
      <c r="Z2295" s="153">
        <f t="shared" si="796"/>
        <v>0</v>
      </c>
      <c r="AA2295" s="148">
        <f t="shared" si="784"/>
        <v>0</v>
      </c>
      <c r="AB2295" s="149"/>
      <c r="AC2295" s="149"/>
      <c r="AD2295" s="150" t="e">
        <f t="shared" si="772"/>
        <v>#DIV/0!</v>
      </c>
      <c r="AE2295" s="154" t="e">
        <f t="shared" si="773"/>
        <v>#DIV/0!</v>
      </c>
      <c r="AF2295" s="150" t="e">
        <f t="shared" si="774"/>
        <v>#DIV/0!</v>
      </c>
      <c r="AG2295" s="150" t="e">
        <f t="shared" si="775"/>
        <v>#DIV/0!</v>
      </c>
      <c r="AH2295" s="155" t="e">
        <f t="shared" si="776"/>
        <v>#DIV/0!</v>
      </c>
      <c r="AI2295" s="156" t="e">
        <f t="shared" si="756"/>
        <v>#DIV/0!</v>
      </c>
      <c r="AJ2295" s="149"/>
      <c r="AK2295" s="149"/>
      <c r="AL2295" s="157"/>
      <c r="AM2295" s="157"/>
      <c r="AN2295" s="157"/>
      <c r="AO2295" s="157"/>
      <c r="AP2295" s="157"/>
      <c r="AQ2295" s="157"/>
      <c r="AR2295" s="157"/>
    </row>
    <row r="2296" spans="1:44" ht="16.8">
      <c r="A2296" s="145">
        <v>188</v>
      </c>
      <c r="B2296" s="145">
        <v>976</v>
      </c>
      <c r="C2296" s="145" t="s">
        <v>4382</v>
      </c>
      <c r="D2296" s="146" t="s">
        <v>4383</v>
      </c>
      <c r="E2296" s="147" t="s">
        <v>178</v>
      </c>
      <c r="F2296" s="148"/>
      <c r="G2296" s="148"/>
      <c r="H2296" s="149"/>
      <c r="I2296" s="149"/>
      <c r="J2296" s="149"/>
      <c r="K2296" s="149"/>
      <c r="L2296" s="149"/>
      <c r="M2296" s="149">
        <f t="shared" si="790"/>
        <v>0</v>
      </c>
      <c r="N2296" s="149"/>
      <c r="O2296" s="149">
        <f t="shared" si="744"/>
        <v>0</v>
      </c>
      <c r="P2296" s="149"/>
      <c r="Q2296" s="149"/>
      <c r="R2296" s="149">
        <f t="shared" si="745"/>
        <v>0</v>
      </c>
      <c r="S2296" s="150" t="e">
        <f t="shared" si="746"/>
        <v>#DIV/0!</v>
      </c>
      <c r="T2296" s="151" t="e">
        <f t="shared" si="747"/>
        <v>#DIV/0!</v>
      </c>
      <c r="U2296" s="150" t="e">
        <f t="shared" si="748"/>
        <v>#NUM!</v>
      </c>
      <c r="V2296" s="150" t="e">
        <f t="shared" si="749"/>
        <v>#DIV/0!</v>
      </c>
      <c r="W2296" s="152"/>
      <c r="X2296" s="152"/>
      <c r="Y2296" s="152"/>
      <c r="Z2296" s="153">
        <f t="shared" si="796"/>
        <v>0</v>
      </c>
      <c r="AA2296" s="148">
        <f t="shared" si="784"/>
        <v>0</v>
      </c>
      <c r="AB2296" s="149"/>
      <c r="AC2296" s="149"/>
      <c r="AD2296" s="150" t="e">
        <f t="shared" si="772"/>
        <v>#DIV/0!</v>
      </c>
      <c r="AE2296" s="154" t="e">
        <f t="shared" si="773"/>
        <v>#DIV/0!</v>
      </c>
      <c r="AF2296" s="150" t="e">
        <f t="shared" si="774"/>
        <v>#DIV/0!</v>
      </c>
      <c r="AG2296" s="150" t="e">
        <f t="shared" si="775"/>
        <v>#DIV/0!</v>
      </c>
      <c r="AH2296" s="155" t="e">
        <f t="shared" si="776"/>
        <v>#DIV/0!</v>
      </c>
      <c r="AI2296" s="156" t="e">
        <f t="shared" si="756"/>
        <v>#DIV/0!</v>
      </c>
      <c r="AJ2296" s="149"/>
      <c r="AK2296" s="149"/>
      <c r="AL2296" s="157"/>
      <c r="AM2296" s="157"/>
      <c r="AN2296" s="157"/>
      <c r="AO2296" s="157"/>
      <c r="AP2296" s="157"/>
      <c r="AQ2296" s="157"/>
      <c r="AR2296" s="157"/>
    </row>
    <row r="2297" spans="1:44" ht="16.8">
      <c r="A2297" s="145">
        <v>189</v>
      </c>
      <c r="B2297" s="145">
        <v>977</v>
      </c>
      <c r="C2297" s="145" t="s">
        <v>4384</v>
      </c>
      <c r="D2297" s="146" t="s">
        <v>4385</v>
      </c>
      <c r="E2297" s="147" t="s">
        <v>178</v>
      </c>
      <c r="F2297" s="148"/>
      <c r="G2297" s="148"/>
      <c r="H2297" s="149"/>
      <c r="I2297" s="149"/>
      <c r="J2297" s="149"/>
      <c r="K2297" s="149"/>
      <c r="L2297" s="149"/>
      <c r="M2297" s="149">
        <f t="shared" si="790"/>
        <v>0</v>
      </c>
      <c r="N2297" s="149"/>
      <c r="O2297" s="149">
        <f t="shared" ref="O2297:O2551" si="797">H2297-L2297</f>
        <v>0</v>
      </c>
      <c r="P2297" s="149"/>
      <c r="Q2297" s="149"/>
      <c r="R2297" s="149">
        <f t="shared" ref="R2297:R2551" si="798">N2297-Q2297</f>
        <v>0</v>
      </c>
      <c r="S2297" s="150" t="e">
        <f t="shared" ref="S2297:S2551" si="799">J2297/I2297</f>
        <v>#DIV/0!</v>
      </c>
      <c r="T2297" s="151" t="e">
        <f t="shared" ref="T2297:T2551" si="800">H2297/L2297</f>
        <v>#DIV/0!</v>
      </c>
      <c r="U2297" s="150" t="e">
        <f t="shared" ref="U2297:U2551" si="801">LN(I2297)</f>
        <v>#NUM!</v>
      </c>
      <c r="V2297" s="150" t="e">
        <f t="shared" ref="V2297:V2551" si="802">N2297/K2297</f>
        <v>#DIV/0!</v>
      </c>
      <c r="W2297" s="152"/>
      <c r="X2297" s="152"/>
      <c r="Y2297" s="152"/>
      <c r="Z2297" s="153">
        <f t="shared" si="796"/>
        <v>0</v>
      </c>
      <c r="AA2297" s="148">
        <f t="shared" si="784"/>
        <v>0</v>
      </c>
      <c r="AB2297" s="149"/>
      <c r="AC2297" s="149"/>
      <c r="AD2297" s="150" t="e">
        <f t="shared" si="772"/>
        <v>#DIV/0!</v>
      </c>
      <c r="AE2297" s="154" t="e">
        <f t="shared" si="773"/>
        <v>#DIV/0!</v>
      </c>
      <c r="AF2297" s="150" t="e">
        <f t="shared" si="774"/>
        <v>#DIV/0!</v>
      </c>
      <c r="AG2297" s="150" t="e">
        <f t="shared" si="775"/>
        <v>#DIV/0!</v>
      </c>
      <c r="AH2297" s="155" t="e">
        <f t="shared" si="776"/>
        <v>#DIV/0!</v>
      </c>
      <c r="AI2297" s="156" t="e">
        <f t="shared" si="756"/>
        <v>#DIV/0!</v>
      </c>
      <c r="AJ2297" s="149"/>
      <c r="AK2297" s="149"/>
      <c r="AL2297" s="157"/>
      <c r="AM2297" s="157"/>
      <c r="AN2297" s="157"/>
      <c r="AO2297" s="157"/>
      <c r="AP2297" s="157"/>
      <c r="AQ2297" s="157"/>
      <c r="AR2297" s="157"/>
    </row>
    <row r="2298" spans="1:44" ht="16.8">
      <c r="A2298" s="145">
        <v>190</v>
      </c>
      <c r="B2298" s="145">
        <v>978</v>
      </c>
      <c r="C2298" s="145" t="s">
        <v>4386</v>
      </c>
      <c r="D2298" s="146" t="s">
        <v>4387</v>
      </c>
      <c r="E2298" s="147" t="s">
        <v>1371</v>
      </c>
      <c r="F2298" s="148"/>
      <c r="G2298" s="148"/>
      <c r="H2298" s="149"/>
      <c r="I2298" s="149"/>
      <c r="J2298" s="149"/>
      <c r="K2298" s="149"/>
      <c r="L2298" s="149"/>
      <c r="M2298" s="149">
        <f t="shared" si="790"/>
        <v>0</v>
      </c>
      <c r="N2298" s="149"/>
      <c r="O2298" s="149">
        <f t="shared" si="797"/>
        <v>0</v>
      </c>
      <c r="P2298" s="149"/>
      <c r="Q2298" s="149"/>
      <c r="R2298" s="149">
        <f t="shared" si="798"/>
        <v>0</v>
      </c>
      <c r="S2298" s="150" t="e">
        <f t="shared" si="799"/>
        <v>#DIV/0!</v>
      </c>
      <c r="T2298" s="151" t="e">
        <f t="shared" si="800"/>
        <v>#DIV/0!</v>
      </c>
      <c r="U2298" s="150" t="e">
        <f t="shared" si="801"/>
        <v>#NUM!</v>
      </c>
      <c r="V2298" s="150" t="e">
        <f t="shared" si="802"/>
        <v>#DIV/0!</v>
      </c>
      <c r="W2298" s="152"/>
      <c r="X2298" s="152"/>
      <c r="Y2298" s="152"/>
      <c r="Z2298" s="153">
        <f t="shared" si="796"/>
        <v>0</v>
      </c>
      <c r="AA2298" s="148">
        <f t="shared" si="784"/>
        <v>0</v>
      </c>
      <c r="AB2298" s="149"/>
      <c r="AC2298" s="149"/>
      <c r="AD2298" s="150" t="e">
        <f t="shared" si="772"/>
        <v>#DIV/0!</v>
      </c>
      <c r="AE2298" s="154" t="e">
        <f t="shared" si="773"/>
        <v>#DIV/0!</v>
      </c>
      <c r="AF2298" s="150" t="e">
        <f t="shared" si="774"/>
        <v>#DIV/0!</v>
      </c>
      <c r="AG2298" s="150" t="e">
        <f t="shared" si="775"/>
        <v>#DIV/0!</v>
      </c>
      <c r="AH2298" s="155" t="e">
        <f t="shared" si="776"/>
        <v>#DIV/0!</v>
      </c>
      <c r="AI2298" s="156" t="e">
        <f t="shared" si="756"/>
        <v>#DIV/0!</v>
      </c>
      <c r="AJ2298" s="149"/>
      <c r="AK2298" s="149"/>
      <c r="AL2298" s="157"/>
      <c r="AM2298" s="157"/>
      <c r="AN2298" s="157"/>
      <c r="AO2298" s="157"/>
      <c r="AP2298" s="157"/>
      <c r="AQ2298" s="157"/>
      <c r="AR2298" s="157"/>
    </row>
    <row r="2299" spans="1:44" ht="16.8">
      <c r="A2299" s="145">
        <v>191</v>
      </c>
      <c r="B2299" s="145">
        <v>979</v>
      </c>
      <c r="C2299" s="145" t="s">
        <v>4388</v>
      </c>
      <c r="D2299" s="146" t="s">
        <v>4389</v>
      </c>
      <c r="E2299" s="147" t="s">
        <v>949</v>
      </c>
      <c r="F2299" s="148"/>
      <c r="G2299" s="148"/>
      <c r="H2299" s="149"/>
      <c r="I2299" s="149"/>
      <c r="J2299" s="149"/>
      <c r="K2299" s="149"/>
      <c r="L2299" s="149"/>
      <c r="M2299" s="149">
        <f t="shared" si="790"/>
        <v>0</v>
      </c>
      <c r="N2299" s="149"/>
      <c r="O2299" s="149">
        <f t="shared" si="797"/>
        <v>0</v>
      </c>
      <c r="P2299" s="149"/>
      <c r="Q2299" s="149"/>
      <c r="R2299" s="149">
        <f t="shared" si="798"/>
        <v>0</v>
      </c>
      <c r="S2299" s="150" t="e">
        <f t="shared" si="799"/>
        <v>#DIV/0!</v>
      </c>
      <c r="T2299" s="151" t="e">
        <f t="shared" si="800"/>
        <v>#DIV/0!</v>
      </c>
      <c r="U2299" s="150" t="e">
        <f t="shared" si="801"/>
        <v>#NUM!</v>
      </c>
      <c r="V2299" s="150" t="e">
        <f t="shared" si="802"/>
        <v>#DIV/0!</v>
      </c>
      <c r="W2299" s="152"/>
      <c r="X2299" s="152"/>
      <c r="Y2299" s="152"/>
      <c r="Z2299" s="153">
        <f t="shared" si="796"/>
        <v>0</v>
      </c>
      <c r="AA2299" s="148">
        <f t="shared" si="784"/>
        <v>0</v>
      </c>
      <c r="AB2299" s="149"/>
      <c r="AC2299" s="149"/>
      <c r="AD2299" s="150" t="e">
        <f t="shared" si="772"/>
        <v>#DIV/0!</v>
      </c>
      <c r="AE2299" s="154" t="e">
        <f t="shared" si="773"/>
        <v>#DIV/0!</v>
      </c>
      <c r="AF2299" s="150" t="e">
        <f t="shared" si="774"/>
        <v>#DIV/0!</v>
      </c>
      <c r="AG2299" s="150" t="e">
        <f t="shared" si="775"/>
        <v>#DIV/0!</v>
      </c>
      <c r="AH2299" s="155" t="e">
        <f t="shared" si="776"/>
        <v>#DIV/0!</v>
      </c>
      <c r="AI2299" s="156" t="e">
        <f t="shared" si="756"/>
        <v>#DIV/0!</v>
      </c>
      <c r="AJ2299" s="149"/>
      <c r="AK2299" s="149"/>
      <c r="AL2299" s="157"/>
      <c r="AM2299" s="157"/>
      <c r="AN2299" s="157"/>
      <c r="AO2299" s="157"/>
      <c r="AP2299" s="157"/>
      <c r="AQ2299" s="157"/>
      <c r="AR2299" s="157"/>
    </row>
    <row r="2300" spans="1:44" ht="16.8">
      <c r="A2300" s="145">
        <v>192</v>
      </c>
      <c r="B2300" s="145">
        <v>980</v>
      </c>
      <c r="C2300" s="145" t="s">
        <v>4390</v>
      </c>
      <c r="D2300" s="146" t="s">
        <v>4391</v>
      </c>
      <c r="E2300" s="147" t="s">
        <v>178</v>
      </c>
      <c r="F2300" s="148"/>
      <c r="G2300" s="148"/>
      <c r="H2300" s="149"/>
      <c r="I2300" s="149"/>
      <c r="J2300" s="149"/>
      <c r="K2300" s="149"/>
      <c r="L2300" s="149"/>
      <c r="M2300" s="149">
        <f t="shared" si="790"/>
        <v>0</v>
      </c>
      <c r="N2300" s="149"/>
      <c r="O2300" s="149">
        <f t="shared" si="797"/>
        <v>0</v>
      </c>
      <c r="P2300" s="149"/>
      <c r="Q2300" s="149"/>
      <c r="R2300" s="149">
        <f t="shared" si="798"/>
        <v>0</v>
      </c>
      <c r="S2300" s="150" t="e">
        <f t="shared" si="799"/>
        <v>#DIV/0!</v>
      </c>
      <c r="T2300" s="151" t="e">
        <f t="shared" si="800"/>
        <v>#DIV/0!</v>
      </c>
      <c r="U2300" s="150" t="e">
        <f t="shared" si="801"/>
        <v>#NUM!</v>
      </c>
      <c r="V2300" s="150" t="e">
        <f t="shared" si="802"/>
        <v>#DIV/0!</v>
      </c>
      <c r="W2300" s="152"/>
      <c r="X2300" s="152"/>
      <c r="Y2300" s="152"/>
      <c r="Z2300" s="153">
        <f t="shared" si="796"/>
        <v>0</v>
      </c>
      <c r="AA2300" s="148">
        <f t="shared" si="784"/>
        <v>0</v>
      </c>
      <c r="AB2300" s="149"/>
      <c r="AC2300" s="149"/>
      <c r="AD2300" s="150" t="e">
        <f t="shared" si="772"/>
        <v>#DIV/0!</v>
      </c>
      <c r="AE2300" s="154" t="e">
        <f t="shared" si="773"/>
        <v>#DIV/0!</v>
      </c>
      <c r="AF2300" s="150" t="e">
        <f t="shared" si="774"/>
        <v>#DIV/0!</v>
      </c>
      <c r="AG2300" s="150" t="e">
        <f t="shared" si="775"/>
        <v>#DIV/0!</v>
      </c>
      <c r="AH2300" s="155" t="e">
        <f t="shared" si="776"/>
        <v>#DIV/0!</v>
      </c>
      <c r="AI2300" s="156" t="e">
        <f t="shared" si="756"/>
        <v>#DIV/0!</v>
      </c>
      <c r="AJ2300" s="149"/>
      <c r="AK2300" s="149"/>
      <c r="AL2300" s="157"/>
      <c r="AM2300" s="157"/>
      <c r="AN2300" s="157"/>
      <c r="AO2300" s="157"/>
      <c r="AP2300" s="157"/>
      <c r="AQ2300" s="157"/>
      <c r="AR2300" s="157"/>
    </row>
    <row r="2301" spans="1:44" ht="16.8">
      <c r="A2301" s="145">
        <v>193</v>
      </c>
      <c r="B2301" s="145">
        <v>981</v>
      </c>
      <c r="C2301" s="145" t="s">
        <v>4392</v>
      </c>
      <c r="D2301" s="146" t="s">
        <v>4393</v>
      </c>
      <c r="E2301" s="147" t="s">
        <v>178</v>
      </c>
      <c r="F2301" s="148"/>
      <c r="G2301" s="148"/>
      <c r="H2301" s="149"/>
      <c r="I2301" s="149"/>
      <c r="J2301" s="149"/>
      <c r="K2301" s="149"/>
      <c r="L2301" s="149"/>
      <c r="M2301" s="149">
        <f t="shared" si="790"/>
        <v>0</v>
      </c>
      <c r="N2301" s="149"/>
      <c r="O2301" s="149">
        <f t="shared" si="797"/>
        <v>0</v>
      </c>
      <c r="P2301" s="149"/>
      <c r="Q2301" s="149"/>
      <c r="R2301" s="149">
        <f t="shared" si="798"/>
        <v>0</v>
      </c>
      <c r="S2301" s="150" t="e">
        <f t="shared" si="799"/>
        <v>#DIV/0!</v>
      </c>
      <c r="T2301" s="151" t="e">
        <f t="shared" si="800"/>
        <v>#DIV/0!</v>
      </c>
      <c r="U2301" s="150" t="e">
        <f t="shared" si="801"/>
        <v>#NUM!</v>
      </c>
      <c r="V2301" s="150" t="e">
        <f t="shared" si="802"/>
        <v>#DIV/0!</v>
      </c>
      <c r="W2301" s="152"/>
      <c r="X2301" s="152"/>
      <c r="Y2301" s="152"/>
      <c r="Z2301" s="153">
        <f t="shared" si="796"/>
        <v>0</v>
      </c>
      <c r="AA2301" s="148">
        <f t="shared" si="784"/>
        <v>0</v>
      </c>
      <c r="AB2301" s="149"/>
      <c r="AC2301" s="149"/>
      <c r="AD2301" s="150" t="e">
        <f t="shared" si="772"/>
        <v>#DIV/0!</v>
      </c>
      <c r="AE2301" s="154" t="e">
        <f t="shared" si="773"/>
        <v>#DIV/0!</v>
      </c>
      <c r="AF2301" s="150" t="e">
        <f t="shared" si="774"/>
        <v>#DIV/0!</v>
      </c>
      <c r="AG2301" s="150" t="e">
        <f t="shared" si="775"/>
        <v>#DIV/0!</v>
      </c>
      <c r="AH2301" s="155" t="e">
        <f t="shared" si="776"/>
        <v>#DIV/0!</v>
      </c>
      <c r="AI2301" s="156" t="e">
        <f t="shared" si="756"/>
        <v>#DIV/0!</v>
      </c>
      <c r="AJ2301" s="149"/>
      <c r="AK2301" s="149"/>
      <c r="AL2301" s="157"/>
      <c r="AM2301" s="157"/>
      <c r="AN2301" s="157"/>
      <c r="AO2301" s="157"/>
      <c r="AP2301" s="157"/>
      <c r="AQ2301" s="157"/>
      <c r="AR2301" s="157"/>
    </row>
    <row r="2302" spans="1:44" ht="16.8">
      <c r="A2302" s="145">
        <v>194</v>
      </c>
      <c r="B2302" s="145">
        <v>982</v>
      </c>
      <c r="C2302" s="145" t="s">
        <v>4394</v>
      </c>
      <c r="D2302" s="146" t="s">
        <v>4395</v>
      </c>
      <c r="E2302" s="147" t="s">
        <v>1371</v>
      </c>
      <c r="F2302" s="148"/>
      <c r="G2302" s="148"/>
      <c r="H2302" s="149"/>
      <c r="I2302" s="149"/>
      <c r="J2302" s="149"/>
      <c r="K2302" s="149"/>
      <c r="L2302" s="149"/>
      <c r="M2302" s="149">
        <f t="shared" si="790"/>
        <v>0</v>
      </c>
      <c r="N2302" s="149"/>
      <c r="O2302" s="149">
        <f t="shared" si="797"/>
        <v>0</v>
      </c>
      <c r="P2302" s="149"/>
      <c r="Q2302" s="149"/>
      <c r="R2302" s="149">
        <f t="shared" si="798"/>
        <v>0</v>
      </c>
      <c r="S2302" s="150" t="e">
        <f t="shared" si="799"/>
        <v>#DIV/0!</v>
      </c>
      <c r="T2302" s="151" t="e">
        <f t="shared" si="800"/>
        <v>#DIV/0!</v>
      </c>
      <c r="U2302" s="150" t="e">
        <f t="shared" si="801"/>
        <v>#NUM!</v>
      </c>
      <c r="V2302" s="150" t="e">
        <f t="shared" si="802"/>
        <v>#DIV/0!</v>
      </c>
      <c r="W2302" s="152"/>
      <c r="X2302" s="152"/>
      <c r="Y2302" s="152"/>
      <c r="Z2302" s="153">
        <f t="shared" si="796"/>
        <v>0</v>
      </c>
      <c r="AA2302" s="148">
        <f t="shared" si="784"/>
        <v>0</v>
      </c>
      <c r="AB2302" s="149"/>
      <c r="AC2302" s="149"/>
      <c r="AD2302" s="150" t="e">
        <f t="shared" si="772"/>
        <v>#DIV/0!</v>
      </c>
      <c r="AE2302" s="154" t="e">
        <f t="shared" si="773"/>
        <v>#DIV/0!</v>
      </c>
      <c r="AF2302" s="150" t="e">
        <f t="shared" si="774"/>
        <v>#DIV/0!</v>
      </c>
      <c r="AG2302" s="150" t="e">
        <f t="shared" si="775"/>
        <v>#DIV/0!</v>
      </c>
      <c r="AH2302" s="155" t="e">
        <f t="shared" si="776"/>
        <v>#DIV/0!</v>
      </c>
      <c r="AI2302" s="156" t="e">
        <f t="shared" si="756"/>
        <v>#DIV/0!</v>
      </c>
      <c r="AJ2302" s="149"/>
      <c r="AK2302" s="149"/>
      <c r="AL2302" s="157"/>
      <c r="AM2302" s="157"/>
      <c r="AN2302" s="157"/>
      <c r="AO2302" s="157"/>
      <c r="AP2302" s="157"/>
      <c r="AQ2302" s="157"/>
      <c r="AR2302" s="157"/>
    </row>
    <row r="2303" spans="1:44" ht="16.8">
      <c r="A2303" s="145">
        <v>195</v>
      </c>
      <c r="B2303" s="145">
        <v>983</v>
      </c>
      <c r="C2303" s="145" t="s">
        <v>4396</v>
      </c>
      <c r="D2303" s="146" t="s">
        <v>4397</v>
      </c>
      <c r="E2303" s="147" t="s">
        <v>178</v>
      </c>
      <c r="F2303" s="148"/>
      <c r="G2303" s="148"/>
      <c r="H2303" s="149"/>
      <c r="I2303" s="149"/>
      <c r="J2303" s="149"/>
      <c r="K2303" s="149"/>
      <c r="L2303" s="149"/>
      <c r="M2303" s="149">
        <f t="shared" si="790"/>
        <v>0</v>
      </c>
      <c r="N2303" s="149"/>
      <c r="O2303" s="149">
        <f t="shared" si="797"/>
        <v>0</v>
      </c>
      <c r="P2303" s="149"/>
      <c r="Q2303" s="149"/>
      <c r="R2303" s="149">
        <f t="shared" si="798"/>
        <v>0</v>
      </c>
      <c r="S2303" s="150" t="e">
        <f t="shared" si="799"/>
        <v>#DIV/0!</v>
      </c>
      <c r="T2303" s="151" t="e">
        <f t="shared" si="800"/>
        <v>#DIV/0!</v>
      </c>
      <c r="U2303" s="150" t="e">
        <f t="shared" si="801"/>
        <v>#NUM!</v>
      </c>
      <c r="V2303" s="150" t="e">
        <f t="shared" si="802"/>
        <v>#DIV/0!</v>
      </c>
      <c r="W2303" s="152"/>
      <c r="X2303" s="152"/>
      <c r="Y2303" s="152"/>
      <c r="Z2303" s="153">
        <f t="shared" si="796"/>
        <v>0</v>
      </c>
      <c r="AA2303" s="148">
        <f t="shared" si="784"/>
        <v>0</v>
      </c>
      <c r="AB2303" s="149"/>
      <c r="AC2303" s="149"/>
      <c r="AD2303" s="150" t="e">
        <f t="shared" si="772"/>
        <v>#DIV/0!</v>
      </c>
      <c r="AE2303" s="154" t="e">
        <f t="shared" si="773"/>
        <v>#DIV/0!</v>
      </c>
      <c r="AF2303" s="150" t="e">
        <f t="shared" si="774"/>
        <v>#DIV/0!</v>
      </c>
      <c r="AG2303" s="150" t="e">
        <f t="shared" si="775"/>
        <v>#DIV/0!</v>
      </c>
      <c r="AH2303" s="155" t="e">
        <f t="shared" si="776"/>
        <v>#DIV/0!</v>
      </c>
      <c r="AI2303" s="156" t="e">
        <f t="shared" si="756"/>
        <v>#DIV/0!</v>
      </c>
      <c r="AJ2303" s="149"/>
      <c r="AK2303" s="149"/>
      <c r="AL2303" s="157"/>
      <c r="AM2303" s="157"/>
      <c r="AN2303" s="157"/>
      <c r="AO2303" s="157"/>
      <c r="AP2303" s="157"/>
      <c r="AQ2303" s="157"/>
      <c r="AR2303" s="157"/>
    </row>
    <row r="2304" spans="1:44" ht="16.8">
      <c r="A2304" s="145">
        <v>196</v>
      </c>
      <c r="B2304" s="145">
        <v>984</v>
      </c>
      <c r="C2304" s="145" t="s">
        <v>4398</v>
      </c>
      <c r="D2304" s="146" t="s">
        <v>4399</v>
      </c>
      <c r="E2304" s="147" t="s">
        <v>1371</v>
      </c>
      <c r="F2304" s="148"/>
      <c r="G2304" s="148"/>
      <c r="H2304" s="149"/>
      <c r="I2304" s="149"/>
      <c r="J2304" s="149"/>
      <c r="K2304" s="149"/>
      <c r="L2304" s="149"/>
      <c r="M2304" s="149">
        <f t="shared" si="790"/>
        <v>0</v>
      </c>
      <c r="N2304" s="149"/>
      <c r="O2304" s="149">
        <f t="shared" si="797"/>
        <v>0</v>
      </c>
      <c r="P2304" s="149"/>
      <c r="Q2304" s="149"/>
      <c r="R2304" s="149">
        <f t="shared" si="798"/>
        <v>0</v>
      </c>
      <c r="S2304" s="150" t="e">
        <f t="shared" si="799"/>
        <v>#DIV/0!</v>
      </c>
      <c r="T2304" s="151" t="e">
        <f t="shared" si="800"/>
        <v>#DIV/0!</v>
      </c>
      <c r="U2304" s="150" t="e">
        <f t="shared" si="801"/>
        <v>#NUM!</v>
      </c>
      <c r="V2304" s="150" t="e">
        <f t="shared" si="802"/>
        <v>#DIV/0!</v>
      </c>
      <c r="W2304" s="152"/>
      <c r="X2304" s="152"/>
      <c r="Y2304" s="152"/>
      <c r="Z2304" s="153">
        <f t="shared" si="796"/>
        <v>0</v>
      </c>
      <c r="AA2304" s="148">
        <f t="shared" si="784"/>
        <v>0</v>
      </c>
      <c r="AB2304" s="149"/>
      <c r="AC2304" s="149"/>
      <c r="AD2304" s="150" t="e">
        <f t="shared" si="772"/>
        <v>#DIV/0!</v>
      </c>
      <c r="AE2304" s="154" t="e">
        <f t="shared" si="773"/>
        <v>#DIV/0!</v>
      </c>
      <c r="AF2304" s="150" t="e">
        <f t="shared" si="774"/>
        <v>#DIV/0!</v>
      </c>
      <c r="AG2304" s="150" t="e">
        <f t="shared" si="775"/>
        <v>#DIV/0!</v>
      </c>
      <c r="AH2304" s="155" t="e">
        <f t="shared" si="776"/>
        <v>#DIV/0!</v>
      </c>
      <c r="AI2304" s="156" t="e">
        <f t="shared" si="756"/>
        <v>#DIV/0!</v>
      </c>
      <c r="AJ2304" s="149"/>
      <c r="AK2304" s="149"/>
      <c r="AL2304" s="157"/>
      <c r="AM2304" s="157"/>
      <c r="AN2304" s="157"/>
      <c r="AO2304" s="157"/>
      <c r="AP2304" s="157"/>
      <c r="AQ2304" s="157"/>
      <c r="AR2304" s="157"/>
    </row>
    <row r="2305" spans="1:44" ht="16.8">
      <c r="A2305" s="145">
        <v>197</v>
      </c>
      <c r="B2305" s="145">
        <v>985</v>
      </c>
      <c r="C2305" s="145" t="s">
        <v>4400</v>
      </c>
      <c r="D2305" s="146" t="s">
        <v>4401</v>
      </c>
      <c r="E2305" s="147" t="s">
        <v>178</v>
      </c>
      <c r="F2305" s="148"/>
      <c r="G2305" s="148"/>
      <c r="H2305" s="149"/>
      <c r="I2305" s="149"/>
      <c r="J2305" s="149"/>
      <c r="K2305" s="149"/>
      <c r="L2305" s="149"/>
      <c r="M2305" s="149">
        <f t="shared" si="790"/>
        <v>0</v>
      </c>
      <c r="N2305" s="149"/>
      <c r="O2305" s="149">
        <f t="shared" si="797"/>
        <v>0</v>
      </c>
      <c r="P2305" s="149"/>
      <c r="Q2305" s="149"/>
      <c r="R2305" s="149">
        <f t="shared" si="798"/>
        <v>0</v>
      </c>
      <c r="S2305" s="150" t="e">
        <f t="shared" si="799"/>
        <v>#DIV/0!</v>
      </c>
      <c r="T2305" s="151" t="e">
        <f t="shared" si="800"/>
        <v>#DIV/0!</v>
      </c>
      <c r="U2305" s="150" t="e">
        <f t="shared" si="801"/>
        <v>#NUM!</v>
      </c>
      <c r="V2305" s="150" t="e">
        <f t="shared" si="802"/>
        <v>#DIV/0!</v>
      </c>
      <c r="W2305" s="152"/>
      <c r="X2305" s="152"/>
      <c r="Y2305" s="152"/>
      <c r="Z2305" s="153">
        <f t="shared" si="796"/>
        <v>0</v>
      </c>
      <c r="AA2305" s="148">
        <f t="shared" si="784"/>
        <v>0</v>
      </c>
      <c r="AB2305" s="149"/>
      <c r="AC2305" s="149"/>
      <c r="AD2305" s="150" t="e">
        <f t="shared" si="772"/>
        <v>#DIV/0!</v>
      </c>
      <c r="AE2305" s="154" t="e">
        <f t="shared" si="773"/>
        <v>#DIV/0!</v>
      </c>
      <c r="AF2305" s="150" t="e">
        <f t="shared" si="774"/>
        <v>#DIV/0!</v>
      </c>
      <c r="AG2305" s="150" t="e">
        <f t="shared" si="775"/>
        <v>#DIV/0!</v>
      </c>
      <c r="AH2305" s="155" t="e">
        <f t="shared" si="776"/>
        <v>#DIV/0!</v>
      </c>
      <c r="AI2305" s="156" t="e">
        <f t="shared" si="756"/>
        <v>#DIV/0!</v>
      </c>
      <c r="AJ2305" s="149"/>
      <c r="AK2305" s="149"/>
      <c r="AL2305" s="157"/>
      <c r="AM2305" s="157"/>
      <c r="AN2305" s="157"/>
      <c r="AO2305" s="157"/>
      <c r="AP2305" s="157"/>
      <c r="AQ2305" s="157"/>
      <c r="AR2305" s="157"/>
    </row>
    <row r="2306" spans="1:44" ht="16.8">
      <c r="A2306" s="145">
        <v>198</v>
      </c>
      <c r="B2306" s="145">
        <v>986</v>
      </c>
      <c r="C2306" s="145" t="s">
        <v>4402</v>
      </c>
      <c r="D2306" s="146" t="s">
        <v>4403</v>
      </c>
      <c r="E2306" s="147" t="s">
        <v>178</v>
      </c>
      <c r="F2306" s="148"/>
      <c r="G2306" s="148"/>
      <c r="H2306" s="149"/>
      <c r="I2306" s="149"/>
      <c r="J2306" s="149"/>
      <c r="K2306" s="149"/>
      <c r="L2306" s="149"/>
      <c r="M2306" s="149">
        <f t="shared" si="790"/>
        <v>0</v>
      </c>
      <c r="N2306" s="149"/>
      <c r="O2306" s="149">
        <f t="shared" si="797"/>
        <v>0</v>
      </c>
      <c r="P2306" s="149"/>
      <c r="Q2306" s="149"/>
      <c r="R2306" s="149">
        <f t="shared" si="798"/>
        <v>0</v>
      </c>
      <c r="S2306" s="150" t="e">
        <f t="shared" si="799"/>
        <v>#DIV/0!</v>
      </c>
      <c r="T2306" s="151" t="e">
        <f t="shared" si="800"/>
        <v>#DIV/0!</v>
      </c>
      <c r="U2306" s="150" t="e">
        <f t="shared" si="801"/>
        <v>#NUM!</v>
      </c>
      <c r="V2306" s="150" t="e">
        <f t="shared" si="802"/>
        <v>#DIV/0!</v>
      </c>
      <c r="W2306" s="152"/>
      <c r="X2306" s="152"/>
      <c r="Y2306" s="152"/>
      <c r="Z2306" s="153">
        <f t="shared" si="796"/>
        <v>0</v>
      </c>
      <c r="AA2306" s="148">
        <f t="shared" si="784"/>
        <v>0</v>
      </c>
      <c r="AB2306" s="149"/>
      <c r="AC2306" s="149"/>
      <c r="AD2306" s="150" t="e">
        <f t="shared" si="772"/>
        <v>#DIV/0!</v>
      </c>
      <c r="AE2306" s="154" t="e">
        <f t="shared" si="773"/>
        <v>#DIV/0!</v>
      </c>
      <c r="AF2306" s="150" t="e">
        <f t="shared" si="774"/>
        <v>#DIV/0!</v>
      </c>
      <c r="AG2306" s="150" t="e">
        <f t="shared" si="775"/>
        <v>#DIV/0!</v>
      </c>
      <c r="AH2306" s="155" t="e">
        <f t="shared" si="776"/>
        <v>#DIV/0!</v>
      </c>
      <c r="AI2306" s="156" t="e">
        <f t="shared" si="756"/>
        <v>#DIV/0!</v>
      </c>
      <c r="AJ2306" s="149"/>
      <c r="AK2306" s="149"/>
      <c r="AL2306" s="157"/>
      <c r="AM2306" s="157"/>
      <c r="AN2306" s="157"/>
      <c r="AO2306" s="157"/>
      <c r="AP2306" s="157"/>
      <c r="AQ2306" s="157"/>
      <c r="AR2306" s="157"/>
    </row>
    <row r="2307" spans="1:44" ht="16.8">
      <c r="A2307" s="145">
        <v>199</v>
      </c>
      <c r="B2307" s="145">
        <v>987</v>
      </c>
      <c r="C2307" s="145" t="s">
        <v>4404</v>
      </c>
      <c r="D2307" s="146" t="s">
        <v>4405</v>
      </c>
      <c r="E2307" s="147" t="s">
        <v>1371</v>
      </c>
      <c r="F2307" s="148"/>
      <c r="G2307" s="148"/>
      <c r="H2307" s="149"/>
      <c r="I2307" s="149"/>
      <c r="J2307" s="149"/>
      <c r="K2307" s="149"/>
      <c r="L2307" s="149"/>
      <c r="M2307" s="149">
        <f t="shared" si="790"/>
        <v>0</v>
      </c>
      <c r="N2307" s="149"/>
      <c r="O2307" s="149">
        <f t="shared" si="797"/>
        <v>0</v>
      </c>
      <c r="P2307" s="149"/>
      <c r="Q2307" s="149"/>
      <c r="R2307" s="149">
        <f t="shared" si="798"/>
        <v>0</v>
      </c>
      <c r="S2307" s="150" t="e">
        <f t="shared" si="799"/>
        <v>#DIV/0!</v>
      </c>
      <c r="T2307" s="151" t="e">
        <f t="shared" si="800"/>
        <v>#DIV/0!</v>
      </c>
      <c r="U2307" s="150" t="e">
        <f t="shared" si="801"/>
        <v>#NUM!</v>
      </c>
      <c r="V2307" s="150" t="e">
        <f t="shared" si="802"/>
        <v>#DIV/0!</v>
      </c>
      <c r="W2307" s="152"/>
      <c r="X2307" s="152"/>
      <c r="Y2307" s="152"/>
      <c r="Z2307" s="153">
        <f t="shared" si="796"/>
        <v>0</v>
      </c>
      <c r="AA2307" s="148">
        <f t="shared" si="784"/>
        <v>0</v>
      </c>
      <c r="AB2307" s="149"/>
      <c r="AC2307" s="149"/>
      <c r="AD2307" s="150" t="e">
        <f t="shared" si="772"/>
        <v>#DIV/0!</v>
      </c>
      <c r="AE2307" s="154" t="e">
        <f t="shared" si="773"/>
        <v>#DIV/0!</v>
      </c>
      <c r="AF2307" s="150" t="e">
        <f t="shared" si="774"/>
        <v>#DIV/0!</v>
      </c>
      <c r="AG2307" s="150" t="e">
        <f t="shared" si="775"/>
        <v>#DIV/0!</v>
      </c>
      <c r="AH2307" s="155" t="e">
        <f t="shared" si="776"/>
        <v>#DIV/0!</v>
      </c>
      <c r="AI2307" s="156" t="e">
        <f t="shared" si="756"/>
        <v>#DIV/0!</v>
      </c>
      <c r="AJ2307" s="149"/>
      <c r="AK2307" s="149"/>
      <c r="AL2307" s="157"/>
      <c r="AM2307" s="157"/>
      <c r="AN2307" s="157"/>
      <c r="AO2307" s="157"/>
      <c r="AP2307" s="157"/>
      <c r="AQ2307" s="157"/>
      <c r="AR2307" s="157"/>
    </row>
    <row r="2308" spans="1:44" ht="16.8">
      <c r="A2308" s="64" t="s">
        <v>4406</v>
      </c>
      <c r="B2308" s="62">
        <v>988</v>
      </c>
      <c r="C2308" s="62" t="s">
        <v>4407</v>
      </c>
      <c r="D2308" s="19" t="s">
        <v>4408</v>
      </c>
      <c r="E2308" s="20" t="s">
        <v>414</v>
      </c>
      <c r="F2308" s="21">
        <v>1995</v>
      </c>
      <c r="G2308" s="40">
        <v>2021</v>
      </c>
      <c r="H2308" s="23">
        <v>11256265055530</v>
      </c>
      <c r="I2308" s="23">
        <v>63057737408476</v>
      </c>
      <c r="J2308" s="23">
        <v>62533526914521</v>
      </c>
      <c r="K2308" s="23">
        <f>(J2308+56489803905280)/2</f>
        <v>59511665409900.5</v>
      </c>
      <c r="L2308" s="23">
        <v>41194055907354</v>
      </c>
      <c r="M2308" s="23">
        <f t="shared" si="790"/>
        <v>524210493955</v>
      </c>
      <c r="N2308" s="23">
        <v>28093455616140</v>
      </c>
      <c r="O2308" s="25">
        <f t="shared" si="797"/>
        <v>-29937790851824</v>
      </c>
      <c r="P2308" s="23">
        <v>-13278992876131</v>
      </c>
      <c r="Q2308" s="23">
        <f>1238060448577+1680445215416</f>
        <v>2918505663993</v>
      </c>
      <c r="R2308" s="25">
        <f t="shared" si="798"/>
        <v>25174949952147</v>
      </c>
      <c r="S2308" s="26">
        <f t="shared" si="799"/>
        <v>0.99168681726464014</v>
      </c>
      <c r="T2308" s="27">
        <f t="shared" si="800"/>
        <v>0.27324973974025513</v>
      </c>
      <c r="U2308" s="26">
        <f t="shared" si="801"/>
        <v>31.775071889421994</v>
      </c>
      <c r="V2308" s="26">
        <f t="shared" si="802"/>
        <v>0.47206636585684103</v>
      </c>
      <c r="W2308" s="143"/>
      <c r="X2308" s="143"/>
      <c r="Y2308" s="143"/>
      <c r="Z2308" s="30">
        <f t="shared" ref="Z2308:Z2310" si="803">X2308*Y2308</f>
        <v>0</v>
      </c>
      <c r="AA2308" s="31">
        <f t="shared" si="784"/>
        <v>26</v>
      </c>
      <c r="AB2308" s="32">
        <v>1.84E-2</v>
      </c>
      <c r="AC2308" s="32">
        <v>2.58E-2</v>
      </c>
      <c r="AD2308" s="33">
        <f t="shared" si="772"/>
        <v>-0.47476792035674703</v>
      </c>
      <c r="AE2308" s="34">
        <f t="shared" si="773"/>
        <v>-0.2105846708408235</v>
      </c>
      <c r="AF2308" s="33">
        <f t="shared" si="774"/>
        <v>0.39923649320096077</v>
      </c>
      <c r="AG2308" s="33">
        <f t="shared" si="775"/>
        <v>0</v>
      </c>
      <c r="AH2308" s="35">
        <f t="shared" si="776"/>
        <v>0.44925429609210765</v>
      </c>
      <c r="AI2308" s="36">
        <f t="shared" ref="AI2308:AI2562" si="804">1.2*AD2308+1.4*AE2308+3.3*AF2308+0.6*AG2308+1*AH2308</f>
        <v>0.90219468005002879</v>
      </c>
      <c r="AJ2308" s="23"/>
      <c r="AK2308" s="120">
        <v>1255</v>
      </c>
      <c r="AL2308" s="44"/>
      <c r="AM2308" s="44"/>
      <c r="AN2308" s="44"/>
      <c r="AO2308" s="44"/>
      <c r="AP2308" s="44"/>
      <c r="AQ2308" s="44"/>
      <c r="AR2308" s="44"/>
    </row>
    <row r="2309" spans="1:44" ht="16.8">
      <c r="A2309" s="64" t="s">
        <v>4409</v>
      </c>
      <c r="B2309" s="62"/>
      <c r="C2309" s="62" t="s">
        <v>4407</v>
      </c>
      <c r="D2309" s="19" t="s">
        <v>4408</v>
      </c>
      <c r="E2309" s="20" t="s">
        <v>414</v>
      </c>
      <c r="F2309" s="21">
        <v>1995</v>
      </c>
      <c r="G2309" s="40">
        <v>2022</v>
      </c>
      <c r="H2309" s="23">
        <v>12329950221266</v>
      </c>
      <c r="I2309" s="23">
        <v>60636187661808</v>
      </c>
      <c r="J2309" s="23">
        <v>71691812417662</v>
      </c>
      <c r="K2309" s="23">
        <f t="shared" ref="K2309:K2310" si="805">SUM(J2308:J2309)/2</f>
        <v>67112669666091.5</v>
      </c>
      <c r="L2309" s="23">
        <v>51800108824797</v>
      </c>
      <c r="M2309" s="23">
        <f t="shared" si="790"/>
        <v>-11055624755854</v>
      </c>
      <c r="N2309" s="23">
        <v>70792824615294</v>
      </c>
      <c r="O2309" s="25">
        <f t="shared" si="797"/>
        <v>-39470158603531</v>
      </c>
      <c r="P2309" s="23">
        <v>-11223015163184</v>
      </c>
      <c r="Q2309" s="23">
        <f>3195005684899+1769308764254</f>
        <v>4964314449153</v>
      </c>
      <c r="R2309" s="25">
        <f t="shared" si="798"/>
        <v>65828510166141</v>
      </c>
      <c r="S2309" s="26">
        <f t="shared" si="799"/>
        <v>1.1823271742860153</v>
      </c>
      <c r="T2309" s="27">
        <f t="shared" si="800"/>
        <v>0.23802942698382101</v>
      </c>
      <c r="U2309" s="26">
        <f t="shared" si="801"/>
        <v>31.735912986912489</v>
      </c>
      <c r="V2309" s="26">
        <f t="shared" si="802"/>
        <v>1.0548354724601559</v>
      </c>
      <c r="W2309" s="143"/>
      <c r="X2309" s="143"/>
      <c r="Y2309" s="143"/>
      <c r="Z2309" s="30">
        <f t="shared" si="803"/>
        <v>0</v>
      </c>
      <c r="AA2309" s="31">
        <f t="shared" si="784"/>
        <v>27</v>
      </c>
      <c r="AB2309" s="32">
        <v>3.15E-2</v>
      </c>
      <c r="AC2309" s="32">
        <v>8.0199999999999994E-2</v>
      </c>
      <c r="AD2309" s="33">
        <f t="shared" si="772"/>
        <v>-0.65093403997744193</v>
      </c>
      <c r="AE2309" s="34">
        <f t="shared" si="773"/>
        <v>-0.18508774373776918</v>
      </c>
      <c r="AF2309" s="33">
        <f t="shared" si="774"/>
        <v>1.0856307545799653</v>
      </c>
      <c r="AG2309" s="33">
        <f t="shared" si="775"/>
        <v>0</v>
      </c>
      <c r="AH2309" s="35">
        <f t="shared" si="776"/>
        <v>0.98746038393993052</v>
      </c>
      <c r="AI2309" s="36">
        <f t="shared" si="804"/>
        <v>3.5297981848480089</v>
      </c>
      <c r="AJ2309" s="23"/>
      <c r="AK2309" s="120">
        <v>1256</v>
      </c>
      <c r="AL2309" s="44"/>
      <c r="AM2309" s="44"/>
      <c r="AN2309" s="44"/>
      <c r="AO2309" s="44"/>
      <c r="AP2309" s="44"/>
      <c r="AQ2309" s="44"/>
      <c r="AR2309" s="44"/>
    </row>
    <row r="2310" spans="1:44" ht="16.8">
      <c r="A2310" s="64" t="s">
        <v>4410</v>
      </c>
      <c r="B2310" s="62"/>
      <c r="C2310" s="62" t="s">
        <v>4407</v>
      </c>
      <c r="D2310" s="19" t="s">
        <v>4408</v>
      </c>
      <c r="E2310" s="20" t="s">
        <v>414</v>
      </c>
      <c r="F2310" s="21">
        <v>1995</v>
      </c>
      <c r="G2310" s="40">
        <v>2023</v>
      </c>
      <c r="H2310" s="23">
        <v>14884283536124</v>
      </c>
      <c r="I2310" s="23">
        <v>57716930720193</v>
      </c>
      <c r="J2310" s="23">
        <v>74742856597931</v>
      </c>
      <c r="K2310" s="23">
        <f t="shared" si="805"/>
        <v>73217334507796.5</v>
      </c>
      <c r="L2310" s="23">
        <v>61171298216881</v>
      </c>
      <c r="M2310" s="23">
        <f t="shared" si="790"/>
        <v>-17025925877738</v>
      </c>
      <c r="N2310" s="23">
        <v>92231210227413</v>
      </c>
      <c r="O2310" s="25">
        <f t="shared" si="797"/>
        <v>-46287014680757</v>
      </c>
      <c r="P2310" s="23">
        <v>-5631748470691</v>
      </c>
      <c r="Q2310" s="23">
        <f>4376668981713+2096092630937</f>
        <v>6472761612650</v>
      </c>
      <c r="R2310" s="25">
        <f t="shared" si="798"/>
        <v>85758448614763</v>
      </c>
      <c r="S2310" s="26">
        <f t="shared" si="799"/>
        <v>1.2949901470034557</v>
      </c>
      <c r="T2310" s="27">
        <f t="shared" si="800"/>
        <v>0.2433213609976401</v>
      </c>
      <c r="U2310" s="26">
        <f t="shared" si="801"/>
        <v>31.68657167309453</v>
      </c>
      <c r="V2310" s="26">
        <f t="shared" si="802"/>
        <v>1.2596909030824091</v>
      </c>
      <c r="W2310" s="143"/>
      <c r="X2310" s="143"/>
      <c r="Y2310" s="143"/>
      <c r="Z2310" s="30">
        <f t="shared" si="803"/>
        <v>0</v>
      </c>
      <c r="AA2310" s="31">
        <f t="shared" si="784"/>
        <v>28</v>
      </c>
      <c r="AB2310" s="32">
        <v>3.2500000000000001E-2</v>
      </c>
      <c r="AC2310" s="32">
        <v>5.0500000000000003E-2</v>
      </c>
      <c r="AD2310" s="33">
        <f t="shared" si="772"/>
        <v>-0.80196597606952968</v>
      </c>
      <c r="AE2310" s="34">
        <f t="shared" si="773"/>
        <v>-9.7575328424743507E-2</v>
      </c>
      <c r="AF2310" s="33">
        <f t="shared" si="774"/>
        <v>1.4858456183422677</v>
      </c>
      <c r="AG2310" s="33">
        <f t="shared" si="775"/>
        <v>0</v>
      </c>
      <c r="AH2310" s="35">
        <f t="shared" si="776"/>
        <v>1.2339802681553664</v>
      </c>
      <c r="AI2310" s="36">
        <f t="shared" si="804"/>
        <v>5.0383061776067732</v>
      </c>
      <c r="AJ2310" s="23"/>
      <c r="AK2310" s="120">
        <v>1257</v>
      </c>
      <c r="AL2310" s="44"/>
      <c r="AM2310" s="44"/>
      <c r="AN2310" s="44"/>
      <c r="AO2310" s="44"/>
      <c r="AP2310" s="44"/>
      <c r="AQ2310" s="44"/>
      <c r="AR2310" s="44"/>
    </row>
    <row r="2311" spans="1:44" ht="16.8">
      <c r="A2311" s="145">
        <v>201</v>
      </c>
      <c r="B2311" s="145">
        <v>989</v>
      </c>
      <c r="C2311" s="145" t="s">
        <v>4411</v>
      </c>
      <c r="D2311" s="146" t="s">
        <v>4412</v>
      </c>
      <c r="E2311" s="147" t="s">
        <v>1371</v>
      </c>
      <c r="F2311" s="148"/>
      <c r="G2311" s="148"/>
      <c r="H2311" s="149"/>
      <c r="I2311" s="149"/>
      <c r="J2311" s="149"/>
      <c r="K2311" s="149"/>
      <c r="L2311" s="149"/>
      <c r="M2311" s="149">
        <f t="shared" si="790"/>
        <v>0</v>
      </c>
      <c r="N2311" s="149"/>
      <c r="O2311" s="149">
        <f t="shared" si="797"/>
        <v>0</v>
      </c>
      <c r="P2311" s="149"/>
      <c r="Q2311" s="149"/>
      <c r="R2311" s="149">
        <f t="shared" si="798"/>
        <v>0</v>
      </c>
      <c r="S2311" s="150" t="e">
        <f t="shared" si="799"/>
        <v>#DIV/0!</v>
      </c>
      <c r="T2311" s="151" t="e">
        <f t="shared" si="800"/>
        <v>#DIV/0!</v>
      </c>
      <c r="U2311" s="150" t="e">
        <f t="shared" si="801"/>
        <v>#NUM!</v>
      </c>
      <c r="V2311" s="150" t="e">
        <f t="shared" si="802"/>
        <v>#DIV/0!</v>
      </c>
      <c r="W2311" s="152"/>
      <c r="X2311" s="152"/>
      <c r="Y2311" s="152"/>
      <c r="Z2311" s="153">
        <f t="shared" ref="Z2311:Z2438" si="806">W2311*Y2311</f>
        <v>0</v>
      </c>
      <c r="AA2311" s="148">
        <f t="shared" si="784"/>
        <v>0</v>
      </c>
      <c r="AB2311" s="149"/>
      <c r="AC2311" s="149"/>
      <c r="AD2311" s="150" t="e">
        <f t="shared" si="772"/>
        <v>#DIV/0!</v>
      </c>
      <c r="AE2311" s="154" t="e">
        <f t="shared" si="773"/>
        <v>#DIV/0!</v>
      </c>
      <c r="AF2311" s="150" t="e">
        <f t="shared" si="774"/>
        <v>#DIV/0!</v>
      </c>
      <c r="AG2311" s="150" t="e">
        <f t="shared" si="775"/>
        <v>#DIV/0!</v>
      </c>
      <c r="AH2311" s="155" t="e">
        <f t="shared" si="776"/>
        <v>#DIV/0!</v>
      </c>
      <c r="AI2311" s="156" t="e">
        <f t="shared" si="804"/>
        <v>#DIV/0!</v>
      </c>
      <c r="AJ2311" s="149"/>
      <c r="AK2311" s="149"/>
      <c r="AL2311" s="157"/>
      <c r="AM2311" s="157"/>
      <c r="AN2311" s="157"/>
      <c r="AO2311" s="157"/>
      <c r="AP2311" s="157"/>
      <c r="AQ2311" s="157"/>
      <c r="AR2311" s="157"/>
    </row>
    <row r="2312" spans="1:44" ht="16.8">
      <c r="A2312" s="145">
        <v>202</v>
      </c>
      <c r="B2312" s="145">
        <v>990</v>
      </c>
      <c r="C2312" s="145" t="s">
        <v>4413</v>
      </c>
      <c r="D2312" s="146" t="s">
        <v>4414</v>
      </c>
      <c r="E2312" s="147" t="s">
        <v>178</v>
      </c>
      <c r="F2312" s="148"/>
      <c r="G2312" s="148"/>
      <c r="H2312" s="149"/>
      <c r="I2312" s="149"/>
      <c r="J2312" s="149"/>
      <c r="K2312" s="149"/>
      <c r="L2312" s="149"/>
      <c r="M2312" s="149">
        <f t="shared" si="790"/>
        <v>0</v>
      </c>
      <c r="N2312" s="149"/>
      <c r="O2312" s="149">
        <f t="shared" si="797"/>
        <v>0</v>
      </c>
      <c r="P2312" s="149"/>
      <c r="Q2312" s="149"/>
      <c r="R2312" s="149">
        <f t="shared" si="798"/>
        <v>0</v>
      </c>
      <c r="S2312" s="150" t="e">
        <f t="shared" si="799"/>
        <v>#DIV/0!</v>
      </c>
      <c r="T2312" s="151" t="e">
        <f t="shared" si="800"/>
        <v>#DIV/0!</v>
      </c>
      <c r="U2312" s="150" t="e">
        <f t="shared" si="801"/>
        <v>#NUM!</v>
      </c>
      <c r="V2312" s="150" t="e">
        <f t="shared" si="802"/>
        <v>#DIV/0!</v>
      </c>
      <c r="W2312" s="152"/>
      <c r="X2312" s="152"/>
      <c r="Y2312" s="152"/>
      <c r="Z2312" s="153">
        <f t="shared" si="806"/>
        <v>0</v>
      </c>
      <c r="AA2312" s="148">
        <f t="shared" si="784"/>
        <v>0</v>
      </c>
      <c r="AB2312" s="149"/>
      <c r="AC2312" s="149"/>
      <c r="AD2312" s="150" t="e">
        <f t="shared" si="772"/>
        <v>#DIV/0!</v>
      </c>
      <c r="AE2312" s="154" t="e">
        <f t="shared" si="773"/>
        <v>#DIV/0!</v>
      </c>
      <c r="AF2312" s="150" t="e">
        <f t="shared" si="774"/>
        <v>#DIV/0!</v>
      </c>
      <c r="AG2312" s="150" t="e">
        <f t="shared" si="775"/>
        <v>#DIV/0!</v>
      </c>
      <c r="AH2312" s="155" t="e">
        <f t="shared" si="776"/>
        <v>#DIV/0!</v>
      </c>
      <c r="AI2312" s="156" t="e">
        <f t="shared" si="804"/>
        <v>#DIV/0!</v>
      </c>
      <c r="AJ2312" s="149"/>
      <c r="AK2312" s="149"/>
      <c r="AL2312" s="157"/>
      <c r="AM2312" s="157"/>
      <c r="AN2312" s="157"/>
      <c r="AO2312" s="157"/>
      <c r="AP2312" s="157"/>
      <c r="AQ2312" s="157"/>
      <c r="AR2312" s="157"/>
    </row>
    <row r="2313" spans="1:44" ht="16.8">
      <c r="A2313" s="145">
        <v>203</v>
      </c>
      <c r="B2313" s="145">
        <v>991</v>
      </c>
      <c r="C2313" s="145" t="s">
        <v>4415</v>
      </c>
      <c r="D2313" s="146" t="s">
        <v>4416</v>
      </c>
      <c r="E2313" s="147" t="s">
        <v>178</v>
      </c>
      <c r="F2313" s="148"/>
      <c r="G2313" s="148"/>
      <c r="H2313" s="149"/>
      <c r="I2313" s="149"/>
      <c r="J2313" s="149"/>
      <c r="K2313" s="149"/>
      <c r="L2313" s="149"/>
      <c r="M2313" s="149">
        <f t="shared" si="790"/>
        <v>0</v>
      </c>
      <c r="N2313" s="149"/>
      <c r="O2313" s="149">
        <f t="shared" si="797"/>
        <v>0</v>
      </c>
      <c r="P2313" s="149"/>
      <c r="Q2313" s="149"/>
      <c r="R2313" s="149">
        <f t="shared" si="798"/>
        <v>0</v>
      </c>
      <c r="S2313" s="150" t="e">
        <f t="shared" si="799"/>
        <v>#DIV/0!</v>
      </c>
      <c r="T2313" s="151" t="e">
        <f t="shared" si="800"/>
        <v>#DIV/0!</v>
      </c>
      <c r="U2313" s="150" t="e">
        <f t="shared" si="801"/>
        <v>#NUM!</v>
      </c>
      <c r="V2313" s="150" t="e">
        <f t="shared" si="802"/>
        <v>#DIV/0!</v>
      </c>
      <c r="W2313" s="152"/>
      <c r="X2313" s="152"/>
      <c r="Y2313" s="152"/>
      <c r="Z2313" s="153">
        <f t="shared" si="806"/>
        <v>0</v>
      </c>
      <c r="AA2313" s="148">
        <f t="shared" si="784"/>
        <v>0</v>
      </c>
      <c r="AB2313" s="149"/>
      <c r="AC2313" s="149"/>
      <c r="AD2313" s="150" t="e">
        <f t="shared" si="772"/>
        <v>#DIV/0!</v>
      </c>
      <c r="AE2313" s="154" t="e">
        <f t="shared" si="773"/>
        <v>#DIV/0!</v>
      </c>
      <c r="AF2313" s="150" t="e">
        <f t="shared" si="774"/>
        <v>#DIV/0!</v>
      </c>
      <c r="AG2313" s="150" t="e">
        <f t="shared" si="775"/>
        <v>#DIV/0!</v>
      </c>
      <c r="AH2313" s="155" t="e">
        <f t="shared" si="776"/>
        <v>#DIV/0!</v>
      </c>
      <c r="AI2313" s="156" t="e">
        <f t="shared" si="804"/>
        <v>#DIV/0!</v>
      </c>
      <c r="AJ2313" s="149"/>
      <c r="AK2313" s="149"/>
      <c r="AL2313" s="157"/>
      <c r="AM2313" s="157"/>
      <c r="AN2313" s="157"/>
      <c r="AO2313" s="157"/>
      <c r="AP2313" s="157"/>
      <c r="AQ2313" s="157"/>
      <c r="AR2313" s="157"/>
    </row>
    <row r="2314" spans="1:44" ht="16.8">
      <c r="A2314" s="145">
        <v>204</v>
      </c>
      <c r="B2314" s="145">
        <v>992</v>
      </c>
      <c r="C2314" s="145" t="s">
        <v>4417</v>
      </c>
      <c r="D2314" s="146" t="s">
        <v>4418</v>
      </c>
      <c r="E2314" s="147" t="s">
        <v>178</v>
      </c>
      <c r="F2314" s="148"/>
      <c r="G2314" s="148"/>
      <c r="H2314" s="149"/>
      <c r="I2314" s="149"/>
      <c r="J2314" s="149"/>
      <c r="K2314" s="149"/>
      <c r="L2314" s="149"/>
      <c r="M2314" s="149">
        <f t="shared" si="790"/>
        <v>0</v>
      </c>
      <c r="N2314" s="149"/>
      <c r="O2314" s="149">
        <f t="shared" si="797"/>
        <v>0</v>
      </c>
      <c r="P2314" s="149"/>
      <c r="Q2314" s="149"/>
      <c r="R2314" s="149">
        <f t="shared" si="798"/>
        <v>0</v>
      </c>
      <c r="S2314" s="150" t="e">
        <f t="shared" si="799"/>
        <v>#DIV/0!</v>
      </c>
      <c r="T2314" s="151" t="e">
        <f t="shared" si="800"/>
        <v>#DIV/0!</v>
      </c>
      <c r="U2314" s="150" t="e">
        <f t="shared" si="801"/>
        <v>#NUM!</v>
      </c>
      <c r="V2314" s="150" t="e">
        <f t="shared" si="802"/>
        <v>#DIV/0!</v>
      </c>
      <c r="W2314" s="152"/>
      <c r="X2314" s="152"/>
      <c r="Y2314" s="152"/>
      <c r="Z2314" s="153">
        <f t="shared" si="806"/>
        <v>0</v>
      </c>
      <c r="AA2314" s="148">
        <f t="shared" si="784"/>
        <v>0</v>
      </c>
      <c r="AB2314" s="149"/>
      <c r="AC2314" s="149"/>
      <c r="AD2314" s="150" t="e">
        <f t="shared" si="772"/>
        <v>#DIV/0!</v>
      </c>
      <c r="AE2314" s="154" t="e">
        <f t="shared" si="773"/>
        <v>#DIV/0!</v>
      </c>
      <c r="AF2314" s="150" t="e">
        <f t="shared" si="774"/>
        <v>#DIV/0!</v>
      </c>
      <c r="AG2314" s="150" t="e">
        <f t="shared" si="775"/>
        <v>#DIV/0!</v>
      </c>
      <c r="AH2314" s="155" t="e">
        <f t="shared" si="776"/>
        <v>#DIV/0!</v>
      </c>
      <c r="AI2314" s="156" t="e">
        <f t="shared" si="804"/>
        <v>#DIV/0!</v>
      </c>
      <c r="AJ2314" s="149"/>
      <c r="AK2314" s="149"/>
      <c r="AL2314" s="157"/>
      <c r="AM2314" s="157"/>
      <c r="AN2314" s="157"/>
      <c r="AO2314" s="157"/>
      <c r="AP2314" s="157"/>
      <c r="AQ2314" s="157"/>
      <c r="AR2314" s="157"/>
    </row>
    <row r="2315" spans="1:44" ht="16.8">
      <c r="A2315" s="145">
        <v>205</v>
      </c>
      <c r="B2315" s="145">
        <v>993</v>
      </c>
      <c r="C2315" s="145" t="s">
        <v>4419</v>
      </c>
      <c r="D2315" s="146" t="s">
        <v>4420</v>
      </c>
      <c r="E2315" s="147" t="s">
        <v>178</v>
      </c>
      <c r="F2315" s="148"/>
      <c r="G2315" s="148"/>
      <c r="H2315" s="149"/>
      <c r="I2315" s="149"/>
      <c r="J2315" s="149"/>
      <c r="K2315" s="149"/>
      <c r="L2315" s="149"/>
      <c r="M2315" s="149">
        <f t="shared" si="790"/>
        <v>0</v>
      </c>
      <c r="N2315" s="149"/>
      <c r="O2315" s="149">
        <f t="shared" si="797"/>
        <v>0</v>
      </c>
      <c r="P2315" s="149"/>
      <c r="Q2315" s="149"/>
      <c r="R2315" s="149">
        <f t="shared" si="798"/>
        <v>0</v>
      </c>
      <c r="S2315" s="150" t="e">
        <f t="shared" si="799"/>
        <v>#DIV/0!</v>
      </c>
      <c r="T2315" s="151" t="e">
        <f t="shared" si="800"/>
        <v>#DIV/0!</v>
      </c>
      <c r="U2315" s="150" t="e">
        <f t="shared" si="801"/>
        <v>#NUM!</v>
      </c>
      <c r="V2315" s="150" t="e">
        <f t="shared" si="802"/>
        <v>#DIV/0!</v>
      </c>
      <c r="W2315" s="152"/>
      <c r="X2315" s="152"/>
      <c r="Y2315" s="152"/>
      <c r="Z2315" s="153">
        <f t="shared" si="806"/>
        <v>0</v>
      </c>
      <c r="AA2315" s="148">
        <f t="shared" si="784"/>
        <v>0</v>
      </c>
      <c r="AB2315" s="149"/>
      <c r="AC2315" s="149"/>
      <c r="AD2315" s="150" t="e">
        <f t="shared" si="772"/>
        <v>#DIV/0!</v>
      </c>
      <c r="AE2315" s="154" t="e">
        <f t="shared" si="773"/>
        <v>#DIV/0!</v>
      </c>
      <c r="AF2315" s="150" t="e">
        <f t="shared" si="774"/>
        <v>#DIV/0!</v>
      </c>
      <c r="AG2315" s="150" t="e">
        <f t="shared" si="775"/>
        <v>#DIV/0!</v>
      </c>
      <c r="AH2315" s="155" t="e">
        <f t="shared" si="776"/>
        <v>#DIV/0!</v>
      </c>
      <c r="AI2315" s="156" t="e">
        <f t="shared" si="804"/>
        <v>#DIV/0!</v>
      </c>
      <c r="AJ2315" s="149"/>
      <c r="AK2315" s="149"/>
      <c r="AL2315" s="157"/>
      <c r="AM2315" s="157"/>
      <c r="AN2315" s="157"/>
      <c r="AO2315" s="157"/>
      <c r="AP2315" s="157"/>
      <c r="AQ2315" s="157"/>
      <c r="AR2315" s="157"/>
    </row>
    <row r="2316" spans="1:44" ht="16.8">
      <c r="A2316" s="145">
        <v>206</v>
      </c>
      <c r="B2316" s="145">
        <v>994</v>
      </c>
      <c r="C2316" s="145" t="s">
        <v>4421</v>
      </c>
      <c r="D2316" s="146" t="s">
        <v>4422</v>
      </c>
      <c r="E2316" s="147" t="s">
        <v>178</v>
      </c>
      <c r="F2316" s="148"/>
      <c r="G2316" s="148"/>
      <c r="H2316" s="149"/>
      <c r="I2316" s="149"/>
      <c r="J2316" s="149"/>
      <c r="K2316" s="149"/>
      <c r="L2316" s="149"/>
      <c r="M2316" s="149">
        <f t="shared" si="790"/>
        <v>0</v>
      </c>
      <c r="N2316" s="149"/>
      <c r="O2316" s="149">
        <f t="shared" si="797"/>
        <v>0</v>
      </c>
      <c r="P2316" s="149"/>
      <c r="Q2316" s="149"/>
      <c r="R2316" s="149">
        <f t="shared" si="798"/>
        <v>0</v>
      </c>
      <c r="S2316" s="150" t="e">
        <f t="shared" si="799"/>
        <v>#DIV/0!</v>
      </c>
      <c r="T2316" s="151" t="e">
        <f t="shared" si="800"/>
        <v>#DIV/0!</v>
      </c>
      <c r="U2316" s="150" t="e">
        <f t="shared" si="801"/>
        <v>#NUM!</v>
      </c>
      <c r="V2316" s="150" t="e">
        <f t="shared" si="802"/>
        <v>#DIV/0!</v>
      </c>
      <c r="W2316" s="152"/>
      <c r="X2316" s="152"/>
      <c r="Y2316" s="152"/>
      <c r="Z2316" s="153">
        <f t="shared" si="806"/>
        <v>0</v>
      </c>
      <c r="AA2316" s="148">
        <f t="shared" si="784"/>
        <v>0</v>
      </c>
      <c r="AB2316" s="149"/>
      <c r="AC2316" s="149"/>
      <c r="AD2316" s="150" t="e">
        <f t="shared" si="772"/>
        <v>#DIV/0!</v>
      </c>
      <c r="AE2316" s="154" t="e">
        <f t="shared" si="773"/>
        <v>#DIV/0!</v>
      </c>
      <c r="AF2316" s="150" t="e">
        <f t="shared" si="774"/>
        <v>#DIV/0!</v>
      </c>
      <c r="AG2316" s="150" t="e">
        <f t="shared" si="775"/>
        <v>#DIV/0!</v>
      </c>
      <c r="AH2316" s="155" t="e">
        <f t="shared" si="776"/>
        <v>#DIV/0!</v>
      </c>
      <c r="AI2316" s="156" t="e">
        <f t="shared" si="804"/>
        <v>#DIV/0!</v>
      </c>
      <c r="AJ2316" s="149"/>
      <c r="AK2316" s="149"/>
      <c r="AL2316" s="157"/>
      <c r="AM2316" s="157"/>
      <c r="AN2316" s="157"/>
      <c r="AO2316" s="157"/>
      <c r="AP2316" s="157"/>
      <c r="AQ2316" s="157"/>
      <c r="AR2316" s="157"/>
    </row>
    <row r="2317" spans="1:44" ht="16.8">
      <c r="A2317" s="145">
        <v>207</v>
      </c>
      <c r="B2317" s="145">
        <v>995</v>
      </c>
      <c r="C2317" s="145" t="s">
        <v>4423</v>
      </c>
      <c r="D2317" s="146" t="s">
        <v>4424</v>
      </c>
      <c r="E2317" s="147" t="s">
        <v>1371</v>
      </c>
      <c r="F2317" s="148"/>
      <c r="G2317" s="148"/>
      <c r="H2317" s="149"/>
      <c r="I2317" s="149"/>
      <c r="J2317" s="149"/>
      <c r="K2317" s="149"/>
      <c r="L2317" s="149"/>
      <c r="M2317" s="149">
        <f t="shared" si="790"/>
        <v>0</v>
      </c>
      <c r="N2317" s="149"/>
      <c r="O2317" s="149">
        <f t="shared" si="797"/>
        <v>0</v>
      </c>
      <c r="P2317" s="149"/>
      <c r="Q2317" s="149"/>
      <c r="R2317" s="149">
        <f t="shared" si="798"/>
        <v>0</v>
      </c>
      <c r="S2317" s="150" t="e">
        <f t="shared" si="799"/>
        <v>#DIV/0!</v>
      </c>
      <c r="T2317" s="151" t="e">
        <f t="shared" si="800"/>
        <v>#DIV/0!</v>
      </c>
      <c r="U2317" s="150" t="e">
        <f t="shared" si="801"/>
        <v>#NUM!</v>
      </c>
      <c r="V2317" s="150" t="e">
        <f t="shared" si="802"/>
        <v>#DIV/0!</v>
      </c>
      <c r="W2317" s="152"/>
      <c r="X2317" s="152"/>
      <c r="Y2317" s="152"/>
      <c r="Z2317" s="153">
        <f t="shared" si="806"/>
        <v>0</v>
      </c>
      <c r="AA2317" s="148">
        <f t="shared" si="784"/>
        <v>0</v>
      </c>
      <c r="AB2317" s="149"/>
      <c r="AC2317" s="149"/>
      <c r="AD2317" s="150" t="e">
        <f t="shared" si="772"/>
        <v>#DIV/0!</v>
      </c>
      <c r="AE2317" s="154" t="e">
        <f t="shared" si="773"/>
        <v>#DIV/0!</v>
      </c>
      <c r="AF2317" s="150" t="e">
        <f t="shared" si="774"/>
        <v>#DIV/0!</v>
      </c>
      <c r="AG2317" s="150" t="e">
        <f t="shared" si="775"/>
        <v>#DIV/0!</v>
      </c>
      <c r="AH2317" s="155" t="e">
        <f t="shared" si="776"/>
        <v>#DIV/0!</v>
      </c>
      <c r="AI2317" s="156" t="e">
        <f t="shared" si="804"/>
        <v>#DIV/0!</v>
      </c>
      <c r="AJ2317" s="149"/>
      <c r="AK2317" s="149"/>
      <c r="AL2317" s="157"/>
      <c r="AM2317" s="157"/>
      <c r="AN2317" s="157"/>
      <c r="AO2317" s="157"/>
      <c r="AP2317" s="157"/>
      <c r="AQ2317" s="157"/>
      <c r="AR2317" s="157"/>
    </row>
    <row r="2318" spans="1:44" ht="16.8">
      <c r="A2318" s="145">
        <v>208</v>
      </c>
      <c r="B2318" s="145">
        <v>996</v>
      </c>
      <c r="C2318" s="145" t="s">
        <v>4425</v>
      </c>
      <c r="D2318" s="146" t="s">
        <v>4426</v>
      </c>
      <c r="E2318" s="147" t="s">
        <v>178</v>
      </c>
      <c r="F2318" s="148"/>
      <c r="G2318" s="148"/>
      <c r="H2318" s="149"/>
      <c r="I2318" s="149"/>
      <c r="J2318" s="149"/>
      <c r="K2318" s="149"/>
      <c r="L2318" s="149"/>
      <c r="M2318" s="149">
        <f t="shared" si="790"/>
        <v>0</v>
      </c>
      <c r="N2318" s="149"/>
      <c r="O2318" s="149">
        <f t="shared" si="797"/>
        <v>0</v>
      </c>
      <c r="P2318" s="149"/>
      <c r="Q2318" s="149"/>
      <c r="R2318" s="149">
        <f t="shared" si="798"/>
        <v>0</v>
      </c>
      <c r="S2318" s="150" t="e">
        <f t="shared" si="799"/>
        <v>#DIV/0!</v>
      </c>
      <c r="T2318" s="151" t="e">
        <f t="shared" si="800"/>
        <v>#DIV/0!</v>
      </c>
      <c r="U2318" s="150" t="e">
        <f t="shared" si="801"/>
        <v>#NUM!</v>
      </c>
      <c r="V2318" s="150" t="e">
        <f t="shared" si="802"/>
        <v>#DIV/0!</v>
      </c>
      <c r="W2318" s="152"/>
      <c r="X2318" s="152"/>
      <c r="Y2318" s="152"/>
      <c r="Z2318" s="153">
        <f t="shared" si="806"/>
        <v>0</v>
      </c>
      <c r="AA2318" s="148">
        <f t="shared" si="784"/>
        <v>0</v>
      </c>
      <c r="AB2318" s="149"/>
      <c r="AC2318" s="149"/>
      <c r="AD2318" s="150" t="e">
        <f t="shared" si="772"/>
        <v>#DIV/0!</v>
      </c>
      <c r="AE2318" s="154" t="e">
        <f t="shared" si="773"/>
        <v>#DIV/0!</v>
      </c>
      <c r="AF2318" s="150" t="e">
        <f t="shared" si="774"/>
        <v>#DIV/0!</v>
      </c>
      <c r="AG2318" s="150" t="e">
        <f t="shared" si="775"/>
        <v>#DIV/0!</v>
      </c>
      <c r="AH2318" s="155" t="e">
        <f t="shared" si="776"/>
        <v>#DIV/0!</v>
      </c>
      <c r="AI2318" s="156" t="e">
        <f t="shared" si="804"/>
        <v>#DIV/0!</v>
      </c>
      <c r="AJ2318" s="149"/>
      <c r="AK2318" s="149"/>
      <c r="AL2318" s="157"/>
      <c r="AM2318" s="157"/>
      <c r="AN2318" s="157"/>
      <c r="AO2318" s="157"/>
      <c r="AP2318" s="157"/>
      <c r="AQ2318" s="157"/>
      <c r="AR2318" s="157"/>
    </row>
    <row r="2319" spans="1:44" ht="16.8">
      <c r="A2319" s="145">
        <v>209</v>
      </c>
      <c r="B2319" s="145">
        <v>997</v>
      </c>
      <c r="C2319" s="145" t="s">
        <v>4427</v>
      </c>
      <c r="D2319" s="146" t="s">
        <v>4428</v>
      </c>
      <c r="E2319" s="147" t="s">
        <v>178</v>
      </c>
      <c r="F2319" s="148"/>
      <c r="G2319" s="148"/>
      <c r="H2319" s="149"/>
      <c r="I2319" s="149"/>
      <c r="J2319" s="149"/>
      <c r="K2319" s="149"/>
      <c r="L2319" s="149"/>
      <c r="M2319" s="149">
        <f t="shared" si="790"/>
        <v>0</v>
      </c>
      <c r="N2319" s="149"/>
      <c r="O2319" s="149">
        <f t="shared" si="797"/>
        <v>0</v>
      </c>
      <c r="P2319" s="149"/>
      <c r="Q2319" s="149"/>
      <c r="R2319" s="149">
        <f t="shared" si="798"/>
        <v>0</v>
      </c>
      <c r="S2319" s="150" t="e">
        <f t="shared" si="799"/>
        <v>#DIV/0!</v>
      </c>
      <c r="T2319" s="151" t="e">
        <f t="shared" si="800"/>
        <v>#DIV/0!</v>
      </c>
      <c r="U2319" s="150" t="e">
        <f t="shared" si="801"/>
        <v>#NUM!</v>
      </c>
      <c r="V2319" s="150" t="e">
        <f t="shared" si="802"/>
        <v>#DIV/0!</v>
      </c>
      <c r="W2319" s="152"/>
      <c r="X2319" s="152"/>
      <c r="Y2319" s="152"/>
      <c r="Z2319" s="153">
        <f t="shared" si="806"/>
        <v>0</v>
      </c>
      <c r="AA2319" s="148">
        <f t="shared" si="784"/>
        <v>0</v>
      </c>
      <c r="AB2319" s="149"/>
      <c r="AC2319" s="149"/>
      <c r="AD2319" s="150" t="e">
        <f t="shared" si="772"/>
        <v>#DIV/0!</v>
      </c>
      <c r="AE2319" s="154" t="e">
        <f t="shared" si="773"/>
        <v>#DIV/0!</v>
      </c>
      <c r="AF2319" s="150" t="e">
        <f t="shared" si="774"/>
        <v>#DIV/0!</v>
      </c>
      <c r="AG2319" s="150" t="e">
        <f t="shared" si="775"/>
        <v>#DIV/0!</v>
      </c>
      <c r="AH2319" s="155" t="e">
        <f t="shared" si="776"/>
        <v>#DIV/0!</v>
      </c>
      <c r="AI2319" s="156" t="e">
        <f t="shared" si="804"/>
        <v>#DIV/0!</v>
      </c>
      <c r="AJ2319" s="149"/>
      <c r="AK2319" s="149"/>
      <c r="AL2319" s="157"/>
      <c r="AM2319" s="157"/>
      <c r="AN2319" s="157"/>
      <c r="AO2319" s="157"/>
      <c r="AP2319" s="157"/>
      <c r="AQ2319" s="157"/>
      <c r="AR2319" s="157"/>
    </row>
    <row r="2320" spans="1:44" ht="16.8">
      <c r="A2320" s="145">
        <v>210</v>
      </c>
      <c r="B2320" s="145">
        <v>998</v>
      </c>
      <c r="C2320" s="145" t="s">
        <v>4429</v>
      </c>
      <c r="D2320" s="146" t="s">
        <v>4430</v>
      </c>
      <c r="E2320" s="147" t="s">
        <v>178</v>
      </c>
      <c r="F2320" s="148"/>
      <c r="G2320" s="148"/>
      <c r="H2320" s="149"/>
      <c r="I2320" s="149"/>
      <c r="J2320" s="149"/>
      <c r="K2320" s="149"/>
      <c r="L2320" s="149"/>
      <c r="M2320" s="149">
        <f t="shared" si="790"/>
        <v>0</v>
      </c>
      <c r="N2320" s="149"/>
      <c r="O2320" s="149">
        <f t="shared" si="797"/>
        <v>0</v>
      </c>
      <c r="P2320" s="149"/>
      <c r="Q2320" s="149"/>
      <c r="R2320" s="149">
        <f t="shared" si="798"/>
        <v>0</v>
      </c>
      <c r="S2320" s="150" t="e">
        <f t="shared" si="799"/>
        <v>#DIV/0!</v>
      </c>
      <c r="T2320" s="151" t="e">
        <f t="shared" si="800"/>
        <v>#DIV/0!</v>
      </c>
      <c r="U2320" s="150" t="e">
        <f t="shared" si="801"/>
        <v>#NUM!</v>
      </c>
      <c r="V2320" s="150" t="e">
        <f t="shared" si="802"/>
        <v>#DIV/0!</v>
      </c>
      <c r="W2320" s="152"/>
      <c r="X2320" s="152"/>
      <c r="Y2320" s="152"/>
      <c r="Z2320" s="153">
        <f t="shared" si="806"/>
        <v>0</v>
      </c>
      <c r="AA2320" s="148">
        <f t="shared" si="784"/>
        <v>0</v>
      </c>
      <c r="AB2320" s="149"/>
      <c r="AC2320" s="149"/>
      <c r="AD2320" s="150" t="e">
        <f t="shared" si="772"/>
        <v>#DIV/0!</v>
      </c>
      <c r="AE2320" s="154" t="e">
        <f t="shared" si="773"/>
        <v>#DIV/0!</v>
      </c>
      <c r="AF2320" s="150" t="e">
        <f t="shared" si="774"/>
        <v>#DIV/0!</v>
      </c>
      <c r="AG2320" s="150" t="e">
        <f t="shared" si="775"/>
        <v>#DIV/0!</v>
      </c>
      <c r="AH2320" s="155" t="e">
        <f t="shared" si="776"/>
        <v>#DIV/0!</v>
      </c>
      <c r="AI2320" s="156" t="e">
        <f t="shared" si="804"/>
        <v>#DIV/0!</v>
      </c>
      <c r="AJ2320" s="149"/>
      <c r="AK2320" s="149"/>
      <c r="AL2320" s="157"/>
      <c r="AM2320" s="157"/>
      <c r="AN2320" s="157"/>
      <c r="AO2320" s="157"/>
      <c r="AP2320" s="157"/>
      <c r="AQ2320" s="157"/>
      <c r="AR2320" s="157"/>
    </row>
    <row r="2321" spans="1:44" ht="16.8">
      <c r="A2321" s="145">
        <v>211</v>
      </c>
      <c r="B2321" s="145">
        <v>999</v>
      </c>
      <c r="C2321" s="145" t="s">
        <v>4431</v>
      </c>
      <c r="D2321" s="146" t="s">
        <v>4432</v>
      </c>
      <c r="E2321" s="147" t="s">
        <v>178</v>
      </c>
      <c r="F2321" s="148"/>
      <c r="G2321" s="148"/>
      <c r="H2321" s="149"/>
      <c r="I2321" s="149"/>
      <c r="J2321" s="149"/>
      <c r="K2321" s="149"/>
      <c r="L2321" s="149"/>
      <c r="M2321" s="149">
        <f t="shared" si="790"/>
        <v>0</v>
      </c>
      <c r="N2321" s="149"/>
      <c r="O2321" s="149">
        <f t="shared" si="797"/>
        <v>0</v>
      </c>
      <c r="P2321" s="149"/>
      <c r="Q2321" s="149"/>
      <c r="R2321" s="149">
        <f t="shared" si="798"/>
        <v>0</v>
      </c>
      <c r="S2321" s="150" t="e">
        <f t="shared" si="799"/>
        <v>#DIV/0!</v>
      </c>
      <c r="T2321" s="151" t="e">
        <f t="shared" si="800"/>
        <v>#DIV/0!</v>
      </c>
      <c r="U2321" s="150" t="e">
        <f t="shared" si="801"/>
        <v>#NUM!</v>
      </c>
      <c r="V2321" s="150" t="e">
        <f t="shared" si="802"/>
        <v>#DIV/0!</v>
      </c>
      <c r="W2321" s="152"/>
      <c r="X2321" s="152"/>
      <c r="Y2321" s="152"/>
      <c r="Z2321" s="153">
        <f t="shared" si="806"/>
        <v>0</v>
      </c>
      <c r="AA2321" s="148">
        <f t="shared" si="784"/>
        <v>0</v>
      </c>
      <c r="AB2321" s="149"/>
      <c r="AC2321" s="149"/>
      <c r="AD2321" s="150" t="e">
        <f t="shared" si="772"/>
        <v>#DIV/0!</v>
      </c>
      <c r="AE2321" s="154" t="e">
        <f t="shared" si="773"/>
        <v>#DIV/0!</v>
      </c>
      <c r="AF2321" s="150" t="e">
        <f t="shared" si="774"/>
        <v>#DIV/0!</v>
      </c>
      <c r="AG2321" s="150" t="e">
        <f t="shared" si="775"/>
        <v>#DIV/0!</v>
      </c>
      <c r="AH2321" s="155" t="e">
        <f t="shared" si="776"/>
        <v>#DIV/0!</v>
      </c>
      <c r="AI2321" s="156" t="e">
        <f t="shared" si="804"/>
        <v>#DIV/0!</v>
      </c>
      <c r="AJ2321" s="149"/>
      <c r="AK2321" s="149"/>
      <c r="AL2321" s="157"/>
      <c r="AM2321" s="157"/>
      <c r="AN2321" s="157"/>
      <c r="AO2321" s="157"/>
      <c r="AP2321" s="157"/>
      <c r="AQ2321" s="157"/>
      <c r="AR2321" s="157"/>
    </row>
    <row r="2322" spans="1:44" ht="16.8">
      <c r="A2322" s="145">
        <v>212</v>
      </c>
      <c r="B2322" s="145">
        <v>1000</v>
      </c>
      <c r="C2322" s="145" t="s">
        <v>4433</v>
      </c>
      <c r="D2322" s="146" t="s">
        <v>4434</v>
      </c>
      <c r="E2322" s="147" t="s">
        <v>178</v>
      </c>
      <c r="F2322" s="148"/>
      <c r="G2322" s="148"/>
      <c r="H2322" s="149"/>
      <c r="I2322" s="149"/>
      <c r="J2322" s="149"/>
      <c r="K2322" s="149"/>
      <c r="L2322" s="149"/>
      <c r="M2322" s="149">
        <f t="shared" si="790"/>
        <v>0</v>
      </c>
      <c r="N2322" s="149"/>
      <c r="O2322" s="149">
        <f t="shared" si="797"/>
        <v>0</v>
      </c>
      <c r="P2322" s="149"/>
      <c r="Q2322" s="149"/>
      <c r="R2322" s="149">
        <f t="shared" si="798"/>
        <v>0</v>
      </c>
      <c r="S2322" s="150" t="e">
        <f t="shared" si="799"/>
        <v>#DIV/0!</v>
      </c>
      <c r="T2322" s="151" t="e">
        <f t="shared" si="800"/>
        <v>#DIV/0!</v>
      </c>
      <c r="U2322" s="150" t="e">
        <f t="shared" si="801"/>
        <v>#NUM!</v>
      </c>
      <c r="V2322" s="150" t="e">
        <f t="shared" si="802"/>
        <v>#DIV/0!</v>
      </c>
      <c r="W2322" s="152"/>
      <c r="X2322" s="152"/>
      <c r="Y2322" s="152"/>
      <c r="Z2322" s="153">
        <f t="shared" si="806"/>
        <v>0</v>
      </c>
      <c r="AA2322" s="148">
        <f t="shared" si="784"/>
        <v>0</v>
      </c>
      <c r="AB2322" s="149"/>
      <c r="AC2322" s="149"/>
      <c r="AD2322" s="150" t="e">
        <f t="shared" si="772"/>
        <v>#DIV/0!</v>
      </c>
      <c r="AE2322" s="154" t="e">
        <f t="shared" si="773"/>
        <v>#DIV/0!</v>
      </c>
      <c r="AF2322" s="150" t="e">
        <f t="shared" si="774"/>
        <v>#DIV/0!</v>
      </c>
      <c r="AG2322" s="150" t="e">
        <f t="shared" si="775"/>
        <v>#DIV/0!</v>
      </c>
      <c r="AH2322" s="155" t="e">
        <f t="shared" si="776"/>
        <v>#DIV/0!</v>
      </c>
      <c r="AI2322" s="156" t="e">
        <f t="shared" si="804"/>
        <v>#DIV/0!</v>
      </c>
      <c r="AJ2322" s="149"/>
      <c r="AK2322" s="149"/>
      <c r="AL2322" s="157"/>
      <c r="AM2322" s="157"/>
      <c r="AN2322" s="157"/>
      <c r="AO2322" s="157"/>
      <c r="AP2322" s="157"/>
      <c r="AQ2322" s="157"/>
      <c r="AR2322" s="157"/>
    </row>
    <row r="2323" spans="1:44" ht="16.8">
      <c r="A2323" s="79">
        <v>213</v>
      </c>
      <c r="B2323" s="1">
        <v>1001</v>
      </c>
      <c r="C2323" s="1" t="s">
        <v>4435</v>
      </c>
      <c r="D2323" s="19" t="s">
        <v>4436</v>
      </c>
      <c r="E2323" s="20" t="s">
        <v>39</v>
      </c>
      <c r="F2323" s="21"/>
      <c r="G2323" s="40"/>
      <c r="H2323" s="23"/>
      <c r="I2323" s="23"/>
      <c r="J2323" s="23"/>
      <c r="K2323" s="23"/>
      <c r="L2323" s="23"/>
      <c r="M2323" s="23">
        <f t="shared" si="790"/>
        <v>0</v>
      </c>
      <c r="N2323" s="23"/>
      <c r="O2323" s="25">
        <f t="shared" si="797"/>
        <v>0</v>
      </c>
      <c r="P2323" s="23"/>
      <c r="Q2323" s="23"/>
      <c r="R2323" s="25">
        <f t="shared" si="798"/>
        <v>0</v>
      </c>
      <c r="S2323" s="26" t="e">
        <f t="shared" si="799"/>
        <v>#DIV/0!</v>
      </c>
      <c r="T2323" s="27" t="e">
        <f t="shared" si="800"/>
        <v>#DIV/0!</v>
      </c>
      <c r="U2323" s="26" t="e">
        <f t="shared" si="801"/>
        <v>#NUM!</v>
      </c>
      <c r="V2323" s="26" t="e">
        <f t="shared" si="802"/>
        <v>#DIV/0!</v>
      </c>
      <c r="W2323" s="143"/>
      <c r="X2323" s="143"/>
      <c r="Y2323" s="143"/>
      <c r="Z2323" s="30">
        <f t="shared" si="806"/>
        <v>0</v>
      </c>
      <c r="AA2323" s="31">
        <f t="shared" si="784"/>
        <v>0</v>
      </c>
      <c r="AB2323" s="144"/>
      <c r="AC2323" s="144"/>
      <c r="AD2323" s="33" t="e">
        <f t="shared" si="772"/>
        <v>#DIV/0!</v>
      </c>
      <c r="AE2323" s="34" t="e">
        <f t="shared" si="773"/>
        <v>#DIV/0!</v>
      </c>
      <c r="AF2323" s="33" t="e">
        <f t="shared" si="774"/>
        <v>#DIV/0!</v>
      </c>
      <c r="AG2323" s="33" t="e">
        <f t="shared" si="775"/>
        <v>#DIV/0!</v>
      </c>
      <c r="AH2323" s="35" t="e">
        <f t="shared" si="776"/>
        <v>#DIV/0!</v>
      </c>
      <c r="AI2323" s="36" t="e">
        <f t="shared" si="804"/>
        <v>#DIV/0!</v>
      </c>
      <c r="AJ2323" s="23"/>
      <c r="AK2323" s="120">
        <v>1258</v>
      </c>
      <c r="AL2323" s="44"/>
      <c r="AM2323" s="44"/>
      <c r="AN2323" s="44"/>
      <c r="AO2323" s="44"/>
      <c r="AP2323" s="44"/>
      <c r="AQ2323" s="44"/>
      <c r="AR2323" s="44"/>
    </row>
    <row r="2324" spans="1:44" ht="16.8">
      <c r="A2324" s="145">
        <v>214</v>
      </c>
      <c r="B2324" s="145">
        <v>1002</v>
      </c>
      <c r="C2324" s="145" t="s">
        <v>4437</v>
      </c>
      <c r="D2324" s="146" t="s">
        <v>4438</v>
      </c>
      <c r="E2324" s="147" t="s">
        <v>178</v>
      </c>
      <c r="F2324" s="148"/>
      <c r="G2324" s="148"/>
      <c r="H2324" s="149"/>
      <c r="I2324" s="149"/>
      <c r="J2324" s="149"/>
      <c r="K2324" s="149"/>
      <c r="L2324" s="149"/>
      <c r="M2324" s="149">
        <f t="shared" si="790"/>
        <v>0</v>
      </c>
      <c r="N2324" s="149"/>
      <c r="O2324" s="149">
        <f t="shared" si="797"/>
        <v>0</v>
      </c>
      <c r="P2324" s="149"/>
      <c r="Q2324" s="149"/>
      <c r="R2324" s="149">
        <f t="shared" si="798"/>
        <v>0</v>
      </c>
      <c r="S2324" s="150" t="e">
        <f t="shared" si="799"/>
        <v>#DIV/0!</v>
      </c>
      <c r="T2324" s="151" t="e">
        <f t="shared" si="800"/>
        <v>#DIV/0!</v>
      </c>
      <c r="U2324" s="150" t="e">
        <f t="shared" si="801"/>
        <v>#NUM!</v>
      </c>
      <c r="V2324" s="150" t="e">
        <f t="shared" si="802"/>
        <v>#DIV/0!</v>
      </c>
      <c r="W2324" s="152"/>
      <c r="X2324" s="152"/>
      <c r="Y2324" s="152"/>
      <c r="Z2324" s="153">
        <f t="shared" si="806"/>
        <v>0</v>
      </c>
      <c r="AA2324" s="148">
        <f t="shared" si="784"/>
        <v>0</v>
      </c>
      <c r="AB2324" s="149"/>
      <c r="AC2324" s="149"/>
      <c r="AD2324" s="150" t="e">
        <f t="shared" si="772"/>
        <v>#DIV/0!</v>
      </c>
      <c r="AE2324" s="154" t="e">
        <f t="shared" si="773"/>
        <v>#DIV/0!</v>
      </c>
      <c r="AF2324" s="150" t="e">
        <f t="shared" si="774"/>
        <v>#DIV/0!</v>
      </c>
      <c r="AG2324" s="150" t="e">
        <f t="shared" si="775"/>
        <v>#DIV/0!</v>
      </c>
      <c r="AH2324" s="155" t="e">
        <f t="shared" si="776"/>
        <v>#DIV/0!</v>
      </c>
      <c r="AI2324" s="156" t="e">
        <f t="shared" si="804"/>
        <v>#DIV/0!</v>
      </c>
      <c r="AJ2324" s="149"/>
      <c r="AK2324" s="149"/>
      <c r="AL2324" s="157"/>
      <c r="AM2324" s="157"/>
      <c r="AN2324" s="157"/>
      <c r="AO2324" s="157"/>
      <c r="AP2324" s="157"/>
      <c r="AQ2324" s="157"/>
      <c r="AR2324" s="157"/>
    </row>
    <row r="2325" spans="1:44" ht="16.8">
      <c r="A2325" s="145">
        <v>215</v>
      </c>
      <c r="B2325" s="145">
        <v>1003</v>
      </c>
      <c r="C2325" s="145" t="s">
        <v>4439</v>
      </c>
      <c r="D2325" s="146" t="s">
        <v>4440</v>
      </c>
      <c r="E2325" s="147" t="s">
        <v>178</v>
      </c>
      <c r="F2325" s="148"/>
      <c r="G2325" s="148"/>
      <c r="H2325" s="149"/>
      <c r="I2325" s="149"/>
      <c r="J2325" s="149"/>
      <c r="K2325" s="149"/>
      <c r="L2325" s="149"/>
      <c r="M2325" s="149">
        <f t="shared" si="790"/>
        <v>0</v>
      </c>
      <c r="N2325" s="149"/>
      <c r="O2325" s="149">
        <f t="shared" si="797"/>
        <v>0</v>
      </c>
      <c r="P2325" s="149"/>
      <c r="Q2325" s="149"/>
      <c r="R2325" s="149">
        <f t="shared" si="798"/>
        <v>0</v>
      </c>
      <c r="S2325" s="150" t="e">
        <f t="shared" si="799"/>
        <v>#DIV/0!</v>
      </c>
      <c r="T2325" s="151" t="e">
        <f t="shared" si="800"/>
        <v>#DIV/0!</v>
      </c>
      <c r="U2325" s="150" t="e">
        <f t="shared" si="801"/>
        <v>#NUM!</v>
      </c>
      <c r="V2325" s="150" t="e">
        <f t="shared" si="802"/>
        <v>#DIV/0!</v>
      </c>
      <c r="W2325" s="152"/>
      <c r="X2325" s="152"/>
      <c r="Y2325" s="152"/>
      <c r="Z2325" s="153">
        <f t="shared" si="806"/>
        <v>0</v>
      </c>
      <c r="AA2325" s="148">
        <f t="shared" si="784"/>
        <v>0</v>
      </c>
      <c r="AB2325" s="149"/>
      <c r="AC2325" s="149"/>
      <c r="AD2325" s="150" t="e">
        <f t="shared" si="772"/>
        <v>#DIV/0!</v>
      </c>
      <c r="AE2325" s="154" t="e">
        <f t="shared" si="773"/>
        <v>#DIV/0!</v>
      </c>
      <c r="AF2325" s="150" t="e">
        <f t="shared" si="774"/>
        <v>#DIV/0!</v>
      </c>
      <c r="AG2325" s="150" t="e">
        <f t="shared" si="775"/>
        <v>#DIV/0!</v>
      </c>
      <c r="AH2325" s="155" t="e">
        <f t="shared" si="776"/>
        <v>#DIV/0!</v>
      </c>
      <c r="AI2325" s="156" t="e">
        <f t="shared" si="804"/>
        <v>#DIV/0!</v>
      </c>
      <c r="AJ2325" s="149"/>
      <c r="AK2325" s="149"/>
      <c r="AL2325" s="157"/>
      <c r="AM2325" s="157"/>
      <c r="AN2325" s="157"/>
      <c r="AO2325" s="157"/>
      <c r="AP2325" s="157"/>
      <c r="AQ2325" s="157"/>
      <c r="AR2325" s="157"/>
    </row>
    <row r="2326" spans="1:44" ht="16.8">
      <c r="A2326" s="145">
        <v>216</v>
      </c>
      <c r="B2326" s="145">
        <v>1004</v>
      </c>
      <c r="C2326" s="145" t="s">
        <v>4441</v>
      </c>
      <c r="D2326" s="146" t="s">
        <v>4442</v>
      </c>
      <c r="E2326" s="147" t="s">
        <v>178</v>
      </c>
      <c r="F2326" s="148"/>
      <c r="G2326" s="148"/>
      <c r="H2326" s="149"/>
      <c r="I2326" s="149"/>
      <c r="J2326" s="149"/>
      <c r="K2326" s="149"/>
      <c r="L2326" s="149"/>
      <c r="M2326" s="149">
        <f t="shared" si="790"/>
        <v>0</v>
      </c>
      <c r="N2326" s="149"/>
      <c r="O2326" s="149">
        <f t="shared" si="797"/>
        <v>0</v>
      </c>
      <c r="P2326" s="149"/>
      <c r="Q2326" s="149"/>
      <c r="R2326" s="149">
        <f t="shared" si="798"/>
        <v>0</v>
      </c>
      <c r="S2326" s="150" t="e">
        <f t="shared" si="799"/>
        <v>#DIV/0!</v>
      </c>
      <c r="T2326" s="151" t="e">
        <f t="shared" si="800"/>
        <v>#DIV/0!</v>
      </c>
      <c r="U2326" s="150" t="e">
        <f t="shared" si="801"/>
        <v>#NUM!</v>
      </c>
      <c r="V2326" s="150" t="e">
        <f t="shared" si="802"/>
        <v>#DIV/0!</v>
      </c>
      <c r="W2326" s="152"/>
      <c r="X2326" s="152"/>
      <c r="Y2326" s="152"/>
      <c r="Z2326" s="153">
        <f t="shared" si="806"/>
        <v>0</v>
      </c>
      <c r="AA2326" s="148">
        <f t="shared" si="784"/>
        <v>0</v>
      </c>
      <c r="AB2326" s="149"/>
      <c r="AC2326" s="149"/>
      <c r="AD2326" s="150" t="e">
        <f t="shared" si="772"/>
        <v>#DIV/0!</v>
      </c>
      <c r="AE2326" s="154" t="e">
        <f t="shared" si="773"/>
        <v>#DIV/0!</v>
      </c>
      <c r="AF2326" s="150" t="e">
        <f t="shared" si="774"/>
        <v>#DIV/0!</v>
      </c>
      <c r="AG2326" s="150" t="e">
        <f t="shared" si="775"/>
        <v>#DIV/0!</v>
      </c>
      <c r="AH2326" s="155" t="e">
        <f t="shared" si="776"/>
        <v>#DIV/0!</v>
      </c>
      <c r="AI2326" s="156" t="e">
        <f t="shared" si="804"/>
        <v>#DIV/0!</v>
      </c>
      <c r="AJ2326" s="149"/>
      <c r="AK2326" s="149"/>
      <c r="AL2326" s="157"/>
      <c r="AM2326" s="157"/>
      <c r="AN2326" s="157"/>
      <c r="AO2326" s="157"/>
      <c r="AP2326" s="157"/>
      <c r="AQ2326" s="157"/>
      <c r="AR2326" s="157"/>
    </row>
    <row r="2327" spans="1:44" ht="16.8">
      <c r="A2327" s="145">
        <v>217</v>
      </c>
      <c r="B2327" s="145">
        <v>1005</v>
      </c>
      <c r="C2327" s="145" t="s">
        <v>4443</v>
      </c>
      <c r="D2327" s="146" t="s">
        <v>4444</v>
      </c>
      <c r="E2327" s="147" t="s">
        <v>178</v>
      </c>
      <c r="F2327" s="148"/>
      <c r="G2327" s="148"/>
      <c r="H2327" s="149"/>
      <c r="I2327" s="149"/>
      <c r="J2327" s="149"/>
      <c r="K2327" s="149"/>
      <c r="L2327" s="149"/>
      <c r="M2327" s="149">
        <f t="shared" si="790"/>
        <v>0</v>
      </c>
      <c r="N2327" s="149"/>
      <c r="O2327" s="149">
        <f t="shared" si="797"/>
        <v>0</v>
      </c>
      <c r="P2327" s="149"/>
      <c r="Q2327" s="149"/>
      <c r="R2327" s="149">
        <f t="shared" si="798"/>
        <v>0</v>
      </c>
      <c r="S2327" s="150" t="e">
        <f t="shared" si="799"/>
        <v>#DIV/0!</v>
      </c>
      <c r="T2327" s="151" t="e">
        <f t="shared" si="800"/>
        <v>#DIV/0!</v>
      </c>
      <c r="U2327" s="150" t="e">
        <f t="shared" si="801"/>
        <v>#NUM!</v>
      </c>
      <c r="V2327" s="150" t="e">
        <f t="shared" si="802"/>
        <v>#DIV/0!</v>
      </c>
      <c r="W2327" s="152"/>
      <c r="X2327" s="152"/>
      <c r="Y2327" s="152"/>
      <c r="Z2327" s="153">
        <f t="shared" si="806"/>
        <v>0</v>
      </c>
      <c r="AA2327" s="148">
        <f t="shared" si="784"/>
        <v>0</v>
      </c>
      <c r="AB2327" s="149"/>
      <c r="AC2327" s="149"/>
      <c r="AD2327" s="150" t="e">
        <f t="shared" si="772"/>
        <v>#DIV/0!</v>
      </c>
      <c r="AE2327" s="154" t="e">
        <f t="shared" si="773"/>
        <v>#DIV/0!</v>
      </c>
      <c r="AF2327" s="150" t="e">
        <f t="shared" si="774"/>
        <v>#DIV/0!</v>
      </c>
      <c r="AG2327" s="150" t="e">
        <f t="shared" si="775"/>
        <v>#DIV/0!</v>
      </c>
      <c r="AH2327" s="155" t="e">
        <f t="shared" si="776"/>
        <v>#DIV/0!</v>
      </c>
      <c r="AI2327" s="156" t="e">
        <f t="shared" si="804"/>
        <v>#DIV/0!</v>
      </c>
      <c r="AJ2327" s="149"/>
      <c r="AK2327" s="149"/>
      <c r="AL2327" s="157"/>
      <c r="AM2327" s="157"/>
      <c r="AN2327" s="157"/>
      <c r="AO2327" s="157"/>
      <c r="AP2327" s="157"/>
      <c r="AQ2327" s="157"/>
      <c r="AR2327" s="157"/>
    </row>
    <row r="2328" spans="1:44" ht="16.8">
      <c r="A2328" s="145">
        <v>218</v>
      </c>
      <c r="B2328" s="145">
        <v>1006</v>
      </c>
      <c r="C2328" s="145" t="s">
        <v>4445</v>
      </c>
      <c r="D2328" s="146" t="s">
        <v>4446</v>
      </c>
      <c r="E2328" s="147" t="s">
        <v>178</v>
      </c>
      <c r="F2328" s="148"/>
      <c r="G2328" s="148"/>
      <c r="H2328" s="149"/>
      <c r="I2328" s="149"/>
      <c r="J2328" s="149"/>
      <c r="K2328" s="149"/>
      <c r="L2328" s="149"/>
      <c r="M2328" s="149">
        <f t="shared" si="790"/>
        <v>0</v>
      </c>
      <c r="N2328" s="149"/>
      <c r="O2328" s="149">
        <f t="shared" si="797"/>
        <v>0</v>
      </c>
      <c r="P2328" s="149"/>
      <c r="Q2328" s="149"/>
      <c r="R2328" s="149">
        <f t="shared" si="798"/>
        <v>0</v>
      </c>
      <c r="S2328" s="150" t="e">
        <f t="shared" si="799"/>
        <v>#DIV/0!</v>
      </c>
      <c r="T2328" s="151" t="e">
        <f t="shared" si="800"/>
        <v>#DIV/0!</v>
      </c>
      <c r="U2328" s="150" t="e">
        <f t="shared" si="801"/>
        <v>#NUM!</v>
      </c>
      <c r="V2328" s="150" t="e">
        <f t="shared" si="802"/>
        <v>#DIV/0!</v>
      </c>
      <c r="W2328" s="152"/>
      <c r="X2328" s="152"/>
      <c r="Y2328" s="152"/>
      <c r="Z2328" s="153">
        <f t="shared" si="806"/>
        <v>0</v>
      </c>
      <c r="AA2328" s="148">
        <f t="shared" si="784"/>
        <v>0</v>
      </c>
      <c r="AB2328" s="149"/>
      <c r="AC2328" s="149"/>
      <c r="AD2328" s="150" t="e">
        <f t="shared" si="772"/>
        <v>#DIV/0!</v>
      </c>
      <c r="AE2328" s="154" t="e">
        <f t="shared" si="773"/>
        <v>#DIV/0!</v>
      </c>
      <c r="AF2328" s="150" t="e">
        <f t="shared" si="774"/>
        <v>#DIV/0!</v>
      </c>
      <c r="AG2328" s="150" t="e">
        <f t="shared" si="775"/>
        <v>#DIV/0!</v>
      </c>
      <c r="AH2328" s="155" t="e">
        <f t="shared" si="776"/>
        <v>#DIV/0!</v>
      </c>
      <c r="AI2328" s="156" t="e">
        <f t="shared" si="804"/>
        <v>#DIV/0!</v>
      </c>
      <c r="AJ2328" s="149"/>
      <c r="AK2328" s="149"/>
      <c r="AL2328" s="157"/>
      <c r="AM2328" s="157"/>
      <c r="AN2328" s="157"/>
      <c r="AO2328" s="157"/>
      <c r="AP2328" s="157"/>
      <c r="AQ2328" s="157"/>
      <c r="AR2328" s="157"/>
    </row>
    <row r="2329" spans="1:44" ht="16.8">
      <c r="A2329" s="145">
        <v>219</v>
      </c>
      <c r="B2329" s="145">
        <v>1007</v>
      </c>
      <c r="C2329" s="145" t="s">
        <v>4447</v>
      </c>
      <c r="D2329" s="146" t="s">
        <v>4448</v>
      </c>
      <c r="E2329" s="147" t="s">
        <v>178</v>
      </c>
      <c r="F2329" s="148"/>
      <c r="G2329" s="148"/>
      <c r="H2329" s="149"/>
      <c r="I2329" s="149"/>
      <c r="J2329" s="149"/>
      <c r="K2329" s="149"/>
      <c r="L2329" s="149"/>
      <c r="M2329" s="149">
        <f t="shared" si="790"/>
        <v>0</v>
      </c>
      <c r="N2329" s="149"/>
      <c r="O2329" s="149">
        <f t="shared" si="797"/>
        <v>0</v>
      </c>
      <c r="P2329" s="149"/>
      <c r="Q2329" s="149"/>
      <c r="R2329" s="149">
        <f t="shared" si="798"/>
        <v>0</v>
      </c>
      <c r="S2329" s="150" t="e">
        <f t="shared" si="799"/>
        <v>#DIV/0!</v>
      </c>
      <c r="T2329" s="151" t="e">
        <f t="shared" si="800"/>
        <v>#DIV/0!</v>
      </c>
      <c r="U2329" s="150" t="e">
        <f t="shared" si="801"/>
        <v>#NUM!</v>
      </c>
      <c r="V2329" s="150" t="e">
        <f t="shared" si="802"/>
        <v>#DIV/0!</v>
      </c>
      <c r="W2329" s="152"/>
      <c r="X2329" s="152"/>
      <c r="Y2329" s="152"/>
      <c r="Z2329" s="153">
        <f t="shared" si="806"/>
        <v>0</v>
      </c>
      <c r="AA2329" s="148">
        <f t="shared" si="784"/>
        <v>0</v>
      </c>
      <c r="AB2329" s="149"/>
      <c r="AC2329" s="149"/>
      <c r="AD2329" s="150" t="e">
        <f t="shared" si="772"/>
        <v>#DIV/0!</v>
      </c>
      <c r="AE2329" s="154" t="e">
        <f t="shared" si="773"/>
        <v>#DIV/0!</v>
      </c>
      <c r="AF2329" s="150" t="e">
        <f t="shared" si="774"/>
        <v>#DIV/0!</v>
      </c>
      <c r="AG2329" s="150" t="e">
        <f t="shared" si="775"/>
        <v>#DIV/0!</v>
      </c>
      <c r="AH2329" s="155" t="e">
        <f t="shared" si="776"/>
        <v>#DIV/0!</v>
      </c>
      <c r="AI2329" s="156" t="e">
        <f t="shared" si="804"/>
        <v>#DIV/0!</v>
      </c>
      <c r="AJ2329" s="149"/>
      <c r="AK2329" s="149"/>
      <c r="AL2329" s="157"/>
      <c r="AM2329" s="157"/>
      <c r="AN2329" s="157"/>
      <c r="AO2329" s="157"/>
      <c r="AP2329" s="157"/>
      <c r="AQ2329" s="157"/>
      <c r="AR2329" s="157"/>
    </row>
    <row r="2330" spans="1:44" ht="16.8">
      <c r="A2330" s="145">
        <v>220</v>
      </c>
      <c r="B2330" s="145">
        <v>1008</v>
      </c>
      <c r="C2330" s="145" t="s">
        <v>4449</v>
      </c>
      <c r="D2330" s="146" t="s">
        <v>4450</v>
      </c>
      <c r="E2330" s="147" t="s">
        <v>178</v>
      </c>
      <c r="F2330" s="148"/>
      <c r="G2330" s="148"/>
      <c r="H2330" s="149"/>
      <c r="I2330" s="149"/>
      <c r="J2330" s="149"/>
      <c r="K2330" s="149"/>
      <c r="L2330" s="149"/>
      <c r="M2330" s="149">
        <f t="shared" si="790"/>
        <v>0</v>
      </c>
      <c r="N2330" s="149"/>
      <c r="O2330" s="149">
        <f t="shared" si="797"/>
        <v>0</v>
      </c>
      <c r="P2330" s="149"/>
      <c r="Q2330" s="149"/>
      <c r="R2330" s="149">
        <f t="shared" si="798"/>
        <v>0</v>
      </c>
      <c r="S2330" s="150" t="e">
        <f t="shared" si="799"/>
        <v>#DIV/0!</v>
      </c>
      <c r="T2330" s="151" t="e">
        <f t="shared" si="800"/>
        <v>#DIV/0!</v>
      </c>
      <c r="U2330" s="150" t="e">
        <f t="shared" si="801"/>
        <v>#NUM!</v>
      </c>
      <c r="V2330" s="150" t="e">
        <f t="shared" si="802"/>
        <v>#DIV/0!</v>
      </c>
      <c r="W2330" s="152"/>
      <c r="X2330" s="152"/>
      <c r="Y2330" s="152"/>
      <c r="Z2330" s="153">
        <f t="shared" si="806"/>
        <v>0</v>
      </c>
      <c r="AA2330" s="148">
        <f t="shared" si="784"/>
        <v>0</v>
      </c>
      <c r="AB2330" s="149"/>
      <c r="AC2330" s="149"/>
      <c r="AD2330" s="150" t="e">
        <f t="shared" si="772"/>
        <v>#DIV/0!</v>
      </c>
      <c r="AE2330" s="154" t="e">
        <f t="shared" si="773"/>
        <v>#DIV/0!</v>
      </c>
      <c r="AF2330" s="150" t="e">
        <f t="shared" si="774"/>
        <v>#DIV/0!</v>
      </c>
      <c r="AG2330" s="150" t="e">
        <f t="shared" si="775"/>
        <v>#DIV/0!</v>
      </c>
      <c r="AH2330" s="155" t="e">
        <f t="shared" si="776"/>
        <v>#DIV/0!</v>
      </c>
      <c r="AI2330" s="156" t="e">
        <f t="shared" si="804"/>
        <v>#DIV/0!</v>
      </c>
      <c r="AJ2330" s="149"/>
      <c r="AK2330" s="149"/>
      <c r="AL2330" s="157"/>
      <c r="AM2330" s="157"/>
      <c r="AN2330" s="157"/>
      <c r="AO2330" s="157"/>
      <c r="AP2330" s="157"/>
      <c r="AQ2330" s="157"/>
      <c r="AR2330" s="157"/>
    </row>
    <row r="2331" spans="1:44" ht="16.8">
      <c r="A2331" s="145">
        <v>221</v>
      </c>
      <c r="B2331" s="145">
        <v>1009</v>
      </c>
      <c r="C2331" s="145" t="s">
        <v>4451</v>
      </c>
      <c r="D2331" s="146" t="s">
        <v>4452</v>
      </c>
      <c r="E2331" s="147" t="s">
        <v>178</v>
      </c>
      <c r="F2331" s="148"/>
      <c r="G2331" s="148"/>
      <c r="H2331" s="149"/>
      <c r="I2331" s="149"/>
      <c r="J2331" s="149"/>
      <c r="K2331" s="149"/>
      <c r="L2331" s="149"/>
      <c r="M2331" s="149">
        <f t="shared" si="790"/>
        <v>0</v>
      </c>
      <c r="N2331" s="149"/>
      <c r="O2331" s="149">
        <f t="shared" si="797"/>
        <v>0</v>
      </c>
      <c r="P2331" s="149"/>
      <c r="Q2331" s="149"/>
      <c r="R2331" s="149">
        <f t="shared" si="798"/>
        <v>0</v>
      </c>
      <c r="S2331" s="150" t="e">
        <f t="shared" si="799"/>
        <v>#DIV/0!</v>
      </c>
      <c r="T2331" s="151" t="e">
        <f t="shared" si="800"/>
        <v>#DIV/0!</v>
      </c>
      <c r="U2331" s="150" t="e">
        <f t="shared" si="801"/>
        <v>#NUM!</v>
      </c>
      <c r="V2331" s="150" t="e">
        <f t="shared" si="802"/>
        <v>#DIV/0!</v>
      </c>
      <c r="W2331" s="152"/>
      <c r="X2331" s="152"/>
      <c r="Y2331" s="152"/>
      <c r="Z2331" s="153">
        <f t="shared" si="806"/>
        <v>0</v>
      </c>
      <c r="AA2331" s="148">
        <f t="shared" si="784"/>
        <v>0</v>
      </c>
      <c r="AB2331" s="149"/>
      <c r="AC2331" s="149"/>
      <c r="AD2331" s="150" t="e">
        <f t="shared" si="772"/>
        <v>#DIV/0!</v>
      </c>
      <c r="AE2331" s="154" t="e">
        <f t="shared" si="773"/>
        <v>#DIV/0!</v>
      </c>
      <c r="AF2331" s="150" t="e">
        <f t="shared" si="774"/>
        <v>#DIV/0!</v>
      </c>
      <c r="AG2331" s="150" t="e">
        <f t="shared" si="775"/>
        <v>#DIV/0!</v>
      </c>
      <c r="AH2331" s="155" t="e">
        <f t="shared" si="776"/>
        <v>#DIV/0!</v>
      </c>
      <c r="AI2331" s="156" t="e">
        <f t="shared" si="804"/>
        <v>#DIV/0!</v>
      </c>
      <c r="AJ2331" s="149"/>
      <c r="AK2331" s="149"/>
      <c r="AL2331" s="157"/>
      <c r="AM2331" s="157"/>
      <c r="AN2331" s="157"/>
      <c r="AO2331" s="157"/>
      <c r="AP2331" s="157"/>
      <c r="AQ2331" s="157"/>
      <c r="AR2331" s="157"/>
    </row>
    <row r="2332" spans="1:44" ht="16.8">
      <c r="A2332" s="145">
        <v>222</v>
      </c>
      <c r="B2332" s="145">
        <v>1010</v>
      </c>
      <c r="C2332" s="145" t="s">
        <v>4453</v>
      </c>
      <c r="D2332" s="146" t="s">
        <v>4454</v>
      </c>
      <c r="E2332" s="147" t="s">
        <v>178</v>
      </c>
      <c r="F2332" s="148"/>
      <c r="G2332" s="148"/>
      <c r="H2332" s="149"/>
      <c r="I2332" s="149"/>
      <c r="J2332" s="149"/>
      <c r="K2332" s="149"/>
      <c r="L2332" s="149"/>
      <c r="M2332" s="149">
        <f t="shared" si="790"/>
        <v>0</v>
      </c>
      <c r="N2332" s="149"/>
      <c r="O2332" s="149">
        <f t="shared" si="797"/>
        <v>0</v>
      </c>
      <c r="P2332" s="149"/>
      <c r="Q2332" s="149"/>
      <c r="R2332" s="149">
        <f t="shared" si="798"/>
        <v>0</v>
      </c>
      <c r="S2332" s="150" t="e">
        <f t="shared" si="799"/>
        <v>#DIV/0!</v>
      </c>
      <c r="T2332" s="151" t="e">
        <f t="shared" si="800"/>
        <v>#DIV/0!</v>
      </c>
      <c r="U2332" s="150" t="e">
        <f t="shared" si="801"/>
        <v>#NUM!</v>
      </c>
      <c r="V2332" s="150" t="e">
        <f t="shared" si="802"/>
        <v>#DIV/0!</v>
      </c>
      <c r="W2332" s="152"/>
      <c r="X2332" s="152"/>
      <c r="Y2332" s="152"/>
      <c r="Z2332" s="153">
        <f t="shared" si="806"/>
        <v>0</v>
      </c>
      <c r="AA2332" s="148">
        <f t="shared" si="784"/>
        <v>0</v>
      </c>
      <c r="AB2332" s="149"/>
      <c r="AC2332" s="149"/>
      <c r="AD2332" s="150" t="e">
        <f t="shared" si="772"/>
        <v>#DIV/0!</v>
      </c>
      <c r="AE2332" s="154" t="e">
        <f t="shared" si="773"/>
        <v>#DIV/0!</v>
      </c>
      <c r="AF2332" s="150" t="e">
        <f t="shared" si="774"/>
        <v>#DIV/0!</v>
      </c>
      <c r="AG2332" s="150" t="e">
        <f t="shared" si="775"/>
        <v>#DIV/0!</v>
      </c>
      <c r="AH2332" s="155" t="e">
        <f t="shared" si="776"/>
        <v>#DIV/0!</v>
      </c>
      <c r="AI2332" s="156" t="e">
        <f t="shared" si="804"/>
        <v>#DIV/0!</v>
      </c>
      <c r="AJ2332" s="149"/>
      <c r="AK2332" s="149"/>
      <c r="AL2332" s="157"/>
      <c r="AM2332" s="157"/>
      <c r="AN2332" s="157"/>
      <c r="AO2332" s="157"/>
      <c r="AP2332" s="157"/>
      <c r="AQ2332" s="157"/>
      <c r="AR2332" s="157"/>
    </row>
    <row r="2333" spans="1:44" ht="16.8">
      <c r="A2333" s="145">
        <v>223</v>
      </c>
      <c r="B2333" s="145">
        <v>1011</v>
      </c>
      <c r="C2333" s="145" t="s">
        <v>4455</v>
      </c>
      <c r="D2333" s="146" t="s">
        <v>4456</v>
      </c>
      <c r="E2333" s="147" t="s">
        <v>178</v>
      </c>
      <c r="F2333" s="148"/>
      <c r="G2333" s="148"/>
      <c r="H2333" s="149"/>
      <c r="I2333" s="149"/>
      <c r="J2333" s="149"/>
      <c r="K2333" s="149"/>
      <c r="L2333" s="149"/>
      <c r="M2333" s="149">
        <f t="shared" si="790"/>
        <v>0</v>
      </c>
      <c r="N2333" s="149"/>
      <c r="O2333" s="149">
        <f t="shared" si="797"/>
        <v>0</v>
      </c>
      <c r="P2333" s="149"/>
      <c r="Q2333" s="149"/>
      <c r="R2333" s="149">
        <f t="shared" si="798"/>
        <v>0</v>
      </c>
      <c r="S2333" s="150" t="e">
        <f t="shared" si="799"/>
        <v>#DIV/0!</v>
      </c>
      <c r="T2333" s="151" t="e">
        <f t="shared" si="800"/>
        <v>#DIV/0!</v>
      </c>
      <c r="U2333" s="150" t="e">
        <f t="shared" si="801"/>
        <v>#NUM!</v>
      </c>
      <c r="V2333" s="150" t="e">
        <f t="shared" si="802"/>
        <v>#DIV/0!</v>
      </c>
      <c r="W2333" s="152"/>
      <c r="X2333" s="152"/>
      <c r="Y2333" s="152"/>
      <c r="Z2333" s="153">
        <f t="shared" si="806"/>
        <v>0</v>
      </c>
      <c r="AA2333" s="148">
        <f t="shared" si="784"/>
        <v>0</v>
      </c>
      <c r="AB2333" s="149"/>
      <c r="AC2333" s="149"/>
      <c r="AD2333" s="150" t="e">
        <f t="shared" si="772"/>
        <v>#DIV/0!</v>
      </c>
      <c r="AE2333" s="154" t="e">
        <f t="shared" si="773"/>
        <v>#DIV/0!</v>
      </c>
      <c r="AF2333" s="150" t="e">
        <f t="shared" si="774"/>
        <v>#DIV/0!</v>
      </c>
      <c r="AG2333" s="150" t="e">
        <f t="shared" si="775"/>
        <v>#DIV/0!</v>
      </c>
      <c r="AH2333" s="155" t="e">
        <f t="shared" si="776"/>
        <v>#DIV/0!</v>
      </c>
      <c r="AI2333" s="156" t="e">
        <f t="shared" si="804"/>
        <v>#DIV/0!</v>
      </c>
      <c r="AJ2333" s="149"/>
      <c r="AK2333" s="149"/>
      <c r="AL2333" s="157"/>
      <c r="AM2333" s="157"/>
      <c r="AN2333" s="157"/>
      <c r="AO2333" s="157"/>
      <c r="AP2333" s="157"/>
      <c r="AQ2333" s="157"/>
      <c r="AR2333" s="157"/>
    </row>
    <row r="2334" spans="1:44" ht="16.8">
      <c r="A2334" s="145">
        <v>224</v>
      </c>
      <c r="B2334" s="145">
        <v>1012</v>
      </c>
      <c r="C2334" s="145" t="s">
        <v>4457</v>
      </c>
      <c r="D2334" s="146" t="s">
        <v>4458</v>
      </c>
      <c r="E2334" s="147" t="s">
        <v>178</v>
      </c>
      <c r="F2334" s="148"/>
      <c r="G2334" s="148"/>
      <c r="H2334" s="149"/>
      <c r="I2334" s="149"/>
      <c r="J2334" s="149"/>
      <c r="K2334" s="149"/>
      <c r="L2334" s="149"/>
      <c r="M2334" s="149">
        <f t="shared" si="790"/>
        <v>0</v>
      </c>
      <c r="N2334" s="149"/>
      <c r="O2334" s="149">
        <f t="shared" si="797"/>
        <v>0</v>
      </c>
      <c r="P2334" s="149"/>
      <c r="Q2334" s="149"/>
      <c r="R2334" s="149">
        <f t="shared" si="798"/>
        <v>0</v>
      </c>
      <c r="S2334" s="150" t="e">
        <f t="shared" si="799"/>
        <v>#DIV/0!</v>
      </c>
      <c r="T2334" s="151" t="e">
        <f t="shared" si="800"/>
        <v>#DIV/0!</v>
      </c>
      <c r="U2334" s="150" t="e">
        <f t="shared" si="801"/>
        <v>#NUM!</v>
      </c>
      <c r="V2334" s="150" t="e">
        <f t="shared" si="802"/>
        <v>#DIV/0!</v>
      </c>
      <c r="W2334" s="152"/>
      <c r="X2334" s="152"/>
      <c r="Y2334" s="152"/>
      <c r="Z2334" s="153">
        <f t="shared" si="806"/>
        <v>0</v>
      </c>
      <c r="AA2334" s="148">
        <f t="shared" si="784"/>
        <v>0</v>
      </c>
      <c r="AB2334" s="149"/>
      <c r="AC2334" s="149"/>
      <c r="AD2334" s="150" t="e">
        <f t="shared" si="772"/>
        <v>#DIV/0!</v>
      </c>
      <c r="AE2334" s="154" t="e">
        <f t="shared" si="773"/>
        <v>#DIV/0!</v>
      </c>
      <c r="AF2334" s="150" t="e">
        <f t="shared" si="774"/>
        <v>#DIV/0!</v>
      </c>
      <c r="AG2334" s="150" t="e">
        <f t="shared" si="775"/>
        <v>#DIV/0!</v>
      </c>
      <c r="AH2334" s="155" t="e">
        <f t="shared" si="776"/>
        <v>#DIV/0!</v>
      </c>
      <c r="AI2334" s="156" t="e">
        <f t="shared" si="804"/>
        <v>#DIV/0!</v>
      </c>
      <c r="AJ2334" s="149"/>
      <c r="AK2334" s="149"/>
      <c r="AL2334" s="157"/>
      <c r="AM2334" s="157"/>
      <c r="AN2334" s="157"/>
      <c r="AO2334" s="157"/>
      <c r="AP2334" s="157"/>
      <c r="AQ2334" s="157"/>
      <c r="AR2334" s="157"/>
    </row>
    <row r="2335" spans="1:44" ht="16.8">
      <c r="A2335" s="145">
        <v>225</v>
      </c>
      <c r="B2335" s="145">
        <v>1013</v>
      </c>
      <c r="C2335" s="145" t="s">
        <v>4459</v>
      </c>
      <c r="D2335" s="146" t="s">
        <v>4460</v>
      </c>
      <c r="E2335" s="147" t="s">
        <v>178</v>
      </c>
      <c r="F2335" s="148"/>
      <c r="G2335" s="148"/>
      <c r="H2335" s="149"/>
      <c r="I2335" s="149"/>
      <c r="J2335" s="149"/>
      <c r="K2335" s="149"/>
      <c r="L2335" s="149"/>
      <c r="M2335" s="149">
        <f t="shared" si="790"/>
        <v>0</v>
      </c>
      <c r="N2335" s="149"/>
      <c r="O2335" s="149">
        <f t="shared" si="797"/>
        <v>0</v>
      </c>
      <c r="P2335" s="149"/>
      <c r="Q2335" s="149"/>
      <c r="R2335" s="149">
        <f t="shared" si="798"/>
        <v>0</v>
      </c>
      <c r="S2335" s="150" t="e">
        <f t="shared" si="799"/>
        <v>#DIV/0!</v>
      </c>
      <c r="T2335" s="151" t="e">
        <f t="shared" si="800"/>
        <v>#DIV/0!</v>
      </c>
      <c r="U2335" s="150" t="e">
        <f t="shared" si="801"/>
        <v>#NUM!</v>
      </c>
      <c r="V2335" s="150" t="e">
        <f t="shared" si="802"/>
        <v>#DIV/0!</v>
      </c>
      <c r="W2335" s="152"/>
      <c r="X2335" s="152"/>
      <c r="Y2335" s="152"/>
      <c r="Z2335" s="153">
        <f t="shared" si="806"/>
        <v>0</v>
      </c>
      <c r="AA2335" s="148">
        <f t="shared" si="784"/>
        <v>0</v>
      </c>
      <c r="AB2335" s="149"/>
      <c r="AC2335" s="149"/>
      <c r="AD2335" s="150" t="e">
        <f t="shared" si="772"/>
        <v>#DIV/0!</v>
      </c>
      <c r="AE2335" s="154" t="e">
        <f t="shared" si="773"/>
        <v>#DIV/0!</v>
      </c>
      <c r="AF2335" s="150" t="e">
        <f t="shared" si="774"/>
        <v>#DIV/0!</v>
      </c>
      <c r="AG2335" s="150" t="e">
        <f t="shared" si="775"/>
        <v>#DIV/0!</v>
      </c>
      <c r="AH2335" s="155" t="e">
        <f t="shared" si="776"/>
        <v>#DIV/0!</v>
      </c>
      <c r="AI2335" s="156" t="e">
        <f t="shared" si="804"/>
        <v>#DIV/0!</v>
      </c>
      <c r="AJ2335" s="149"/>
      <c r="AK2335" s="149"/>
      <c r="AL2335" s="157"/>
      <c r="AM2335" s="157"/>
      <c r="AN2335" s="157"/>
      <c r="AO2335" s="157"/>
      <c r="AP2335" s="157"/>
      <c r="AQ2335" s="157"/>
      <c r="AR2335" s="157"/>
    </row>
    <row r="2336" spans="1:44" ht="16.8">
      <c r="A2336" s="145">
        <v>226</v>
      </c>
      <c r="B2336" s="145">
        <v>1014</v>
      </c>
      <c r="C2336" s="145" t="s">
        <v>4461</v>
      </c>
      <c r="D2336" s="146" t="s">
        <v>4462</v>
      </c>
      <c r="E2336" s="147" t="s">
        <v>178</v>
      </c>
      <c r="F2336" s="148"/>
      <c r="G2336" s="148"/>
      <c r="H2336" s="149"/>
      <c r="I2336" s="149"/>
      <c r="J2336" s="149"/>
      <c r="K2336" s="149"/>
      <c r="L2336" s="149"/>
      <c r="M2336" s="149">
        <f t="shared" si="790"/>
        <v>0</v>
      </c>
      <c r="N2336" s="149"/>
      <c r="O2336" s="149">
        <f t="shared" si="797"/>
        <v>0</v>
      </c>
      <c r="P2336" s="149"/>
      <c r="Q2336" s="149"/>
      <c r="R2336" s="149">
        <f t="shared" si="798"/>
        <v>0</v>
      </c>
      <c r="S2336" s="150" t="e">
        <f t="shared" si="799"/>
        <v>#DIV/0!</v>
      </c>
      <c r="T2336" s="151" t="e">
        <f t="shared" si="800"/>
        <v>#DIV/0!</v>
      </c>
      <c r="U2336" s="150" t="e">
        <f t="shared" si="801"/>
        <v>#NUM!</v>
      </c>
      <c r="V2336" s="150" t="e">
        <f t="shared" si="802"/>
        <v>#DIV/0!</v>
      </c>
      <c r="W2336" s="152"/>
      <c r="X2336" s="152"/>
      <c r="Y2336" s="152"/>
      <c r="Z2336" s="153">
        <f t="shared" si="806"/>
        <v>0</v>
      </c>
      <c r="AA2336" s="148">
        <f t="shared" si="784"/>
        <v>0</v>
      </c>
      <c r="AB2336" s="149"/>
      <c r="AC2336" s="149"/>
      <c r="AD2336" s="150" t="e">
        <f t="shared" si="772"/>
        <v>#DIV/0!</v>
      </c>
      <c r="AE2336" s="154" t="e">
        <f t="shared" si="773"/>
        <v>#DIV/0!</v>
      </c>
      <c r="AF2336" s="150" t="e">
        <f t="shared" si="774"/>
        <v>#DIV/0!</v>
      </c>
      <c r="AG2336" s="150" t="e">
        <f t="shared" si="775"/>
        <v>#DIV/0!</v>
      </c>
      <c r="AH2336" s="155" t="e">
        <f t="shared" si="776"/>
        <v>#DIV/0!</v>
      </c>
      <c r="AI2336" s="156" t="e">
        <f t="shared" si="804"/>
        <v>#DIV/0!</v>
      </c>
      <c r="AJ2336" s="149"/>
      <c r="AK2336" s="149"/>
      <c r="AL2336" s="157"/>
      <c r="AM2336" s="157"/>
      <c r="AN2336" s="157"/>
      <c r="AO2336" s="157"/>
      <c r="AP2336" s="157"/>
      <c r="AQ2336" s="157"/>
      <c r="AR2336" s="157"/>
    </row>
    <row r="2337" spans="1:44" ht="16.8">
      <c r="A2337" s="79">
        <v>227</v>
      </c>
      <c r="B2337" s="1">
        <v>1015</v>
      </c>
      <c r="C2337" s="1" t="s">
        <v>4463</v>
      </c>
      <c r="D2337" s="19" t="s">
        <v>4464</v>
      </c>
      <c r="E2337" s="20" t="s">
        <v>39</v>
      </c>
      <c r="F2337" s="21"/>
      <c r="G2337" s="40"/>
      <c r="H2337" s="23"/>
      <c r="I2337" s="23"/>
      <c r="J2337" s="23"/>
      <c r="K2337" s="23"/>
      <c r="L2337" s="23"/>
      <c r="M2337" s="23">
        <f t="shared" si="790"/>
        <v>0</v>
      </c>
      <c r="N2337" s="23"/>
      <c r="O2337" s="25">
        <f t="shared" si="797"/>
        <v>0</v>
      </c>
      <c r="P2337" s="23"/>
      <c r="Q2337" s="23"/>
      <c r="R2337" s="25">
        <f t="shared" si="798"/>
        <v>0</v>
      </c>
      <c r="S2337" s="26" t="e">
        <f t="shared" si="799"/>
        <v>#DIV/0!</v>
      </c>
      <c r="T2337" s="27" t="e">
        <f t="shared" si="800"/>
        <v>#DIV/0!</v>
      </c>
      <c r="U2337" s="26" t="e">
        <f t="shared" si="801"/>
        <v>#NUM!</v>
      </c>
      <c r="V2337" s="26" t="e">
        <f t="shared" si="802"/>
        <v>#DIV/0!</v>
      </c>
      <c r="W2337" s="143"/>
      <c r="X2337" s="143"/>
      <c r="Y2337" s="143"/>
      <c r="Z2337" s="30">
        <f t="shared" si="806"/>
        <v>0</v>
      </c>
      <c r="AA2337" s="31">
        <f t="shared" si="784"/>
        <v>0</v>
      </c>
      <c r="AB2337" s="144"/>
      <c r="AC2337" s="144"/>
      <c r="AD2337" s="33" t="e">
        <f t="shared" si="772"/>
        <v>#DIV/0!</v>
      </c>
      <c r="AE2337" s="34" t="e">
        <f t="shared" si="773"/>
        <v>#DIV/0!</v>
      </c>
      <c r="AF2337" s="33" t="e">
        <f t="shared" si="774"/>
        <v>#DIV/0!</v>
      </c>
      <c r="AG2337" s="33" t="e">
        <f t="shared" si="775"/>
        <v>#DIV/0!</v>
      </c>
      <c r="AH2337" s="35" t="e">
        <f t="shared" si="776"/>
        <v>#DIV/0!</v>
      </c>
      <c r="AI2337" s="36" t="e">
        <f t="shared" si="804"/>
        <v>#DIV/0!</v>
      </c>
      <c r="AJ2337" s="23"/>
      <c r="AK2337" s="120">
        <v>1259</v>
      </c>
      <c r="AL2337" s="44"/>
      <c r="AM2337" s="44"/>
      <c r="AN2337" s="44"/>
      <c r="AO2337" s="44"/>
      <c r="AP2337" s="44"/>
      <c r="AQ2337" s="44"/>
      <c r="AR2337" s="44"/>
    </row>
    <row r="2338" spans="1:44" ht="16.8">
      <c r="A2338" s="145">
        <v>228</v>
      </c>
      <c r="B2338" s="145">
        <v>1016</v>
      </c>
      <c r="C2338" s="145" t="s">
        <v>4465</v>
      </c>
      <c r="D2338" s="146" t="s">
        <v>4466</v>
      </c>
      <c r="E2338" s="147" t="s">
        <v>178</v>
      </c>
      <c r="F2338" s="148"/>
      <c r="G2338" s="148"/>
      <c r="H2338" s="149"/>
      <c r="I2338" s="149"/>
      <c r="J2338" s="149"/>
      <c r="K2338" s="149"/>
      <c r="L2338" s="149"/>
      <c r="M2338" s="149">
        <f t="shared" si="790"/>
        <v>0</v>
      </c>
      <c r="N2338" s="149"/>
      <c r="O2338" s="149">
        <f t="shared" si="797"/>
        <v>0</v>
      </c>
      <c r="P2338" s="149"/>
      <c r="Q2338" s="149"/>
      <c r="R2338" s="149">
        <f t="shared" si="798"/>
        <v>0</v>
      </c>
      <c r="S2338" s="150" t="e">
        <f t="shared" si="799"/>
        <v>#DIV/0!</v>
      </c>
      <c r="T2338" s="151" t="e">
        <f t="shared" si="800"/>
        <v>#DIV/0!</v>
      </c>
      <c r="U2338" s="150" t="e">
        <f t="shared" si="801"/>
        <v>#NUM!</v>
      </c>
      <c r="V2338" s="150" t="e">
        <f t="shared" si="802"/>
        <v>#DIV/0!</v>
      </c>
      <c r="W2338" s="152"/>
      <c r="X2338" s="152"/>
      <c r="Y2338" s="152"/>
      <c r="Z2338" s="153">
        <f t="shared" si="806"/>
        <v>0</v>
      </c>
      <c r="AA2338" s="148">
        <f t="shared" si="784"/>
        <v>0</v>
      </c>
      <c r="AB2338" s="149"/>
      <c r="AC2338" s="149"/>
      <c r="AD2338" s="150" t="e">
        <f t="shared" si="772"/>
        <v>#DIV/0!</v>
      </c>
      <c r="AE2338" s="154" t="e">
        <f t="shared" si="773"/>
        <v>#DIV/0!</v>
      </c>
      <c r="AF2338" s="150" t="e">
        <f t="shared" si="774"/>
        <v>#DIV/0!</v>
      </c>
      <c r="AG2338" s="150" t="e">
        <f t="shared" si="775"/>
        <v>#DIV/0!</v>
      </c>
      <c r="AH2338" s="155" t="e">
        <f t="shared" si="776"/>
        <v>#DIV/0!</v>
      </c>
      <c r="AI2338" s="156" t="e">
        <f t="shared" si="804"/>
        <v>#DIV/0!</v>
      </c>
      <c r="AJ2338" s="149"/>
      <c r="AK2338" s="149"/>
      <c r="AL2338" s="157"/>
      <c r="AM2338" s="157"/>
      <c r="AN2338" s="157"/>
      <c r="AO2338" s="157"/>
      <c r="AP2338" s="157"/>
      <c r="AQ2338" s="157"/>
      <c r="AR2338" s="157"/>
    </row>
    <row r="2339" spans="1:44" ht="16.8">
      <c r="A2339" s="145">
        <v>229</v>
      </c>
      <c r="B2339" s="145">
        <v>1017</v>
      </c>
      <c r="C2339" s="145" t="s">
        <v>4467</v>
      </c>
      <c r="D2339" s="146" t="s">
        <v>4468</v>
      </c>
      <c r="E2339" s="147" t="s">
        <v>178</v>
      </c>
      <c r="F2339" s="148"/>
      <c r="G2339" s="148"/>
      <c r="H2339" s="149"/>
      <c r="I2339" s="149"/>
      <c r="J2339" s="149"/>
      <c r="K2339" s="149"/>
      <c r="L2339" s="149"/>
      <c r="M2339" s="149">
        <f t="shared" si="790"/>
        <v>0</v>
      </c>
      <c r="N2339" s="149"/>
      <c r="O2339" s="149">
        <f t="shared" si="797"/>
        <v>0</v>
      </c>
      <c r="P2339" s="149"/>
      <c r="Q2339" s="149"/>
      <c r="R2339" s="149">
        <f t="shared" si="798"/>
        <v>0</v>
      </c>
      <c r="S2339" s="150" t="e">
        <f t="shared" si="799"/>
        <v>#DIV/0!</v>
      </c>
      <c r="T2339" s="151" t="e">
        <f t="shared" si="800"/>
        <v>#DIV/0!</v>
      </c>
      <c r="U2339" s="150" t="e">
        <f t="shared" si="801"/>
        <v>#NUM!</v>
      </c>
      <c r="V2339" s="150" t="e">
        <f t="shared" si="802"/>
        <v>#DIV/0!</v>
      </c>
      <c r="W2339" s="152"/>
      <c r="X2339" s="152"/>
      <c r="Y2339" s="152"/>
      <c r="Z2339" s="153">
        <f t="shared" si="806"/>
        <v>0</v>
      </c>
      <c r="AA2339" s="148">
        <f t="shared" si="784"/>
        <v>0</v>
      </c>
      <c r="AB2339" s="149"/>
      <c r="AC2339" s="149"/>
      <c r="AD2339" s="150" t="e">
        <f t="shared" si="772"/>
        <v>#DIV/0!</v>
      </c>
      <c r="AE2339" s="154" t="e">
        <f t="shared" si="773"/>
        <v>#DIV/0!</v>
      </c>
      <c r="AF2339" s="150" t="e">
        <f t="shared" si="774"/>
        <v>#DIV/0!</v>
      </c>
      <c r="AG2339" s="150" t="e">
        <f t="shared" si="775"/>
        <v>#DIV/0!</v>
      </c>
      <c r="AH2339" s="155" t="e">
        <f t="shared" si="776"/>
        <v>#DIV/0!</v>
      </c>
      <c r="AI2339" s="156" t="e">
        <f t="shared" si="804"/>
        <v>#DIV/0!</v>
      </c>
      <c r="AJ2339" s="149"/>
      <c r="AK2339" s="149"/>
      <c r="AL2339" s="157"/>
      <c r="AM2339" s="157"/>
      <c r="AN2339" s="157"/>
      <c r="AO2339" s="157"/>
      <c r="AP2339" s="157"/>
      <c r="AQ2339" s="157"/>
      <c r="AR2339" s="157"/>
    </row>
    <row r="2340" spans="1:44" ht="16.8">
      <c r="A2340" s="145">
        <v>230</v>
      </c>
      <c r="B2340" s="145">
        <v>1018</v>
      </c>
      <c r="C2340" s="145" t="s">
        <v>4469</v>
      </c>
      <c r="D2340" s="146" t="s">
        <v>4470</v>
      </c>
      <c r="E2340" s="147" t="s">
        <v>178</v>
      </c>
      <c r="F2340" s="148"/>
      <c r="G2340" s="148"/>
      <c r="H2340" s="149"/>
      <c r="I2340" s="149"/>
      <c r="J2340" s="149"/>
      <c r="K2340" s="149"/>
      <c r="L2340" s="149"/>
      <c r="M2340" s="149">
        <f t="shared" si="790"/>
        <v>0</v>
      </c>
      <c r="N2340" s="149"/>
      <c r="O2340" s="149">
        <f t="shared" si="797"/>
        <v>0</v>
      </c>
      <c r="P2340" s="149"/>
      <c r="Q2340" s="149"/>
      <c r="R2340" s="149">
        <f t="shared" si="798"/>
        <v>0</v>
      </c>
      <c r="S2340" s="150" t="e">
        <f t="shared" si="799"/>
        <v>#DIV/0!</v>
      </c>
      <c r="T2340" s="151" t="e">
        <f t="shared" si="800"/>
        <v>#DIV/0!</v>
      </c>
      <c r="U2340" s="150" t="e">
        <f t="shared" si="801"/>
        <v>#NUM!</v>
      </c>
      <c r="V2340" s="150" t="e">
        <f t="shared" si="802"/>
        <v>#DIV/0!</v>
      </c>
      <c r="W2340" s="152"/>
      <c r="X2340" s="152"/>
      <c r="Y2340" s="152"/>
      <c r="Z2340" s="153">
        <f t="shared" si="806"/>
        <v>0</v>
      </c>
      <c r="AA2340" s="148">
        <f t="shared" si="784"/>
        <v>0</v>
      </c>
      <c r="AB2340" s="149"/>
      <c r="AC2340" s="149"/>
      <c r="AD2340" s="150" t="e">
        <f t="shared" si="772"/>
        <v>#DIV/0!</v>
      </c>
      <c r="AE2340" s="154" t="e">
        <f t="shared" si="773"/>
        <v>#DIV/0!</v>
      </c>
      <c r="AF2340" s="150" t="e">
        <f t="shared" si="774"/>
        <v>#DIV/0!</v>
      </c>
      <c r="AG2340" s="150" t="e">
        <f t="shared" si="775"/>
        <v>#DIV/0!</v>
      </c>
      <c r="AH2340" s="155" t="e">
        <f t="shared" si="776"/>
        <v>#DIV/0!</v>
      </c>
      <c r="AI2340" s="156" t="e">
        <f t="shared" si="804"/>
        <v>#DIV/0!</v>
      </c>
      <c r="AJ2340" s="149"/>
      <c r="AK2340" s="149"/>
      <c r="AL2340" s="157"/>
      <c r="AM2340" s="157"/>
      <c r="AN2340" s="157"/>
      <c r="AO2340" s="157"/>
      <c r="AP2340" s="157"/>
      <c r="AQ2340" s="157"/>
      <c r="AR2340" s="157"/>
    </row>
    <row r="2341" spans="1:44" ht="16.8">
      <c r="A2341" s="145">
        <v>231</v>
      </c>
      <c r="B2341" s="145">
        <v>1019</v>
      </c>
      <c r="C2341" s="145" t="s">
        <v>4471</v>
      </c>
      <c r="D2341" s="146" t="s">
        <v>4472</v>
      </c>
      <c r="E2341" s="147" t="s">
        <v>178</v>
      </c>
      <c r="F2341" s="148"/>
      <c r="G2341" s="148"/>
      <c r="H2341" s="149"/>
      <c r="I2341" s="149"/>
      <c r="J2341" s="149"/>
      <c r="K2341" s="149"/>
      <c r="L2341" s="149"/>
      <c r="M2341" s="149">
        <f t="shared" si="790"/>
        <v>0</v>
      </c>
      <c r="N2341" s="149"/>
      <c r="O2341" s="149">
        <f t="shared" si="797"/>
        <v>0</v>
      </c>
      <c r="P2341" s="149"/>
      <c r="Q2341" s="149"/>
      <c r="R2341" s="149">
        <f t="shared" si="798"/>
        <v>0</v>
      </c>
      <c r="S2341" s="150" t="e">
        <f t="shared" si="799"/>
        <v>#DIV/0!</v>
      </c>
      <c r="T2341" s="151" t="e">
        <f t="shared" si="800"/>
        <v>#DIV/0!</v>
      </c>
      <c r="U2341" s="150" t="e">
        <f t="shared" si="801"/>
        <v>#NUM!</v>
      </c>
      <c r="V2341" s="150" t="e">
        <f t="shared" si="802"/>
        <v>#DIV/0!</v>
      </c>
      <c r="W2341" s="152"/>
      <c r="X2341" s="152"/>
      <c r="Y2341" s="152"/>
      <c r="Z2341" s="153">
        <f t="shared" si="806"/>
        <v>0</v>
      </c>
      <c r="AA2341" s="148">
        <f t="shared" si="784"/>
        <v>0</v>
      </c>
      <c r="AB2341" s="149"/>
      <c r="AC2341" s="149"/>
      <c r="AD2341" s="150" t="e">
        <f t="shared" si="772"/>
        <v>#DIV/0!</v>
      </c>
      <c r="AE2341" s="154" t="e">
        <f t="shared" si="773"/>
        <v>#DIV/0!</v>
      </c>
      <c r="AF2341" s="150" t="e">
        <f t="shared" si="774"/>
        <v>#DIV/0!</v>
      </c>
      <c r="AG2341" s="150" t="e">
        <f t="shared" si="775"/>
        <v>#DIV/0!</v>
      </c>
      <c r="AH2341" s="155" t="e">
        <f t="shared" si="776"/>
        <v>#DIV/0!</v>
      </c>
      <c r="AI2341" s="156" t="e">
        <f t="shared" si="804"/>
        <v>#DIV/0!</v>
      </c>
      <c r="AJ2341" s="149"/>
      <c r="AK2341" s="149"/>
      <c r="AL2341" s="157"/>
      <c r="AM2341" s="157"/>
      <c r="AN2341" s="157"/>
      <c r="AO2341" s="157"/>
      <c r="AP2341" s="157"/>
      <c r="AQ2341" s="157"/>
      <c r="AR2341" s="157"/>
    </row>
    <row r="2342" spans="1:44" ht="16.8">
      <c r="A2342" s="145">
        <v>232</v>
      </c>
      <c r="B2342" s="145">
        <v>1020</v>
      </c>
      <c r="C2342" s="145" t="s">
        <v>4473</v>
      </c>
      <c r="D2342" s="146" t="s">
        <v>4474</v>
      </c>
      <c r="E2342" s="147" t="s">
        <v>178</v>
      </c>
      <c r="F2342" s="148"/>
      <c r="G2342" s="148"/>
      <c r="H2342" s="149"/>
      <c r="I2342" s="149"/>
      <c r="J2342" s="149"/>
      <c r="K2342" s="149"/>
      <c r="L2342" s="149"/>
      <c r="M2342" s="149">
        <f t="shared" si="790"/>
        <v>0</v>
      </c>
      <c r="N2342" s="149"/>
      <c r="O2342" s="149">
        <f t="shared" si="797"/>
        <v>0</v>
      </c>
      <c r="P2342" s="149"/>
      <c r="Q2342" s="149"/>
      <c r="R2342" s="149">
        <f t="shared" si="798"/>
        <v>0</v>
      </c>
      <c r="S2342" s="150" t="e">
        <f t="shared" si="799"/>
        <v>#DIV/0!</v>
      </c>
      <c r="T2342" s="151" t="e">
        <f t="shared" si="800"/>
        <v>#DIV/0!</v>
      </c>
      <c r="U2342" s="150" t="e">
        <f t="shared" si="801"/>
        <v>#NUM!</v>
      </c>
      <c r="V2342" s="150" t="e">
        <f t="shared" si="802"/>
        <v>#DIV/0!</v>
      </c>
      <c r="W2342" s="152"/>
      <c r="X2342" s="152"/>
      <c r="Y2342" s="152"/>
      <c r="Z2342" s="153">
        <f t="shared" si="806"/>
        <v>0</v>
      </c>
      <c r="AA2342" s="148">
        <f t="shared" si="784"/>
        <v>0</v>
      </c>
      <c r="AB2342" s="149"/>
      <c r="AC2342" s="149"/>
      <c r="AD2342" s="150" t="e">
        <f t="shared" si="772"/>
        <v>#DIV/0!</v>
      </c>
      <c r="AE2342" s="154" t="e">
        <f t="shared" si="773"/>
        <v>#DIV/0!</v>
      </c>
      <c r="AF2342" s="150" t="e">
        <f t="shared" si="774"/>
        <v>#DIV/0!</v>
      </c>
      <c r="AG2342" s="150" t="e">
        <f t="shared" si="775"/>
        <v>#DIV/0!</v>
      </c>
      <c r="AH2342" s="155" t="e">
        <f t="shared" si="776"/>
        <v>#DIV/0!</v>
      </c>
      <c r="AI2342" s="156" t="e">
        <f t="shared" si="804"/>
        <v>#DIV/0!</v>
      </c>
      <c r="AJ2342" s="149"/>
      <c r="AK2342" s="149"/>
      <c r="AL2342" s="157"/>
      <c r="AM2342" s="157"/>
      <c r="AN2342" s="157"/>
      <c r="AO2342" s="157"/>
      <c r="AP2342" s="157"/>
      <c r="AQ2342" s="157"/>
      <c r="AR2342" s="157"/>
    </row>
    <row r="2343" spans="1:44" ht="16.8">
      <c r="A2343" s="145">
        <v>233</v>
      </c>
      <c r="B2343" s="145">
        <v>1021</v>
      </c>
      <c r="C2343" s="145" t="s">
        <v>4475</v>
      </c>
      <c r="D2343" s="146" t="s">
        <v>4476</v>
      </c>
      <c r="E2343" s="147" t="s">
        <v>178</v>
      </c>
      <c r="F2343" s="148"/>
      <c r="G2343" s="148"/>
      <c r="H2343" s="149"/>
      <c r="I2343" s="149"/>
      <c r="J2343" s="149"/>
      <c r="K2343" s="149"/>
      <c r="L2343" s="149"/>
      <c r="M2343" s="149">
        <f t="shared" si="790"/>
        <v>0</v>
      </c>
      <c r="N2343" s="149"/>
      <c r="O2343" s="149">
        <f t="shared" si="797"/>
        <v>0</v>
      </c>
      <c r="P2343" s="149"/>
      <c r="Q2343" s="149"/>
      <c r="R2343" s="149">
        <f t="shared" si="798"/>
        <v>0</v>
      </c>
      <c r="S2343" s="150" t="e">
        <f t="shared" si="799"/>
        <v>#DIV/0!</v>
      </c>
      <c r="T2343" s="151" t="e">
        <f t="shared" si="800"/>
        <v>#DIV/0!</v>
      </c>
      <c r="U2343" s="150" t="e">
        <f t="shared" si="801"/>
        <v>#NUM!</v>
      </c>
      <c r="V2343" s="150" t="e">
        <f t="shared" si="802"/>
        <v>#DIV/0!</v>
      </c>
      <c r="W2343" s="152"/>
      <c r="X2343" s="152"/>
      <c r="Y2343" s="152"/>
      <c r="Z2343" s="153">
        <f t="shared" si="806"/>
        <v>0</v>
      </c>
      <c r="AA2343" s="148">
        <f t="shared" si="784"/>
        <v>0</v>
      </c>
      <c r="AB2343" s="149"/>
      <c r="AC2343" s="149"/>
      <c r="AD2343" s="150" t="e">
        <f t="shared" si="772"/>
        <v>#DIV/0!</v>
      </c>
      <c r="AE2343" s="154" t="e">
        <f t="shared" si="773"/>
        <v>#DIV/0!</v>
      </c>
      <c r="AF2343" s="150" t="e">
        <f t="shared" si="774"/>
        <v>#DIV/0!</v>
      </c>
      <c r="AG2343" s="150" t="e">
        <f t="shared" si="775"/>
        <v>#DIV/0!</v>
      </c>
      <c r="AH2343" s="155" t="e">
        <f t="shared" si="776"/>
        <v>#DIV/0!</v>
      </c>
      <c r="AI2343" s="156" t="e">
        <f t="shared" si="804"/>
        <v>#DIV/0!</v>
      </c>
      <c r="AJ2343" s="149"/>
      <c r="AK2343" s="149"/>
      <c r="AL2343" s="157"/>
      <c r="AM2343" s="157"/>
      <c r="AN2343" s="157"/>
      <c r="AO2343" s="157"/>
      <c r="AP2343" s="157"/>
      <c r="AQ2343" s="157"/>
      <c r="AR2343" s="157"/>
    </row>
    <row r="2344" spans="1:44" ht="16.8">
      <c r="A2344" s="145">
        <v>234</v>
      </c>
      <c r="B2344" s="145">
        <v>1022</v>
      </c>
      <c r="C2344" s="145" t="s">
        <v>4477</v>
      </c>
      <c r="D2344" s="146" t="s">
        <v>4478</v>
      </c>
      <c r="E2344" s="147" t="s">
        <v>178</v>
      </c>
      <c r="F2344" s="148"/>
      <c r="G2344" s="148"/>
      <c r="H2344" s="149"/>
      <c r="I2344" s="149"/>
      <c r="J2344" s="149"/>
      <c r="K2344" s="149"/>
      <c r="L2344" s="149"/>
      <c r="M2344" s="149">
        <f t="shared" si="790"/>
        <v>0</v>
      </c>
      <c r="N2344" s="149"/>
      <c r="O2344" s="149">
        <f t="shared" si="797"/>
        <v>0</v>
      </c>
      <c r="P2344" s="149"/>
      <c r="Q2344" s="149"/>
      <c r="R2344" s="149">
        <f t="shared" si="798"/>
        <v>0</v>
      </c>
      <c r="S2344" s="150" t="e">
        <f t="shared" si="799"/>
        <v>#DIV/0!</v>
      </c>
      <c r="T2344" s="151" t="e">
        <f t="shared" si="800"/>
        <v>#DIV/0!</v>
      </c>
      <c r="U2344" s="150" t="e">
        <f t="shared" si="801"/>
        <v>#NUM!</v>
      </c>
      <c r="V2344" s="150" t="e">
        <f t="shared" si="802"/>
        <v>#DIV/0!</v>
      </c>
      <c r="W2344" s="152"/>
      <c r="X2344" s="152"/>
      <c r="Y2344" s="152"/>
      <c r="Z2344" s="153">
        <f t="shared" si="806"/>
        <v>0</v>
      </c>
      <c r="AA2344" s="148">
        <f t="shared" si="784"/>
        <v>0</v>
      </c>
      <c r="AB2344" s="149"/>
      <c r="AC2344" s="149"/>
      <c r="AD2344" s="150" t="e">
        <f t="shared" si="772"/>
        <v>#DIV/0!</v>
      </c>
      <c r="AE2344" s="154" t="e">
        <f t="shared" si="773"/>
        <v>#DIV/0!</v>
      </c>
      <c r="AF2344" s="150" t="e">
        <f t="shared" si="774"/>
        <v>#DIV/0!</v>
      </c>
      <c r="AG2344" s="150" t="e">
        <f t="shared" si="775"/>
        <v>#DIV/0!</v>
      </c>
      <c r="AH2344" s="155" t="e">
        <f t="shared" si="776"/>
        <v>#DIV/0!</v>
      </c>
      <c r="AI2344" s="156" t="e">
        <f t="shared" si="804"/>
        <v>#DIV/0!</v>
      </c>
      <c r="AJ2344" s="149"/>
      <c r="AK2344" s="149"/>
      <c r="AL2344" s="157"/>
      <c r="AM2344" s="157"/>
      <c r="AN2344" s="157"/>
      <c r="AO2344" s="157"/>
      <c r="AP2344" s="157"/>
      <c r="AQ2344" s="157"/>
      <c r="AR2344" s="157"/>
    </row>
    <row r="2345" spans="1:44" ht="16.8">
      <c r="A2345" s="145">
        <v>235</v>
      </c>
      <c r="B2345" s="145">
        <v>1023</v>
      </c>
      <c r="C2345" s="145" t="s">
        <v>4479</v>
      </c>
      <c r="D2345" s="146" t="s">
        <v>4480</v>
      </c>
      <c r="E2345" s="147" t="s">
        <v>178</v>
      </c>
      <c r="F2345" s="148"/>
      <c r="G2345" s="148"/>
      <c r="H2345" s="149"/>
      <c r="I2345" s="149"/>
      <c r="J2345" s="149"/>
      <c r="K2345" s="149"/>
      <c r="L2345" s="149"/>
      <c r="M2345" s="149">
        <f t="shared" si="790"/>
        <v>0</v>
      </c>
      <c r="N2345" s="149"/>
      <c r="O2345" s="149">
        <f t="shared" si="797"/>
        <v>0</v>
      </c>
      <c r="P2345" s="149"/>
      <c r="Q2345" s="149"/>
      <c r="R2345" s="149">
        <f t="shared" si="798"/>
        <v>0</v>
      </c>
      <c r="S2345" s="150" t="e">
        <f t="shared" si="799"/>
        <v>#DIV/0!</v>
      </c>
      <c r="T2345" s="151" t="e">
        <f t="shared" si="800"/>
        <v>#DIV/0!</v>
      </c>
      <c r="U2345" s="150" t="e">
        <f t="shared" si="801"/>
        <v>#NUM!</v>
      </c>
      <c r="V2345" s="150" t="e">
        <f t="shared" si="802"/>
        <v>#DIV/0!</v>
      </c>
      <c r="W2345" s="152"/>
      <c r="X2345" s="152"/>
      <c r="Y2345" s="152"/>
      <c r="Z2345" s="153">
        <f t="shared" si="806"/>
        <v>0</v>
      </c>
      <c r="AA2345" s="148">
        <f t="shared" si="784"/>
        <v>0</v>
      </c>
      <c r="AB2345" s="149"/>
      <c r="AC2345" s="149"/>
      <c r="AD2345" s="150" t="e">
        <f t="shared" si="772"/>
        <v>#DIV/0!</v>
      </c>
      <c r="AE2345" s="154" t="e">
        <f t="shared" si="773"/>
        <v>#DIV/0!</v>
      </c>
      <c r="AF2345" s="150" t="e">
        <f t="shared" si="774"/>
        <v>#DIV/0!</v>
      </c>
      <c r="AG2345" s="150" t="e">
        <f t="shared" si="775"/>
        <v>#DIV/0!</v>
      </c>
      <c r="AH2345" s="155" t="e">
        <f t="shared" si="776"/>
        <v>#DIV/0!</v>
      </c>
      <c r="AI2345" s="156" t="e">
        <f t="shared" si="804"/>
        <v>#DIV/0!</v>
      </c>
      <c r="AJ2345" s="149"/>
      <c r="AK2345" s="149"/>
      <c r="AL2345" s="157"/>
      <c r="AM2345" s="157"/>
      <c r="AN2345" s="157"/>
      <c r="AO2345" s="157"/>
      <c r="AP2345" s="157"/>
      <c r="AQ2345" s="157"/>
      <c r="AR2345" s="157"/>
    </row>
    <row r="2346" spans="1:44" ht="16.8">
      <c r="A2346" s="145">
        <v>236</v>
      </c>
      <c r="B2346" s="145">
        <v>1024</v>
      </c>
      <c r="C2346" s="145" t="s">
        <v>4481</v>
      </c>
      <c r="D2346" s="146" t="s">
        <v>4482</v>
      </c>
      <c r="E2346" s="147" t="s">
        <v>178</v>
      </c>
      <c r="F2346" s="148"/>
      <c r="G2346" s="148"/>
      <c r="H2346" s="149"/>
      <c r="I2346" s="149"/>
      <c r="J2346" s="149"/>
      <c r="K2346" s="149"/>
      <c r="L2346" s="149"/>
      <c r="M2346" s="149">
        <f t="shared" si="790"/>
        <v>0</v>
      </c>
      <c r="N2346" s="149"/>
      <c r="O2346" s="149">
        <f t="shared" si="797"/>
        <v>0</v>
      </c>
      <c r="P2346" s="149"/>
      <c r="Q2346" s="149"/>
      <c r="R2346" s="149">
        <f t="shared" si="798"/>
        <v>0</v>
      </c>
      <c r="S2346" s="150" t="e">
        <f t="shared" si="799"/>
        <v>#DIV/0!</v>
      </c>
      <c r="T2346" s="151" t="e">
        <f t="shared" si="800"/>
        <v>#DIV/0!</v>
      </c>
      <c r="U2346" s="150" t="e">
        <f t="shared" si="801"/>
        <v>#NUM!</v>
      </c>
      <c r="V2346" s="150" t="e">
        <f t="shared" si="802"/>
        <v>#DIV/0!</v>
      </c>
      <c r="W2346" s="152"/>
      <c r="X2346" s="152"/>
      <c r="Y2346" s="152"/>
      <c r="Z2346" s="153">
        <f t="shared" si="806"/>
        <v>0</v>
      </c>
      <c r="AA2346" s="148">
        <f t="shared" si="784"/>
        <v>0</v>
      </c>
      <c r="AB2346" s="149"/>
      <c r="AC2346" s="149"/>
      <c r="AD2346" s="150" t="e">
        <f t="shared" si="772"/>
        <v>#DIV/0!</v>
      </c>
      <c r="AE2346" s="154" t="e">
        <f t="shared" si="773"/>
        <v>#DIV/0!</v>
      </c>
      <c r="AF2346" s="150" t="e">
        <f t="shared" si="774"/>
        <v>#DIV/0!</v>
      </c>
      <c r="AG2346" s="150" t="e">
        <f t="shared" si="775"/>
        <v>#DIV/0!</v>
      </c>
      <c r="AH2346" s="155" t="e">
        <f t="shared" si="776"/>
        <v>#DIV/0!</v>
      </c>
      <c r="AI2346" s="156" t="e">
        <f t="shared" si="804"/>
        <v>#DIV/0!</v>
      </c>
      <c r="AJ2346" s="149"/>
      <c r="AK2346" s="149"/>
      <c r="AL2346" s="157"/>
      <c r="AM2346" s="157"/>
      <c r="AN2346" s="157"/>
      <c r="AO2346" s="157"/>
      <c r="AP2346" s="157"/>
      <c r="AQ2346" s="157"/>
      <c r="AR2346" s="157"/>
    </row>
    <row r="2347" spans="1:44" ht="16.8">
      <c r="A2347" s="145">
        <v>237</v>
      </c>
      <c r="B2347" s="145">
        <v>1025</v>
      </c>
      <c r="C2347" s="145" t="s">
        <v>4483</v>
      </c>
      <c r="D2347" s="146" t="s">
        <v>4484</v>
      </c>
      <c r="E2347" s="147" t="s">
        <v>178</v>
      </c>
      <c r="F2347" s="148"/>
      <c r="G2347" s="148"/>
      <c r="H2347" s="149"/>
      <c r="I2347" s="149"/>
      <c r="J2347" s="149"/>
      <c r="K2347" s="149"/>
      <c r="L2347" s="149"/>
      <c r="M2347" s="149">
        <f t="shared" si="790"/>
        <v>0</v>
      </c>
      <c r="N2347" s="149"/>
      <c r="O2347" s="149">
        <f t="shared" si="797"/>
        <v>0</v>
      </c>
      <c r="P2347" s="149"/>
      <c r="Q2347" s="149"/>
      <c r="R2347" s="149">
        <f t="shared" si="798"/>
        <v>0</v>
      </c>
      <c r="S2347" s="150" t="e">
        <f t="shared" si="799"/>
        <v>#DIV/0!</v>
      </c>
      <c r="T2347" s="151" t="e">
        <f t="shared" si="800"/>
        <v>#DIV/0!</v>
      </c>
      <c r="U2347" s="150" t="e">
        <f t="shared" si="801"/>
        <v>#NUM!</v>
      </c>
      <c r="V2347" s="150" t="e">
        <f t="shared" si="802"/>
        <v>#DIV/0!</v>
      </c>
      <c r="W2347" s="152"/>
      <c r="X2347" s="152"/>
      <c r="Y2347" s="152"/>
      <c r="Z2347" s="153">
        <f t="shared" si="806"/>
        <v>0</v>
      </c>
      <c r="AA2347" s="148">
        <f t="shared" si="784"/>
        <v>0</v>
      </c>
      <c r="AB2347" s="149"/>
      <c r="AC2347" s="149"/>
      <c r="AD2347" s="150" t="e">
        <f t="shared" si="772"/>
        <v>#DIV/0!</v>
      </c>
      <c r="AE2347" s="154" t="e">
        <f t="shared" si="773"/>
        <v>#DIV/0!</v>
      </c>
      <c r="AF2347" s="150" t="e">
        <f t="shared" si="774"/>
        <v>#DIV/0!</v>
      </c>
      <c r="AG2347" s="150" t="e">
        <f t="shared" si="775"/>
        <v>#DIV/0!</v>
      </c>
      <c r="AH2347" s="155" t="e">
        <f t="shared" si="776"/>
        <v>#DIV/0!</v>
      </c>
      <c r="AI2347" s="156" t="e">
        <f t="shared" si="804"/>
        <v>#DIV/0!</v>
      </c>
      <c r="AJ2347" s="149"/>
      <c r="AK2347" s="149"/>
      <c r="AL2347" s="157"/>
      <c r="AM2347" s="157"/>
      <c r="AN2347" s="157"/>
      <c r="AO2347" s="157"/>
      <c r="AP2347" s="157"/>
      <c r="AQ2347" s="157"/>
      <c r="AR2347" s="157"/>
    </row>
    <row r="2348" spans="1:44" ht="16.8">
      <c r="A2348" s="145">
        <v>238</v>
      </c>
      <c r="B2348" s="145">
        <v>1026</v>
      </c>
      <c r="C2348" s="145" t="s">
        <v>4485</v>
      </c>
      <c r="D2348" s="146" t="s">
        <v>4486</v>
      </c>
      <c r="E2348" s="147" t="s">
        <v>178</v>
      </c>
      <c r="F2348" s="148"/>
      <c r="G2348" s="148"/>
      <c r="H2348" s="149"/>
      <c r="I2348" s="149"/>
      <c r="J2348" s="149"/>
      <c r="K2348" s="149"/>
      <c r="L2348" s="149"/>
      <c r="M2348" s="149">
        <f t="shared" si="790"/>
        <v>0</v>
      </c>
      <c r="N2348" s="149"/>
      <c r="O2348" s="149">
        <f t="shared" si="797"/>
        <v>0</v>
      </c>
      <c r="P2348" s="149"/>
      <c r="Q2348" s="149"/>
      <c r="R2348" s="149">
        <f t="shared" si="798"/>
        <v>0</v>
      </c>
      <c r="S2348" s="150" t="e">
        <f t="shared" si="799"/>
        <v>#DIV/0!</v>
      </c>
      <c r="T2348" s="151" t="e">
        <f t="shared" si="800"/>
        <v>#DIV/0!</v>
      </c>
      <c r="U2348" s="150" t="e">
        <f t="shared" si="801"/>
        <v>#NUM!</v>
      </c>
      <c r="V2348" s="150" t="e">
        <f t="shared" si="802"/>
        <v>#DIV/0!</v>
      </c>
      <c r="W2348" s="152"/>
      <c r="X2348" s="152"/>
      <c r="Y2348" s="152"/>
      <c r="Z2348" s="153">
        <f t="shared" si="806"/>
        <v>0</v>
      </c>
      <c r="AA2348" s="148">
        <f t="shared" si="784"/>
        <v>0</v>
      </c>
      <c r="AB2348" s="149"/>
      <c r="AC2348" s="149"/>
      <c r="AD2348" s="150" t="e">
        <f t="shared" si="772"/>
        <v>#DIV/0!</v>
      </c>
      <c r="AE2348" s="154" t="e">
        <f t="shared" si="773"/>
        <v>#DIV/0!</v>
      </c>
      <c r="AF2348" s="150" t="e">
        <f t="shared" si="774"/>
        <v>#DIV/0!</v>
      </c>
      <c r="AG2348" s="150" t="e">
        <f t="shared" si="775"/>
        <v>#DIV/0!</v>
      </c>
      <c r="AH2348" s="155" t="e">
        <f t="shared" si="776"/>
        <v>#DIV/0!</v>
      </c>
      <c r="AI2348" s="156" t="e">
        <f t="shared" si="804"/>
        <v>#DIV/0!</v>
      </c>
      <c r="AJ2348" s="149"/>
      <c r="AK2348" s="149"/>
      <c r="AL2348" s="157"/>
      <c r="AM2348" s="157"/>
      <c r="AN2348" s="157"/>
      <c r="AO2348" s="157"/>
      <c r="AP2348" s="157"/>
      <c r="AQ2348" s="157"/>
      <c r="AR2348" s="157"/>
    </row>
    <row r="2349" spans="1:44" ht="16.8">
      <c r="A2349" s="145">
        <v>239</v>
      </c>
      <c r="B2349" s="145">
        <v>1027</v>
      </c>
      <c r="C2349" s="145" t="s">
        <v>4487</v>
      </c>
      <c r="D2349" s="146" t="s">
        <v>4488</v>
      </c>
      <c r="E2349" s="147" t="s">
        <v>178</v>
      </c>
      <c r="F2349" s="148"/>
      <c r="G2349" s="148"/>
      <c r="H2349" s="149"/>
      <c r="I2349" s="149"/>
      <c r="J2349" s="149"/>
      <c r="K2349" s="149"/>
      <c r="L2349" s="149"/>
      <c r="M2349" s="149">
        <f t="shared" si="790"/>
        <v>0</v>
      </c>
      <c r="N2349" s="149"/>
      <c r="O2349" s="149">
        <f t="shared" si="797"/>
        <v>0</v>
      </c>
      <c r="P2349" s="149"/>
      <c r="Q2349" s="149"/>
      <c r="R2349" s="149">
        <f t="shared" si="798"/>
        <v>0</v>
      </c>
      <c r="S2349" s="150" t="e">
        <f t="shared" si="799"/>
        <v>#DIV/0!</v>
      </c>
      <c r="T2349" s="151" t="e">
        <f t="shared" si="800"/>
        <v>#DIV/0!</v>
      </c>
      <c r="U2349" s="150" t="e">
        <f t="shared" si="801"/>
        <v>#NUM!</v>
      </c>
      <c r="V2349" s="150" t="e">
        <f t="shared" si="802"/>
        <v>#DIV/0!</v>
      </c>
      <c r="W2349" s="152"/>
      <c r="X2349" s="152"/>
      <c r="Y2349" s="152"/>
      <c r="Z2349" s="153">
        <f t="shared" si="806"/>
        <v>0</v>
      </c>
      <c r="AA2349" s="148">
        <f t="shared" si="784"/>
        <v>0</v>
      </c>
      <c r="AB2349" s="149"/>
      <c r="AC2349" s="149"/>
      <c r="AD2349" s="150" t="e">
        <f t="shared" si="772"/>
        <v>#DIV/0!</v>
      </c>
      <c r="AE2349" s="154" t="e">
        <f t="shared" si="773"/>
        <v>#DIV/0!</v>
      </c>
      <c r="AF2349" s="150" t="e">
        <f t="shared" si="774"/>
        <v>#DIV/0!</v>
      </c>
      <c r="AG2349" s="150" t="e">
        <f t="shared" si="775"/>
        <v>#DIV/0!</v>
      </c>
      <c r="AH2349" s="155" t="e">
        <f t="shared" si="776"/>
        <v>#DIV/0!</v>
      </c>
      <c r="AI2349" s="156" t="e">
        <f t="shared" si="804"/>
        <v>#DIV/0!</v>
      </c>
      <c r="AJ2349" s="149"/>
      <c r="AK2349" s="149"/>
      <c r="AL2349" s="157"/>
      <c r="AM2349" s="157"/>
      <c r="AN2349" s="157"/>
      <c r="AO2349" s="157"/>
      <c r="AP2349" s="157"/>
      <c r="AQ2349" s="157"/>
      <c r="AR2349" s="157"/>
    </row>
    <row r="2350" spans="1:44" ht="16.8">
      <c r="A2350" s="145">
        <v>240</v>
      </c>
      <c r="B2350" s="145">
        <v>1028</v>
      </c>
      <c r="C2350" s="145" t="s">
        <v>4489</v>
      </c>
      <c r="D2350" s="146" t="s">
        <v>4490</v>
      </c>
      <c r="E2350" s="147" t="s">
        <v>178</v>
      </c>
      <c r="F2350" s="148"/>
      <c r="G2350" s="148"/>
      <c r="H2350" s="149"/>
      <c r="I2350" s="149"/>
      <c r="J2350" s="149"/>
      <c r="K2350" s="149"/>
      <c r="L2350" s="149"/>
      <c r="M2350" s="149">
        <f t="shared" si="790"/>
        <v>0</v>
      </c>
      <c r="N2350" s="149"/>
      <c r="O2350" s="149">
        <f t="shared" si="797"/>
        <v>0</v>
      </c>
      <c r="P2350" s="149"/>
      <c r="Q2350" s="149"/>
      <c r="R2350" s="149">
        <f t="shared" si="798"/>
        <v>0</v>
      </c>
      <c r="S2350" s="150" t="e">
        <f t="shared" si="799"/>
        <v>#DIV/0!</v>
      </c>
      <c r="T2350" s="151" t="e">
        <f t="shared" si="800"/>
        <v>#DIV/0!</v>
      </c>
      <c r="U2350" s="150" t="e">
        <f t="shared" si="801"/>
        <v>#NUM!</v>
      </c>
      <c r="V2350" s="150" t="e">
        <f t="shared" si="802"/>
        <v>#DIV/0!</v>
      </c>
      <c r="W2350" s="152"/>
      <c r="X2350" s="152"/>
      <c r="Y2350" s="152"/>
      <c r="Z2350" s="153">
        <f t="shared" si="806"/>
        <v>0</v>
      </c>
      <c r="AA2350" s="148">
        <f t="shared" si="784"/>
        <v>0</v>
      </c>
      <c r="AB2350" s="149"/>
      <c r="AC2350" s="149"/>
      <c r="AD2350" s="150" t="e">
        <f t="shared" si="772"/>
        <v>#DIV/0!</v>
      </c>
      <c r="AE2350" s="154" t="e">
        <f t="shared" si="773"/>
        <v>#DIV/0!</v>
      </c>
      <c r="AF2350" s="150" t="e">
        <f t="shared" si="774"/>
        <v>#DIV/0!</v>
      </c>
      <c r="AG2350" s="150" t="e">
        <f t="shared" si="775"/>
        <v>#DIV/0!</v>
      </c>
      <c r="AH2350" s="155" t="e">
        <f t="shared" si="776"/>
        <v>#DIV/0!</v>
      </c>
      <c r="AI2350" s="156" t="e">
        <f t="shared" si="804"/>
        <v>#DIV/0!</v>
      </c>
      <c r="AJ2350" s="149"/>
      <c r="AK2350" s="149"/>
      <c r="AL2350" s="157"/>
      <c r="AM2350" s="157"/>
      <c r="AN2350" s="157"/>
      <c r="AO2350" s="157"/>
      <c r="AP2350" s="157"/>
      <c r="AQ2350" s="157"/>
      <c r="AR2350" s="157"/>
    </row>
    <row r="2351" spans="1:44" ht="16.8">
      <c r="A2351" s="145">
        <v>241</v>
      </c>
      <c r="B2351" s="145">
        <v>1029</v>
      </c>
      <c r="C2351" s="145" t="s">
        <v>4491</v>
      </c>
      <c r="D2351" s="146" t="s">
        <v>4492</v>
      </c>
      <c r="E2351" s="147" t="s">
        <v>178</v>
      </c>
      <c r="F2351" s="148"/>
      <c r="G2351" s="148"/>
      <c r="H2351" s="149"/>
      <c r="I2351" s="149"/>
      <c r="J2351" s="149"/>
      <c r="K2351" s="149"/>
      <c r="L2351" s="149"/>
      <c r="M2351" s="149">
        <f t="shared" si="790"/>
        <v>0</v>
      </c>
      <c r="N2351" s="149"/>
      <c r="O2351" s="149">
        <f t="shared" si="797"/>
        <v>0</v>
      </c>
      <c r="P2351" s="149"/>
      <c r="Q2351" s="149"/>
      <c r="R2351" s="149">
        <f t="shared" si="798"/>
        <v>0</v>
      </c>
      <c r="S2351" s="150" t="e">
        <f t="shared" si="799"/>
        <v>#DIV/0!</v>
      </c>
      <c r="T2351" s="151" t="e">
        <f t="shared" si="800"/>
        <v>#DIV/0!</v>
      </c>
      <c r="U2351" s="150" t="e">
        <f t="shared" si="801"/>
        <v>#NUM!</v>
      </c>
      <c r="V2351" s="150" t="e">
        <f t="shared" si="802"/>
        <v>#DIV/0!</v>
      </c>
      <c r="W2351" s="152"/>
      <c r="X2351" s="152"/>
      <c r="Y2351" s="152"/>
      <c r="Z2351" s="153">
        <f t="shared" si="806"/>
        <v>0</v>
      </c>
      <c r="AA2351" s="148">
        <f t="shared" si="784"/>
        <v>0</v>
      </c>
      <c r="AB2351" s="149"/>
      <c r="AC2351" s="149"/>
      <c r="AD2351" s="150" t="e">
        <f t="shared" si="772"/>
        <v>#DIV/0!</v>
      </c>
      <c r="AE2351" s="154" t="e">
        <f t="shared" si="773"/>
        <v>#DIV/0!</v>
      </c>
      <c r="AF2351" s="150" t="e">
        <f t="shared" si="774"/>
        <v>#DIV/0!</v>
      </c>
      <c r="AG2351" s="150" t="e">
        <f t="shared" si="775"/>
        <v>#DIV/0!</v>
      </c>
      <c r="AH2351" s="155" t="e">
        <f t="shared" si="776"/>
        <v>#DIV/0!</v>
      </c>
      <c r="AI2351" s="156" t="e">
        <f t="shared" si="804"/>
        <v>#DIV/0!</v>
      </c>
      <c r="AJ2351" s="149"/>
      <c r="AK2351" s="149"/>
      <c r="AL2351" s="157"/>
      <c r="AM2351" s="157"/>
      <c r="AN2351" s="157"/>
      <c r="AO2351" s="157"/>
      <c r="AP2351" s="157"/>
      <c r="AQ2351" s="157"/>
      <c r="AR2351" s="157"/>
    </row>
    <row r="2352" spans="1:44" ht="16.8">
      <c r="A2352" s="145">
        <v>242</v>
      </c>
      <c r="B2352" s="145">
        <v>1030</v>
      </c>
      <c r="C2352" s="145" t="s">
        <v>4493</v>
      </c>
      <c r="D2352" s="146" t="s">
        <v>4494</v>
      </c>
      <c r="E2352" s="147" t="s">
        <v>178</v>
      </c>
      <c r="F2352" s="148"/>
      <c r="G2352" s="148"/>
      <c r="H2352" s="149"/>
      <c r="I2352" s="149"/>
      <c r="J2352" s="149"/>
      <c r="K2352" s="149"/>
      <c r="L2352" s="149"/>
      <c r="M2352" s="149">
        <f t="shared" si="790"/>
        <v>0</v>
      </c>
      <c r="N2352" s="149"/>
      <c r="O2352" s="149">
        <f t="shared" si="797"/>
        <v>0</v>
      </c>
      <c r="P2352" s="149"/>
      <c r="Q2352" s="149"/>
      <c r="R2352" s="149">
        <f t="shared" si="798"/>
        <v>0</v>
      </c>
      <c r="S2352" s="150" t="e">
        <f t="shared" si="799"/>
        <v>#DIV/0!</v>
      </c>
      <c r="T2352" s="151" t="e">
        <f t="shared" si="800"/>
        <v>#DIV/0!</v>
      </c>
      <c r="U2352" s="150" t="e">
        <f t="shared" si="801"/>
        <v>#NUM!</v>
      </c>
      <c r="V2352" s="150" t="e">
        <f t="shared" si="802"/>
        <v>#DIV/0!</v>
      </c>
      <c r="W2352" s="152"/>
      <c r="X2352" s="152"/>
      <c r="Y2352" s="152"/>
      <c r="Z2352" s="153">
        <f t="shared" si="806"/>
        <v>0</v>
      </c>
      <c r="AA2352" s="148">
        <f t="shared" si="784"/>
        <v>0</v>
      </c>
      <c r="AB2352" s="149"/>
      <c r="AC2352" s="149"/>
      <c r="AD2352" s="150" t="e">
        <f t="shared" si="772"/>
        <v>#DIV/0!</v>
      </c>
      <c r="AE2352" s="154" t="e">
        <f t="shared" si="773"/>
        <v>#DIV/0!</v>
      </c>
      <c r="AF2352" s="150" t="e">
        <f t="shared" si="774"/>
        <v>#DIV/0!</v>
      </c>
      <c r="AG2352" s="150" t="e">
        <f t="shared" si="775"/>
        <v>#DIV/0!</v>
      </c>
      <c r="AH2352" s="155" t="e">
        <f t="shared" si="776"/>
        <v>#DIV/0!</v>
      </c>
      <c r="AI2352" s="156" t="e">
        <f t="shared" si="804"/>
        <v>#DIV/0!</v>
      </c>
      <c r="AJ2352" s="149"/>
      <c r="AK2352" s="149"/>
      <c r="AL2352" s="157"/>
      <c r="AM2352" s="157"/>
      <c r="AN2352" s="157"/>
      <c r="AO2352" s="157"/>
      <c r="AP2352" s="157"/>
      <c r="AQ2352" s="157"/>
      <c r="AR2352" s="157"/>
    </row>
    <row r="2353" spans="1:44" ht="16.8">
      <c r="A2353" s="145">
        <v>243</v>
      </c>
      <c r="B2353" s="145">
        <v>1031</v>
      </c>
      <c r="C2353" s="145" t="s">
        <v>4495</v>
      </c>
      <c r="D2353" s="146"/>
      <c r="E2353" s="147" t="s">
        <v>178</v>
      </c>
      <c r="F2353" s="148"/>
      <c r="G2353" s="148"/>
      <c r="H2353" s="149"/>
      <c r="I2353" s="149"/>
      <c r="J2353" s="149"/>
      <c r="K2353" s="149"/>
      <c r="L2353" s="149"/>
      <c r="M2353" s="149">
        <f t="shared" si="790"/>
        <v>0</v>
      </c>
      <c r="N2353" s="149"/>
      <c r="O2353" s="149">
        <f t="shared" si="797"/>
        <v>0</v>
      </c>
      <c r="P2353" s="149"/>
      <c r="Q2353" s="149"/>
      <c r="R2353" s="149">
        <f t="shared" si="798"/>
        <v>0</v>
      </c>
      <c r="S2353" s="150" t="e">
        <f t="shared" si="799"/>
        <v>#DIV/0!</v>
      </c>
      <c r="T2353" s="151" t="e">
        <f t="shared" si="800"/>
        <v>#DIV/0!</v>
      </c>
      <c r="U2353" s="150" t="e">
        <f t="shared" si="801"/>
        <v>#NUM!</v>
      </c>
      <c r="V2353" s="150" t="e">
        <f t="shared" si="802"/>
        <v>#DIV/0!</v>
      </c>
      <c r="W2353" s="152"/>
      <c r="X2353" s="152"/>
      <c r="Y2353" s="152"/>
      <c r="Z2353" s="153">
        <f t="shared" si="806"/>
        <v>0</v>
      </c>
      <c r="AA2353" s="148">
        <f t="shared" si="784"/>
        <v>0</v>
      </c>
      <c r="AB2353" s="149"/>
      <c r="AC2353" s="149"/>
      <c r="AD2353" s="150" t="e">
        <f t="shared" si="772"/>
        <v>#DIV/0!</v>
      </c>
      <c r="AE2353" s="154" t="e">
        <f t="shared" si="773"/>
        <v>#DIV/0!</v>
      </c>
      <c r="AF2353" s="150" t="e">
        <f t="shared" si="774"/>
        <v>#DIV/0!</v>
      </c>
      <c r="AG2353" s="150" t="e">
        <f t="shared" si="775"/>
        <v>#DIV/0!</v>
      </c>
      <c r="AH2353" s="155" t="e">
        <f t="shared" si="776"/>
        <v>#DIV/0!</v>
      </c>
      <c r="AI2353" s="156" t="e">
        <f t="shared" si="804"/>
        <v>#DIV/0!</v>
      </c>
      <c r="AJ2353" s="149"/>
      <c r="AK2353" s="149"/>
      <c r="AL2353" s="157"/>
      <c r="AM2353" s="157"/>
      <c r="AN2353" s="157"/>
      <c r="AO2353" s="157"/>
      <c r="AP2353" s="157"/>
      <c r="AQ2353" s="157"/>
      <c r="AR2353" s="157"/>
    </row>
    <row r="2354" spans="1:44" ht="16.8">
      <c r="A2354" s="145">
        <v>244</v>
      </c>
      <c r="B2354" s="145">
        <v>1032</v>
      </c>
      <c r="C2354" s="145" t="s">
        <v>4496</v>
      </c>
      <c r="D2354" s="146" t="s">
        <v>4497</v>
      </c>
      <c r="E2354" s="147" t="s">
        <v>178</v>
      </c>
      <c r="F2354" s="148"/>
      <c r="G2354" s="148"/>
      <c r="H2354" s="149"/>
      <c r="I2354" s="149"/>
      <c r="J2354" s="149"/>
      <c r="K2354" s="149"/>
      <c r="L2354" s="149"/>
      <c r="M2354" s="149">
        <f t="shared" si="790"/>
        <v>0</v>
      </c>
      <c r="N2354" s="149"/>
      <c r="O2354" s="149">
        <f t="shared" si="797"/>
        <v>0</v>
      </c>
      <c r="P2354" s="149"/>
      <c r="Q2354" s="149"/>
      <c r="R2354" s="149">
        <f t="shared" si="798"/>
        <v>0</v>
      </c>
      <c r="S2354" s="150" t="e">
        <f t="shared" si="799"/>
        <v>#DIV/0!</v>
      </c>
      <c r="T2354" s="151" t="e">
        <f t="shared" si="800"/>
        <v>#DIV/0!</v>
      </c>
      <c r="U2354" s="150" t="e">
        <f t="shared" si="801"/>
        <v>#NUM!</v>
      </c>
      <c r="V2354" s="150" t="e">
        <f t="shared" si="802"/>
        <v>#DIV/0!</v>
      </c>
      <c r="W2354" s="152"/>
      <c r="X2354" s="152"/>
      <c r="Y2354" s="152"/>
      <c r="Z2354" s="153">
        <f t="shared" si="806"/>
        <v>0</v>
      </c>
      <c r="AA2354" s="148">
        <f t="shared" si="784"/>
        <v>0</v>
      </c>
      <c r="AB2354" s="149"/>
      <c r="AC2354" s="149"/>
      <c r="AD2354" s="150" t="e">
        <f t="shared" si="772"/>
        <v>#DIV/0!</v>
      </c>
      <c r="AE2354" s="154" t="e">
        <f t="shared" si="773"/>
        <v>#DIV/0!</v>
      </c>
      <c r="AF2354" s="150" t="e">
        <f t="shared" si="774"/>
        <v>#DIV/0!</v>
      </c>
      <c r="AG2354" s="150" t="e">
        <f t="shared" si="775"/>
        <v>#DIV/0!</v>
      </c>
      <c r="AH2354" s="155" t="e">
        <f t="shared" si="776"/>
        <v>#DIV/0!</v>
      </c>
      <c r="AI2354" s="156" t="e">
        <f t="shared" si="804"/>
        <v>#DIV/0!</v>
      </c>
      <c r="AJ2354" s="149"/>
      <c r="AK2354" s="149"/>
      <c r="AL2354" s="157"/>
      <c r="AM2354" s="157"/>
      <c r="AN2354" s="157"/>
      <c r="AO2354" s="157"/>
      <c r="AP2354" s="157"/>
      <c r="AQ2354" s="157"/>
      <c r="AR2354" s="157"/>
    </row>
    <row r="2355" spans="1:44" ht="16.8">
      <c r="A2355" s="145">
        <v>245</v>
      </c>
      <c r="B2355" s="145">
        <v>1033</v>
      </c>
      <c r="C2355" s="145" t="s">
        <v>4498</v>
      </c>
      <c r="D2355" s="146" t="s">
        <v>4499</v>
      </c>
      <c r="E2355" s="147" t="s">
        <v>178</v>
      </c>
      <c r="F2355" s="148"/>
      <c r="G2355" s="148"/>
      <c r="H2355" s="149"/>
      <c r="I2355" s="149"/>
      <c r="J2355" s="149"/>
      <c r="K2355" s="149"/>
      <c r="L2355" s="149"/>
      <c r="M2355" s="149">
        <f t="shared" si="790"/>
        <v>0</v>
      </c>
      <c r="N2355" s="149"/>
      <c r="O2355" s="149">
        <f t="shared" si="797"/>
        <v>0</v>
      </c>
      <c r="P2355" s="149"/>
      <c r="Q2355" s="149"/>
      <c r="R2355" s="149">
        <f t="shared" si="798"/>
        <v>0</v>
      </c>
      <c r="S2355" s="150" t="e">
        <f t="shared" si="799"/>
        <v>#DIV/0!</v>
      </c>
      <c r="T2355" s="151" t="e">
        <f t="shared" si="800"/>
        <v>#DIV/0!</v>
      </c>
      <c r="U2355" s="150" t="e">
        <f t="shared" si="801"/>
        <v>#NUM!</v>
      </c>
      <c r="V2355" s="150" t="e">
        <f t="shared" si="802"/>
        <v>#DIV/0!</v>
      </c>
      <c r="W2355" s="152"/>
      <c r="X2355" s="152"/>
      <c r="Y2355" s="152"/>
      <c r="Z2355" s="153">
        <f t="shared" si="806"/>
        <v>0</v>
      </c>
      <c r="AA2355" s="148">
        <f t="shared" si="784"/>
        <v>0</v>
      </c>
      <c r="AB2355" s="149"/>
      <c r="AC2355" s="149"/>
      <c r="AD2355" s="150" t="e">
        <f t="shared" si="772"/>
        <v>#DIV/0!</v>
      </c>
      <c r="AE2355" s="154" t="e">
        <f t="shared" si="773"/>
        <v>#DIV/0!</v>
      </c>
      <c r="AF2355" s="150" t="e">
        <f t="shared" si="774"/>
        <v>#DIV/0!</v>
      </c>
      <c r="AG2355" s="150" t="e">
        <f t="shared" si="775"/>
        <v>#DIV/0!</v>
      </c>
      <c r="AH2355" s="155" t="e">
        <f t="shared" si="776"/>
        <v>#DIV/0!</v>
      </c>
      <c r="AI2355" s="156" t="e">
        <f t="shared" si="804"/>
        <v>#DIV/0!</v>
      </c>
      <c r="AJ2355" s="149"/>
      <c r="AK2355" s="149"/>
      <c r="AL2355" s="157"/>
      <c r="AM2355" s="157"/>
      <c r="AN2355" s="157"/>
      <c r="AO2355" s="157"/>
      <c r="AP2355" s="157"/>
      <c r="AQ2355" s="157"/>
      <c r="AR2355" s="157"/>
    </row>
    <row r="2356" spans="1:44" ht="16.8">
      <c r="A2356" s="145">
        <v>246</v>
      </c>
      <c r="B2356" s="145">
        <v>1034</v>
      </c>
      <c r="C2356" s="145" t="s">
        <v>4500</v>
      </c>
      <c r="D2356" s="146" t="s">
        <v>4501</v>
      </c>
      <c r="E2356" s="147" t="s">
        <v>178</v>
      </c>
      <c r="F2356" s="148"/>
      <c r="G2356" s="148"/>
      <c r="H2356" s="149"/>
      <c r="I2356" s="149"/>
      <c r="J2356" s="149"/>
      <c r="K2356" s="149"/>
      <c r="L2356" s="149"/>
      <c r="M2356" s="149">
        <f t="shared" si="790"/>
        <v>0</v>
      </c>
      <c r="N2356" s="149"/>
      <c r="O2356" s="149">
        <f t="shared" si="797"/>
        <v>0</v>
      </c>
      <c r="P2356" s="149"/>
      <c r="Q2356" s="149"/>
      <c r="R2356" s="149">
        <f t="shared" si="798"/>
        <v>0</v>
      </c>
      <c r="S2356" s="150" t="e">
        <f t="shared" si="799"/>
        <v>#DIV/0!</v>
      </c>
      <c r="T2356" s="151" t="e">
        <f t="shared" si="800"/>
        <v>#DIV/0!</v>
      </c>
      <c r="U2356" s="150" t="e">
        <f t="shared" si="801"/>
        <v>#NUM!</v>
      </c>
      <c r="V2356" s="150" t="e">
        <f t="shared" si="802"/>
        <v>#DIV/0!</v>
      </c>
      <c r="W2356" s="152"/>
      <c r="X2356" s="152"/>
      <c r="Y2356" s="152"/>
      <c r="Z2356" s="153">
        <f t="shared" si="806"/>
        <v>0</v>
      </c>
      <c r="AA2356" s="148">
        <f t="shared" si="784"/>
        <v>0</v>
      </c>
      <c r="AB2356" s="149"/>
      <c r="AC2356" s="149"/>
      <c r="AD2356" s="150" t="e">
        <f t="shared" si="772"/>
        <v>#DIV/0!</v>
      </c>
      <c r="AE2356" s="154" t="e">
        <f t="shared" si="773"/>
        <v>#DIV/0!</v>
      </c>
      <c r="AF2356" s="150" t="e">
        <f t="shared" si="774"/>
        <v>#DIV/0!</v>
      </c>
      <c r="AG2356" s="150" t="e">
        <f t="shared" si="775"/>
        <v>#DIV/0!</v>
      </c>
      <c r="AH2356" s="155" t="e">
        <f t="shared" si="776"/>
        <v>#DIV/0!</v>
      </c>
      <c r="AI2356" s="156" t="e">
        <f t="shared" si="804"/>
        <v>#DIV/0!</v>
      </c>
      <c r="AJ2356" s="149"/>
      <c r="AK2356" s="149"/>
      <c r="AL2356" s="157"/>
      <c r="AM2356" s="157"/>
      <c r="AN2356" s="157"/>
      <c r="AO2356" s="157"/>
      <c r="AP2356" s="157"/>
      <c r="AQ2356" s="157"/>
      <c r="AR2356" s="157"/>
    </row>
    <row r="2357" spans="1:44" ht="16.8">
      <c r="A2357" s="145">
        <v>247</v>
      </c>
      <c r="B2357" s="145">
        <v>1035</v>
      </c>
      <c r="C2357" s="145" t="s">
        <v>4502</v>
      </c>
      <c r="D2357" s="146" t="s">
        <v>4503</v>
      </c>
      <c r="E2357" s="147" t="s">
        <v>178</v>
      </c>
      <c r="F2357" s="148"/>
      <c r="G2357" s="148"/>
      <c r="H2357" s="149"/>
      <c r="I2357" s="149"/>
      <c r="J2357" s="149"/>
      <c r="K2357" s="149"/>
      <c r="L2357" s="149"/>
      <c r="M2357" s="149">
        <f t="shared" si="790"/>
        <v>0</v>
      </c>
      <c r="N2357" s="149"/>
      <c r="O2357" s="149">
        <f t="shared" si="797"/>
        <v>0</v>
      </c>
      <c r="P2357" s="149"/>
      <c r="Q2357" s="149"/>
      <c r="R2357" s="149">
        <f t="shared" si="798"/>
        <v>0</v>
      </c>
      <c r="S2357" s="150" t="e">
        <f t="shared" si="799"/>
        <v>#DIV/0!</v>
      </c>
      <c r="T2357" s="151" t="e">
        <f t="shared" si="800"/>
        <v>#DIV/0!</v>
      </c>
      <c r="U2357" s="150" t="e">
        <f t="shared" si="801"/>
        <v>#NUM!</v>
      </c>
      <c r="V2357" s="150" t="e">
        <f t="shared" si="802"/>
        <v>#DIV/0!</v>
      </c>
      <c r="W2357" s="152"/>
      <c r="X2357" s="152"/>
      <c r="Y2357" s="152"/>
      <c r="Z2357" s="153">
        <f t="shared" si="806"/>
        <v>0</v>
      </c>
      <c r="AA2357" s="148">
        <f t="shared" si="784"/>
        <v>0</v>
      </c>
      <c r="AB2357" s="149"/>
      <c r="AC2357" s="149"/>
      <c r="AD2357" s="150" t="e">
        <f t="shared" si="772"/>
        <v>#DIV/0!</v>
      </c>
      <c r="AE2357" s="154" t="e">
        <f t="shared" si="773"/>
        <v>#DIV/0!</v>
      </c>
      <c r="AF2357" s="150" t="e">
        <f t="shared" si="774"/>
        <v>#DIV/0!</v>
      </c>
      <c r="AG2357" s="150" t="e">
        <f t="shared" si="775"/>
        <v>#DIV/0!</v>
      </c>
      <c r="AH2357" s="155" t="e">
        <f t="shared" si="776"/>
        <v>#DIV/0!</v>
      </c>
      <c r="AI2357" s="156" t="e">
        <f t="shared" si="804"/>
        <v>#DIV/0!</v>
      </c>
      <c r="AJ2357" s="149"/>
      <c r="AK2357" s="149"/>
      <c r="AL2357" s="157"/>
      <c r="AM2357" s="157"/>
      <c r="AN2357" s="157"/>
      <c r="AO2357" s="157"/>
      <c r="AP2357" s="157"/>
      <c r="AQ2357" s="157"/>
      <c r="AR2357" s="157"/>
    </row>
    <row r="2358" spans="1:44" ht="16.8">
      <c r="A2358" s="145">
        <v>248</v>
      </c>
      <c r="B2358" s="145">
        <v>1036</v>
      </c>
      <c r="C2358" s="145" t="s">
        <v>4504</v>
      </c>
      <c r="D2358" s="146" t="s">
        <v>4505</v>
      </c>
      <c r="E2358" s="147" t="s">
        <v>178</v>
      </c>
      <c r="F2358" s="148"/>
      <c r="G2358" s="148"/>
      <c r="H2358" s="149"/>
      <c r="I2358" s="149"/>
      <c r="J2358" s="149"/>
      <c r="K2358" s="149"/>
      <c r="L2358" s="149"/>
      <c r="M2358" s="149">
        <f t="shared" si="790"/>
        <v>0</v>
      </c>
      <c r="N2358" s="149"/>
      <c r="O2358" s="149">
        <f t="shared" si="797"/>
        <v>0</v>
      </c>
      <c r="P2358" s="149"/>
      <c r="Q2358" s="149"/>
      <c r="R2358" s="149">
        <f t="shared" si="798"/>
        <v>0</v>
      </c>
      <c r="S2358" s="150" t="e">
        <f t="shared" si="799"/>
        <v>#DIV/0!</v>
      </c>
      <c r="T2358" s="151" t="e">
        <f t="shared" si="800"/>
        <v>#DIV/0!</v>
      </c>
      <c r="U2358" s="150" t="e">
        <f t="shared" si="801"/>
        <v>#NUM!</v>
      </c>
      <c r="V2358" s="150" t="e">
        <f t="shared" si="802"/>
        <v>#DIV/0!</v>
      </c>
      <c r="W2358" s="152"/>
      <c r="X2358" s="152"/>
      <c r="Y2358" s="152"/>
      <c r="Z2358" s="153">
        <f t="shared" si="806"/>
        <v>0</v>
      </c>
      <c r="AA2358" s="148">
        <f t="shared" si="784"/>
        <v>0</v>
      </c>
      <c r="AB2358" s="149"/>
      <c r="AC2358" s="149"/>
      <c r="AD2358" s="150" t="e">
        <f t="shared" si="772"/>
        <v>#DIV/0!</v>
      </c>
      <c r="AE2358" s="154" t="e">
        <f t="shared" si="773"/>
        <v>#DIV/0!</v>
      </c>
      <c r="AF2358" s="150" t="e">
        <f t="shared" si="774"/>
        <v>#DIV/0!</v>
      </c>
      <c r="AG2358" s="150" t="e">
        <f t="shared" si="775"/>
        <v>#DIV/0!</v>
      </c>
      <c r="AH2358" s="155" t="e">
        <f t="shared" si="776"/>
        <v>#DIV/0!</v>
      </c>
      <c r="AI2358" s="156" t="e">
        <f t="shared" si="804"/>
        <v>#DIV/0!</v>
      </c>
      <c r="AJ2358" s="149"/>
      <c r="AK2358" s="149"/>
      <c r="AL2358" s="157"/>
      <c r="AM2358" s="157"/>
      <c r="AN2358" s="157"/>
      <c r="AO2358" s="157"/>
      <c r="AP2358" s="157"/>
      <c r="AQ2358" s="157"/>
      <c r="AR2358" s="157"/>
    </row>
    <row r="2359" spans="1:44" ht="16.8">
      <c r="A2359" s="145">
        <v>249</v>
      </c>
      <c r="B2359" s="145">
        <v>1037</v>
      </c>
      <c r="C2359" s="145" t="s">
        <v>4506</v>
      </c>
      <c r="D2359" s="146" t="s">
        <v>4507</v>
      </c>
      <c r="E2359" s="147" t="s">
        <v>178</v>
      </c>
      <c r="F2359" s="148"/>
      <c r="G2359" s="148"/>
      <c r="H2359" s="149"/>
      <c r="I2359" s="149"/>
      <c r="J2359" s="149"/>
      <c r="K2359" s="149"/>
      <c r="L2359" s="149"/>
      <c r="M2359" s="149">
        <f t="shared" si="790"/>
        <v>0</v>
      </c>
      <c r="N2359" s="149"/>
      <c r="O2359" s="149">
        <f t="shared" si="797"/>
        <v>0</v>
      </c>
      <c r="P2359" s="149"/>
      <c r="Q2359" s="149"/>
      <c r="R2359" s="149">
        <f t="shared" si="798"/>
        <v>0</v>
      </c>
      <c r="S2359" s="150" t="e">
        <f t="shared" si="799"/>
        <v>#DIV/0!</v>
      </c>
      <c r="T2359" s="151" t="e">
        <f t="shared" si="800"/>
        <v>#DIV/0!</v>
      </c>
      <c r="U2359" s="150" t="e">
        <f t="shared" si="801"/>
        <v>#NUM!</v>
      </c>
      <c r="V2359" s="150" t="e">
        <f t="shared" si="802"/>
        <v>#DIV/0!</v>
      </c>
      <c r="W2359" s="152"/>
      <c r="X2359" s="152"/>
      <c r="Y2359" s="152"/>
      <c r="Z2359" s="153">
        <f t="shared" si="806"/>
        <v>0</v>
      </c>
      <c r="AA2359" s="148">
        <f t="shared" si="784"/>
        <v>0</v>
      </c>
      <c r="AB2359" s="149"/>
      <c r="AC2359" s="149"/>
      <c r="AD2359" s="150" t="e">
        <f t="shared" si="772"/>
        <v>#DIV/0!</v>
      </c>
      <c r="AE2359" s="154" t="e">
        <f t="shared" si="773"/>
        <v>#DIV/0!</v>
      </c>
      <c r="AF2359" s="150" t="e">
        <f t="shared" si="774"/>
        <v>#DIV/0!</v>
      </c>
      <c r="AG2359" s="150" t="e">
        <f t="shared" si="775"/>
        <v>#DIV/0!</v>
      </c>
      <c r="AH2359" s="155" t="e">
        <f t="shared" si="776"/>
        <v>#DIV/0!</v>
      </c>
      <c r="AI2359" s="156" t="e">
        <f t="shared" si="804"/>
        <v>#DIV/0!</v>
      </c>
      <c r="AJ2359" s="149"/>
      <c r="AK2359" s="149"/>
      <c r="AL2359" s="157"/>
      <c r="AM2359" s="157"/>
      <c r="AN2359" s="157"/>
      <c r="AO2359" s="157"/>
      <c r="AP2359" s="157"/>
      <c r="AQ2359" s="157"/>
      <c r="AR2359" s="157"/>
    </row>
    <row r="2360" spans="1:44" ht="16.8">
      <c r="A2360" s="145">
        <v>250</v>
      </c>
      <c r="B2360" s="145">
        <v>1038</v>
      </c>
      <c r="C2360" s="145" t="s">
        <v>4508</v>
      </c>
      <c r="D2360" s="146" t="s">
        <v>4509</v>
      </c>
      <c r="E2360" s="147" t="s">
        <v>178</v>
      </c>
      <c r="F2360" s="148"/>
      <c r="G2360" s="148"/>
      <c r="H2360" s="149"/>
      <c r="I2360" s="149"/>
      <c r="J2360" s="149"/>
      <c r="K2360" s="149"/>
      <c r="L2360" s="149"/>
      <c r="M2360" s="149">
        <f t="shared" si="790"/>
        <v>0</v>
      </c>
      <c r="N2360" s="149"/>
      <c r="O2360" s="149">
        <f t="shared" si="797"/>
        <v>0</v>
      </c>
      <c r="P2360" s="149"/>
      <c r="Q2360" s="149"/>
      <c r="R2360" s="149">
        <f t="shared" si="798"/>
        <v>0</v>
      </c>
      <c r="S2360" s="150" t="e">
        <f t="shared" si="799"/>
        <v>#DIV/0!</v>
      </c>
      <c r="T2360" s="151" t="e">
        <f t="shared" si="800"/>
        <v>#DIV/0!</v>
      </c>
      <c r="U2360" s="150" t="e">
        <f t="shared" si="801"/>
        <v>#NUM!</v>
      </c>
      <c r="V2360" s="150" t="e">
        <f t="shared" si="802"/>
        <v>#DIV/0!</v>
      </c>
      <c r="W2360" s="152"/>
      <c r="X2360" s="152"/>
      <c r="Y2360" s="152"/>
      <c r="Z2360" s="153">
        <f t="shared" si="806"/>
        <v>0</v>
      </c>
      <c r="AA2360" s="148">
        <f t="shared" si="784"/>
        <v>0</v>
      </c>
      <c r="AB2360" s="149"/>
      <c r="AC2360" s="149"/>
      <c r="AD2360" s="150" t="e">
        <f t="shared" si="772"/>
        <v>#DIV/0!</v>
      </c>
      <c r="AE2360" s="154" t="e">
        <f t="shared" si="773"/>
        <v>#DIV/0!</v>
      </c>
      <c r="AF2360" s="150" t="e">
        <f t="shared" si="774"/>
        <v>#DIV/0!</v>
      </c>
      <c r="AG2360" s="150" t="e">
        <f t="shared" si="775"/>
        <v>#DIV/0!</v>
      </c>
      <c r="AH2360" s="155" t="e">
        <f t="shared" si="776"/>
        <v>#DIV/0!</v>
      </c>
      <c r="AI2360" s="156" t="e">
        <f t="shared" si="804"/>
        <v>#DIV/0!</v>
      </c>
      <c r="AJ2360" s="149"/>
      <c r="AK2360" s="149"/>
      <c r="AL2360" s="157"/>
      <c r="AM2360" s="157"/>
      <c r="AN2360" s="157"/>
      <c r="AO2360" s="157"/>
      <c r="AP2360" s="157"/>
      <c r="AQ2360" s="157"/>
      <c r="AR2360" s="157"/>
    </row>
    <row r="2361" spans="1:44" ht="16.8">
      <c r="A2361" s="145">
        <v>251</v>
      </c>
      <c r="B2361" s="145">
        <v>1039</v>
      </c>
      <c r="C2361" s="145" t="s">
        <v>4510</v>
      </c>
      <c r="D2361" s="146" t="s">
        <v>4511</v>
      </c>
      <c r="E2361" s="147" t="s">
        <v>178</v>
      </c>
      <c r="F2361" s="148"/>
      <c r="G2361" s="148"/>
      <c r="H2361" s="149"/>
      <c r="I2361" s="149"/>
      <c r="J2361" s="149"/>
      <c r="K2361" s="149"/>
      <c r="L2361" s="149"/>
      <c r="M2361" s="149">
        <f t="shared" si="790"/>
        <v>0</v>
      </c>
      <c r="N2361" s="149"/>
      <c r="O2361" s="149">
        <f t="shared" si="797"/>
        <v>0</v>
      </c>
      <c r="P2361" s="149"/>
      <c r="Q2361" s="149"/>
      <c r="R2361" s="149">
        <f t="shared" si="798"/>
        <v>0</v>
      </c>
      <c r="S2361" s="150" t="e">
        <f t="shared" si="799"/>
        <v>#DIV/0!</v>
      </c>
      <c r="T2361" s="151" t="e">
        <f t="shared" si="800"/>
        <v>#DIV/0!</v>
      </c>
      <c r="U2361" s="150" t="e">
        <f t="shared" si="801"/>
        <v>#NUM!</v>
      </c>
      <c r="V2361" s="150" t="e">
        <f t="shared" si="802"/>
        <v>#DIV/0!</v>
      </c>
      <c r="W2361" s="152"/>
      <c r="X2361" s="152"/>
      <c r="Y2361" s="152"/>
      <c r="Z2361" s="153">
        <f t="shared" si="806"/>
        <v>0</v>
      </c>
      <c r="AA2361" s="148">
        <f t="shared" si="784"/>
        <v>0</v>
      </c>
      <c r="AB2361" s="149"/>
      <c r="AC2361" s="149"/>
      <c r="AD2361" s="150" t="e">
        <f t="shared" si="772"/>
        <v>#DIV/0!</v>
      </c>
      <c r="AE2361" s="154" t="e">
        <f t="shared" si="773"/>
        <v>#DIV/0!</v>
      </c>
      <c r="AF2361" s="150" t="e">
        <f t="shared" si="774"/>
        <v>#DIV/0!</v>
      </c>
      <c r="AG2361" s="150" t="e">
        <f t="shared" si="775"/>
        <v>#DIV/0!</v>
      </c>
      <c r="AH2361" s="155" t="e">
        <f t="shared" si="776"/>
        <v>#DIV/0!</v>
      </c>
      <c r="AI2361" s="156" t="e">
        <f t="shared" si="804"/>
        <v>#DIV/0!</v>
      </c>
      <c r="AJ2361" s="149"/>
      <c r="AK2361" s="149"/>
      <c r="AL2361" s="157"/>
      <c r="AM2361" s="157"/>
      <c r="AN2361" s="157"/>
      <c r="AO2361" s="157"/>
      <c r="AP2361" s="157"/>
      <c r="AQ2361" s="157"/>
      <c r="AR2361" s="157"/>
    </row>
    <row r="2362" spans="1:44" ht="16.8">
      <c r="A2362" s="145">
        <v>252</v>
      </c>
      <c r="B2362" s="145">
        <v>1040</v>
      </c>
      <c r="C2362" s="145" t="s">
        <v>4512</v>
      </c>
      <c r="D2362" s="146" t="s">
        <v>4513</v>
      </c>
      <c r="E2362" s="147" t="s">
        <v>178</v>
      </c>
      <c r="F2362" s="148"/>
      <c r="G2362" s="148"/>
      <c r="H2362" s="149"/>
      <c r="I2362" s="149"/>
      <c r="J2362" s="149"/>
      <c r="K2362" s="149"/>
      <c r="L2362" s="149"/>
      <c r="M2362" s="149">
        <f t="shared" si="790"/>
        <v>0</v>
      </c>
      <c r="N2362" s="149"/>
      <c r="O2362" s="149">
        <f t="shared" si="797"/>
        <v>0</v>
      </c>
      <c r="P2362" s="149"/>
      <c r="Q2362" s="149"/>
      <c r="R2362" s="149">
        <f t="shared" si="798"/>
        <v>0</v>
      </c>
      <c r="S2362" s="150" t="e">
        <f t="shared" si="799"/>
        <v>#DIV/0!</v>
      </c>
      <c r="T2362" s="151" t="e">
        <f t="shared" si="800"/>
        <v>#DIV/0!</v>
      </c>
      <c r="U2362" s="150" t="e">
        <f t="shared" si="801"/>
        <v>#NUM!</v>
      </c>
      <c r="V2362" s="150" t="e">
        <f t="shared" si="802"/>
        <v>#DIV/0!</v>
      </c>
      <c r="W2362" s="152"/>
      <c r="X2362" s="152"/>
      <c r="Y2362" s="152"/>
      <c r="Z2362" s="153">
        <f t="shared" si="806"/>
        <v>0</v>
      </c>
      <c r="AA2362" s="148">
        <f t="shared" si="784"/>
        <v>0</v>
      </c>
      <c r="AB2362" s="149"/>
      <c r="AC2362" s="149"/>
      <c r="AD2362" s="150" t="e">
        <f t="shared" si="772"/>
        <v>#DIV/0!</v>
      </c>
      <c r="AE2362" s="154" t="e">
        <f t="shared" si="773"/>
        <v>#DIV/0!</v>
      </c>
      <c r="AF2362" s="150" t="e">
        <f t="shared" si="774"/>
        <v>#DIV/0!</v>
      </c>
      <c r="AG2362" s="150" t="e">
        <f t="shared" si="775"/>
        <v>#DIV/0!</v>
      </c>
      <c r="AH2362" s="155" t="e">
        <f t="shared" si="776"/>
        <v>#DIV/0!</v>
      </c>
      <c r="AI2362" s="156" t="e">
        <f t="shared" si="804"/>
        <v>#DIV/0!</v>
      </c>
      <c r="AJ2362" s="149"/>
      <c r="AK2362" s="149"/>
      <c r="AL2362" s="157"/>
      <c r="AM2362" s="157"/>
      <c r="AN2362" s="157"/>
      <c r="AO2362" s="157"/>
      <c r="AP2362" s="157"/>
      <c r="AQ2362" s="157"/>
      <c r="AR2362" s="157"/>
    </row>
    <row r="2363" spans="1:44" ht="16.8">
      <c r="A2363" s="145">
        <v>253</v>
      </c>
      <c r="B2363" s="145">
        <v>1041</v>
      </c>
      <c r="C2363" s="145" t="s">
        <v>4514</v>
      </c>
      <c r="D2363" s="146" t="s">
        <v>4515</v>
      </c>
      <c r="E2363" s="147" t="s">
        <v>178</v>
      </c>
      <c r="F2363" s="148"/>
      <c r="G2363" s="148"/>
      <c r="H2363" s="149"/>
      <c r="I2363" s="149"/>
      <c r="J2363" s="149"/>
      <c r="K2363" s="149"/>
      <c r="L2363" s="149"/>
      <c r="M2363" s="149">
        <f t="shared" si="790"/>
        <v>0</v>
      </c>
      <c r="N2363" s="149"/>
      <c r="O2363" s="149">
        <f t="shared" si="797"/>
        <v>0</v>
      </c>
      <c r="P2363" s="149"/>
      <c r="Q2363" s="149"/>
      <c r="R2363" s="149">
        <f t="shared" si="798"/>
        <v>0</v>
      </c>
      <c r="S2363" s="150" t="e">
        <f t="shared" si="799"/>
        <v>#DIV/0!</v>
      </c>
      <c r="T2363" s="151" t="e">
        <f t="shared" si="800"/>
        <v>#DIV/0!</v>
      </c>
      <c r="U2363" s="150" t="e">
        <f t="shared" si="801"/>
        <v>#NUM!</v>
      </c>
      <c r="V2363" s="150" t="e">
        <f t="shared" si="802"/>
        <v>#DIV/0!</v>
      </c>
      <c r="W2363" s="152"/>
      <c r="X2363" s="152"/>
      <c r="Y2363" s="152"/>
      <c r="Z2363" s="153">
        <f t="shared" si="806"/>
        <v>0</v>
      </c>
      <c r="AA2363" s="148">
        <f t="shared" si="784"/>
        <v>0</v>
      </c>
      <c r="AB2363" s="149"/>
      <c r="AC2363" s="149"/>
      <c r="AD2363" s="150" t="e">
        <f t="shared" si="772"/>
        <v>#DIV/0!</v>
      </c>
      <c r="AE2363" s="154" t="e">
        <f t="shared" si="773"/>
        <v>#DIV/0!</v>
      </c>
      <c r="AF2363" s="150" t="e">
        <f t="shared" si="774"/>
        <v>#DIV/0!</v>
      </c>
      <c r="AG2363" s="150" t="e">
        <f t="shared" si="775"/>
        <v>#DIV/0!</v>
      </c>
      <c r="AH2363" s="155" t="e">
        <f t="shared" si="776"/>
        <v>#DIV/0!</v>
      </c>
      <c r="AI2363" s="156" t="e">
        <f t="shared" si="804"/>
        <v>#DIV/0!</v>
      </c>
      <c r="AJ2363" s="149"/>
      <c r="AK2363" s="149"/>
      <c r="AL2363" s="157"/>
      <c r="AM2363" s="157"/>
      <c r="AN2363" s="157"/>
      <c r="AO2363" s="157"/>
      <c r="AP2363" s="157"/>
      <c r="AQ2363" s="157"/>
      <c r="AR2363" s="157"/>
    </row>
    <row r="2364" spans="1:44" ht="16.8">
      <c r="A2364" s="145">
        <v>254</v>
      </c>
      <c r="B2364" s="145">
        <v>1042</v>
      </c>
      <c r="C2364" s="145" t="s">
        <v>4516</v>
      </c>
      <c r="D2364" s="146" t="s">
        <v>4517</v>
      </c>
      <c r="E2364" s="147" t="s">
        <v>178</v>
      </c>
      <c r="F2364" s="148"/>
      <c r="G2364" s="148"/>
      <c r="H2364" s="149"/>
      <c r="I2364" s="149"/>
      <c r="J2364" s="149"/>
      <c r="K2364" s="149"/>
      <c r="L2364" s="149"/>
      <c r="M2364" s="149">
        <f t="shared" si="790"/>
        <v>0</v>
      </c>
      <c r="N2364" s="149"/>
      <c r="O2364" s="149">
        <f t="shared" si="797"/>
        <v>0</v>
      </c>
      <c r="P2364" s="149"/>
      <c r="Q2364" s="149"/>
      <c r="R2364" s="149">
        <f t="shared" si="798"/>
        <v>0</v>
      </c>
      <c r="S2364" s="150" t="e">
        <f t="shared" si="799"/>
        <v>#DIV/0!</v>
      </c>
      <c r="T2364" s="151" t="e">
        <f t="shared" si="800"/>
        <v>#DIV/0!</v>
      </c>
      <c r="U2364" s="150" t="e">
        <f t="shared" si="801"/>
        <v>#NUM!</v>
      </c>
      <c r="V2364" s="150" t="e">
        <f t="shared" si="802"/>
        <v>#DIV/0!</v>
      </c>
      <c r="W2364" s="152"/>
      <c r="X2364" s="152"/>
      <c r="Y2364" s="152"/>
      <c r="Z2364" s="153">
        <f t="shared" si="806"/>
        <v>0</v>
      </c>
      <c r="AA2364" s="148">
        <f t="shared" si="784"/>
        <v>0</v>
      </c>
      <c r="AB2364" s="149"/>
      <c r="AC2364" s="149"/>
      <c r="AD2364" s="150" t="e">
        <f t="shared" si="772"/>
        <v>#DIV/0!</v>
      </c>
      <c r="AE2364" s="154" t="e">
        <f t="shared" si="773"/>
        <v>#DIV/0!</v>
      </c>
      <c r="AF2364" s="150" t="e">
        <f t="shared" si="774"/>
        <v>#DIV/0!</v>
      </c>
      <c r="AG2364" s="150" t="e">
        <f t="shared" si="775"/>
        <v>#DIV/0!</v>
      </c>
      <c r="AH2364" s="155" t="e">
        <f t="shared" si="776"/>
        <v>#DIV/0!</v>
      </c>
      <c r="AI2364" s="156" t="e">
        <f t="shared" si="804"/>
        <v>#DIV/0!</v>
      </c>
      <c r="AJ2364" s="149"/>
      <c r="AK2364" s="149"/>
      <c r="AL2364" s="157"/>
      <c r="AM2364" s="157"/>
      <c r="AN2364" s="157"/>
      <c r="AO2364" s="157"/>
      <c r="AP2364" s="157"/>
      <c r="AQ2364" s="157"/>
      <c r="AR2364" s="157"/>
    </row>
    <row r="2365" spans="1:44" ht="16.8">
      <c r="A2365" s="145">
        <v>255</v>
      </c>
      <c r="B2365" s="145">
        <v>1043</v>
      </c>
      <c r="C2365" s="145" t="s">
        <v>4518</v>
      </c>
      <c r="D2365" s="146" t="s">
        <v>4519</v>
      </c>
      <c r="E2365" s="147" t="s">
        <v>178</v>
      </c>
      <c r="F2365" s="148"/>
      <c r="G2365" s="148"/>
      <c r="H2365" s="149"/>
      <c r="I2365" s="149"/>
      <c r="J2365" s="149"/>
      <c r="K2365" s="149"/>
      <c r="L2365" s="149"/>
      <c r="M2365" s="149">
        <f t="shared" si="790"/>
        <v>0</v>
      </c>
      <c r="N2365" s="149"/>
      <c r="O2365" s="149">
        <f t="shared" si="797"/>
        <v>0</v>
      </c>
      <c r="P2365" s="149"/>
      <c r="Q2365" s="149"/>
      <c r="R2365" s="149">
        <f t="shared" si="798"/>
        <v>0</v>
      </c>
      <c r="S2365" s="150" t="e">
        <f t="shared" si="799"/>
        <v>#DIV/0!</v>
      </c>
      <c r="T2365" s="151" t="e">
        <f t="shared" si="800"/>
        <v>#DIV/0!</v>
      </c>
      <c r="U2365" s="150" t="e">
        <f t="shared" si="801"/>
        <v>#NUM!</v>
      </c>
      <c r="V2365" s="150" t="e">
        <f t="shared" si="802"/>
        <v>#DIV/0!</v>
      </c>
      <c r="W2365" s="152"/>
      <c r="X2365" s="152"/>
      <c r="Y2365" s="152"/>
      <c r="Z2365" s="153">
        <f t="shared" si="806"/>
        <v>0</v>
      </c>
      <c r="AA2365" s="148">
        <f t="shared" si="784"/>
        <v>0</v>
      </c>
      <c r="AB2365" s="149"/>
      <c r="AC2365" s="149"/>
      <c r="AD2365" s="150" t="e">
        <f t="shared" ref="AD2365:AD2619" si="807">O2365/I2365</f>
        <v>#DIV/0!</v>
      </c>
      <c r="AE2365" s="154" t="e">
        <f t="shared" ref="AE2365:AE2619" si="808">P2365/I2365</f>
        <v>#DIV/0!</v>
      </c>
      <c r="AF2365" s="150" t="e">
        <f t="shared" ref="AF2365:AF2619" si="809">R2365/I2365</f>
        <v>#DIV/0!</v>
      </c>
      <c r="AG2365" s="150" t="e">
        <f t="shared" ref="AG2365:AG2619" si="810">Z2365/J2365</f>
        <v>#DIV/0!</v>
      </c>
      <c r="AH2365" s="155" t="e">
        <f t="shared" ref="AH2365:AH2619" si="811">N2365/J2365</f>
        <v>#DIV/0!</v>
      </c>
      <c r="AI2365" s="156" t="e">
        <f t="shared" si="804"/>
        <v>#DIV/0!</v>
      </c>
      <c r="AJ2365" s="149"/>
      <c r="AK2365" s="149"/>
      <c r="AL2365" s="157"/>
      <c r="AM2365" s="157"/>
      <c r="AN2365" s="157"/>
      <c r="AO2365" s="157"/>
      <c r="AP2365" s="157"/>
      <c r="AQ2365" s="157"/>
      <c r="AR2365" s="157"/>
    </row>
    <row r="2366" spans="1:44" ht="16.8">
      <c r="A2366" s="145">
        <v>256</v>
      </c>
      <c r="B2366" s="145">
        <v>1044</v>
      </c>
      <c r="C2366" s="145" t="s">
        <v>4520</v>
      </c>
      <c r="D2366" s="146" t="s">
        <v>4521</v>
      </c>
      <c r="E2366" s="147" t="s">
        <v>178</v>
      </c>
      <c r="F2366" s="148"/>
      <c r="G2366" s="148"/>
      <c r="H2366" s="149"/>
      <c r="I2366" s="149"/>
      <c r="J2366" s="149"/>
      <c r="K2366" s="149"/>
      <c r="L2366" s="149"/>
      <c r="M2366" s="149">
        <f t="shared" si="790"/>
        <v>0</v>
      </c>
      <c r="N2366" s="149"/>
      <c r="O2366" s="149">
        <f t="shared" si="797"/>
        <v>0</v>
      </c>
      <c r="P2366" s="149"/>
      <c r="Q2366" s="149"/>
      <c r="R2366" s="149">
        <f t="shared" si="798"/>
        <v>0</v>
      </c>
      <c r="S2366" s="150" t="e">
        <f t="shared" si="799"/>
        <v>#DIV/0!</v>
      </c>
      <c r="T2366" s="151" t="e">
        <f t="shared" si="800"/>
        <v>#DIV/0!</v>
      </c>
      <c r="U2366" s="150" t="e">
        <f t="shared" si="801"/>
        <v>#NUM!</v>
      </c>
      <c r="V2366" s="150" t="e">
        <f t="shared" si="802"/>
        <v>#DIV/0!</v>
      </c>
      <c r="W2366" s="152"/>
      <c r="X2366" s="152"/>
      <c r="Y2366" s="152"/>
      <c r="Z2366" s="153">
        <f t="shared" si="806"/>
        <v>0</v>
      </c>
      <c r="AA2366" s="148">
        <f t="shared" si="784"/>
        <v>0</v>
      </c>
      <c r="AB2366" s="149"/>
      <c r="AC2366" s="149"/>
      <c r="AD2366" s="150" t="e">
        <f t="shared" si="807"/>
        <v>#DIV/0!</v>
      </c>
      <c r="AE2366" s="154" t="e">
        <f t="shared" si="808"/>
        <v>#DIV/0!</v>
      </c>
      <c r="AF2366" s="150" t="e">
        <f t="shared" si="809"/>
        <v>#DIV/0!</v>
      </c>
      <c r="AG2366" s="150" t="e">
        <f t="shared" si="810"/>
        <v>#DIV/0!</v>
      </c>
      <c r="AH2366" s="155" t="e">
        <f t="shared" si="811"/>
        <v>#DIV/0!</v>
      </c>
      <c r="AI2366" s="156" t="e">
        <f t="shared" si="804"/>
        <v>#DIV/0!</v>
      </c>
      <c r="AJ2366" s="149"/>
      <c r="AK2366" s="149"/>
      <c r="AL2366" s="157"/>
      <c r="AM2366" s="157"/>
      <c r="AN2366" s="157"/>
      <c r="AO2366" s="157"/>
      <c r="AP2366" s="157"/>
      <c r="AQ2366" s="157"/>
      <c r="AR2366" s="157"/>
    </row>
    <row r="2367" spans="1:44" ht="16.8">
      <c r="A2367" s="145">
        <v>257</v>
      </c>
      <c r="B2367" s="145">
        <v>1045</v>
      </c>
      <c r="C2367" s="145" t="s">
        <v>4522</v>
      </c>
      <c r="D2367" s="146" t="s">
        <v>4523</v>
      </c>
      <c r="E2367" s="147" t="s">
        <v>178</v>
      </c>
      <c r="F2367" s="148"/>
      <c r="G2367" s="148"/>
      <c r="H2367" s="149"/>
      <c r="I2367" s="149"/>
      <c r="J2367" s="149"/>
      <c r="K2367" s="149"/>
      <c r="L2367" s="149"/>
      <c r="M2367" s="149">
        <f t="shared" si="790"/>
        <v>0</v>
      </c>
      <c r="N2367" s="149"/>
      <c r="O2367" s="149">
        <f t="shared" si="797"/>
        <v>0</v>
      </c>
      <c r="P2367" s="149"/>
      <c r="Q2367" s="149"/>
      <c r="R2367" s="149">
        <f t="shared" si="798"/>
        <v>0</v>
      </c>
      <c r="S2367" s="150" t="e">
        <f t="shared" si="799"/>
        <v>#DIV/0!</v>
      </c>
      <c r="T2367" s="151" t="e">
        <f t="shared" si="800"/>
        <v>#DIV/0!</v>
      </c>
      <c r="U2367" s="150" t="e">
        <f t="shared" si="801"/>
        <v>#NUM!</v>
      </c>
      <c r="V2367" s="150" t="e">
        <f t="shared" si="802"/>
        <v>#DIV/0!</v>
      </c>
      <c r="W2367" s="152"/>
      <c r="X2367" s="152"/>
      <c r="Y2367" s="152"/>
      <c r="Z2367" s="153">
        <f t="shared" si="806"/>
        <v>0</v>
      </c>
      <c r="AA2367" s="148">
        <f t="shared" si="784"/>
        <v>0</v>
      </c>
      <c r="AB2367" s="149"/>
      <c r="AC2367" s="149"/>
      <c r="AD2367" s="150" t="e">
        <f t="shared" si="807"/>
        <v>#DIV/0!</v>
      </c>
      <c r="AE2367" s="154" t="e">
        <f t="shared" si="808"/>
        <v>#DIV/0!</v>
      </c>
      <c r="AF2367" s="150" t="e">
        <f t="shared" si="809"/>
        <v>#DIV/0!</v>
      </c>
      <c r="AG2367" s="150" t="e">
        <f t="shared" si="810"/>
        <v>#DIV/0!</v>
      </c>
      <c r="AH2367" s="155" t="e">
        <f t="shared" si="811"/>
        <v>#DIV/0!</v>
      </c>
      <c r="AI2367" s="156" t="e">
        <f t="shared" si="804"/>
        <v>#DIV/0!</v>
      </c>
      <c r="AJ2367" s="149"/>
      <c r="AK2367" s="149"/>
      <c r="AL2367" s="157"/>
      <c r="AM2367" s="157"/>
      <c r="AN2367" s="157"/>
      <c r="AO2367" s="157"/>
      <c r="AP2367" s="157"/>
      <c r="AQ2367" s="157"/>
      <c r="AR2367" s="157"/>
    </row>
    <row r="2368" spans="1:44" ht="16.8">
      <c r="A2368" s="145">
        <v>258</v>
      </c>
      <c r="B2368" s="145">
        <v>1046</v>
      </c>
      <c r="C2368" s="145" t="s">
        <v>4524</v>
      </c>
      <c r="D2368" s="146" t="s">
        <v>4525</v>
      </c>
      <c r="E2368" s="147" t="s">
        <v>178</v>
      </c>
      <c r="F2368" s="148"/>
      <c r="G2368" s="148"/>
      <c r="H2368" s="149"/>
      <c r="I2368" s="149"/>
      <c r="J2368" s="149"/>
      <c r="K2368" s="149"/>
      <c r="L2368" s="149"/>
      <c r="M2368" s="149">
        <f t="shared" si="790"/>
        <v>0</v>
      </c>
      <c r="N2368" s="149"/>
      <c r="O2368" s="149">
        <f t="shared" si="797"/>
        <v>0</v>
      </c>
      <c r="P2368" s="149"/>
      <c r="Q2368" s="149"/>
      <c r="R2368" s="149">
        <f t="shared" si="798"/>
        <v>0</v>
      </c>
      <c r="S2368" s="150" t="e">
        <f t="shared" si="799"/>
        <v>#DIV/0!</v>
      </c>
      <c r="T2368" s="151" t="e">
        <f t="shared" si="800"/>
        <v>#DIV/0!</v>
      </c>
      <c r="U2368" s="150" t="e">
        <f t="shared" si="801"/>
        <v>#NUM!</v>
      </c>
      <c r="V2368" s="150" t="e">
        <f t="shared" si="802"/>
        <v>#DIV/0!</v>
      </c>
      <c r="W2368" s="152"/>
      <c r="X2368" s="152"/>
      <c r="Y2368" s="152"/>
      <c r="Z2368" s="153">
        <f t="shared" si="806"/>
        <v>0</v>
      </c>
      <c r="AA2368" s="148">
        <f t="shared" si="784"/>
        <v>0</v>
      </c>
      <c r="AB2368" s="149"/>
      <c r="AC2368" s="149"/>
      <c r="AD2368" s="150" t="e">
        <f t="shared" si="807"/>
        <v>#DIV/0!</v>
      </c>
      <c r="AE2368" s="154" t="e">
        <f t="shared" si="808"/>
        <v>#DIV/0!</v>
      </c>
      <c r="AF2368" s="150" t="e">
        <f t="shared" si="809"/>
        <v>#DIV/0!</v>
      </c>
      <c r="AG2368" s="150" t="e">
        <f t="shared" si="810"/>
        <v>#DIV/0!</v>
      </c>
      <c r="AH2368" s="155" t="e">
        <f t="shared" si="811"/>
        <v>#DIV/0!</v>
      </c>
      <c r="AI2368" s="156" t="e">
        <f t="shared" si="804"/>
        <v>#DIV/0!</v>
      </c>
      <c r="AJ2368" s="149"/>
      <c r="AK2368" s="149"/>
      <c r="AL2368" s="157"/>
      <c r="AM2368" s="157"/>
      <c r="AN2368" s="157"/>
      <c r="AO2368" s="157"/>
      <c r="AP2368" s="157"/>
      <c r="AQ2368" s="157"/>
      <c r="AR2368" s="157"/>
    </row>
    <row r="2369" spans="1:44" ht="16.8">
      <c r="A2369" s="145">
        <v>259</v>
      </c>
      <c r="B2369" s="145">
        <v>1047</v>
      </c>
      <c r="C2369" s="145" t="s">
        <v>4526</v>
      </c>
      <c r="D2369" s="146" t="s">
        <v>4527</v>
      </c>
      <c r="E2369" s="147" t="s">
        <v>178</v>
      </c>
      <c r="F2369" s="148"/>
      <c r="G2369" s="148"/>
      <c r="H2369" s="149"/>
      <c r="I2369" s="149"/>
      <c r="J2369" s="149"/>
      <c r="K2369" s="149"/>
      <c r="L2369" s="149"/>
      <c r="M2369" s="149">
        <f t="shared" si="790"/>
        <v>0</v>
      </c>
      <c r="N2369" s="149"/>
      <c r="O2369" s="149">
        <f t="shared" si="797"/>
        <v>0</v>
      </c>
      <c r="P2369" s="149"/>
      <c r="Q2369" s="149"/>
      <c r="R2369" s="149">
        <f t="shared" si="798"/>
        <v>0</v>
      </c>
      <c r="S2369" s="150" t="e">
        <f t="shared" si="799"/>
        <v>#DIV/0!</v>
      </c>
      <c r="T2369" s="151" t="e">
        <f t="shared" si="800"/>
        <v>#DIV/0!</v>
      </c>
      <c r="U2369" s="150" t="e">
        <f t="shared" si="801"/>
        <v>#NUM!</v>
      </c>
      <c r="V2369" s="150" t="e">
        <f t="shared" si="802"/>
        <v>#DIV/0!</v>
      </c>
      <c r="W2369" s="152"/>
      <c r="X2369" s="152"/>
      <c r="Y2369" s="152"/>
      <c r="Z2369" s="153">
        <f t="shared" si="806"/>
        <v>0</v>
      </c>
      <c r="AA2369" s="148">
        <f t="shared" si="784"/>
        <v>0</v>
      </c>
      <c r="AB2369" s="149"/>
      <c r="AC2369" s="149"/>
      <c r="AD2369" s="150" t="e">
        <f t="shared" si="807"/>
        <v>#DIV/0!</v>
      </c>
      <c r="AE2369" s="154" t="e">
        <f t="shared" si="808"/>
        <v>#DIV/0!</v>
      </c>
      <c r="AF2369" s="150" t="e">
        <f t="shared" si="809"/>
        <v>#DIV/0!</v>
      </c>
      <c r="AG2369" s="150" t="e">
        <f t="shared" si="810"/>
        <v>#DIV/0!</v>
      </c>
      <c r="AH2369" s="155" t="e">
        <f t="shared" si="811"/>
        <v>#DIV/0!</v>
      </c>
      <c r="AI2369" s="156" t="e">
        <f t="shared" si="804"/>
        <v>#DIV/0!</v>
      </c>
      <c r="AJ2369" s="149"/>
      <c r="AK2369" s="149"/>
      <c r="AL2369" s="157"/>
      <c r="AM2369" s="157"/>
      <c r="AN2369" s="157"/>
      <c r="AO2369" s="157"/>
      <c r="AP2369" s="157"/>
      <c r="AQ2369" s="157"/>
      <c r="AR2369" s="157"/>
    </row>
    <row r="2370" spans="1:44" ht="16.8">
      <c r="A2370" s="145">
        <v>260</v>
      </c>
      <c r="B2370" s="145">
        <v>1048</v>
      </c>
      <c r="C2370" s="145" t="s">
        <v>4528</v>
      </c>
      <c r="D2370" s="146" t="s">
        <v>4529</v>
      </c>
      <c r="E2370" s="147" t="s">
        <v>178</v>
      </c>
      <c r="F2370" s="148"/>
      <c r="G2370" s="148"/>
      <c r="H2370" s="149"/>
      <c r="I2370" s="149"/>
      <c r="J2370" s="149"/>
      <c r="K2370" s="149"/>
      <c r="L2370" s="149"/>
      <c r="M2370" s="149">
        <f t="shared" si="790"/>
        <v>0</v>
      </c>
      <c r="N2370" s="149"/>
      <c r="O2370" s="149">
        <f t="shared" si="797"/>
        <v>0</v>
      </c>
      <c r="P2370" s="149"/>
      <c r="Q2370" s="149"/>
      <c r="R2370" s="149">
        <f t="shared" si="798"/>
        <v>0</v>
      </c>
      <c r="S2370" s="150" t="e">
        <f t="shared" si="799"/>
        <v>#DIV/0!</v>
      </c>
      <c r="T2370" s="151" t="e">
        <f t="shared" si="800"/>
        <v>#DIV/0!</v>
      </c>
      <c r="U2370" s="150" t="e">
        <f t="shared" si="801"/>
        <v>#NUM!</v>
      </c>
      <c r="V2370" s="150" t="e">
        <f t="shared" si="802"/>
        <v>#DIV/0!</v>
      </c>
      <c r="W2370" s="152"/>
      <c r="X2370" s="152"/>
      <c r="Y2370" s="152"/>
      <c r="Z2370" s="153">
        <f t="shared" si="806"/>
        <v>0</v>
      </c>
      <c r="AA2370" s="148">
        <f t="shared" si="784"/>
        <v>0</v>
      </c>
      <c r="AB2370" s="149"/>
      <c r="AC2370" s="149"/>
      <c r="AD2370" s="150" t="e">
        <f t="shared" si="807"/>
        <v>#DIV/0!</v>
      </c>
      <c r="AE2370" s="154" t="e">
        <f t="shared" si="808"/>
        <v>#DIV/0!</v>
      </c>
      <c r="AF2370" s="150" t="e">
        <f t="shared" si="809"/>
        <v>#DIV/0!</v>
      </c>
      <c r="AG2370" s="150" t="e">
        <f t="shared" si="810"/>
        <v>#DIV/0!</v>
      </c>
      <c r="AH2370" s="155" t="e">
        <f t="shared" si="811"/>
        <v>#DIV/0!</v>
      </c>
      <c r="AI2370" s="156" t="e">
        <f t="shared" si="804"/>
        <v>#DIV/0!</v>
      </c>
      <c r="AJ2370" s="149"/>
      <c r="AK2370" s="149"/>
      <c r="AL2370" s="157"/>
      <c r="AM2370" s="157"/>
      <c r="AN2370" s="157"/>
      <c r="AO2370" s="157"/>
      <c r="AP2370" s="157"/>
      <c r="AQ2370" s="157"/>
      <c r="AR2370" s="157"/>
    </row>
    <row r="2371" spans="1:44" ht="16.8">
      <c r="A2371" s="145">
        <v>261</v>
      </c>
      <c r="B2371" s="145">
        <v>1049</v>
      </c>
      <c r="C2371" s="145" t="s">
        <v>4530</v>
      </c>
      <c r="D2371" s="146" t="s">
        <v>4531</v>
      </c>
      <c r="E2371" s="147" t="s">
        <v>178</v>
      </c>
      <c r="F2371" s="148"/>
      <c r="G2371" s="148"/>
      <c r="H2371" s="149"/>
      <c r="I2371" s="149"/>
      <c r="J2371" s="149"/>
      <c r="K2371" s="149"/>
      <c r="L2371" s="149"/>
      <c r="M2371" s="149">
        <f t="shared" si="790"/>
        <v>0</v>
      </c>
      <c r="N2371" s="149"/>
      <c r="O2371" s="149">
        <f t="shared" si="797"/>
        <v>0</v>
      </c>
      <c r="P2371" s="149"/>
      <c r="Q2371" s="149"/>
      <c r="R2371" s="149">
        <f t="shared" si="798"/>
        <v>0</v>
      </c>
      <c r="S2371" s="150" t="e">
        <f t="shared" si="799"/>
        <v>#DIV/0!</v>
      </c>
      <c r="T2371" s="151" t="e">
        <f t="shared" si="800"/>
        <v>#DIV/0!</v>
      </c>
      <c r="U2371" s="150" t="e">
        <f t="shared" si="801"/>
        <v>#NUM!</v>
      </c>
      <c r="V2371" s="150" t="e">
        <f t="shared" si="802"/>
        <v>#DIV/0!</v>
      </c>
      <c r="W2371" s="152"/>
      <c r="X2371" s="152"/>
      <c r="Y2371" s="152"/>
      <c r="Z2371" s="153">
        <f t="shared" si="806"/>
        <v>0</v>
      </c>
      <c r="AA2371" s="148">
        <f t="shared" si="784"/>
        <v>0</v>
      </c>
      <c r="AB2371" s="149"/>
      <c r="AC2371" s="149"/>
      <c r="AD2371" s="150" t="e">
        <f t="shared" si="807"/>
        <v>#DIV/0!</v>
      </c>
      <c r="AE2371" s="154" t="e">
        <f t="shared" si="808"/>
        <v>#DIV/0!</v>
      </c>
      <c r="AF2371" s="150" t="e">
        <f t="shared" si="809"/>
        <v>#DIV/0!</v>
      </c>
      <c r="AG2371" s="150" t="e">
        <f t="shared" si="810"/>
        <v>#DIV/0!</v>
      </c>
      <c r="AH2371" s="155" t="e">
        <f t="shared" si="811"/>
        <v>#DIV/0!</v>
      </c>
      <c r="AI2371" s="156" t="e">
        <f t="shared" si="804"/>
        <v>#DIV/0!</v>
      </c>
      <c r="AJ2371" s="149"/>
      <c r="AK2371" s="149"/>
      <c r="AL2371" s="157"/>
      <c r="AM2371" s="157"/>
      <c r="AN2371" s="157"/>
      <c r="AO2371" s="157"/>
      <c r="AP2371" s="157"/>
      <c r="AQ2371" s="157"/>
      <c r="AR2371" s="157"/>
    </row>
    <row r="2372" spans="1:44" ht="16.8">
      <c r="A2372" s="145">
        <v>263</v>
      </c>
      <c r="B2372" s="145">
        <v>1051</v>
      </c>
      <c r="C2372" s="145" t="s">
        <v>4532</v>
      </c>
      <c r="D2372" s="146" t="s">
        <v>4533</v>
      </c>
      <c r="E2372" s="147" t="s">
        <v>178</v>
      </c>
      <c r="F2372" s="148"/>
      <c r="G2372" s="148"/>
      <c r="H2372" s="149"/>
      <c r="I2372" s="149"/>
      <c r="J2372" s="149"/>
      <c r="K2372" s="149"/>
      <c r="L2372" s="149"/>
      <c r="M2372" s="149">
        <f t="shared" si="790"/>
        <v>0</v>
      </c>
      <c r="N2372" s="149"/>
      <c r="O2372" s="149">
        <f t="shared" si="797"/>
        <v>0</v>
      </c>
      <c r="P2372" s="149"/>
      <c r="Q2372" s="149"/>
      <c r="R2372" s="149">
        <f t="shared" si="798"/>
        <v>0</v>
      </c>
      <c r="S2372" s="150" t="e">
        <f t="shared" si="799"/>
        <v>#DIV/0!</v>
      </c>
      <c r="T2372" s="151" t="e">
        <f t="shared" si="800"/>
        <v>#DIV/0!</v>
      </c>
      <c r="U2372" s="150" t="e">
        <f t="shared" si="801"/>
        <v>#NUM!</v>
      </c>
      <c r="V2372" s="150" t="e">
        <f t="shared" si="802"/>
        <v>#DIV/0!</v>
      </c>
      <c r="W2372" s="152"/>
      <c r="X2372" s="152"/>
      <c r="Y2372" s="152"/>
      <c r="Z2372" s="153">
        <f t="shared" si="806"/>
        <v>0</v>
      </c>
      <c r="AA2372" s="148">
        <f t="shared" si="784"/>
        <v>0</v>
      </c>
      <c r="AB2372" s="149"/>
      <c r="AC2372" s="149"/>
      <c r="AD2372" s="150" t="e">
        <f t="shared" si="807"/>
        <v>#DIV/0!</v>
      </c>
      <c r="AE2372" s="154" t="e">
        <f t="shared" si="808"/>
        <v>#DIV/0!</v>
      </c>
      <c r="AF2372" s="150" t="e">
        <f t="shared" si="809"/>
        <v>#DIV/0!</v>
      </c>
      <c r="AG2372" s="150" t="e">
        <f t="shared" si="810"/>
        <v>#DIV/0!</v>
      </c>
      <c r="AH2372" s="155" t="e">
        <f t="shared" si="811"/>
        <v>#DIV/0!</v>
      </c>
      <c r="AI2372" s="156" t="e">
        <f t="shared" si="804"/>
        <v>#DIV/0!</v>
      </c>
      <c r="AJ2372" s="149"/>
      <c r="AK2372" s="149"/>
      <c r="AL2372" s="157"/>
      <c r="AM2372" s="157"/>
      <c r="AN2372" s="157"/>
      <c r="AO2372" s="157"/>
      <c r="AP2372" s="157"/>
      <c r="AQ2372" s="157"/>
      <c r="AR2372" s="157"/>
    </row>
    <row r="2373" spans="1:44" ht="16.8">
      <c r="A2373" s="79">
        <v>264</v>
      </c>
      <c r="B2373" s="1">
        <v>1052</v>
      </c>
      <c r="C2373" s="1" t="s">
        <v>4534</v>
      </c>
      <c r="D2373" s="19" t="s">
        <v>4535</v>
      </c>
      <c r="E2373" s="20" t="s">
        <v>39</v>
      </c>
      <c r="F2373" s="21"/>
      <c r="G2373" s="40"/>
      <c r="H2373" s="23"/>
      <c r="I2373" s="23"/>
      <c r="J2373" s="23"/>
      <c r="K2373" s="23"/>
      <c r="L2373" s="23"/>
      <c r="M2373" s="23">
        <f t="shared" si="790"/>
        <v>0</v>
      </c>
      <c r="N2373" s="23"/>
      <c r="O2373" s="25">
        <f t="shared" si="797"/>
        <v>0</v>
      </c>
      <c r="P2373" s="23"/>
      <c r="Q2373" s="23"/>
      <c r="R2373" s="25">
        <f t="shared" si="798"/>
        <v>0</v>
      </c>
      <c r="S2373" s="26" t="e">
        <f t="shared" si="799"/>
        <v>#DIV/0!</v>
      </c>
      <c r="T2373" s="27" t="e">
        <f t="shared" si="800"/>
        <v>#DIV/0!</v>
      </c>
      <c r="U2373" s="26" t="e">
        <f t="shared" si="801"/>
        <v>#NUM!</v>
      </c>
      <c r="V2373" s="26" t="e">
        <f t="shared" si="802"/>
        <v>#DIV/0!</v>
      </c>
      <c r="W2373" s="143"/>
      <c r="X2373" s="143"/>
      <c r="Y2373" s="143"/>
      <c r="Z2373" s="30">
        <f t="shared" si="806"/>
        <v>0</v>
      </c>
      <c r="AA2373" s="31">
        <f t="shared" si="784"/>
        <v>0</v>
      </c>
      <c r="AB2373" s="144"/>
      <c r="AC2373" s="144"/>
      <c r="AD2373" s="33" t="e">
        <f t="shared" si="807"/>
        <v>#DIV/0!</v>
      </c>
      <c r="AE2373" s="34" t="e">
        <f t="shared" si="808"/>
        <v>#DIV/0!</v>
      </c>
      <c r="AF2373" s="33" t="e">
        <f t="shared" si="809"/>
        <v>#DIV/0!</v>
      </c>
      <c r="AG2373" s="33" t="e">
        <f t="shared" si="810"/>
        <v>#DIV/0!</v>
      </c>
      <c r="AH2373" s="35" t="e">
        <f t="shared" si="811"/>
        <v>#DIV/0!</v>
      </c>
      <c r="AI2373" s="36" t="e">
        <f t="shared" si="804"/>
        <v>#DIV/0!</v>
      </c>
      <c r="AJ2373" s="23"/>
      <c r="AK2373" s="120">
        <v>1260</v>
      </c>
      <c r="AL2373" s="44"/>
      <c r="AM2373" s="44"/>
      <c r="AN2373" s="44"/>
      <c r="AO2373" s="44"/>
      <c r="AP2373" s="44"/>
      <c r="AQ2373" s="44"/>
      <c r="AR2373" s="44"/>
    </row>
    <row r="2374" spans="1:44" ht="16.8">
      <c r="A2374" s="145">
        <v>265</v>
      </c>
      <c r="B2374" s="145">
        <v>1053</v>
      </c>
      <c r="C2374" s="145" t="s">
        <v>4536</v>
      </c>
      <c r="D2374" s="146" t="s">
        <v>4537</v>
      </c>
      <c r="E2374" s="147" t="s">
        <v>178</v>
      </c>
      <c r="F2374" s="148"/>
      <c r="G2374" s="148"/>
      <c r="H2374" s="149"/>
      <c r="I2374" s="149"/>
      <c r="J2374" s="149"/>
      <c r="K2374" s="149"/>
      <c r="L2374" s="149"/>
      <c r="M2374" s="149">
        <f t="shared" si="790"/>
        <v>0</v>
      </c>
      <c r="N2374" s="149"/>
      <c r="O2374" s="149">
        <f t="shared" si="797"/>
        <v>0</v>
      </c>
      <c r="P2374" s="149"/>
      <c r="Q2374" s="149"/>
      <c r="R2374" s="149">
        <f t="shared" si="798"/>
        <v>0</v>
      </c>
      <c r="S2374" s="150" t="e">
        <f t="shared" si="799"/>
        <v>#DIV/0!</v>
      </c>
      <c r="T2374" s="151" t="e">
        <f t="shared" si="800"/>
        <v>#DIV/0!</v>
      </c>
      <c r="U2374" s="150" t="e">
        <f t="shared" si="801"/>
        <v>#NUM!</v>
      </c>
      <c r="V2374" s="150" t="e">
        <f t="shared" si="802"/>
        <v>#DIV/0!</v>
      </c>
      <c r="W2374" s="152"/>
      <c r="X2374" s="152"/>
      <c r="Y2374" s="152"/>
      <c r="Z2374" s="153">
        <f t="shared" si="806"/>
        <v>0</v>
      </c>
      <c r="AA2374" s="148">
        <f t="shared" si="784"/>
        <v>0</v>
      </c>
      <c r="AB2374" s="149"/>
      <c r="AC2374" s="149"/>
      <c r="AD2374" s="150" t="e">
        <f t="shared" si="807"/>
        <v>#DIV/0!</v>
      </c>
      <c r="AE2374" s="154" t="e">
        <f t="shared" si="808"/>
        <v>#DIV/0!</v>
      </c>
      <c r="AF2374" s="150" t="e">
        <f t="shared" si="809"/>
        <v>#DIV/0!</v>
      </c>
      <c r="AG2374" s="150" t="e">
        <f t="shared" si="810"/>
        <v>#DIV/0!</v>
      </c>
      <c r="AH2374" s="155" t="e">
        <f t="shared" si="811"/>
        <v>#DIV/0!</v>
      </c>
      <c r="AI2374" s="156" t="e">
        <f t="shared" si="804"/>
        <v>#DIV/0!</v>
      </c>
      <c r="AJ2374" s="149"/>
      <c r="AK2374" s="149"/>
      <c r="AL2374" s="157"/>
      <c r="AM2374" s="157"/>
      <c r="AN2374" s="157"/>
      <c r="AO2374" s="157"/>
      <c r="AP2374" s="157"/>
      <c r="AQ2374" s="157"/>
      <c r="AR2374" s="157"/>
    </row>
    <row r="2375" spans="1:44" ht="16.8">
      <c r="A2375" s="145">
        <v>266</v>
      </c>
      <c r="B2375" s="145">
        <v>1054</v>
      </c>
      <c r="C2375" s="145" t="s">
        <v>4538</v>
      </c>
      <c r="D2375" s="146" t="s">
        <v>4539</v>
      </c>
      <c r="E2375" s="147" t="s">
        <v>1371</v>
      </c>
      <c r="F2375" s="148"/>
      <c r="G2375" s="148"/>
      <c r="H2375" s="149"/>
      <c r="I2375" s="149"/>
      <c r="J2375" s="149"/>
      <c r="K2375" s="149"/>
      <c r="L2375" s="149"/>
      <c r="M2375" s="149">
        <f t="shared" si="790"/>
        <v>0</v>
      </c>
      <c r="N2375" s="149"/>
      <c r="O2375" s="149">
        <f t="shared" si="797"/>
        <v>0</v>
      </c>
      <c r="P2375" s="149"/>
      <c r="Q2375" s="149"/>
      <c r="R2375" s="149">
        <f t="shared" si="798"/>
        <v>0</v>
      </c>
      <c r="S2375" s="150" t="e">
        <f t="shared" si="799"/>
        <v>#DIV/0!</v>
      </c>
      <c r="T2375" s="151" t="e">
        <f t="shared" si="800"/>
        <v>#DIV/0!</v>
      </c>
      <c r="U2375" s="150" t="e">
        <f t="shared" si="801"/>
        <v>#NUM!</v>
      </c>
      <c r="V2375" s="150" t="e">
        <f t="shared" si="802"/>
        <v>#DIV/0!</v>
      </c>
      <c r="W2375" s="152"/>
      <c r="X2375" s="152"/>
      <c r="Y2375" s="152"/>
      <c r="Z2375" s="153">
        <f t="shared" si="806"/>
        <v>0</v>
      </c>
      <c r="AA2375" s="148">
        <f t="shared" si="784"/>
        <v>0</v>
      </c>
      <c r="AB2375" s="149"/>
      <c r="AC2375" s="149"/>
      <c r="AD2375" s="150" t="e">
        <f t="shared" si="807"/>
        <v>#DIV/0!</v>
      </c>
      <c r="AE2375" s="154" t="e">
        <f t="shared" si="808"/>
        <v>#DIV/0!</v>
      </c>
      <c r="AF2375" s="150" t="e">
        <f t="shared" si="809"/>
        <v>#DIV/0!</v>
      </c>
      <c r="AG2375" s="150" t="e">
        <f t="shared" si="810"/>
        <v>#DIV/0!</v>
      </c>
      <c r="AH2375" s="155" t="e">
        <f t="shared" si="811"/>
        <v>#DIV/0!</v>
      </c>
      <c r="AI2375" s="156" t="e">
        <f t="shared" si="804"/>
        <v>#DIV/0!</v>
      </c>
      <c r="AJ2375" s="149"/>
      <c r="AK2375" s="149"/>
      <c r="AL2375" s="157"/>
      <c r="AM2375" s="157"/>
      <c r="AN2375" s="157"/>
      <c r="AO2375" s="157"/>
      <c r="AP2375" s="157"/>
      <c r="AQ2375" s="157"/>
      <c r="AR2375" s="157"/>
    </row>
    <row r="2376" spans="1:44" ht="16.8">
      <c r="A2376" s="145">
        <v>267</v>
      </c>
      <c r="B2376" s="145">
        <v>1055</v>
      </c>
      <c r="C2376" s="145" t="s">
        <v>4540</v>
      </c>
      <c r="D2376" s="146" t="s">
        <v>4541</v>
      </c>
      <c r="E2376" s="147" t="s">
        <v>1371</v>
      </c>
      <c r="F2376" s="148"/>
      <c r="G2376" s="148"/>
      <c r="H2376" s="149"/>
      <c r="I2376" s="149"/>
      <c r="J2376" s="149"/>
      <c r="K2376" s="149"/>
      <c r="L2376" s="149"/>
      <c r="M2376" s="149">
        <f t="shared" si="790"/>
        <v>0</v>
      </c>
      <c r="N2376" s="149"/>
      <c r="O2376" s="149">
        <f t="shared" si="797"/>
        <v>0</v>
      </c>
      <c r="P2376" s="149"/>
      <c r="Q2376" s="149"/>
      <c r="R2376" s="149">
        <f t="shared" si="798"/>
        <v>0</v>
      </c>
      <c r="S2376" s="150" t="e">
        <f t="shared" si="799"/>
        <v>#DIV/0!</v>
      </c>
      <c r="T2376" s="151" t="e">
        <f t="shared" si="800"/>
        <v>#DIV/0!</v>
      </c>
      <c r="U2376" s="150" t="e">
        <f t="shared" si="801"/>
        <v>#NUM!</v>
      </c>
      <c r="V2376" s="150" t="e">
        <f t="shared" si="802"/>
        <v>#DIV/0!</v>
      </c>
      <c r="W2376" s="152"/>
      <c r="X2376" s="152"/>
      <c r="Y2376" s="152"/>
      <c r="Z2376" s="153">
        <f t="shared" si="806"/>
        <v>0</v>
      </c>
      <c r="AA2376" s="148">
        <f t="shared" si="784"/>
        <v>0</v>
      </c>
      <c r="AB2376" s="149"/>
      <c r="AC2376" s="149"/>
      <c r="AD2376" s="150" t="e">
        <f t="shared" si="807"/>
        <v>#DIV/0!</v>
      </c>
      <c r="AE2376" s="154" t="e">
        <f t="shared" si="808"/>
        <v>#DIV/0!</v>
      </c>
      <c r="AF2376" s="150" t="e">
        <f t="shared" si="809"/>
        <v>#DIV/0!</v>
      </c>
      <c r="AG2376" s="150" t="e">
        <f t="shared" si="810"/>
        <v>#DIV/0!</v>
      </c>
      <c r="AH2376" s="155" t="e">
        <f t="shared" si="811"/>
        <v>#DIV/0!</v>
      </c>
      <c r="AI2376" s="156" t="e">
        <f t="shared" si="804"/>
        <v>#DIV/0!</v>
      </c>
      <c r="AJ2376" s="149"/>
      <c r="AK2376" s="149"/>
      <c r="AL2376" s="157"/>
      <c r="AM2376" s="157"/>
      <c r="AN2376" s="157"/>
      <c r="AO2376" s="157"/>
      <c r="AP2376" s="157"/>
      <c r="AQ2376" s="157"/>
      <c r="AR2376" s="157"/>
    </row>
    <row r="2377" spans="1:44" ht="16.8">
      <c r="A2377" s="145">
        <v>268</v>
      </c>
      <c r="B2377" s="145">
        <v>1056</v>
      </c>
      <c r="C2377" s="145" t="s">
        <v>4542</v>
      </c>
      <c r="D2377" s="146" t="s">
        <v>4543</v>
      </c>
      <c r="E2377" s="147" t="s">
        <v>178</v>
      </c>
      <c r="F2377" s="148"/>
      <c r="G2377" s="148"/>
      <c r="H2377" s="149"/>
      <c r="I2377" s="149"/>
      <c r="J2377" s="149"/>
      <c r="K2377" s="149"/>
      <c r="L2377" s="149"/>
      <c r="M2377" s="149">
        <f t="shared" si="790"/>
        <v>0</v>
      </c>
      <c r="N2377" s="149"/>
      <c r="O2377" s="149">
        <f t="shared" si="797"/>
        <v>0</v>
      </c>
      <c r="P2377" s="149"/>
      <c r="Q2377" s="149"/>
      <c r="R2377" s="149">
        <f t="shared" si="798"/>
        <v>0</v>
      </c>
      <c r="S2377" s="150" t="e">
        <f t="shared" si="799"/>
        <v>#DIV/0!</v>
      </c>
      <c r="T2377" s="151" t="e">
        <f t="shared" si="800"/>
        <v>#DIV/0!</v>
      </c>
      <c r="U2377" s="150" t="e">
        <f t="shared" si="801"/>
        <v>#NUM!</v>
      </c>
      <c r="V2377" s="150" t="e">
        <f t="shared" si="802"/>
        <v>#DIV/0!</v>
      </c>
      <c r="W2377" s="152"/>
      <c r="X2377" s="152"/>
      <c r="Y2377" s="152"/>
      <c r="Z2377" s="153">
        <f t="shared" si="806"/>
        <v>0</v>
      </c>
      <c r="AA2377" s="148">
        <f t="shared" si="784"/>
        <v>0</v>
      </c>
      <c r="AB2377" s="149"/>
      <c r="AC2377" s="149"/>
      <c r="AD2377" s="150" t="e">
        <f t="shared" si="807"/>
        <v>#DIV/0!</v>
      </c>
      <c r="AE2377" s="154" t="e">
        <f t="shared" si="808"/>
        <v>#DIV/0!</v>
      </c>
      <c r="AF2377" s="150" t="e">
        <f t="shared" si="809"/>
        <v>#DIV/0!</v>
      </c>
      <c r="AG2377" s="150" t="e">
        <f t="shared" si="810"/>
        <v>#DIV/0!</v>
      </c>
      <c r="AH2377" s="155" t="e">
        <f t="shared" si="811"/>
        <v>#DIV/0!</v>
      </c>
      <c r="AI2377" s="156" t="e">
        <f t="shared" si="804"/>
        <v>#DIV/0!</v>
      </c>
      <c r="AJ2377" s="149"/>
      <c r="AK2377" s="149"/>
      <c r="AL2377" s="157"/>
      <c r="AM2377" s="157"/>
      <c r="AN2377" s="157"/>
      <c r="AO2377" s="157"/>
      <c r="AP2377" s="157"/>
      <c r="AQ2377" s="157"/>
      <c r="AR2377" s="157"/>
    </row>
    <row r="2378" spans="1:44" ht="16.8">
      <c r="A2378" s="18">
        <v>269</v>
      </c>
      <c r="B2378" s="1">
        <v>1057</v>
      </c>
      <c r="C2378" s="1" t="s">
        <v>4544</v>
      </c>
      <c r="D2378" s="19" t="s">
        <v>4545</v>
      </c>
      <c r="E2378" s="20" t="s">
        <v>39</v>
      </c>
      <c r="F2378" s="21"/>
      <c r="G2378" s="40"/>
      <c r="H2378" s="23"/>
      <c r="I2378" s="23"/>
      <c r="J2378" s="23"/>
      <c r="K2378" s="23"/>
      <c r="L2378" s="23"/>
      <c r="M2378" s="23">
        <f t="shared" si="790"/>
        <v>0</v>
      </c>
      <c r="N2378" s="23"/>
      <c r="O2378" s="25">
        <f t="shared" si="797"/>
        <v>0</v>
      </c>
      <c r="P2378" s="23"/>
      <c r="Q2378" s="23"/>
      <c r="R2378" s="25">
        <f t="shared" si="798"/>
        <v>0</v>
      </c>
      <c r="S2378" s="26" t="e">
        <f t="shared" si="799"/>
        <v>#DIV/0!</v>
      </c>
      <c r="T2378" s="27" t="e">
        <f t="shared" si="800"/>
        <v>#DIV/0!</v>
      </c>
      <c r="U2378" s="26" t="e">
        <f t="shared" si="801"/>
        <v>#NUM!</v>
      </c>
      <c r="V2378" s="26" t="e">
        <f t="shared" si="802"/>
        <v>#DIV/0!</v>
      </c>
      <c r="W2378" s="143"/>
      <c r="X2378" s="143"/>
      <c r="Y2378" s="143"/>
      <c r="Z2378" s="30">
        <f t="shared" si="806"/>
        <v>0</v>
      </c>
      <c r="AA2378" s="31">
        <f t="shared" si="784"/>
        <v>0</v>
      </c>
      <c r="AB2378" s="144"/>
      <c r="AC2378" s="144"/>
      <c r="AD2378" s="33" t="e">
        <f t="shared" si="807"/>
        <v>#DIV/0!</v>
      </c>
      <c r="AE2378" s="34" t="e">
        <f t="shared" si="808"/>
        <v>#DIV/0!</v>
      </c>
      <c r="AF2378" s="33" t="e">
        <f t="shared" si="809"/>
        <v>#DIV/0!</v>
      </c>
      <c r="AG2378" s="33" t="e">
        <f t="shared" si="810"/>
        <v>#DIV/0!</v>
      </c>
      <c r="AH2378" s="35" t="e">
        <f t="shared" si="811"/>
        <v>#DIV/0!</v>
      </c>
      <c r="AI2378" s="36" t="e">
        <f t="shared" si="804"/>
        <v>#DIV/0!</v>
      </c>
      <c r="AJ2378" s="23"/>
      <c r="AK2378" s="120">
        <v>1261</v>
      </c>
      <c r="AL2378" s="44"/>
      <c r="AM2378" s="44"/>
      <c r="AN2378" s="44"/>
      <c r="AO2378" s="44"/>
      <c r="AP2378" s="44"/>
      <c r="AQ2378" s="44"/>
      <c r="AR2378" s="44"/>
    </row>
    <row r="2379" spans="1:44" ht="16.8">
      <c r="A2379" s="145">
        <v>270</v>
      </c>
      <c r="B2379" s="145">
        <v>1058</v>
      </c>
      <c r="C2379" s="145" t="s">
        <v>4546</v>
      </c>
      <c r="D2379" s="146" t="s">
        <v>4547</v>
      </c>
      <c r="E2379" s="147" t="s">
        <v>178</v>
      </c>
      <c r="F2379" s="148"/>
      <c r="G2379" s="148"/>
      <c r="H2379" s="149"/>
      <c r="I2379" s="149"/>
      <c r="J2379" s="149"/>
      <c r="K2379" s="149"/>
      <c r="L2379" s="149"/>
      <c r="M2379" s="149">
        <f t="shared" si="790"/>
        <v>0</v>
      </c>
      <c r="N2379" s="149"/>
      <c r="O2379" s="149">
        <f t="shared" si="797"/>
        <v>0</v>
      </c>
      <c r="P2379" s="149"/>
      <c r="Q2379" s="149"/>
      <c r="R2379" s="149">
        <f t="shared" si="798"/>
        <v>0</v>
      </c>
      <c r="S2379" s="150" t="e">
        <f t="shared" si="799"/>
        <v>#DIV/0!</v>
      </c>
      <c r="T2379" s="151" t="e">
        <f t="shared" si="800"/>
        <v>#DIV/0!</v>
      </c>
      <c r="U2379" s="150" t="e">
        <f t="shared" si="801"/>
        <v>#NUM!</v>
      </c>
      <c r="V2379" s="150" t="e">
        <f t="shared" si="802"/>
        <v>#DIV/0!</v>
      </c>
      <c r="W2379" s="152"/>
      <c r="X2379" s="152"/>
      <c r="Y2379" s="152"/>
      <c r="Z2379" s="153">
        <f t="shared" si="806"/>
        <v>0</v>
      </c>
      <c r="AA2379" s="148">
        <f t="shared" si="784"/>
        <v>0</v>
      </c>
      <c r="AB2379" s="149"/>
      <c r="AC2379" s="149"/>
      <c r="AD2379" s="150" t="e">
        <f t="shared" si="807"/>
        <v>#DIV/0!</v>
      </c>
      <c r="AE2379" s="154" t="e">
        <f t="shared" si="808"/>
        <v>#DIV/0!</v>
      </c>
      <c r="AF2379" s="150" t="e">
        <f t="shared" si="809"/>
        <v>#DIV/0!</v>
      </c>
      <c r="AG2379" s="150" t="e">
        <f t="shared" si="810"/>
        <v>#DIV/0!</v>
      </c>
      <c r="AH2379" s="155" t="e">
        <f t="shared" si="811"/>
        <v>#DIV/0!</v>
      </c>
      <c r="AI2379" s="156" t="e">
        <f t="shared" si="804"/>
        <v>#DIV/0!</v>
      </c>
      <c r="AJ2379" s="149"/>
      <c r="AK2379" s="149"/>
      <c r="AL2379" s="157"/>
      <c r="AM2379" s="157"/>
      <c r="AN2379" s="157"/>
      <c r="AO2379" s="157"/>
      <c r="AP2379" s="157"/>
      <c r="AQ2379" s="157"/>
      <c r="AR2379" s="157"/>
    </row>
    <row r="2380" spans="1:44" ht="16.8">
      <c r="A2380" s="145">
        <v>271</v>
      </c>
      <c r="B2380" s="145">
        <v>1059</v>
      </c>
      <c r="C2380" s="145" t="s">
        <v>4548</v>
      </c>
      <c r="D2380" s="146" t="s">
        <v>4549</v>
      </c>
      <c r="E2380" s="147" t="s">
        <v>178</v>
      </c>
      <c r="F2380" s="148"/>
      <c r="G2380" s="148"/>
      <c r="H2380" s="149"/>
      <c r="I2380" s="149"/>
      <c r="J2380" s="149"/>
      <c r="K2380" s="149"/>
      <c r="L2380" s="149"/>
      <c r="M2380" s="149">
        <f t="shared" si="790"/>
        <v>0</v>
      </c>
      <c r="N2380" s="149"/>
      <c r="O2380" s="149">
        <f t="shared" si="797"/>
        <v>0</v>
      </c>
      <c r="P2380" s="149"/>
      <c r="Q2380" s="149"/>
      <c r="R2380" s="149">
        <f t="shared" si="798"/>
        <v>0</v>
      </c>
      <c r="S2380" s="150" t="e">
        <f t="shared" si="799"/>
        <v>#DIV/0!</v>
      </c>
      <c r="T2380" s="151" t="e">
        <f t="shared" si="800"/>
        <v>#DIV/0!</v>
      </c>
      <c r="U2380" s="150" t="e">
        <f t="shared" si="801"/>
        <v>#NUM!</v>
      </c>
      <c r="V2380" s="150" t="e">
        <f t="shared" si="802"/>
        <v>#DIV/0!</v>
      </c>
      <c r="W2380" s="152"/>
      <c r="X2380" s="152"/>
      <c r="Y2380" s="152"/>
      <c r="Z2380" s="153">
        <f t="shared" si="806"/>
        <v>0</v>
      </c>
      <c r="AA2380" s="148">
        <f t="shared" si="784"/>
        <v>0</v>
      </c>
      <c r="AB2380" s="149"/>
      <c r="AC2380" s="149"/>
      <c r="AD2380" s="150" t="e">
        <f t="shared" si="807"/>
        <v>#DIV/0!</v>
      </c>
      <c r="AE2380" s="154" t="e">
        <f t="shared" si="808"/>
        <v>#DIV/0!</v>
      </c>
      <c r="AF2380" s="150" t="e">
        <f t="shared" si="809"/>
        <v>#DIV/0!</v>
      </c>
      <c r="AG2380" s="150" t="e">
        <f t="shared" si="810"/>
        <v>#DIV/0!</v>
      </c>
      <c r="AH2380" s="155" t="e">
        <f t="shared" si="811"/>
        <v>#DIV/0!</v>
      </c>
      <c r="AI2380" s="156" t="e">
        <f t="shared" si="804"/>
        <v>#DIV/0!</v>
      </c>
      <c r="AJ2380" s="149"/>
      <c r="AK2380" s="149"/>
      <c r="AL2380" s="157"/>
      <c r="AM2380" s="157"/>
      <c r="AN2380" s="157"/>
      <c r="AO2380" s="157"/>
      <c r="AP2380" s="157"/>
      <c r="AQ2380" s="157"/>
      <c r="AR2380" s="157"/>
    </row>
    <row r="2381" spans="1:44" ht="16.8">
      <c r="A2381" s="145">
        <v>272</v>
      </c>
      <c r="B2381" s="145">
        <v>1060</v>
      </c>
      <c r="C2381" s="145" t="s">
        <v>4550</v>
      </c>
      <c r="D2381" s="146" t="s">
        <v>4551</v>
      </c>
      <c r="E2381" s="147" t="s">
        <v>178</v>
      </c>
      <c r="F2381" s="148"/>
      <c r="G2381" s="148"/>
      <c r="H2381" s="149"/>
      <c r="I2381" s="149"/>
      <c r="J2381" s="149"/>
      <c r="K2381" s="149"/>
      <c r="L2381" s="149"/>
      <c r="M2381" s="149">
        <f t="shared" si="790"/>
        <v>0</v>
      </c>
      <c r="N2381" s="149"/>
      <c r="O2381" s="149">
        <f t="shared" si="797"/>
        <v>0</v>
      </c>
      <c r="P2381" s="149"/>
      <c r="Q2381" s="149"/>
      <c r="R2381" s="149">
        <f t="shared" si="798"/>
        <v>0</v>
      </c>
      <c r="S2381" s="150" t="e">
        <f t="shared" si="799"/>
        <v>#DIV/0!</v>
      </c>
      <c r="T2381" s="151" t="e">
        <f t="shared" si="800"/>
        <v>#DIV/0!</v>
      </c>
      <c r="U2381" s="150" t="e">
        <f t="shared" si="801"/>
        <v>#NUM!</v>
      </c>
      <c r="V2381" s="150" t="e">
        <f t="shared" si="802"/>
        <v>#DIV/0!</v>
      </c>
      <c r="W2381" s="152"/>
      <c r="X2381" s="152"/>
      <c r="Y2381" s="152"/>
      <c r="Z2381" s="153">
        <f t="shared" si="806"/>
        <v>0</v>
      </c>
      <c r="AA2381" s="148">
        <f t="shared" si="784"/>
        <v>0</v>
      </c>
      <c r="AB2381" s="149"/>
      <c r="AC2381" s="149"/>
      <c r="AD2381" s="150" t="e">
        <f t="shared" si="807"/>
        <v>#DIV/0!</v>
      </c>
      <c r="AE2381" s="154" t="e">
        <f t="shared" si="808"/>
        <v>#DIV/0!</v>
      </c>
      <c r="AF2381" s="150" t="e">
        <f t="shared" si="809"/>
        <v>#DIV/0!</v>
      </c>
      <c r="AG2381" s="150" t="e">
        <f t="shared" si="810"/>
        <v>#DIV/0!</v>
      </c>
      <c r="AH2381" s="155" t="e">
        <f t="shared" si="811"/>
        <v>#DIV/0!</v>
      </c>
      <c r="AI2381" s="156" t="e">
        <f t="shared" si="804"/>
        <v>#DIV/0!</v>
      </c>
      <c r="AJ2381" s="149"/>
      <c r="AK2381" s="149"/>
      <c r="AL2381" s="157"/>
      <c r="AM2381" s="157"/>
      <c r="AN2381" s="157"/>
      <c r="AO2381" s="157"/>
      <c r="AP2381" s="157"/>
      <c r="AQ2381" s="157"/>
      <c r="AR2381" s="157"/>
    </row>
    <row r="2382" spans="1:44" ht="16.8">
      <c r="A2382" s="145">
        <v>273</v>
      </c>
      <c r="B2382" s="145">
        <v>1061</v>
      </c>
      <c r="C2382" s="145" t="s">
        <v>4552</v>
      </c>
      <c r="D2382" s="146" t="s">
        <v>4553</v>
      </c>
      <c r="E2382" s="147" t="s">
        <v>178</v>
      </c>
      <c r="F2382" s="148"/>
      <c r="G2382" s="148"/>
      <c r="H2382" s="149"/>
      <c r="I2382" s="149"/>
      <c r="J2382" s="149"/>
      <c r="K2382" s="149"/>
      <c r="L2382" s="149"/>
      <c r="M2382" s="149">
        <f t="shared" si="790"/>
        <v>0</v>
      </c>
      <c r="N2382" s="149"/>
      <c r="O2382" s="149">
        <f t="shared" si="797"/>
        <v>0</v>
      </c>
      <c r="P2382" s="149"/>
      <c r="Q2382" s="149"/>
      <c r="R2382" s="149">
        <f t="shared" si="798"/>
        <v>0</v>
      </c>
      <c r="S2382" s="150" t="e">
        <f t="shared" si="799"/>
        <v>#DIV/0!</v>
      </c>
      <c r="T2382" s="151" t="e">
        <f t="shared" si="800"/>
        <v>#DIV/0!</v>
      </c>
      <c r="U2382" s="150" t="e">
        <f t="shared" si="801"/>
        <v>#NUM!</v>
      </c>
      <c r="V2382" s="150" t="e">
        <f t="shared" si="802"/>
        <v>#DIV/0!</v>
      </c>
      <c r="W2382" s="152"/>
      <c r="X2382" s="152"/>
      <c r="Y2382" s="152"/>
      <c r="Z2382" s="153">
        <f t="shared" si="806"/>
        <v>0</v>
      </c>
      <c r="AA2382" s="148">
        <f t="shared" si="784"/>
        <v>0</v>
      </c>
      <c r="AB2382" s="149"/>
      <c r="AC2382" s="149"/>
      <c r="AD2382" s="150" t="e">
        <f t="shared" si="807"/>
        <v>#DIV/0!</v>
      </c>
      <c r="AE2382" s="154" t="e">
        <f t="shared" si="808"/>
        <v>#DIV/0!</v>
      </c>
      <c r="AF2382" s="150" t="e">
        <f t="shared" si="809"/>
        <v>#DIV/0!</v>
      </c>
      <c r="AG2382" s="150" t="e">
        <f t="shared" si="810"/>
        <v>#DIV/0!</v>
      </c>
      <c r="AH2382" s="155" t="e">
        <f t="shared" si="811"/>
        <v>#DIV/0!</v>
      </c>
      <c r="AI2382" s="156" t="e">
        <f t="shared" si="804"/>
        <v>#DIV/0!</v>
      </c>
      <c r="AJ2382" s="149"/>
      <c r="AK2382" s="149"/>
      <c r="AL2382" s="157"/>
      <c r="AM2382" s="157"/>
      <c r="AN2382" s="157"/>
      <c r="AO2382" s="157"/>
      <c r="AP2382" s="157"/>
      <c r="AQ2382" s="157"/>
      <c r="AR2382" s="157"/>
    </row>
    <row r="2383" spans="1:44" ht="16.8">
      <c r="A2383" s="145">
        <v>274</v>
      </c>
      <c r="B2383" s="145">
        <v>1062</v>
      </c>
      <c r="C2383" s="145" t="s">
        <v>4554</v>
      </c>
      <c r="D2383" s="146" t="s">
        <v>4555</v>
      </c>
      <c r="E2383" s="147" t="s">
        <v>1371</v>
      </c>
      <c r="F2383" s="148"/>
      <c r="G2383" s="148"/>
      <c r="H2383" s="149"/>
      <c r="I2383" s="149"/>
      <c r="J2383" s="149"/>
      <c r="K2383" s="149"/>
      <c r="L2383" s="149"/>
      <c r="M2383" s="149">
        <f t="shared" si="790"/>
        <v>0</v>
      </c>
      <c r="N2383" s="149"/>
      <c r="O2383" s="149">
        <f t="shared" si="797"/>
        <v>0</v>
      </c>
      <c r="P2383" s="149"/>
      <c r="Q2383" s="149"/>
      <c r="R2383" s="149">
        <f t="shared" si="798"/>
        <v>0</v>
      </c>
      <c r="S2383" s="150" t="e">
        <f t="shared" si="799"/>
        <v>#DIV/0!</v>
      </c>
      <c r="T2383" s="151" t="e">
        <f t="shared" si="800"/>
        <v>#DIV/0!</v>
      </c>
      <c r="U2383" s="150" t="e">
        <f t="shared" si="801"/>
        <v>#NUM!</v>
      </c>
      <c r="V2383" s="150" t="e">
        <f t="shared" si="802"/>
        <v>#DIV/0!</v>
      </c>
      <c r="W2383" s="152"/>
      <c r="X2383" s="152"/>
      <c r="Y2383" s="152"/>
      <c r="Z2383" s="153">
        <f t="shared" si="806"/>
        <v>0</v>
      </c>
      <c r="AA2383" s="148">
        <f t="shared" si="784"/>
        <v>0</v>
      </c>
      <c r="AB2383" s="149"/>
      <c r="AC2383" s="149"/>
      <c r="AD2383" s="150" t="e">
        <f t="shared" si="807"/>
        <v>#DIV/0!</v>
      </c>
      <c r="AE2383" s="154" t="e">
        <f t="shared" si="808"/>
        <v>#DIV/0!</v>
      </c>
      <c r="AF2383" s="150" t="e">
        <f t="shared" si="809"/>
        <v>#DIV/0!</v>
      </c>
      <c r="AG2383" s="150" t="e">
        <f t="shared" si="810"/>
        <v>#DIV/0!</v>
      </c>
      <c r="AH2383" s="155" t="e">
        <f t="shared" si="811"/>
        <v>#DIV/0!</v>
      </c>
      <c r="AI2383" s="156" t="e">
        <f t="shared" si="804"/>
        <v>#DIV/0!</v>
      </c>
      <c r="AJ2383" s="149"/>
      <c r="AK2383" s="149"/>
      <c r="AL2383" s="157"/>
      <c r="AM2383" s="157"/>
      <c r="AN2383" s="157"/>
      <c r="AO2383" s="157"/>
      <c r="AP2383" s="157"/>
      <c r="AQ2383" s="157"/>
      <c r="AR2383" s="157"/>
    </row>
    <row r="2384" spans="1:44" ht="16.8">
      <c r="A2384" s="145">
        <v>275</v>
      </c>
      <c r="B2384" s="145">
        <v>1063</v>
      </c>
      <c r="C2384" s="145" t="s">
        <v>4556</v>
      </c>
      <c r="D2384" s="146" t="s">
        <v>4557</v>
      </c>
      <c r="E2384" s="147" t="s">
        <v>178</v>
      </c>
      <c r="F2384" s="148"/>
      <c r="G2384" s="148"/>
      <c r="H2384" s="149"/>
      <c r="I2384" s="149"/>
      <c r="J2384" s="149"/>
      <c r="K2384" s="149"/>
      <c r="L2384" s="149"/>
      <c r="M2384" s="149">
        <f t="shared" si="790"/>
        <v>0</v>
      </c>
      <c r="N2384" s="149"/>
      <c r="O2384" s="149">
        <f t="shared" si="797"/>
        <v>0</v>
      </c>
      <c r="P2384" s="149"/>
      <c r="Q2384" s="149"/>
      <c r="R2384" s="149">
        <f t="shared" si="798"/>
        <v>0</v>
      </c>
      <c r="S2384" s="150" t="e">
        <f t="shared" si="799"/>
        <v>#DIV/0!</v>
      </c>
      <c r="T2384" s="151" t="e">
        <f t="shared" si="800"/>
        <v>#DIV/0!</v>
      </c>
      <c r="U2384" s="150" t="e">
        <f t="shared" si="801"/>
        <v>#NUM!</v>
      </c>
      <c r="V2384" s="150" t="e">
        <f t="shared" si="802"/>
        <v>#DIV/0!</v>
      </c>
      <c r="W2384" s="152"/>
      <c r="X2384" s="152"/>
      <c r="Y2384" s="152"/>
      <c r="Z2384" s="153">
        <f t="shared" si="806"/>
        <v>0</v>
      </c>
      <c r="AA2384" s="148">
        <f t="shared" si="784"/>
        <v>0</v>
      </c>
      <c r="AB2384" s="149"/>
      <c r="AC2384" s="149"/>
      <c r="AD2384" s="150" t="e">
        <f t="shared" si="807"/>
        <v>#DIV/0!</v>
      </c>
      <c r="AE2384" s="154" t="e">
        <f t="shared" si="808"/>
        <v>#DIV/0!</v>
      </c>
      <c r="AF2384" s="150" t="e">
        <f t="shared" si="809"/>
        <v>#DIV/0!</v>
      </c>
      <c r="AG2384" s="150" t="e">
        <f t="shared" si="810"/>
        <v>#DIV/0!</v>
      </c>
      <c r="AH2384" s="155" t="e">
        <f t="shared" si="811"/>
        <v>#DIV/0!</v>
      </c>
      <c r="AI2384" s="156" t="e">
        <f t="shared" si="804"/>
        <v>#DIV/0!</v>
      </c>
      <c r="AJ2384" s="149"/>
      <c r="AK2384" s="149"/>
      <c r="AL2384" s="157"/>
      <c r="AM2384" s="157"/>
      <c r="AN2384" s="157"/>
      <c r="AO2384" s="157"/>
      <c r="AP2384" s="157"/>
      <c r="AQ2384" s="157"/>
      <c r="AR2384" s="157"/>
    </row>
    <row r="2385" spans="1:44" ht="16.8">
      <c r="A2385" s="145">
        <v>276</v>
      </c>
      <c r="B2385" s="145">
        <v>1064</v>
      </c>
      <c r="C2385" s="145" t="s">
        <v>4558</v>
      </c>
      <c r="D2385" s="146" t="s">
        <v>4559</v>
      </c>
      <c r="E2385" s="147" t="s">
        <v>1371</v>
      </c>
      <c r="F2385" s="148"/>
      <c r="G2385" s="148"/>
      <c r="H2385" s="149"/>
      <c r="I2385" s="149"/>
      <c r="J2385" s="149"/>
      <c r="K2385" s="149"/>
      <c r="L2385" s="149"/>
      <c r="M2385" s="149">
        <f t="shared" si="790"/>
        <v>0</v>
      </c>
      <c r="N2385" s="149"/>
      <c r="O2385" s="149">
        <f t="shared" si="797"/>
        <v>0</v>
      </c>
      <c r="P2385" s="149"/>
      <c r="Q2385" s="149"/>
      <c r="R2385" s="149">
        <f t="shared" si="798"/>
        <v>0</v>
      </c>
      <c r="S2385" s="150" t="e">
        <f t="shared" si="799"/>
        <v>#DIV/0!</v>
      </c>
      <c r="T2385" s="151" t="e">
        <f t="shared" si="800"/>
        <v>#DIV/0!</v>
      </c>
      <c r="U2385" s="150" t="e">
        <f t="shared" si="801"/>
        <v>#NUM!</v>
      </c>
      <c r="V2385" s="150" t="e">
        <f t="shared" si="802"/>
        <v>#DIV/0!</v>
      </c>
      <c r="W2385" s="152"/>
      <c r="X2385" s="152"/>
      <c r="Y2385" s="152"/>
      <c r="Z2385" s="153">
        <f t="shared" si="806"/>
        <v>0</v>
      </c>
      <c r="AA2385" s="148">
        <f t="shared" si="784"/>
        <v>0</v>
      </c>
      <c r="AB2385" s="149"/>
      <c r="AC2385" s="149"/>
      <c r="AD2385" s="150" t="e">
        <f t="shared" si="807"/>
        <v>#DIV/0!</v>
      </c>
      <c r="AE2385" s="154" t="e">
        <f t="shared" si="808"/>
        <v>#DIV/0!</v>
      </c>
      <c r="AF2385" s="150" t="e">
        <f t="shared" si="809"/>
        <v>#DIV/0!</v>
      </c>
      <c r="AG2385" s="150" t="e">
        <f t="shared" si="810"/>
        <v>#DIV/0!</v>
      </c>
      <c r="AH2385" s="155" t="e">
        <f t="shared" si="811"/>
        <v>#DIV/0!</v>
      </c>
      <c r="AI2385" s="156" t="e">
        <f t="shared" si="804"/>
        <v>#DIV/0!</v>
      </c>
      <c r="AJ2385" s="149"/>
      <c r="AK2385" s="149"/>
      <c r="AL2385" s="157"/>
      <c r="AM2385" s="157"/>
      <c r="AN2385" s="157"/>
      <c r="AO2385" s="157"/>
      <c r="AP2385" s="157"/>
      <c r="AQ2385" s="157"/>
      <c r="AR2385" s="157"/>
    </row>
    <row r="2386" spans="1:44" ht="16.8">
      <c r="A2386" s="145">
        <v>277</v>
      </c>
      <c r="B2386" s="145">
        <v>1065</v>
      </c>
      <c r="C2386" s="145" t="s">
        <v>4560</v>
      </c>
      <c r="D2386" s="146" t="s">
        <v>4561</v>
      </c>
      <c r="E2386" s="147" t="s">
        <v>1371</v>
      </c>
      <c r="F2386" s="148"/>
      <c r="G2386" s="148"/>
      <c r="H2386" s="149"/>
      <c r="I2386" s="149"/>
      <c r="J2386" s="149"/>
      <c r="K2386" s="149"/>
      <c r="L2386" s="149"/>
      <c r="M2386" s="149">
        <f t="shared" si="790"/>
        <v>0</v>
      </c>
      <c r="N2386" s="149"/>
      <c r="O2386" s="149">
        <f t="shared" si="797"/>
        <v>0</v>
      </c>
      <c r="P2386" s="149"/>
      <c r="Q2386" s="149"/>
      <c r="R2386" s="149">
        <f t="shared" si="798"/>
        <v>0</v>
      </c>
      <c r="S2386" s="150" t="e">
        <f t="shared" si="799"/>
        <v>#DIV/0!</v>
      </c>
      <c r="T2386" s="151" t="e">
        <f t="shared" si="800"/>
        <v>#DIV/0!</v>
      </c>
      <c r="U2386" s="150" t="e">
        <f t="shared" si="801"/>
        <v>#NUM!</v>
      </c>
      <c r="V2386" s="150" t="e">
        <f t="shared" si="802"/>
        <v>#DIV/0!</v>
      </c>
      <c r="W2386" s="152"/>
      <c r="X2386" s="152"/>
      <c r="Y2386" s="152"/>
      <c r="Z2386" s="153">
        <f t="shared" si="806"/>
        <v>0</v>
      </c>
      <c r="AA2386" s="148">
        <f t="shared" si="784"/>
        <v>0</v>
      </c>
      <c r="AB2386" s="149"/>
      <c r="AC2386" s="149"/>
      <c r="AD2386" s="150" t="e">
        <f t="shared" si="807"/>
        <v>#DIV/0!</v>
      </c>
      <c r="AE2386" s="154" t="e">
        <f t="shared" si="808"/>
        <v>#DIV/0!</v>
      </c>
      <c r="AF2386" s="150" t="e">
        <f t="shared" si="809"/>
        <v>#DIV/0!</v>
      </c>
      <c r="AG2386" s="150" t="e">
        <f t="shared" si="810"/>
        <v>#DIV/0!</v>
      </c>
      <c r="AH2386" s="155" t="e">
        <f t="shared" si="811"/>
        <v>#DIV/0!</v>
      </c>
      <c r="AI2386" s="156" t="e">
        <f t="shared" si="804"/>
        <v>#DIV/0!</v>
      </c>
      <c r="AJ2386" s="149"/>
      <c r="AK2386" s="149"/>
      <c r="AL2386" s="157"/>
      <c r="AM2386" s="157"/>
      <c r="AN2386" s="157"/>
      <c r="AO2386" s="157"/>
      <c r="AP2386" s="157"/>
      <c r="AQ2386" s="157"/>
      <c r="AR2386" s="157"/>
    </row>
    <row r="2387" spans="1:44" ht="16.8">
      <c r="A2387" s="145">
        <v>278</v>
      </c>
      <c r="B2387" s="145">
        <v>1066</v>
      </c>
      <c r="C2387" s="145" t="s">
        <v>4562</v>
      </c>
      <c r="D2387" s="146" t="s">
        <v>4563</v>
      </c>
      <c r="E2387" s="147" t="s">
        <v>1371</v>
      </c>
      <c r="F2387" s="148"/>
      <c r="G2387" s="148"/>
      <c r="H2387" s="149"/>
      <c r="I2387" s="149"/>
      <c r="J2387" s="149"/>
      <c r="K2387" s="149"/>
      <c r="L2387" s="149"/>
      <c r="M2387" s="149">
        <f t="shared" si="790"/>
        <v>0</v>
      </c>
      <c r="N2387" s="149"/>
      <c r="O2387" s="149">
        <f t="shared" si="797"/>
        <v>0</v>
      </c>
      <c r="P2387" s="149"/>
      <c r="Q2387" s="149"/>
      <c r="R2387" s="149">
        <f t="shared" si="798"/>
        <v>0</v>
      </c>
      <c r="S2387" s="150" t="e">
        <f t="shared" si="799"/>
        <v>#DIV/0!</v>
      </c>
      <c r="T2387" s="151" t="e">
        <f t="shared" si="800"/>
        <v>#DIV/0!</v>
      </c>
      <c r="U2387" s="150" t="e">
        <f t="shared" si="801"/>
        <v>#NUM!</v>
      </c>
      <c r="V2387" s="150" t="e">
        <f t="shared" si="802"/>
        <v>#DIV/0!</v>
      </c>
      <c r="W2387" s="152"/>
      <c r="X2387" s="152"/>
      <c r="Y2387" s="152"/>
      <c r="Z2387" s="153">
        <f t="shared" si="806"/>
        <v>0</v>
      </c>
      <c r="AA2387" s="148">
        <f t="shared" si="784"/>
        <v>0</v>
      </c>
      <c r="AB2387" s="149"/>
      <c r="AC2387" s="149"/>
      <c r="AD2387" s="150" t="e">
        <f t="shared" si="807"/>
        <v>#DIV/0!</v>
      </c>
      <c r="AE2387" s="154" t="e">
        <f t="shared" si="808"/>
        <v>#DIV/0!</v>
      </c>
      <c r="AF2387" s="150" t="e">
        <f t="shared" si="809"/>
        <v>#DIV/0!</v>
      </c>
      <c r="AG2387" s="150" t="e">
        <f t="shared" si="810"/>
        <v>#DIV/0!</v>
      </c>
      <c r="AH2387" s="155" t="e">
        <f t="shared" si="811"/>
        <v>#DIV/0!</v>
      </c>
      <c r="AI2387" s="156" t="e">
        <f t="shared" si="804"/>
        <v>#DIV/0!</v>
      </c>
      <c r="AJ2387" s="149"/>
      <c r="AK2387" s="149"/>
      <c r="AL2387" s="157"/>
      <c r="AM2387" s="157"/>
      <c r="AN2387" s="157"/>
      <c r="AO2387" s="157"/>
      <c r="AP2387" s="157"/>
      <c r="AQ2387" s="157"/>
      <c r="AR2387" s="157"/>
    </row>
    <row r="2388" spans="1:44" ht="16.8">
      <c r="A2388" s="145">
        <v>279</v>
      </c>
      <c r="B2388" s="145">
        <v>1067</v>
      </c>
      <c r="C2388" s="145" t="s">
        <v>4564</v>
      </c>
      <c r="D2388" s="146" t="s">
        <v>4565</v>
      </c>
      <c r="E2388" s="147" t="s">
        <v>178</v>
      </c>
      <c r="F2388" s="148"/>
      <c r="G2388" s="148"/>
      <c r="H2388" s="149"/>
      <c r="I2388" s="149"/>
      <c r="J2388" s="149"/>
      <c r="K2388" s="149"/>
      <c r="L2388" s="149"/>
      <c r="M2388" s="149">
        <f t="shared" si="790"/>
        <v>0</v>
      </c>
      <c r="N2388" s="149"/>
      <c r="O2388" s="149">
        <f t="shared" si="797"/>
        <v>0</v>
      </c>
      <c r="P2388" s="149"/>
      <c r="Q2388" s="149"/>
      <c r="R2388" s="149">
        <f t="shared" si="798"/>
        <v>0</v>
      </c>
      <c r="S2388" s="150" t="e">
        <f t="shared" si="799"/>
        <v>#DIV/0!</v>
      </c>
      <c r="T2388" s="151" t="e">
        <f t="shared" si="800"/>
        <v>#DIV/0!</v>
      </c>
      <c r="U2388" s="150" t="e">
        <f t="shared" si="801"/>
        <v>#NUM!</v>
      </c>
      <c r="V2388" s="150" t="e">
        <f t="shared" si="802"/>
        <v>#DIV/0!</v>
      </c>
      <c r="W2388" s="152"/>
      <c r="X2388" s="152"/>
      <c r="Y2388" s="152"/>
      <c r="Z2388" s="153">
        <f t="shared" si="806"/>
        <v>0</v>
      </c>
      <c r="AA2388" s="148">
        <f t="shared" si="784"/>
        <v>0</v>
      </c>
      <c r="AB2388" s="149"/>
      <c r="AC2388" s="149"/>
      <c r="AD2388" s="150" t="e">
        <f t="shared" si="807"/>
        <v>#DIV/0!</v>
      </c>
      <c r="AE2388" s="154" t="e">
        <f t="shared" si="808"/>
        <v>#DIV/0!</v>
      </c>
      <c r="AF2388" s="150" t="e">
        <f t="shared" si="809"/>
        <v>#DIV/0!</v>
      </c>
      <c r="AG2388" s="150" t="e">
        <f t="shared" si="810"/>
        <v>#DIV/0!</v>
      </c>
      <c r="AH2388" s="155" t="e">
        <f t="shared" si="811"/>
        <v>#DIV/0!</v>
      </c>
      <c r="AI2388" s="156" t="e">
        <f t="shared" si="804"/>
        <v>#DIV/0!</v>
      </c>
      <c r="AJ2388" s="149"/>
      <c r="AK2388" s="149"/>
      <c r="AL2388" s="157"/>
      <c r="AM2388" s="157"/>
      <c r="AN2388" s="157"/>
      <c r="AO2388" s="157"/>
      <c r="AP2388" s="157"/>
      <c r="AQ2388" s="157"/>
      <c r="AR2388" s="157"/>
    </row>
    <row r="2389" spans="1:44" ht="16.8">
      <c r="A2389" s="145">
        <v>280</v>
      </c>
      <c r="B2389" s="145">
        <v>1068</v>
      </c>
      <c r="C2389" s="145" t="s">
        <v>4566</v>
      </c>
      <c r="D2389" s="146" t="s">
        <v>4567</v>
      </c>
      <c r="E2389" s="147" t="s">
        <v>178</v>
      </c>
      <c r="F2389" s="148"/>
      <c r="G2389" s="148"/>
      <c r="H2389" s="149"/>
      <c r="I2389" s="149"/>
      <c r="J2389" s="149"/>
      <c r="K2389" s="149"/>
      <c r="L2389" s="149"/>
      <c r="M2389" s="149">
        <f t="shared" si="790"/>
        <v>0</v>
      </c>
      <c r="N2389" s="149"/>
      <c r="O2389" s="149">
        <f t="shared" si="797"/>
        <v>0</v>
      </c>
      <c r="P2389" s="149"/>
      <c r="Q2389" s="149"/>
      <c r="R2389" s="149">
        <f t="shared" si="798"/>
        <v>0</v>
      </c>
      <c r="S2389" s="150" t="e">
        <f t="shared" si="799"/>
        <v>#DIV/0!</v>
      </c>
      <c r="T2389" s="151" t="e">
        <f t="shared" si="800"/>
        <v>#DIV/0!</v>
      </c>
      <c r="U2389" s="150" t="e">
        <f t="shared" si="801"/>
        <v>#NUM!</v>
      </c>
      <c r="V2389" s="150" t="e">
        <f t="shared" si="802"/>
        <v>#DIV/0!</v>
      </c>
      <c r="W2389" s="152"/>
      <c r="X2389" s="152"/>
      <c r="Y2389" s="152"/>
      <c r="Z2389" s="153">
        <f t="shared" si="806"/>
        <v>0</v>
      </c>
      <c r="AA2389" s="148">
        <f t="shared" si="784"/>
        <v>0</v>
      </c>
      <c r="AB2389" s="149"/>
      <c r="AC2389" s="149"/>
      <c r="AD2389" s="150" t="e">
        <f t="shared" si="807"/>
        <v>#DIV/0!</v>
      </c>
      <c r="AE2389" s="154" t="e">
        <f t="shared" si="808"/>
        <v>#DIV/0!</v>
      </c>
      <c r="AF2389" s="150" t="e">
        <f t="shared" si="809"/>
        <v>#DIV/0!</v>
      </c>
      <c r="AG2389" s="150" t="e">
        <f t="shared" si="810"/>
        <v>#DIV/0!</v>
      </c>
      <c r="AH2389" s="155" t="e">
        <f t="shared" si="811"/>
        <v>#DIV/0!</v>
      </c>
      <c r="AI2389" s="156" t="e">
        <f t="shared" si="804"/>
        <v>#DIV/0!</v>
      </c>
      <c r="AJ2389" s="149"/>
      <c r="AK2389" s="149"/>
      <c r="AL2389" s="157"/>
      <c r="AM2389" s="157"/>
      <c r="AN2389" s="157"/>
      <c r="AO2389" s="157"/>
      <c r="AP2389" s="157"/>
      <c r="AQ2389" s="157"/>
      <c r="AR2389" s="157"/>
    </row>
    <row r="2390" spans="1:44" ht="16.8">
      <c r="A2390" s="145">
        <v>281</v>
      </c>
      <c r="B2390" s="145">
        <v>1069</v>
      </c>
      <c r="C2390" s="145" t="s">
        <v>4568</v>
      </c>
      <c r="D2390" s="146" t="s">
        <v>4569</v>
      </c>
      <c r="E2390" s="147" t="s">
        <v>1371</v>
      </c>
      <c r="F2390" s="148"/>
      <c r="G2390" s="148"/>
      <c r="H2390" s="149"/>
      <c r="I2390" s="149"/>
      <c r="J2390" s="149"/>
      <c r="K2390" s="149"/>
      <c r="L2390" s="149"/>
      <c r="M2390" s="149">
        <f t="shared" si="790"/>
        <v>0</v>
      </c>
      <c r="N2390" s="149"/>
      <c r="O2390" s="149">
        <f t="shared" si="797"/>
        <v>0</v>
      </c>
      <c r="P2390" s="149"/>
      <c r="Q2390" s="149"/>
      <c r="R2390" s="149">
        <f t="shared" si="798"/>
        <v>0</v>
      </c>
      <c r="S2390" s="150" t="e">
        <f t="shared" si="799"/>
        <v>#DIV/0!</v>
      </c>
      <c r="T2390" s="151" t="e">
        <f t="shared" si="800"/>
        <v>#DIV/0!</v>
      </c>
      <c r="U2390" s="150" t="e">
        <f t="shared" si="801"/>
        <v>#NUM!</v>
      </c>
      <c r="V2390" s="150" t="e">
        <f t="shared" si="802"/>
        <v>#DIV/0!</v>
      </c>
      <c r="W2390" s="152"/>
      <c r="X2390" s="152"/>
      <c r="Y2390" s="152"/>
      <c r="Z2390" s="153">
        <f t="shared" si="806"/>
        <v>0</v>
      </c>
      <c r="AA2390" s="148">
        <f t="shared" si="784"/>
        <v>0</v>
      </c>
      <c r="AB2390" s="149"/>
      <c r="AC2390" s="149"/>
      <c r="AD2390" s="150" t="e">
        <f t="shared" si="807"/>
        <v>#DIV/0!</v>
      </c>
      <c r="AE2390" s="154" t="e">
        <f t="shared" si="808"/>
        <v>#DIV/0!</v>
      </c>
      <c r="AF2390" s="150" t="e">
        <f t="shared" si="809"/>
        <v>#DIV/0!</v>
      </c>
      <c r="AG2390" s="150" t="e">
        <f t="shared" si="810"/>
        <v>#DIV/0!</v>
      </c>
      <c r="AH2390" s="155" t="e">
        <f t="shared" si="811"/>
        <v>#DIV/0!</v>
      </c>
      <c r="AI2390" s="156" t="e">
        <f t="shared" si="804"/>
        <v>#DIV/0!</v>
      </c>
      <c r="AJ2390" s="149"/>
      <c r="AK2390" s="149"/>
      <c r="AL2390" s="157"/>
      <c r="AM2390" s="157"/>
      <c r="AN2390" s="157"/>
      <c r="AO2390" s="157"/>
      <c r="AP2390" s="157"/>
      <c r="AQ2390" s="157"/>
      <c r="AR2390" s="157"/>
    </row>
    <row r="2391" spans="1:44" ht="16.8">
      <c r="A2391" s="145">
        <v>282</v>
      </c>
      <c r="B2391" s="145">
        <v>1070</v>
      </c>
      <c r="C2391" s="145" t="s">
        <v>4570</v>
      </c>
      <c r="D2391" s="146" t="s">
        <v>4571</v>
      </c>
      <c r="E2391" s="147" t="s">
        <v>178</v>
      </c>
      <c r="F2391" s="148"/>
      <c r="G2391" s="148"/>
      <c r="H2391" s="149"/>
      <c r="I2391" s="149"/>
      <c r="J2391" s="149"/>
      <c r="K2391" s="149"/>
      <c r="L2391" s="149"/>
      <c r="M2391" s="149">
        <f t="shared" si="790"/>
        <v>0</v>
      </c>
      <c r="N2391" s="149"/>
      <c r="O2391" s="149">
        <f t="shared" si="797"/>
        <v>0</v>
      </c>
      <c r="P2391" s="149"/>
      <c r="Q2391" s="149"/>
      <c r="R2391" s="149">
        <f t="shared" si="798"/>
        <v>0</v>
      </c>
      <c r="S2391" s="150" t="e">
        <f t="shared" si="799"/>
        <v>#DIV/0!</v>
      </c>
      <c r="T2391" s="151" t="e">
        <f t="shared" si="800"/>
        <v>#DIV/0!</v>
      </c>
      <c r="U2391" s="150" t="e">
        <f t="shared" si="801"/>
        <v>#NUM!</v>
      </c>
      <c r="V2391" s="150" t="e">
        <f t="shared" si="802"/>
        <v>#DIV/0!</v>
      </c>
      <c r="W2391" s="152"/>
      <c r="X2391" s="152"/>
      <c r="Y2391" s="152"/>
      <c r="Z2391" s="153">
        <f t="shared" si="806"/>
        <v>0</v>
      </c>
      <c r="AA2391" s="148">
        <f t="shared" si="784"/>
        <v>0</v>
      </c>
      <c r="AB2391" s="149"/>
      <c r="AC2391" s="149"/>
      <c r="AD2391" s="150" t="e">
        <f t="shared" si="807"/>
        <v>#DIV/0!</v>
      </c>
      <c r="AE2391" s="154" t="e">
        <f t="shared" si="808"/>
        <v>#DIV/0!</v>
      </c>
      <c r="AF2391" s="150" t="e">
        <f t="shared" si="809"/>
        <v>#DIV/0!</v>
      </c>
      <c r="AG2391" s="150" t="e">
        <f t="shared" si="810"/>
        <v>#DIV/0!</v>
      </c>
      <c r="AH2391" s="155" t="e">
        <f t="shared" si="811"/>
        <v>#DIV/0!</v>
      </c>
      <c r="AI2391" s="156" t="e">
        <f t="shared" si="804"/>
        <v>#DIV/0!</v>
      </c>
      <c r="AJ2391" s="149"/>
      <c r="AK2391" s="149"/>
      <c r="AL2391" s="157"/>
      <c r="AM2391" s="157"/>
      <c r="AN2391" s="157"/>
      <c r="AO2391" s="157"/>
      <c r="AP2391" s="157"/>
      <c r="AQ2391" s="157"/>
      <c r="AR2391" s="157"/>
    </row>
    <row r="2392" spans="1:44" ht="16.8">
      <c r="A2392" s="145">
        <v>283</v>
      </c>
      <c r="B2392" s="145">
        <v>1071</v>
      </c>
      <c r="C2392" s="145" t="s">
        <v>4572</v>
      </c>
      <c r="D2392" s="146" t="s">
        <v>4573</v>
      </c>
      <c r="E2392" s="147" t="s">
        <v>178</v>
      </c>
      <c r="F2392" s="148"/>
      <c r="G2392" s="148"/>
      <c r="H2392" s="149"/>
      <c r="I2392" s="149"/>
      <c r="J2392" s="149"/>
      <c r="K2392" s="149"/>
      <c r="L2392" s="149"/>
      <c r="M2392" s="149">
        <f t="shared" si="790"/>
        <v>0</v>
      </c>
      <c r="N2392" s="149"/>
      <c r="O2392" s="149">
        <f t="shared" si="797"/>
        <v>0</v>
      </c>
      <c r="P2392" s="149"/>
      <c r="Q2392" s="149"/>
      <c r="R2392" s="149">
        <f t="shared" si="798"/>
        <v>0</v>
      </c>
      <c r="S2392" s="150" t="e">
        <f t="shared" si="799"/>
        <v>#DIV/0!</v>
      </c>
      <c r="T2392" s="151" t="e">
        <f t="shared" si="800"/>
        <v>#DIV/0!</v>
      </c>
      <c r="U2392" s="150" t="e">
        <f t="shared" si="801"/>
        <v>#NUM!</v>
      </c>
      <c r="V2392" s="150" t="e">
        <f t="shared" si="802"/>
        <v>#DIV/0!</v>
      </c>
      <c r="W2392" s="152"/>
      <c r="X2392" s="152"/>
      <c r="Y2392" s="152"/>
      <c r="Z2392" s="153">
        <f t="shared" si="806"/>
        <v>0</v>
      </c>
      <c r="AA2392" s="148">
        <f t="shared" si="784"/>
        <v>0</v>
      </c>
      <c r="AB2392" s="149"/>
      <c r="AC2392" s="149"/>
      <c r="AD2392" s="150" t="e">
        <f t="shared" si="807"/>
        <v>#DIV/0!</v>
      </c>
      <c r="AE2392" s="154" t="e">
        <f t="shared" si="808"/>
        <v>#DIV/0!</v>
      </c>
      <c r="AF2392" s="150" t="e">
        <f t="shared" si="809"/>
        <v>#DIV/0!</v>
      </c>
      <c r="AG2392" s="150" t="e">
        <f t="shared" si="810"/>
        <v>#DIV/0!</v>
      </c>
      <c r="AH2392" s="155" t="e">
        <f t="shared" si="811"/>
        <v>#DIV/0!</v>
      </c>
      <c r="AI2392" s="156" t="e">
        <f t="shared" si="804"/>
        <v>#DIV/0!</v>
      </c>
      <c r="AJ2392" s="149"/>
      <c r="AK2392" s="149"/>
      <c r="AL2392" s="157"/>
      <c r="AM2392" s="157"/>
      <c r="AN2392" s="157"/>
      <c r="AO2392" s="157"/>
      <c r="AP2392" s="157"/>
      <c r="AQ2392" s="157"/>
      <c r="AR2392" s="157"/>
    </row>
    <row r="2393" spans="1:44" ht="16.8">
      <c r="A2393" s="145">
        <v>284</v>
      </c>
      <c r="B2393" s="145">
        <v>1072</v>
      </c>
      <c r="C2393" s="145" t="s">
        <v>4574</v>
      </c>
      <c r="D2393" s="146" t="s">
        <v>4575</v>
      </c>
      <c r="E2393" s="147" t="s">
        <v>178</v>
      </c>
      <c r="F2393" s="148"/>
      <c r="G2393" s="148"/>
      <c r="H2393" s="149"/>
      <c r="I2393" s="149"/>
      <c r="J2393" s="149"/>
      <c r="K2393" s="149"/>
      <c r="L2393" s="149"/>
      <c r="M2393" s="149">
        <f t="shared" si="790"/>
        <v>0</v>
      </c>
      <c r="N2393" s="149"/>
      <c r="O2393" s="149">
        <f t="shared" si="797"/>
        <v>0</v>
      </c>
      <c r="P2393" s="149"/>
      <c r="Q2393" s="149"/>
      <c r="R2393" s="149">
        <f t="shared" si="798"/>
        <v>0</v>
      </c>
      <c r="S2393" s="150" t="e">
        <f t="shared" si="799"/>
        <v>#DIV/0!</v>
      </c>
      <c r="T2393" s="151" t="e">
        <f t="shared" si="800"/>
        <v>#DIV/0!</v>
      </c>
      <c r="U2393" s="150" t="e">
        <f t="shared" si="801"/>
        <v>#NUM!</v>
      </c>
      <c r="V2393" s="150" t="e">
        <f t="shared" si="802"/>
        <v>#DIV/0!</v>
      </c>
      <c r="W2393" s="152"/>
      <c r="X2393" s="152"/>
      <c r="Y2393" s="152"/>
      <c r="Z2393" s="153">
        <f t="shared" si="806"/>
        <v>0</v>
      </c>
      <c r="AA2393" s="148">
        <f t="shared" si="784"/>
        <v>0</v>
      </c>
      <c r="AB2393" s="149"/>
      <c r="AC2393" s="149"/>
      <c r="AD2393" s="150" t="e">
        <f t="shared" si="807"/>
        <v>#DIV/0!</v>
      </c>
      <c r="AE2393" s="154" t="e">
        <f t="shared" si="808"/>
        <v>#DIV/0!</v>
      </c>
      <c r="AF2393" s="150" t="e">
        <f t="shared" si="809"/>
        <v>#DIV/0!</v>
      </c>
      <c r="AG2393" s="150" t="e">
        <f t="shared" si="810"/>
        <v>#DIV/0!</v>
      </c>
      <c r="AH2393" s="155" t="e">
        <f t="shared" si="811"/>
        <v>#DIV/0!</v>
      </c>
      <c r="AI2393" s="156" t="e">
        <f t="shared" si="804"/>
        <v>#DIV/0!</v>
      </c>
      <c r="AJ2393" s="149"/>
      <c r="AK2393" s="149"/>
      <c r="AL2393" s="157"/>
      <c r="AM2393" s="157"/>
      <c r="AN2393" s="157"/>
      <c r="AO2393" s="157"/>
      <c r="AP2393" s="157"/>
      <c r="AQ2393" s="157"/>
      <c r="AR2393" s="157"/>
    </row>
    <row r="2394" spans="1:44" ht="16.8">
      <c r="A2394" s="145">
        <v>285</v>
      </c>
      <c r="B2394" s="145">
        <v>1073</v>
      </c>
      <c r="C2394" s="145" t="s">
        <v>4576</v>
      </c>
      <c r="D2394" s="146" t="s">
        <v>4577</v>
      </c>
      <c r="E2394" s="147" t="s">
        <v>1371</v>
      </c>
      <c r="F2394" s="148"/>
      <c r="G2394" s="148"/>
      <c r="H2394" s="149"/>
      <c r="I2394" s="149"/>
      <c r="J2394" s="149"/>
      <c r="K2394" s="149"/>
      <c r="L2394" s="149"/>
      <c r="M2394" s="149">
        <f t="shared" si="790"/>
        <v>0</v>
      </c>
      <c r="N2394" s="149"/>
      <c r="O2394" s="149">
        <f t="shared" si="797"/>
        <v>0</v>
      </c>
      <c r="P2394" s="149"/>
      <c r="Q2394" s="149"/>
      <c r="R2394" s="149">
        <f t="shared" si="798"/>
        <v>0</v>
      </c>
      <c r="S2394" s="150" t="e">
        <f t="shared" si="799"/>
        <v>#DIV/0!</v>
      </c>
      <c r="T2394" s="151" t="e">
        <f t="shared" si="800"/>
        <v>#DIV/0!</v>
      </c>
      <c r="U2394" s="150" t="e">
        <f t="shared" si="801"/>
        <v>#NUM!</v>
      </c>
      <c r="V2394" s="150" t="e">
        <f t="shared" si="802"/>
        <v>#DIV/0!</v>
      </c>
      <c r="W2394" s="152"/>
      <c r="X2394" s="152"/>
      <c r="Y2394" s="152"/>
      <c r="Z2394" s="153">
        <f t="shared" si="806"/>
        <v>0</v>
      </c>
      <c r="AA2394" s="148">
        <f t="shared" si="784"/>
        <v>0</v>
      </c>
      <c r="AB2394" s="149"/>
      <c r="AC2394" s="149"/>
      <c r="AD2394" s="150" t="e">
        <f t="shared" si="807"/>
        <v>#DIV/0!</v>
      </c>
      <c r="AE2394" s="154" t="e">
        <f t="shared" si="808"/>
        <v>#DIV/0!</v>
      </c>
      <c r="AF2394" s="150" t="e">
        <f t="shared" si="809"/>
        <v>#DIV/0!</v>
      </c>
      <c r="AG2394" s="150" t="e">
        <f t="shared" si="810"/>
        <v>#DIV/0!</v>
      </c>
      <c r="AH2394" s="155" t="e">
        <f t="shared" si="811"/>
        <v>#DIV/0!</v>
      </c>
      <c r="AI2394" s="156" t="e">
        <f t="shared" si="804"/>
        <v>#DIV/0!</v>
      </c>
      <c r="AJ2394" s="149"/>
      <c r="AK2394" s="149"/>
      <c r="AL2394" s="157"/>
      <c r="AM2394" s="157"/>
      <c r="AN2394" s="157"/>
      <c r="AO2394" s="157"/>
      <c r="AP2394" s="157"/>
      <c r="AQ2394" s="157"/>
      <c r="AR2394" s="157"/>
    </row>
    <row r="2395" spans="1:44" ht="16.8">
      <c r="A2395" s="145">
        <v>286</v>
      </c>
      <c r="B2395" s="145">
        <v>1074</v>
      </c>
      <c r="C2395" s="145" t="s">
        <v>4578</v>
      </c>
      <c r="D2395" s="146" t="s">
        <v>4579</v>
      </c>
      <c r="E2395" s="147" t="s">
        <v>178</v>
      </c>
      <c r="F2395" s="148"/>
      <c r="G2395" s="148"/>
      <c r="H2395" s="149"/>
      <c r="I2395" s="149"/>
      <c r="J2395" s="149"/>
      <c r="K2395" s="149"/>
      <c r="L2395" s="149"/>
      <c r="M2395" s="149">
        <f t="shared" si="790"/>
        <v>0</v>
      </c>
      <c r="N2395" s="149"/>
      <c r="O2395" s="149">
        <f t="shared" si="797"/>
        <v>0</v>
      </c>
      <c r="P2395" s="149"/>
      <c r="Q2395" s="149"/>
      <c r="R2395" s="149">
        <f t="shared" si="798"/>
        <v>0</v>
      </c>
      <c r="S2395" s="150" t="e">
        <f t="shared" si="799"/>
        <v>#DIV/0!</v>
      </c>
      <c r="T2395" s="151" t="e">
        <f t="shared" si="800"/>
        <v>#DIV/0!</v>
      </c>
      <c r="U2395" s="150" t="e">
        <f t="shared" si="801"/>
        <v>#NUM!</v>
      </c>
      <c r="V2395" s="150" t="e">
        <f t="shared" si="802"/>
        <v>#DIV/0!</v>
      </c>
      <c r="W2395" s="152"/>
      <c r="X2395" s="152"/>
      <c r="Y2395" s="152"/>
      <c r="Z2395" s="153">
        <f t="shared" si="806"/>
        <v>0</v>
      </c>
      <c r="AA2395" s="148">
        <f t="shared" si="784"/>
        <v>0</v>
      </c>
      <c r="AB2395" s="149"/>
      <c r="AC2395" s="149"/>
      <c r="AD2395" s="150" t="e">
        <f t="shared" si="807"/>
        <v>#DIV/0!</v>
      </c>
      <c r="AE2395" s="154" t="e">
        <f t="shared" si="808"/>
        <v>#DIV/0!</v>
      </c>
      <c r="AF2395" s="150" t="e">
        <f t="shared" si="809"/>
        <v>#DIV/0!</v>
      </c>
      <c r="AG2395" s="150" t="e">
        <f t="shared" si="810"/>
        <v>#DIV/0!</v>
      </c>
      <c r="AH2395" s="155" t="e">
        <f t="shared" si="811"/>
        <v>#DIV/0!</v>
      </c>
      <c r="AI2395" s="156" t="e">
        <f t="shared" si="804"/>
        <v>#DIV/0!</v>
      </c>
      <c r="AJ2395" s="149"/>
      <c r="AK2395" s="149"/>
      <c r="AL2395" s="157"/>
      <c r="AM2395" s="157"/>
      <c r="AN2395" s="157"/>
      <c r="AO2395" s="157"/>
      <c r="AP2395" s="157"/>
      <c r="AQ2395" s="157"/>
      <c r="AR2395" s="157"/>
    </row>
    <row r="2396" spans="1:44" ht="16.8">
      <c r="A2396" s="145">
        <v>287</v>
      </c>
      <c r="B2396" s="145">
        <v>1075</v>
      </c>
      <c r="C2396" s="145" t="s">
        <v>4580</v>
      </c>
      <c r="D2396" s="146" t="s">
        <v>4581</v>
      </c>
      <c r="E2396" s="147" t="s">
        <v>1371</v>
      </c>
      <c r="F2396" s="148"/>
      <c r="G2396" s="148"/>
      <c r="H2396" s="149"/>
      <c r="I2396" s="149"/>
      <c r="J2396" s="149"/>
      <c r="K2396" s="149"/>
      <c r="L2396" s="149"/>
      <c r="M2396" s="149">
        <f t="shared" si="790"/>
        <v>0</v>
      </c>
      <c r="N2396" s="149"/>
      <c r="O2396" s="149">
        <f t="shared" si="797"/>
        <v>0</v>
      </c>
      <c r="P2396" s="149"/>
      <c r="Q2396" s="149"/>
      <c r="R2396" s="149">
        <f t="shared" si="798"/>
        <v>0</v>
      </c>
      <c r="S2396" s="150" t="e">
        <f t="shared" si="799"/>
        <v>#DIV/0!</v>
      </c>
      <c r="T2396" s="151" t="e">
        <f t="shared" si="800"/>
        <v>#DIV/0!</v>
      </c>
      <c r="U2396" s="150" t="e">
        <f t="shared" si="801"/>
        <v>#NUM!</v>
      </c>
      <c r="V2396" s="150" t="e">
        <f t="shared" si="802"/>
        <v>#DIV/0!</v>
      </c>
      <c r="W2396" s="152"/>
      <c r="X2396" s="152"/>
      <c r="Y2396" s="152"/>
      <c r="Z2396" s="153">
        <f t="shared" si="806"/>
        <v>0</v>
      </c>
      <c r="AA2396" s="148">
        <f t="shared" si="784"/>
        <v>0</v>
      </c>
      <c r="AB2396" s="149"/>
      <c r="AC2396" s="149"/>
      <c r="AD2396" s="150" t="e">
        <f t="shared" si="807"/>
        <v>#DIV/0!</v>
      </c>
      <c r="AE2396" s="154" t="e">
        <f t="shared" si="808"/>
        <v>#DIV/0!</v>
      </c>
      <c r="AF2396" s="150" t="e">
        <f t="shared" si="809"/>
        <v>#DIV/0!</v>
      </c>
      <c r="AG2396" s="150" t="e">
        <f t="shared" si="810"/>
        <v>#DIV/0!</v>
      </c>
      <c r="AH2396" s="155" t="e">
        <f t="shared" si="811"/>
        <v>#DIV/0!</v>
      </c>
      <c r="AI2396" s="156" t="e">
        <f t="shared" si="804"/>
        <v>#DIV/0!</v>
      </c>
      <c r="AJ2396" s="149"/>
      <c r="AK2396" s="149"/>
      <c r="AL2396" s="157"/>
      <c r="AM2396" s="157"/>
      <c r="AN2396" s="157"/>
      <c r="AO2396" s="157"/>
      <c r="AP2396" s="157"/>
      <c r="AQ2396" s="157"/>
      <c r="AR2396" s="157"/>
    </row>
    <row r="2397" spans="1:44" ht="16.8">
      <c r="A2397" s="145">
        <v>288</v>
      </c>
      <c r="B2397" s="145">
        <v>1076</v>
      </c>
      <c r="C2397" s="145" t="s">
        <v>4582</v>
      </c>
      <c r="D2397" s="146" t="s">
        <v>4583</v>
      </c>
      <c r="E2397" s="147" t="s">
        <v>178</v>
      </c>
      <c r="F2397" s="148"/>
      <c r="G2397" s="148"/>
      <c r="H2397" s="149"/>
      <c r="I2397" s="149"/>
      <c r="J2397" s="149"/>
      <c r="K2397" s="149"/>
      <c r="L2397" s="149"/>
      <c r="M2397" s="149">
        <f t="shared" si="790"/>
        <v>0</v>
      </c>
      <c r="N2397" s="149"/>
      <c r="O2397" s="149">
        <f t="shared" si="797"/>
        <v>0</v>
      </c>
      <c r="P2397" s="149"/>
      <c r="Q2397" s="149"/>
      <c r="R2397" s="149">
        <f t="shared" si="798"/>
        <v>0</v>
      </c>
      <c r="S2397" s="150" t="e">
        <f t="shared" si="799"/>
        <v>#DIV/0!</v>
      </c>
      <c r="T2397" s="151" t="e">
        <f t="shared" si="800"/>
        <v>#DIV/0!</v>
      </c>
      <c r="U2397" s="150" t="e">
        <f t="shared" si="801"/>
        <v>#NUM!</v>
      </c>
      <c r="V2397" s="150" t="e">
        <f t="shared" si="802"/>
        <v>#DIV/0!</v>
      </c>
      <c r="W2397" s="152"/>
      <c r="X2397" s="152"/>
      <c r="Y2397" s="152"/>
      <c r="Z2397" s="153">
        <f t="shared" si="806"/>
        <v>0</v>
      </c>
      <c r="AA2397" s="148">
        <f t="shared" si="784"/>
        <v>0</v>
      </c>
      <c r="AB2397" s="149"/>
      <c r="AC2397" s="149"/>
      <c r="AD2397" s="150" t="e">
        <f t="shared" si="807"/>
        <v>#DIV/0!</v>
      </c>
      <c r="AE2397" s="154" t="e">
        <f t="shared" si="808"/>
        <v>#DIV/0!</v>
      </c>
      <c r="AF2397" s="150" t="e">
        <f t="shared" si="809"/>
        <v>#DIV/0!</v>
      </c>
      <c r="AG2397" s="150" t="e">
        <f t="shared" si="810"/>
        <v>#DIV/0!</v>
      </c>
      <c r="AH2397" s="155" t="e">
        <f t="shared" si="811"/>
        <v>#DIV/0!</v>
      </c>
      <c r="AI2397" s="156" t="e">
        <f t="shared" si="804"/>
        <v>#DIV/0!</v>
      </c>
      <c r="AJ2397" s="149"/>
      <c r="AK2397" s="149"/>
      <c r="AL2397" s="157"/>
      <c r="AM2397" s="157"/>
      <c r="AN2397" s="157"/>
      <c r="AO2397" s="157"/>
      <c r="AP2397" s="157"/>
      <c r="AQ2397" s="157"/>
      <c r="AR2397" s="157"/>
    </row>
    <row r="2398" spans="1:44" ht="16.8">
      <c r="A2398" s="145">
        <v>289</v>
      </c>
      <c r="B2398" s="145">
        <v>1077</v>
      </c>
      <c r="C2398" s="145" t="s">
        <v>4584</v>
      </c>
      <c r="D2398" s="146" t="s">
        <v>4585</v>
      </c>
      <c r="E2398" s="147" t="s">
        <v>178</v>
      </c>
      <c r="F2398" s="148"/>
      <c r="G2398" s="148"/>
      <c r="H2398" s="149"/>
      <c r="I2398" s="149"/>
      <c r="J2398" s="149"/>
      <c r="K2398" s="149"/>
      <c r="L2398" s="149"/>
      <c r="M2398" s="149">
        <f t="shared" si="790"/>
        <v>0</v>
      </c>
      <c r="N2398" s="149"/>
      <c r="O2398" s="149">
        <f t="shared" si="797"/>
        <v>0</v>
      </c>
      <c r="P2398" s="149"/>
      <c r="Q2398" s="149"/>
      <c r="R2398" s="149">
        <f t="shared" si="798"/>
        <v>0</v>
      </c>
      <c r="S2398" s="150" t="e">
        <f t="shared" si="799"/>
        <v>#DIV/0!</v>
      </c>
      <c r="T2398" s="151" t="e">
        <f t="shared" si="800"/>
        <v>#DIV/0!</v>
      </c>
      <c r="U2398" s="150" t="e">
        <f t="shared" si="801"/>
        <v>#NUM!</v>
      </c>
      <c r="V2398" s="150" t="e">
        <f t="shared" si="802"/>
        <v>#DIV/0!</v>
      </c>
      <c r="W2398" s="152"/>
      <c r="X2398" s="152"/>
      <c r="Y2398" s="152"/>
      <c r="Z2398" s="153">
        <f t="shared" si="806"/>
        <v>0</v>
      </c>
      <c r="AA2398" s="148">
        <f t="shared" si="784"/>
        <v>0</v>
      </c>
      <c r="AB2398" s="149"/>
      <c r="AC2398" s="149"/>
      <c r="AD2398" s="150" t="e">
        <f t="shared" si="807"/>
        <v>#DIV/0!</v>
      </c>
      <c r="AE2398" s="154" t="e">
        <f t="shared" si="808"/>
        <v>#DIV/0!</v>
      </c>
      <c r="AF2398" s="150" t="e">
        <f t="shared" si="809"/>
        <v>#DIV/0!</v>
      </c>
      <c r="AG2398" s="150" t="e">
        <f t="shared" si="810"/>
        <v>#DIV/0!</v>
      </c>
      <c r="AH2398" s="155" t="e">
        <f t="shared" si="811"/>
        <v>#DIV/0!</v>
      </c>
      <c r="AI2398" s="156" t="e">
        <f t="shared" si="804"/>
        <v>#DIV/0!</v>
      </c>
      <c r="AJ2398" s="149"/>
      <c r="AK2398" s="149"/>
      <c r="AL2398" s="157"/>
      <c r="AM2398" s="157"/>
      <c r="AN2398" s="157"/>
      <c r="AO2398" s="157"/>
      <c r="AP2398" s="157"/>
      <c r="AQ2398" s="157"/>
      <c r="AR2398" s="157"/>
    </row>
    <row r="2399" spans="1:44" ht="16.8">
      <c r="A2399" s="145">
        <v>290</v>
      </c>
      <c r="B2399" s="145">
        <v>1078</v>
      </c>
      <c r="C2399" s="145" t="s">
        <v>4586</v>
      </c>
      <c r="D2399" s="146" t="s">
        <v>4587</v>
      </c>
      <c r="E2399" s="147" t="s">
        <v>1371</v>
      </c>
      <c r="F2399" s="148"/>
      <c r="G2399" s="148"/>
      <c r="H2399" s="149"/>
      <c r="I2399" s="149"/>
      <c r="J2399" s="149"/>
      <c r="K2399" s="149"/>
      <c r="L2399" s="149"/>
      <c r="M2399" s="149">
        <f t="shared" si="790"/>
        <v>0</v>
      </c>
      <c r="N2399" s="149"/>
      <c r="O2399" s="149">
        <f t="shared" si="797"/>
        <v>0</v>
      </c>
      <c r="P2399" s="149"/>
      <c r="Q2399" s="149"/>
      <c r="R2399" s="149">
        <f t="shared" si="798"/>
        <v>0</v>
      </c>
      <c r="S2399" s="150" t="e">
        <f t="shared" si="799"/>
        <v>#DIV/0!</v>
      </c>
      <c r="T2399" s="151" t="e">
        <f t="shared" si="800"/>
        <v>#DIV/0!</v>
      </c>
      <c r="U2399" s="150" t="e">
        <f t="shared" si="801"/>
        <v>#NUM!</v>
      </c>
      <c r="V2399" s="150" t="e">
        <f t="shared" si="802"/>
        <v>#DIV/0!</v>
      </c>
      <c r="W2399" s="152"/>
      <c r="X2399" s="152"/>
      <c r="Y2399" s="152"/>
      <c r="Z2399" s="153">
        <f t="shared" si="806"/>
        <v>0</v>
      </c>
      <c r="AA2399" s="148">
        <f t="shared" si="784"/>
        <v>0</v>
      </c>
      <c r="AB2399" s="149"/>
      <c r="AC2399" s="149"/>
      <c r="AD2399" s="150" t="e">
        <f t="shared" si="807"/>
        <v>#DIV/0!</v>
      </c>
      <c r="AE2399" s="154" t="e">
        <f t="shared" si="808"/>
        <v>#DIV/0!</v>
      </c>
      <c r="AF2399" s="150" t="e">
        <f t="shared" si="809"/>
        <v>#DIV/0!</v>
      </c>
      <c r="AG2399" s="150" t="e">
        <f t="shared" si="810"/>
        <v>#DIV/0!</v>
      </c>
      <c r="AH2399" s="155" t="e">
        <f t="shared" si="811"/>
        <v>#DIV/0!</v>
      </c>
      <c r="AI2399" s="156" t="e">
        <f t="shared" si="804"/>
        <v>#DIV/0!</v>
      </c>
      <c r="AJ2399" s="149"/>
      <c r="AK2399" s="149"/>
      <c r="AL2399" s="157"/>
      <c r="AM2399" s="157"/>
      <c r="AN2399" s="157"/>
      <c r="AO2399" s="157"/>
      <c r="AP2399" s="157"/>
      <c r="AQ2399" s="157"/>
      <c r="AR2399" s="157"/>
    </row>
    <row r="2400" spans="1:44" ht="16.8">
      <c r="A2400" s="145">
        <v>291</v>
      </c>
      <c r="B2400" s="145">
        <v>1079</v>
      </c>
      <c r="C2400" s="145" t="s">
        <v>4588</v>
      </c>
      <c r="D2400" s="146" t="s">
        <v>4589</v>
      </c>
      <c r="E2400" s="147" t="s">
        <v>178</v>
      </c>
      <c r="F2400" s="148"/>
      <c r="G2400" s="148"/>
      <c r="H2400" s="149"/>
      <c r="I2400" s="149"/>
      <c r="J2400" s="149"/>
      <c r="K2400" s="149"/>
      <c r="L2400" s="149"/>
      <c r="M2400" s="149">
        <f t="shared" si="790"/>
        <v>0</v>
      </c>
      <c r="N2400" s="149"/>
      <c r="O2400" s="149">
        <f t="shared" si="797"/>
        <v>0</v>
      </c>
      <c r="P2400" s="149"/>
      <c r="Q2400" s="149"/>
      <c r="R2400" s="149">
        <f t="shared" si="798"/>
        <v>0</v>
      </c>
      <c r="S2400" s="150" t="e">
        <f t="shared" si="799"/>
        <v>#DIV/0!</v>
      </c>
      <c r="T2400" s="151" t="e">
        <f t="shared" si="800"/>
        <v>#DIV/0!</v>
      </c>
      <c r="U2400" s="150" t="e">
        <f t="shared" si="801"/>
        <v>#NUM!</v>
      </c>
      <c r="V2400" s="150" t="e">
        <f t="shared" si="802"/>
        <v>#DIV/0!</v>
      </c>
      <c r="W2400" s="152"/>
      <c r="X2400" s="152"/>
      <c r="Y2400" s="152"/>
      <c r="Z2400" s="153">
        <f t="shared" si="806"/>
        <v>0</v>
      </c>
      <c r="AA2400" s="148">
        <f t="shared" si="784"/>
        <v>0</v>
      </c>
      <c r="AB2400" s="149"/>
      <c r="AC2400" s="149"/>
      <c r="AD2400" s="150" t="e">
        <f t="shared" si="807"/>
        <v>#DIV/0!</v>
      </c>
      <c r="AE2400" s="154" t="e">
        <f t="shared" si="808"/>
        <v>#DIV/0!</v>
      </c>
      <c r="AF2400" s="150" t="e">
        <f t="shared" si="809"/>
        <v>#DIV/0!</v>
      </c>
      <c r="AG2400" s="150" t="e">
        <f t="shared" si="810"/>
        <v>#DIV/0!</v>
      </c>
      <c r="AH2400" s="155" t="e">
        <f t="shared" si="811"/>
        <v>#DIV/0!</v>
      </c>
      <c r="AI2400" s="156" t="e">
        <f t="shared" si="804"/>
        <v>#DIV/0!</v>
      </c>
      <c r="AJ2400" s="149"/>
      <c r="AK2400" s="149"/>
      <c r="AL2400" s="157"/>
      <c r="AM2400" s="157"/>
      <c r="AN2400" s="157"/>
      <c r="AO2400" s="157"/>
      <c r="AP2400" s="157"/>
      <c r="AQ2400" s="157"/>
      <c r="AR2400" s="157"/>
    </row>
    <row r="2401" spans="1:44" ht="16.8">
      <c r="A2401" s="145">
        <v>292</v>
      </c>
      <c r="B2401" s="145">
        <v>1080</v>
      </c>
      <c r="C2401" s="145" t="s">
        <v>4590</v>
      </c>
      <c r="D2401" s="146" t="s">
        <v>4591</v>
      </c>
      <c r="E2401" s="147" t="s">
        <v>178</v>
      </c>
      <c r="F2401" s="148"/>
      <c r="G2401" s="148"/>
      <c r="H2401" s="149"/>
      <c r="I2401" s="149"/>
      <c r="J2401" s="149"/>
      <c r="K2401" s="149"/>
      <c r="L2401" s="149"/>
      <c r="M2401" s="149">
        <f t="shared" si="790"/>
        <v>0</v>
      </c>
      <c r="N2401" s="149"/>
      <c r="O2401" s="149">
        <f t="shared" si="797"/>
        <v>0</v>
      </c>
      <c r="P2401" s="149"/>
      <c r="Q2401" s="149"/>
      <c r="R2401" s="149">
        <f t="shared" si="798"/>
        <v>0</v>
      </c>
      <c r="S2401" s="150" t="e">
        <f t="shared" si="799"/>
        <v>#DIV/0!</v>
      </c>
      <c r="T2401" s="151" t="e">
        <f t="shared" si="800"/>
        <v>#DIV/0!</v>
      </c>
      <c r="U2401" s="150" t="e">
        <f t="shared" si="801"/>
        <v>#NUM!</v>
      </c>
      <c r="V2401" s="150" t="e">
        <f t="shared" si="802"/>
        <v>#DIV/0!</v>
      </c>
      <c r="W2401" s="152"/>
      <c r="X2401" s="152"/>
      <c r="Y2401" s="152"/>
      <c r="Z2401" s="153">
        <f t="shared" si="806"/>
        <v>0</v>
      </c>
      <c r="AA2401" s="148">
        <f t="shared" si="784"/>
        <v>0</v>
      </c>
      <c r="AB2401" s="149"/>
      <c r="AC2401" s="149"/>
      <c r="AD2401" s="150" t="e">
        <f t="shared" si="807"/>
        <v>#DIV/0!</v>
      </c>
      <c r="AE2401" s="154" t="e">
        <f t="shared" si="808"/>
        <v>#DIV/0!</v>
      </c>
      <c r="AF2401" s="150" t="e">
        <f t="shared" si="809"/>
        <v>#DIV/0!</v>
      </c>
      <c r="AG2401" s="150" t="e">
        <f t="shared" si="810"/>
        <v>#DIV/0!</v>
      </c>
      <c r="AH2401" s="155" t="e">
        <f t="shared" si="811"/>
        <v>#DIV/0!</v>
      </c>
      <c r="AI2401" s="156" t="e">
        <f t="shared" si="804"/>
        <v>#DIV/0!</v>
      </c>
      <c r="AJ2401" s="149"/>
      <c r="AK2401" s="149"/>
      <c r="AL2401" s="157"/>
      <c r="AM2401" s="157"/>
      <c r="AN2401" s="157"/>
      <c r="AO2401" s="157"/>
      <c r="AP2401" s="157"/>
      <c r="AQ2401" s="157"/>
      <c r="AR2401" s="157"/>
    </row>
    <row r="2402" spans="1:44" ht="16.8">
      <c r="A2402" s="145">
        <v>293</v>
      </c>
      <c r="B2402" s="145">
        <v>1081</v>
      </c>
      <c r="C2402" s="145" t="s">
        <v>4592</v>
      </c>
      <c r="D2402" s="146" t="s">
        <v>4593</v>
      </c>
      <c r="E2402" s="147" t="s">
        <v>178</v>
      </c>
      <c r="F2402" s="148"/>
      <c r="G2402" s="148"/>
      <c r="H2402" s="149"/>
      <c r="I2402" s="149"/>
      <c r="J2402" s="149"/>
      <c r="K2402" s="149"/>
      <c r="L2402" s="149"/>
      <c r="M2402" s="149">
        <f t="shared" si="790"/>
        <v>0</v>
      </c>
      <c r="N2402" s="149"/>
      <c r="O2402" s="149">
        <f t="shared" si="797"/>
        <v>0</v>
      </c>
      <c r="P2402" s="149"/>
      <c r="Q2402" s="149"/>
      <c r="R2402" s="149">
        <f t="shared" si="798"/>
        <v>0</v>
      </c>
      <c r="S2402" s="150" t="e">
        <f t="shared" si="799"/>
        <v>#DIV/0!</v>
      </c>
      <c r="T2402" s="151" t="e">
        <f t="shared" si="800"/>
        <v>#DIV/0!</v>
      </c>
      <c r="U2402" s="150" t="e">
        <f t="shared" si="801"/>
        <v>#NUM!</v>
      </c>
      <c r="V2402" s="150" t="e">
        <f t="shared" si="802"/>
        <v>#DIV/0!</v>
      </c>
      <c r="W2402" s="152"/>
      <c r="X2402" s="152"/>
      <c r="Y2402" s="152"/>
      <c r="Z2402" s="153">
        <f t="shared" si="806"/>
        <v>0</v>
      </c>
      <c r="AA2402" s="148">
        <f t="shared" si="784"/>
        <v>0</v>
      </c>
      <c r="AB2402" s="149"/>
      <c r="AC2402" s="149"/>
      <c r="AD2402" s="150" t="e">
        <f t="shared" si="807"/>
        <v>#DIV/0!</v>
      </c>
      <c r="AE2402" s="154" t="e">
        <f t="shared" si="808"/>
        <v>#DIV/0!</v>
      </c>
      <c r="AF2402" s="150" t="e">
        <f t="shared" si="809"/>
        <v>#DIV/0!</v>
      </c>
      <c r="AG2402" s="150" t="e">
        <f t="shared" si="810"/>
        <v>#DIV/0!</v>
      </c>
      <c r="AH2402" s="155" t="e">
        <f t="shared" si="811"/>
        <v>#DIV/0!</v>
      </c>
      <c r="AI2402" s="156" t="e">
        <f t="shared" si="804"/>
        <v>#DIV/0!</v>
      </c>
      <c r="AJ2402" s="149"/>
      <c r="AK2402" s="149"/>
      <c r="AL2402" s="157"/>
      <c r="AM2402" s="157"/>
      <c r="AN2402" s="157"/>
      <c r="AO2402" s="157"/>
      <c r="AP2402" s="157"/>
      <c r="AQ2402" s="157"/>
      <c r="AR2402" s="157"/>
    </row>
    <row r="2403" spans="1:44" ht="16.8">
      <c r="A2403" s="145">
        <v>294</v>
      </c>
      <c r="B2403" s="145">
        <v>1082</v>
      </c>
      <c r="C2403" s="145" t="s">
        <v>4594</v>
      </c>
      <c r="D2403" s="146" t="s">
        <v>4595</v>
      </c>
      <c r="E2403" s="147" t="s">
        <v>178</v>
      </c>
      <c r="F2403" s="148"/>
      <c r="G2403" s="148"/>
      <c r="H2403" s="149"/>
      <c r="I2403" s="149"/>
      <c r="J2403" s="149"/>
      <c r="K2403" s="149"/>
      <c r="L2403" s="149"/>
      <c r="M2403" s="149">
        <f t="shared" si="790"/>
        <v>0</v>
      </c>
      <c r="N2403" s="149"/>
      <c r="O2403" s="149">
        <f t="shared" si="797"/>
        <v>0</v>
      </c>
      <c r="P2403" s="149"/>
      <c r="Q2403" s="149"/>
      <c r="R2403" s="149">
        <f t="shared" si="798"/>
        <v>0</v>
      </c>
      <c r="S2403" s="150" t="e">
        <f t="shared" si="799"/>
        <v>#DIV/0!</v>
      </c>
      <c r="T2403" s="151" t="e">
        <f t="shared" si="800"/>
        <v>#DIV/0!</v>
      </c>
      <c r="U2403" s="150" t="e">
        <f t="shared" si="801"/>
        <v>#NUM!</v>
      </c>
      <c r="V2403" s="150" t="e">
        <f t="shared" si="802"/>
        <v>#DIV/0!</v>
      </c>
      <c r="W2403" s="152"/>
      <c r="X2403" s="152"/>
      <c r="Y2403" s="152"/>
      <c r="Z2403" s="153">
        <f t="shared" si="806"/>
        <v>0</v>
      </c>
      <c r="AA2403" s="148">
        <f t="shared" si="784"/>
        <v>0</v>
      </c>
      <c r="AB2403" s="149"/>
      <c r="AC2403" s="149"/>
      <c r="AD2403" s="150" t="e">
        <f t="shared" si="807"/>
        <v>#DIV/0!</v>
      </c>
      <c r="AE2403" s="154" t="e">
        <f t="shared" si="808"/>
        <v>#DIV/0!</v>
      </c>
      <c r="AF2403" s="150" t="e">
        <f t="shared" si="809"/>
        <v>#DIV/0!</v>
      </c>
      <c r="AG2403" s="150" t="e">
        <f t="shared" si="810"/>
        <v>#DIV/0!</v>
      </c>
      <c r="AH2403" s="155" t="e">
        <f t="shared" si="811"/>
        <v>#DIV/0!</v>
      </c>
      <c r="AI2403" s="156" t="e">
        <f t="shared" si="804"/>
        <v>#DIV/0!</v>
      </c>
      <c r="AJ2403" s="149"/>
      <c r="AK2403" s="149"/>
      <c r="AL2403" s="157"/>
      <c r="AM2403" s="157"/>
      <c r="AN2403" s="157"/>
      <c r="AO2403" s="157"/>
      <c r="AP2403" s="157"/>
      <c r="AQ2403" s="157"/>
      <c r="AR2403" s="157"/>
    </row>
    <row r="2404" spans="1:44" ht="16.8">
      <c r="A2404" s="145">
        <v>295</v>
      </c>
      <c r="B2404" s="145">
        <v>1083</v>
      </c>
      <c r="C2404" s="145" t="s">
        <v>4596</v>
      </c>
      <c r="D2404" s="146" t="s">
        <v>4597</v>
      </c>
      <c r="E2404" s="147" t="s">
        <v>1371</v>
      </c>
      <c r="F2404" s="148"/>
      <c r="G2404" s="148"/>
      <c r="H2404" s="149"/>
      <c r="I2404" s="149"/>
      <c r="J2404" s="149"/>
      <c r="K2404" s="149"/>
      <c r="L2404" s="149"/>
      <c r="M2404" s="149">
        <f t="shared" si="790"/>
        <v>0</v>
      </c>
      <c r="N2404" s="149"/>
      <c r="O2404" s="149">
        <f t="shared" si="797"/>
        <v>0</v>
      </c>
      <c r="P2404" s="149"/>
      <c r="Q2404" s="149"/>
      <c r="R2404" s="149">
        <f t="shared" si="798"/>
        <v>0</v>
      </c>
      <c r="S2404" s="150" t="e">
        <f t="shared" si="799"/>
        <v>#DIV/0!</v>
      </c>
      <c r="T2404" s="151" t="e">
        <f t="shared" si="800"/>
        <v>#DIV/0!</v>
      </c>
      <c r="U2404" s="150" t="e">
        <f t="shared" si="801"/>
        <v>#NUM!</v>
      </c>
      <c r="V2404" s="150" t="e">
        <f t="shared" si="802"/>
        <v>#DIV/0!</v>
      </c>
      <c r="W2404" s="152"/>
      <c r="X2404" s="152"/>
      <c r="Y2404" s="152"/>
      <c r="Z2404" s="153">
        <f t="shared" si="806"/>
        <v>0</v>
      </c>
      <c r="AA2404" s="148">
        <f t="shared" si="784"/>
        <v>0</v>
      </c>
      <c r="AB2404" s="149"/>
      <c r="AC2404" s="149"/>
      <c r="AD2404" s="150" t="e">
        <f t="shared" si="807"/>
        <v>#DIV/0!</v>
      </c>
      <c r="AE2404" s="154" t="e">
        <f t="shared" si="808"/>
        <v>#DIV/0!</v>
      </c>
      <c r="AF2404" s="150" t="e">
        <f t="shared" si="809"/>
        <v>#DIV/0!</v>
      </c>
      <c r="AG2404" s="150" t="e">
        <f t="shared" si="810"/>
        <v>#DIV/0!</v>
      </c>
      <c r="AH2404" s="155" t="e">
        <f t="shared" si="811"/>
        <v>#DIV/0!</v>
      </c>
      <c r="AI2404" s="156" t="e">
        <f t="shared" si="804"/>
        <v>#DIV/0!</v>
      </c>
      <c r="AJ2404" s="149"/>
      <c r="AK2404" s="149"/>
      <c r="AL2404" s="157"/>
      <c r="AM2404" s="157"/>
      <c r="AN2404" s="157"/>
      <c r="AO2404" s="157"/>
      <c r="AP2404" s="157"/>
      <c r="AQ2404" s="157"/>
      <c r="AR2404" s="157"/>
    </row>
    <row r="2405" spans="1:44" ht="16.8">
      <c r="A2405" s="145">
        <v>296</v>
      </c>
      <c r="B2405" s="145">
        <v>1084</v>
      </c>
      <c r="C2405" s="145" t="s">
        <v>4598</v>
      </c>
      <c r="D2405" s="146" t="s">
        <v>4599</v>
      </c>
      <c r="E2405" s="147" t="s">
        <v>178</v>
      </c>
      <c r="F2405" s="148"/>
      <c r="G2405" s="148"/>
      <c r="H2405" s="149"/>
      <c r="I2405" s="149"/>
      <c r="J2405" s="149"/>
      <c r="K2405" s="149"/>
      <c r="L2405" s="149"/>
      <c r="M2405" s="149">
        <f t="shared" si="790"/>
        <v>0</v>
      </c>
      <c r="N2405" s="149"/>
      <c r="O2405" s="149">
        <f t="shared" si="797"/>
        <v>0</v>
      </c>
      <c r="P2405" s="149"/>
      <c r="Q2405" s="149"/>
      <c r="R2405" s="149">
        <f t="shared" si="798"/>
        <v>0</v>
      </c>
      <c r="S2405" s="150" t="e">
        <f t="shared" si="799"/>
        <v>#DIV/0!</v>
      </c>
      <c r="T2405" s="151" t="e">
        <f t="shared" si="800"/>
        <v>#DIV/0!</v>
      </c>
      <c r="U2405" s="150" t="e">
        <f t="shared" si="801"/>
        <v>#NUM!</v>
      </c>
      <c r="V2405" s="150" t="e">
        <f t="shared" si="802"/>
        <v>#DIV/0!</v>
      </c>
      <c r="W2405" s="152"/>
      <c r="X2405" s="152"/>
      <c r="Y2405" s="152"/>
      <c r="Z2405" s="153">
        <f t="shared" si="806"/>
        <v>0</v>
      </c>
      <c r="AA2405" s="148">
        <f t="shared" si="784"/>
        <v>0</v>
      </c>
      <c r="AB2405" s="149"/>
      <c r="AC2405" s="149"/>
      <c r="AD2405" s="150" t="e">
        <f t="shared" si="807"/>
        <v>#DIV/0!</v>
      </c>
      <c r="AE2405" s="154" t="e">
        <f t="shared" si="808"/>
        <v>#DIV/0!</v>
      </c>
      <c r="AF2405" s="150" t="e">
        <f t="shared" si="809"/>
        <v>#DIV/0!</v>
      </c>
      <c r="AG2405" s="150" t="e">
        <f t="shared" si="810"/>
        <v>#DIV/0!</v>
      </c>
      <c r="AH2405" s="155" t="e">
        <f t="shared" si="811"/>
        <v>#DIV/0!</v>
      </c>
      <c r="AI2405" s="156" t="e">
        <f t="shared" si="804"/>
        <v>#DIV/0!</v>
      </c>
      <c r="AJ2405" s="149"/>
      <c r="AK2405" s="149"/>
      <c r="AL2405" s="157"/>
      <c r="AM2405" s="157"/>
      <c r="AN2405" s="157"/>
      <c r="AO2405" s="157"/>
      <c r="AP2405" s="157"/>
      <c r="AQ2405" s="157"/>
      <c r="AR2405" s="157"/>
    </row>
    <row r="2406" spans="1:44" ht="16.8">
      <c r="A2406" s="145">
        <v>297</v>
      </c>
      <c r="B2406" s="145">
        <v>1085</v>
      </c>
      <c r="C2406" s="145" t="s">
        <v>4600</v>
      </c>
      <c r="D2406" s="146" t="s">
        <v>4601</v>
      </c>
      <c r="E2406" s="147" t="s">
        <v>178</v>
      </c>
      <c r="F2406" s="148"/>
      <c r="G2406" s="148"/>
      <c r="H2406" s="149"/>
      <c r="I2406" s="149"/>
      <c r="J2406" s="149"/>
      <c r="K2406" s="149"/>
      <c r="L2406" s="149"/>
      <c r="M2406" s="149">
        <f t="shared" si="790"/>
        <v>0</v>
      </c>
      <c r="N2406" s="149"/>
      <c r="O2406" s="149">
        <f t="shared" si="797"/>
        <v>0</v>
      </c>
      <c r="P2406" s="149"/>
      <c r="Q2406" s="149"/>
      <c r="R2406" s="149">
        <f t="shared" si="798"/>
        <v>0</v>
      </c>
      <c r="S2406" s="150" t="e">
        <f t="shared" si="799"/>
        <v>#DIV/0!</v>
      </c>
      <c r="T2406" s="151" t="e">
        <f t="shared" si="800"/>
        <v>#DIV/0!</v>
      </c>
      <c r="U2406" s="150" t="e">
        <f t="shared" si="801"/>
        <v>#NUM!</v>
      </c>
      <c r="V2406" s="150" t="e">
        <f t="shared" si="802"/>
        <v>#DIV/0!</v>
      </c>
      <c r="W2406" s="152"/>
      <c r="X2406" s="152"/>
      <c r="Y2406" s="152"/>
      <c r="Z2406" s="153">
        <f t="shared" si="806"/>
        <v>0</v>
      </c>
      <c r="AA2406" s="148">
        <f t="shared" si="784"/>
        <v>0</v>
      </c>
      <c r="AB2406" s="149"/>
      <c r="AC2406" s="149"/>
      <c r="AD2406" s="150" t="e">
        <f t="shared" si="807"/>
        <v>#DIV/0!</v>
      </c>
      <c r="AE2406" s="154" t="e">
        <f t="shared" si="808"/>
        <v>#DIV/0!</v>
      </c>
      <c r="AF2406" s="150" t="e">
        <f t="shared" si="809"/>
        <v>#DIV/0!</v>
      </c>
      <c r="AG2406" s="150" t="e">
        <f t="shared" si="810"/>
        <v>#DIV/0!</v>
      </c>
      <c r="AH2406" s="155" t="e">
        <f t="shared" si="811"/>
        <v>#DIV/0!</v>
      </c>
      <c r="AI2406" s="156" t="e">
        <f t="shared" si="804"/>
        <v>#DIV/0!</v>
      </c>
      <c r="AJ2406" s="149"/>
      <c r="AK2406" s="149"/>
      <c r="AL2406" s="157"/>
      <c r="AM2406" s="157"/>
      <c r="AN2406" s="157"/>
      <c r="AO2406" s="157"/>
      <c r="AP2406" s="157"/>
      <c r="AQ2406" s="157"/>
      <c r="AR2406" s="157"/>
    </row>
    <row r="2407" spans="1:44" ht="16.8">
      <c r="A2407" s="145">
        <v>298</v>
      </c>
      <c r="B2407" s="145">
        <v>1086</v>
      </c>
      <c r="C2407" s="145" t="s">
        <v>4602</v>
      </c>
      <c r="D2407" s="146" t="s">
        <v>4603</v>
      </c>
      <c r="E2407" s="147" t="s">
        <v>178</v>
      </c>
      <c r="F2407" s="148"/>
      <c r="G2407" s="148"/>
      <c r="H2407" s="149"/>
      <c r="I2407" s="149"/>
      <c r="J2407" s="149"/>
      <c r="K2407" s="149"/>
      <c r="L2407" s="149"/>
      <c r="M2407" s="149">
        <f t="shared" si="790"/>
        <v>0</v>
      </c>
      <c r="N2407" s="149"/>
      <c r="O2407" s="149">
        <f t="shared" si="797"/>
        <v>0</v>
      </c>
      <c r="P2407" s="149"/>
      <c r="Q2407" s="149"/>
      <c r="R2407" s="149">
        <f t="shared" si="798"/>
        <v>0</v>
      </c>
      <c r="S2407" s="150" t="e">
        <f t="shared" si="799"/>
        <v>#DIV/0!</v>
      </c>
      <c r="T2407" s="151" t="e">
        <f t="shared" si="800"/>
        <v>#DIV/0!</v>
      </c>
      <c r="U2407" s="150" t="e">
        <f t="shared" si="801"/>
        <v>#NUM!</v>
      </c>
      <c r="V2407" s="150" t="e">
        <f t="shared" si="802"/>
        <v>#DIV/0!</v>
      </c>
      <c r="W2407" s="152"/>
      <c r="X2407" s="152"/>
      <c r="Y2407" s="152"/>
      <c r="Z2407" s="153">
        <f t="shared" si="806"/>
        <v>0</v>
      </c>
      <c r="AA2407" s="148">
        <f t="shared" si="784"/>
        <v>0</v>
      </c>
      <c r="AB2407" s="149"/>
      <c r="AC2407" s="149"/>
      <c r="AD2407" s="150" t="e">
        <f t="shared" si="807"/>
        <v>#DIV/0!</v>
      </c>
      <c r="AE2407" s="154" t="e">
        <f t="shared" si="808"/>
        <v>#DIV/0!</v>
      </c>
      <c r="AF2407" s="150" t="e">
        <f t="shared" si="809"/>
        <v>#DIV/0!</v>
      </c>
      <c r="AG2407" s="150" t="e">
        <f t="shared" si="810"/>
        <v>#DIV/0!</v>
      </c>
      <c r="AH2407" s="155" t="e">
        <f t="shared" si="811"/>
        <v>#DIV/0!</v>
      </c>
      <c r="AI2407" s="156" t="e">
        <f t="shared" si="804"/>
        <v>#DIV/0!</v>
      </c>
      <c r="AJ2407" s="149"/>
      <c r="AK2407" s="149"/>
      <c r="AL2407" s="157"/>
      <c r="AM2407" s="157"/>
      <c r="AN2407" s="157"/>
      <c r="AO2407" s="157"/>
      <c r="AP2407" s="157"/>
      <c r="AQ2407" s="157"/>
      <c r="AR2407" s="157"/>
    </row>
    <row r="2408" spans="1:44" ht="16.8">
      <c r="A2408" s="145">
        <v>299</v>
      </c>
      <c r="B2408" s="145">
        <v>1087</v>
      </c>
      <c r="C2408" s="145" t="s">
        <v>4604</v>
      </c>
      <c r="D2408" s="146" t="s">
        <v>4605</v>
      </c>
      <c r="E2408" s="147" t="s">
        <v>178</v>
      </c>
      <c r="F2408" s="148"/>
      <c r="G2408" s="148"/>
      <c r="H2408" s="149"/>
      <c r="I2408" s="149"/>
      <c r="J2408" s="149"/>
      <c r="K2408" s="149"/>
      <c r="L2408" s="149"/>
      <c r="M2408" s="149">
        <f t="shared" si="790"/>
        <v>0</v>
      </c>
      <c r="N2408" s="149"/>
      <c r="O2408" s="149">
        <f t="shared" si="797"/>
        <v>0</v>
      </c>
      <c r="P2408" s="149"/>
      <c r="Q2408" s="149"/>
      <c r="R2408" s="149">
        <f t="shared" si="798"/>
        <v>0</v>
      </c>
      <c r="S2408" s="150" t="e">
        <f t="shared" si="799"/>
        <v>#DIV/0!</v>
      </c>
      <c r="T2408" s="151" t="e">
        <f t="shared" si="800"/>
        <v>#DIV/0!</v>
      </c>
      <c r="U2408" s="150" t="e">
        <f t="shared" si="801"/>
        <v>#NUM!</v>
      </c>
      <c r="V2408" s="150" t="e">
        <f t="shared" si="802"/>
        <v>#DIV/0!</v>
      </c>
      <c r="W2408" s="152"/>
      <c r="X2408" s="152"/>
      <c r="Y2408" s="152"/>
      <c r="Z2408" s="153">
        <f t="shared" si="806"/>
        <v>0</v>
      </c>
      <c r="AA2408" s="148">
        <f t="shared" si="784"/>
        <v>0</v>
      </c>
      <c r="AB2408" s="149"/>
      <c r="AC2408" s="149"/>
      <c r="AD2408" s="150" t="e">
        <f t="shared" si="807"/>
        <v>#DIV/0!</v>
      </c>
      <c r="AE2408" s="154" t="e">
        <f t="shared" si="808"/>
        <v>#DIV/0!</v>
      </c>
      <c r="AF2408" s="150" t="e">
        <f t="shared" si="809"/>
        <v>#DIV/0!</v>
      </c>
      <c r="AG2408" s="150" t="e">
        <f t="shared" si="810"/>
        <v>#DIV/0!</v>
      </c>
      <c r="AH2408" s="155" t="e">
        <f t="shared" si="811"/>
        <v>#DIV/0!</v>
      </c>
      <c r="AI2408" s="156" t="e">
        <f t="shared" si="804"/>
        <v>#DIV/0!</v>
      </c>
      <c r="AJ2408" s="149"/>
      <c r="AK2408" s="149"/>
      <c r="AL2408" s="157"/>
      <c r="AM2408" s="157"/>
      <c r="AN2408" s="157"/>
      <c r="AO2408" s="157"/>
      <c r="AP2408" s="157"/>
      <c r="AQ2408" s="157"/>
      <c r="AR2408" s="157"/>
    </row>
    <row r="2409" spans="1:44" ht="16.8">
      <c r="A2409" s="145">
        <v>300</v>
      </c>
      <c r="B2409" s="145">
        <v>1088</v>
      </c>
      <c r="C2409" s="145" t="s">
        <v>4606</v>
      </c>
      <c r="D2409" s="146" t="s">
        <v>4607</v>
      </c>
      <c r="E2409" s="147" t="s">
        <v>178</v>
      </c>
      <c r="F2409" s="148"/>
      <c r="G2409" s="148"/>
      <c r="H2409" s="149"/>
      <c r="I2409" s="149"/>
      <c r="J2409" s="149"/>
      <c r="K2409" s="149"/>
      <c r="L2409" s="149"/>
      <c r="M2409" s="149">
        <f t="shared" si="790"/>
        <v>0</v>
      </c>
      <c r="N2409" s="149"/>
      <c r="O2409" s="149">
        <f t="shared" si="797"/>
        <v>0</v>
      </c>
      <c r="P2409" s="149"/>
      <c r="Q2409" s="149"/>
      <c r="R2409" s="149">
        <f t="shared" si="798"/>
        <v>0</v>
      </c>
      <c r="S2409" s="150" t="e">
        <f t="shared" si="799"/>
        <v>#DIV/0!</v>
      </c>
      <c r="T2409" s="151" t="e">
        <f t="shared" si="800"/>
        <v>#DIV/0!</v>
      </c>
      <c r="U2409" s="150" t="e">
        <f t="shared" si="801"/>
        <v>#NUM!</v>
      </c>
      <c r="V2409" s="150" t="e">
        <f t="shared" si="802"/>
        <v>#DIV/0!</v>
      </c>
      <c r="W2409" s="152"/>
      <c r="X2409" s="152"/>
      <c r="Y2409" s="152"/>
      <c r="Z2409" s="153">
        <f t="shared" si="806"/>
        <v>0</v>
      </c>
      <c r="AA2409" s="148">
        <f t="shared" si="784"/>
        <v>0</v>
      </c>
      <c r="AB2409" s="149"/>
      <c r="AC2409" s="149"/>
      <c r="AD2409" s="150" t="e">
        <f t="shared" si="807"/>
        <v>#DIV/0!</v>
      </c>
      <c r="AE2409" s="154" t="e">
        <f t="shared" si="808"/>
        <v>#DIV/0!</v>
      </c>
      <c r="AF2409" s="150" t="e">
        <f t="shared" si="809"/>
        <v>#DIV/0!</v>
      </c>
      <c r="AG2409" s="150" t="e">
        <f t="shared" si="810"/>
        <v>#DIV/0!</v>
      </c>
      <c r="AH2409" s="155" t="e">
        <f t="shared" si="811"/>
        <v>#DIV/0!</v>
      </c>
      <c r="AI2409" s="156" t="e">
        <f t="shared" si="804"/>
        <v>#DIV/0!</v>
      </c>
      <c r="AJ2409" s="149"/>
      <c r="AK2409" s="149"/>
      <c r="AL2409" s="157"/>
      <c r="AM2409" s="157"/>
      <c r="AN2409" s="157"/>
      <c r="AO2409" s="157"/>
      <c r="AP2409" s="157"/>
      <c r="AQ2409" s="157"/>
      <c r="AR2409" s="157"/>
    </row>
    <row r="2410" spans="1:44" ht="16.8">
      <c r="A2410" s="145">
        <v>301</v>
      </c>
      <c r="B2410" s="145">
        <v>1089</v>
      </c>
      <c r="C2410" s="145" t="s">
        <v>4608</v>
      </c>
      <c r="D2410" s="146" t="s">
        <v>4609</v>
      </c>
      <c r="E2410" s="147" t="s">
        <v>949</v>
      </c>
      <c r="F2410" s="148"/>
      <c r="G2410" s="148"/>
      <c r="H2410" s="149"/>
      <c r="I2410" s="149"/>
      <c r="J2410" s="149"/>
      <c r="K2410" s="149"/>
      <c r="L2410" s="149"/>
      <c r="M2410" s="149">
        <f t="shared" si="790"/>
        <v>0</v>
      </c>
      <c r="N2410" s="149"/>
      <c r="O2410" s="149">
        <f t="shared" si="797"/>
        <v>0</v>
      </c>
      <c r="P2410" s="149"/>
      <c r="Q2410" s="149"/>
      <c r="R2410" s="149">
        <f t="shared" si="798"/>
        <v>0</v>
      </c>
      <c r="S2410" s="150" t="e">
        <f t="shared" si="799"/>
        <v>#DIV/0!</v>
      </c>
      <c r="T2410" s="151" t="e">
        <f t="shared" si="800"/>
        <v>#DIV/0!</v>
      </c>
      <c r="U2410" s="150" t="e">
        <f t="shared" si="801"/>
        <v>#NUM!</v>
      </c>
      <c r="V2410" s="150" t="e">
        <f t="shared" si="802"/>
        <v>#DIV/0!</v>
      </c>
      <c r="W2410" s="152"/>
      <c r="X2410" s="152"/>
      <c r="Y2410" s="152"/>
      <c r="Z2410" s="153">
        <f t="shared" si="806"/>
        <v>0</v>
      </c>
      <c r="AA2410" s="148">
        <f t="shared" si="784"/>
        <v>0</v>
      </c>
      <c r="AB2410" s="149"/>
      <c r="AC2410" s="149"/>
      <c r="AD2410" s="150" t="e">
        <f t="shared" si="807"/>
        <v>#DIV/0!</v>
      </c>
      <c r="AE2410" s="154" t="e">
        <f t="shared" si="808"/>
        <v>#DIV/0!</v>
      </c>
      <c r="AF2410" s="150" t="e">
        <f t="shared" si="809"/>
        <v>#DIV/0!</v>
      </c>
      <c r="AG2410" s="150" t="e">
        <f t="shared" si="810"/>
        <v>#DIV/0!</v>
      </c>
      <c r="AH2410" s="155" t="e">
        <f t="shared" si="811"/>
        <v>#DIV/0!</v>
      </c>
      <c r="AI2410" s="156" t="e">
        <f t="shared" si="804"/>
        <v>#DIV/0!</v>
      </c>
      <c r="AJ2410" s="149"/>
      <c r="AK2410" s="149"/>
      <c r="AL2410" s="157"/>
      <c r="AM2410" s="157"/>
      <c r="AN2410" s="157"/>
      <c r="AO2410" s="157"/>
      <c r="AP2410" s="157"/>
      <c r="AQ2410" s="157"/>
      <c r="AR2410" s="157"/>
    </row>
    <row r="2411" spans="1:44" ht="16.8">
      <c r="A2411" s="145">
        <v>302</v>
      </c>
      <c r="B2411" s="145">
        <v>1090</v>
      </c>
      <c r="C2411" s="145" t="s">
        <v>4610</v>
      </c>
      <c r="D2411" s="146" t="s">
        <v>4611</v>
      </c>
      <c r="E2411" s="147" t="s">
        <v>178</v>
      </c>
      <c r="F2411" s="148"/>
      <c r="G2411" s="148"/>
      <c r="H2411" s="149"/>
      <c r="I2411" s="149"/>
      <c r="J2411" s="149"/>
      <c r="K2411" s="149"/>
      <c r="L2411" s="149"/>
      <c r="M2411" s="149">
        <f t="shared" si="790"/>
        <v>0</v>
      </c>
      <c r="N2411" s="149"/>
      <c r="O2411" s="149">
        <f t="shared" si="797"/>
        <v>0</v>
      </c>
      <c r="P2411" s="149"/>
      <c r="Q2411" s="149"/>
      <c r="R2411" s="149">
        <f t="shared" si="798"/>
        <v>0</v>
      </c>
      <c r="S2411" s="150" t="e">
        <f t="shared" si="799"/>
        <v>#DIV/0!</v>
      </c>
      <c r="T2411" s="151" t="e">
        <f t="shared" si="800"/>
        <v>#DIV/0!</v>
      </c>
      <c r="U2411" s="150" t="e">
        <f t="shared" si="801"/>
        <v>#NUM!</v>
      </c>
      <c r="V2411" s="150" t="e">
        <f t="shared" si="802"/>
        <v>#DIV/0!</v>
      </c>
      <c r="W2411" s="152"/>
      <c r="X2411" s="152"/>
      <c r="Y2411" s="152"/>
      <c r="Z2411" s="153">
        <f t="shared" si="806"/>
        <v>0</v>
      </c>
      <c r="AA2411" s="148">
        <f t="shared" si="784"/>
        <v>0</v>
      </c>
      <c r="AB2411" s="149"/>
      <c r="AC2411" s="149"/>
      <c r="AD2411" s="150" t="e">
        <f t="shared" si="807"/>
        <v>#DIV/0!</v>
      </c>
      <c r="AE2411" s="154" t="e">
        <f t="shared" si="808"/>
        <v>#DIV/0!</v>
      </c>
      <c r="AF2411" s="150" t="e">
        <f t="shared" si="809"/>
        <v>#DIV/0!</v>
      </c>
      <c r="AG2411" s="150" t="e">
        <f t="shared" si="810"/>
        <v>#DIV/0!</v>
      </c>
      <c r="AH2411" s="155" t="e">
        <f t="shared" si="811"/>
        <v>#DIV/0!</v>
      </c>
      <c r="AI2411" s="156" t="e">
        <f t="shared" si="804"/>
        <v>#DIV/0!</v>
      </c>
      <c r="AJ2411" s="149"/>
      <c r="AK2411" s="149"/>
      <c r="AL2411" s="157"/>
      <c r="AM2411" s="157"/>
      <c r="AN2411" s="157"/>
      <c r="AO2411" s="157"/>
      <c r="AP2411" s="157"/>
      <c r="AQ2411" s="157"/>
      <c r="AR2411" s="157"/>
    </row>
    <row r="2412" spans="1:44" ht="16.8">
      <c r="A2412" s="145">
        <v>304</v>
      </c>
      <c r="B2412" s="145">
        <v>1092</v>
      </c>
      <c r="C2412" s="145" t="s">
        <v>4612</v>
      </c>
      <c r="D2412" s="146" t="s">
        <v>4613</v>
      </c>
      <c r="E2412" s="147" t="s">
        <v>178</v>
      </c>
      <c r="F2412" s="148"/>
      <c r="G2412" s="148"/>
      <c r="H2412" s="149"/>
      <c r="I2412" s="149"/>
      <c r="J2412" s="149"/>
      <c r="K2412" s="149"/>
      <c r="L2412" s="149"/>
      <c r="M2412" s="149">
        <f t="shared" si="790"/>
        <v>0</v>
      </c>
      <c r="N2412" s="149"/>
      <c r="O2412" s="149">
        <f t="shared" si="797"/>
        <v>0</v>
      </c>
      <c r="P2412" s="149"/>
      <c r="Q2412" s="149"/>
      <c r="R2412" s="149">
        <f t="shared" si="798"/>
        <v>0</v>
      </c>
      <c r="S2412" s="150" t="e">
        <f t="shared" si="799"/>
        <v>#DIV/0!</v>
      </c>
      <c r="T2412" s="151" t="e">
        <f t="shared" si="800"/>
        <v>#DIV/0!</v>
      </c>
      <c r="U2412" s="150" t="e">
        <f t="shared" si="801"/>
        <v>#NUM!</v>
      </c>
      <c r="V2412" s="150" t="e">
        <f t="shared" si="802"/>
        <v>#DIV/0!</v>
      </c>
      <c r="W2412" s="152"/>
      <c r="X2412" s="152"/>
      <c r="Y2412" s="152"/>
      <c r="Z2412" s="153">
        <f t="shared" si="806"/>
        <v>0</v>
      </c>
      <c r="AA2412" s="148">
        <f t="shared" si="784"/>
        <v>0</v>
      </c>
      <c r="AB2412" s="149"/>
      <c r="AC2412" s="149"/>
      <c r="AD2412" s="150" t="e">
        <f t="shared" si="807"/>
        <v>#DIV/0!</v>
      </c>
      <c r="AE2412" s="154" t="e">
        <f t="shared" si="808"/>
        <v>#DIV/0!</v>
      </c>
      <c r="AF2412" s="150" t="e">
        <f t="shared" si="809"/>
        <v>#DIV/0!</v>
      </c>
      <c r="AG2412" s="150" t="e">
        <f t="shared" si="810"/>
        <v>#DIV/0!</v>
      </c>
      <c r="AH2412" s="155" t="e">
        <f t="shared" si="811"/>
        <v>#DIV/0!</v>
      </c>
      <c r="AI2412" s="156" t="e">
        <f t="shared" si="804"/>
        <v>#DIV/0!</v>
      </c>
      <c r="AJ2412" s="149"/>
      <c r="AK2412" s="149"/>
      <c r="AL2412" s="157"/>
      <c r="AM2412" s="157"/>
      <c r="AN2412" s="157"/>
      <c r="AO2412" s="157"/>
      <c r="AP2412" s="157"/>
      <c r="AQ2412" s="157"/>
      <c r="AR2412" s="157"/>
    </row>
    <row r="2413" spans="1:44" ht="16.8">
      <c r="A2413" s="145">
        <v>305</v>
      </c>
      <c r="B2413" s="145">
        <v>1093</v>
      </c>
      <c r="C2413" s="145" t="s">
        <v>4614</v>
      </c>
      <c r="D2413" s="146" t="s">
        <v>4615</v>
      </c>
      <c r="E2413" s="147" t="s">
        <v>178</v>
      </c>
      <c r="F2413" s="148"/>
      <c r="G2413" s="148"/>
      <c r="H2413" s="149"/>
      <c r="I2413" s="149"/>
      <c r="J2413" s="149"/>
      <c r="K2413" s="149"/>
      <c r="L2413" s="149"/>
      <c r="M2413" s="149">
        <f t="shared" si="790"/>
        <v>0</v>
      </c>
      <c r="N2413" s="149"/>
      <c r="O2413" s="149">
        <f t="shared" si="797"/>
        <v>0</v>
      </c>
      <c r="P2413" s="149"/>
      <c r="Q2413" s="149"/>
      <c r="R2413" s="149">
        <f t="shared" si="798"/>
        <v>0</v>
      </c>
      <c r="S2413" s="150" t="e">
        <f t="shared" si="799"/>
        <v>#DIV/0!</v>
      </c>
      <c r="T2413" s="151" t="e">
        <f t="shared" si="800"/>
        <v>#DIV/0!</v>
      </c>
      <c r="U2413" s="150" t="e">
        <f t="shared" si="801"/>
        <v>#NUM!</v>
      </c>
      <c r="V2413" s="150" t="e">
        <f t="shared" si="802"/>
        <v>#DIV/0!</v>
      </c>
      <c r="W2413" s="152"/>
      <c r="X2413" s="152"/>
      <c r="Y2413" s="152"/>
      <c r="Z2413" s="153">
        <f t="shared" si="806"/>
        <v>0</v>
      </c>
      <c r="AA2413" s="148">
        <f t="shared" si="784"/>
        <v>0</v>
      </c>
      <c r="AB2413" s="149"/>
      <c r="AC2413" s="149"/>
      <c r="AD2413" s="150" t="e">
        <f t="shared" si="807"/>
        <v>#DIV/0!</v>
      </c>
      <c r="AE2413" s="154" t="e">
        <f t="shared" si="808"/>
        <v>#DIV/0!</v>
      </c>
      <c r="AF2413" s="150" t="e">
        <f t="shared" si="809"/>
        <v>#DIV/0!</v>
      </c>
      <c r="AG2413" s="150" t="e">
        <f t="shared" si="810"/>
        <v>#DIV/0!</v>
      </c>
      <c r="AH2413" s="155" t="e">
        <f t="shared" si="811"/>
        <v>#DIV/0!</v>
      </c>
      <c r="AI2413" s="156" t="e">
        <f t="shared" si="804"/>
        <v>#DIV/0!</v>
      </c>
      <c r="AJ2413" s="149"/>
      <c r="AK2413" s="149"/>
      <c r="AL2413" s="157"/>
      <c r="AM2413" s="157"/>
      <c r="AN2413" s="157"/>
      <c r="AO2413" s="157"/>
      <c r="AP2413" s="157"/>
      <c r="AQ2413" s="157"/>
      <c r="AR2413" s="157"/>
    </row>
    <row r="2414" spans="1:44" ht="16.8">
      <c r="A2414" s="145">
        <v>306</v>
      </c>
      <c r="B2414" s="145">
        <v>1094</v>
      </c>
      <c r="C2414" s="145" t="s">
        <v>4616</v>
      </c>
      <c r="D2414" s="146" t="s">
        <v>4617</v>
      </c>
      <c r="E2414" s="147" t="s">
        <v>178</v>
      </c>
      <c r="F2414" s="148"/>
      <c r="G2414" s="148"/>
      <c r="H2414" s="149"/>
      <c r="I2414" s="149"/>
      <c r="J2414" s="149"/>
      <c r="K2414" s="149"/>
      <c r="L2414" s="149"/>
      <c r="M2414" s="149">
        <f t="shared" si="790"/>
        <v>0</v>
      </c>
      <c r="N2414" s="149"/>
      <c r="O2414" s="149">
        <f t="shared" si="797"/>
        <v>0</v>
      </c>
      <c r="P2414" s="149"/>
      <c r="Q2414" s="149"/>
      <c r="R2414" s="149">
        <f t="shared" si="798"/>
        <v>0</v>
      </c>
      <c r="S2414" s="150" t="e">
        <f t="shared" si="799"/>
        <v>#DIV/0!</v>
      </c>
      <c r="T2414" s="151" t="e">
        <f t="shared" si="800"/>
        <v>#DIV/0!</v>
      </c>
      <c r="U2414" s="150" t="e">
        <f t="shared" si="801"/>
        <v>#NUM!</v>
      </c>
      <c r="V2414" s="150" t="e">
        <f t="shared" si="802"/>
        <v>#DIV/0!</v>
      </c>
      <c r="W2414" s="152"/>
      <c r="X2414" s="152"/>
      <c r="Y2414" s="152"/>
      <c r="Z2414" s="153">
        <f t="shared" si="806"/>
        <v>0</v>
      </c>
      <c r="AA2414" s="148">
        <f t="shared" si="784"/>
        <v>0</v>
      </c>
      <c r="AB2414" s="149"/>
      <c r="AC2414" s="149"/>
      <c r="AD2414" s="150" t="e">
        <f t="shared" si="807"/>
        <v>#DIV/0!</v>
      </c>
      <c r="AE2414" s="154" t="e">
        <f t="shared" si="808"/>
        <v>#DIV/0!</v>
      </c>
      <c r="AF2414" s="150" t="e">
        <f t="shared" si="809"/>
        <v>#DIV/0!</v>
      </c>
      <c r="AG2414" s="150" t="e">
        <f t="shared" si="810"/>
        <v>#DIV/0!</v>
      </c>
      <c r="AH2414" s="155" t="e">
        <f t="shared" si="811"/>
        <v>#DIV/0!</v>
      </c>
      <c r="AI2414" s="156" t="e">
        <f t="shared" si="804"/>
        <v>#DIV/0!</v>
      </c>
      <c r="AJ2414" s="149"/>
      <c r="AK2414" s="149"/>
      <c r="AL2414" s="157"/>
      <c r="AM2414" s="157"/>
      <c r="AN2414" s="157"/>
      <c r="AO2414" s="157"/>
      <c r="AP2414" s="157"/>
      <c r="AQ2414" s="157"/>
      <c r="AR2414" s="157"/>
    </row>
    <row r="2415" spans="1:44" ht="16.8">
      <c r="A2415" s="145">
        <v>307</v>
      </c>
      <c r="B2415" s="145">
        <v>1095</v>
      </c>
      <c r="C2415" s="145" t="s">
        <v>4618</v>
      </c>
      <c r="D2415" s="146" t="s">
        <v>4619</v>
      </c>
      <c r="E2415" s="147" t="s">
        <v>1371</v>
      </c>
      <c r="F2415" s="148"/>
      <c r="G2415" s="148"/>
      <c r="H2415" s="149"/>
      <c r="I2415" s="149"/>
      <c r="J2415" s="149"/>
      <c r="K2415" s="149"/>
      <c r="L2415" s="149"/>
      <c r="M2415" s="149">
        <f t="shared" si="790"/>
        <v>0</v>
      </c>
      <c r="N2415" s="149"/>
      <c r="O2415" s="149">
        <f t="shared" si="797"/>
        <v>0</v>
      </c>
      <c r="P2415" s="149"/>
      <c r="Q2415" s="149"/>
      <c r="R2415" s="149">
        <f t="shared" si="798"/>
        <v>0</v>
      </c>
      <c r="S2415" s="150" t="e">
        <f t="shared" si="799"/>
        <v>#DIV/0!</v>
      </c>
      <c r="T2415" s="151" t="e">
        <f t="shared" si="800"/>
        <v>#DIV/0!</v>
      </c>
      <c r="U2415" s="150" t="e">
        <f t="shared" si="801"/>
        <v>#NUM!</v>
      </c>
      <c r="V2415" s="150" t="e">
        <f t="shared" si="802"/>
        <v>#DIV/0!</v>
      </c>
      <c r="W2415" s="152"/>
      <c r="X2415" s="152"/>
      <c r="Y2415" s="152"/>
      <c r="Z2415" s="153">
        <f t="shared" si="806"/>
        <v>0</v>
      </c>
      <c r="AA2415" s="148">
        <f t="shared" si="784"/>
        <v>0</v>
      </c>
      <c r="AB2415" s="149"/>
      <c r="AC2415" s="149"/>
      <c r="AD2415" s="150" t="e">
        <f t="shared" si="807"/>
        <v>#DIV/0!</v>
      </c>
      <c r="AE2415" s="154" t="e">
        <f t="shared" si="808"/>
        <v>#DIV/0!</v>
      </c>
      <c r="AF2415" s="150" t="e">
        <f t="shared" si="809"/>
        <v>#DIV/0!</v>
      </c>
      <c r="AG2415" s="150" t="e">
        <f t="shared" si="810"/>
        <v>#DIV/0!</v>
      </c>
      <c r="AH2415" s="155" t="e">
        <f t="shared" si="811"/>
        <v>#DIV/0!</v>
      </c>
      <c r="AI2415" s="156" t="e">
        <f t="shared" si="804"/>
        <v>#DIV/0!</v>
      </c>
      <c r="AJ2415" s="149"/>
      <c r="AK2415" s="149"/>
      <c r="AL2415" s="157"/>
      <c r="AM2415" s="157"/>
      <c r="AN2415" s="157"/>
      <c r="AO2415" s="157"/>
      <c r="AP2415" s="157"/>
      <c r="AQ2415" s="157"/>
      <c r="AR2415" s="157"/>
    </row>
    <row r="2416" spans="1:44" ht="16.8">
      <c r="A2416" s="145">
        <v>308</v>
      </c>
      <c r="B2416" s="145">
        <v>1096</v>
      </c>
      <c r="C2416" s="145" t="s">
        <v>4620</v>
      </c>
      <c r="D2416" s="146" t="s">
        <v>4621</v>
      </c>
      <c r="E2416" s="147" t="s">
        <v>178</v>
      </c>
      <c r="F2416" s="148"/>
      <c r="G2416" s="148"/>
      <c r="H2416" s="149"/>
      <c r="I2416" s="149"/>
      <c r="J2416" s="149"/>
      <c r="K2416" s="149"/>
      <c r="L2416" s="149"/>
      <c r="M2416" s="149">
        <f t="shared" si="790"/>
        <v>0</v>
      </c>
      <c r="N2416" s="149"/>
      <c r="O2416" s="149">
        <f t="shared" si="797"/>
        <v>0</v>
      </c>
      <c r="P2416" s="149"/>
      <c r="Q2416" s="149"/>
      <c r="R2416" s="149">
        <f t="shared" si="798"/>
        <v>0</v>
      </c>
      <c r="S2416" s="150" t="e">
        <f t="shared" si="799"/>
        <v>#DIV/0!</v>
      </c>
      <c r="T2416" s="151" t="e">
        <f t="shared" si="800"/>
        <v>#DIV/0!</v>
      </c>
      <c r="U2416" s="150" t="e">
        <f t="shared" si="801"/>
        <v>#NUM!</v>
      </c>
      <c r="V2416" s="150" t="e">
        <f t="shared" si="802"/>
        <v>#DIV/0!</v>
      </c>
      <c r="W2416" s="152"/>
      <c r="X2416" s="152"/>
      <c r="Y2416" s="152"/>
      <c r="Z2416" s="153">
        <f t="shared" si="806"/>
        <v>0</v>
      </c>
      <c r="AA2416" s="148">
        <f t="shared" si="784"/>
        <v>0</v>
      </c>
      <c r="AB2416" s="149"/>
      <c r="AC2416" s="149"/>
      <c r="AD2416" s="150" t="e">
        <f t="shared" si="807"/>
        <v>#DIV/0!</v>
      </c>
      <c r="AE2416" s="154" t="e">
        <f t="shared" si="808"/>
        <v>#DIV/0!</v>
      </c>
      <c r="AF2416" s="150" t="e">
        <f t="shared" si="809"/>
        <v>#DIV/0!</v>
      </c>
      <c r="AG2416" s="150" t="e">
        <f t="shared" si="810"/>
        <v>#DIV/0!</v>
      </c>
      <c r="AH2416" s="155" t="e">
        <f t="shared" si="811"/>
        <v>#DIV/0!</v>
      </c>
      <c r="AI2416" s="156" t="e">
        <f t="shared" si="804"/>
        <v>#DIV/0!</v>
      </c>
      <c r="AJ2416" s="149"/>
      <c r="AK2416" s="149"/>
      <c r="AL2416" s="157"/>
      <c r="AM2416" s="157"/>
      <c r="AN2416" s="157"/>
      <c r="AO2416" s="157"/>
      <c r="AP2416" s="157"/>
      <c r="AQ2416" s="157"/>
      <c r="AR2416" s="157"/>
    </row>
    <row r="2417" spans="1:44" ht="16.8">
      <c r="A2417" s="145">
        <v>309</v>
      </c>
      <c r="B2417" s="145">
        <v>1097</v>
      </c>
      <c r="C2417" s="145" t="s">
        <v>4622</v>
      </c>
      <c r="D2417" s="146" t="s">
        <v>4623</v>
      </c>
      <c r="E2417" s="147" t="s">
        <v>178</v>
      </c>
      <c r="F2417" s="148"/>
      <c r="G2417" s="148"/>
      <c r="H2417" s="149"/>
      <c r="I2417" s="149"/>
      <c r="J2417" s="149"/>
      <c r="K2417" s="149"/>
      <c r="L2417" s="149"/>
      <c r="M2417" s="149">
        <f t="shared" si="790"/>
        <v>0</v>
      </c>
      <c r="N2417" s="149"/>
      <c r="O2417" s="149">
        <f t="shared" si="797"/>
        <v>0</v>
      </c>
      <c r="P2417" s="149"/>
      <c r="Q2417" s="149"/>
      <c r="R2417" s="149">
        <f t="shared" si="798"/>
        <v>0</v>
      </c>
      <c r="S2417" s="150" t="e">
        <f t="shared" si="799"/>
        <v>#DIV/0!</v>
      </c>
      <c r="T2417" s="151" t="e">
        <f t="shared" si="800"/>
        <v>#DIV/0!</v>
      </c>
      <c r="U2417" s="150" t="e">
        <f t="shared" si="801"/>
        <v>#NUM!</v>
      </c>
      <c r="V2417" s="150" t="e">
        <f t="shared" si="802"/>
        <v>#DIV/0!</v>
      </c>
      <c r="W2417" s="152"/>
      <c r="X2417" s="152"/>
      <c r="Y2417" s="152"/>
      <c r="Z2417" s="153">
        <f t="shared" si="806"/>
        <v>0</v>
      </c>
      <c r="AA2417" s="148">
        <f t="shared" si="784"/>
        <v>0</v>
      </c>
      <c r="AB2417" s="149"/>
      <c r="AC2417" s="149"/>
      <c r="AD2417" s="150" t="e">
        <f t="shared" si="807"/>
        <v>#DIV/0!</v>
      </c>
      <c r="AE2417" s="154" t="e">
        <f t="shared" si="808"/>
        <v>#DIV/0!</v>
      </c>
      <c r="AF2417" s="150" t="e">
        <f t="shared" si="809"/>
        <v>#DIV/0!</v>
      </c>
      <c r="AG2417" s="150" t="e">
        <f t="shared" si="810"/>
        <v>#DIV/0!</v>
      </c>
      <c r="AH2417" s="155" t="e">
        <f t="shared" si="811"/>
        <v>#DIV/0!</v>
      </c>
      <c r="AI2417" s="156" t="e">
        <f t="shared" si="804"/>
        <v>#DIV/0!</v>
      </c>
      <c r="AJ2417" s="149"/>
      <c r="AK2417" s="149"/>
      <c r="AL2417" s="157"/>
      <c r="AM2417" s="157"/>
      <c r="AN2417" s="157"/>
      <c r="AO2417" s="157"/>
      <c r="AP2417" s="157"/>
      <c r="AQ2417" s="157"/>
      <c r="AR2417" s="157"/>
    </row>
    <row r="2418" spans="1:44" ht="16.8">
      <c r="A2418" s="145">
        <v>310</v>
      </c>
      <c r="B2418" s="145">
        <v>1098</v>
      </c>
      <c r="C2418" s="145" t="s">
        <v>4624</v>
      </c>
      <c r="D2418" s="146" t="s">
        <v>4625</v>
      </c>
      <c r="E2418" s="147" t="s">
        <v>178</v>
      </c>
      <c r="F2418" s="148"/>
      <c r="G2418" s="148"/>
      <c r="H2418" s="149"/>
      <c r="I2418" s="149"/>
      <c r="J2418" s="149"/>
      <c r="K2418" s="149"/>
      <c r="L2418" s="149"/>
      <c r="M2418" s="149">
        <f t="shared" si="790"/>
        <v>0</v>
      </c>
      <c r="N2418" s="149"/>
      <c r="O2418" s="149">
        <f t="shared" si="797"/>
        <v>0</v>
      </c>
      <c r="P2418" s="149"/>
      <c r="Q2418" s="149"/>
      <c r="R2418" s="149">
        <f t="shared" si="798"/>
        <v>0</v>
      </c>
      <c r="S2418" s="150" t="e">
        <f t="shared" si="799"/>
        <v>#DIV/0!</v>
      </c>
      <c r="T2418" s="151" t="e">
        <f t="shared" si="800"/>
        <v>#DIV/0!</v>
      </c>
      <c r="U2418" s="150" t="e">
        <f t="shared" si="801"/>
        <v>#NUM!</v>
      </c>
      <c r="V2418" s="150" t="e">
        <f t="shared" si="802"/>
        <v>#DIV/0!</v>
      </c>
      <c r="W2418" s="152"/>
      <c r="X2418" s="152"/>
      <c r="Y2418" s="152"/>
      <c r="Z2418" s="153">
        <f t="shared" si="806"/>
        <v>0</v>
      </c>
      <c r="AA2418" s="148">
        <f t="shared" si="784"/>
        <v>0</v>
      </c>
      <c r="AB2418" s="149"/>
      <c r="AC2418" s="149"/>
      <c r="AD2418" s="150" t="e">
        <f t="shared" si="807"/>
        <v>#DIV/0!</v>
      </c>
      <c r="AE2418" s="154" t="e">
        <f t="shared" si="808"/>
        <v>#DIV/0!</v>
      </c>
      <c r="AF2418" s="150" t="e">
        <f t="shared" si="809"/>
        <v>#DIV/0!</v>
      </c>
      <c r="AG2418" s="150" t="e">
        <f t="shared" si="810"/>
        <v>#DIV/0!</v>
      </c>
      <c r="AH2418" s="155" t="e">
        <f t="shared" si="811"/>
        <v>#DIV/0!</v>
      </c>
      <c r="AI2418" s="156" t="e">
        <f t="shared" si="804"/>
        <v>#DIV/0!</v>
      </c>
      <c r="AJ2418" s="149"/>
      <c r="AK2418" s="149"/>
      <c r="AL2418" s="157"/>
      <c r="AM2418" s="157"/>
      <c r="AN2418" s="157"/>
      <c r="AO2418" s="157"/>
      <c r="AP2418" s="157"/>
      <c r="AQ2418" s="157"/>
      <c r="AR2418" s="157"/>
    </row>
    <row r="2419" spans="1:44" ht="16.8">
      <c r="A2419" s="145">
        <v>311</v>
      </c>
      <c r="B2419" s="145">
        <v>1099</v>
      </c>
      <c r="C2419" s="145" t="s">
        <v>4626</v>
      </c>
      <c r="D2419" s="146" t="s">
        <v>4627</v>
      </c>
      <c r="E2419" s="147" t="s">
        <v>178</v>
      </c>
      <c r="F2419" s="148"/>
      <c r="G2419" s="148"/>
      <c r="H2419" s="149"/>
      <c r="I2419" s="149"/>
      <c r="J2419" s="149"/>
      <c r="K2419" s="149"/>
      <c r="L2419" s="149"/>
      <c r="M2419" s="149">
        <f t="shared" si="790"/>
        <v>0</v>
      </c>
      <c r="N2419" s="149"/>
      <c r="O2419" s="149">
        <f t="shared" si="797"/>
        <v>0</v>
      </c>
      <c r="P2419" s="149"/>
      <c r="Q2419" s="149"/>
      <c r="R2419" s="149">
        <f t="shared" si="798"/>
        <v>0</v>
      </c>
      <c r="S2419" s="150" t="e">
        <f t="shared" si="799"/>
        <v>#DIV/0!</v>
      </c>
      <c r="T2419" s="151" t="e">
        <f t="shared" si="800"/>
        <v>#DIV/0!</v>
      </c>
      <c r="U2419" s="150" t="e">
        <f t="shared" si="801"/>
        <v>#NUM!</v>
      </c>
      <c r="V2419" s="150" t="e">
        <f t="shared" si="802"/>
        <v>#DIV/0!</v>
      </c>
      <c r="W2419" s="152"/>
      <c r="X2419" s="152"/>
      <c r="Y2419" s="152"/>
      <c r="Z2419" s="153">
        <f t="shared" si="806"/>
        <v>0</v>
      </c>
      <c r="AA2419" s="148">
        <f t="shared" si="784"/>
        <v>0</v>
      </c>
      <c r="AB2419" s="149"/>
      <c r="AC2419" s="149"/>
      <c r="AD2419" s="150" t="e">
        <f t="shared" si="807"/>
        <v>#DIV/0!</v>
      </c>
      <c r="AE2419" s="154" t="e">
        <f t="shared" si="808"/>
        <v>#DIV/0!</v>
      </c>
      <c r="AF2419" s="150" t="e">
        <f t="shared" si="809"/>
        <v>#DIV/0!</v>
      </c>
      <c r="AG2419" s="150" t="e">
        <f t="shared" si="810"/>
        <v>#DIV/0!</v>
      </c>
      <c r="AH2419" s="155" t="e">
        <f t="shared" si="811"/>
        <v>#DIV/0!</v>
      </c>
      <c r="AI2419" s="156" t="e">
        <f t="shared" si="804"/>
        <v>#DIV/0!</v>
      </c>
      <c r="AJ2419" s="149"/>
      <c r="AK2419" s="149"/>
      <c r="AL2419" s="157"/>
      <c r="AM2419" s="157"/>
      <c r="AN2419" s="157"/>
      <c r="AO2419" s="157"/>
      <c r="AP2419" s="157"/>
      <c r="AQ2419" s="157"/>
      <c r="AR2419" s="157"/>
    </row>
    <row r="2420" spans="1:44" ht="16.8">
      <c r="A2420" s="145">
        <v>312</v>
      </c>
      <c r="B2420" s="145">
        <v>1100</v>
      </c>
      <c r="C2420" s="145" t="s">
        <v>4628</v>
      </c>
      <c r="D2420" s="146" t="s">
        <v>4629</v>
      </c>
      <c r="E2420" s="147" t="s">
        <v>178</v>
      </c>
      <c r="F2420" s="148"/>
      <c r="G2420" s="148"/>
      <c r="H2420" s="149"/>
      <c r="I2420" s="149"/>
      <c r="J2420" s="149"/>
      <c r="K2420" s="149"/>
      <c r="L2420" s="149"/>
      <c r="M2420" s="149">
        <f t="shared" si="790"/>
        <v>0</v>
      </c>
      <c r="N2420" s="149"/>
      <c r="O2420" s="149">
        <f t="shared" si="797"/>
        <v>0</v>
      </c>
      <c r="P2420" s="149"/>
      <c r="Q2420" s="149"/>
      <c r="R2420" s="149">
        <f t="shared" si="798"/>
        <v>0</v>
      </c>
      <c r="S2420" s="150" t="e">
        <f t="shared" si="799"/>
        <v>#DIV/0!</v>
      </c>
      <c r="T2420" s="151" t="e">
        <f t="shared" si="800"/>
        <v>#DIV/0!</v>
      </c>
      <c r="U2420" s="150" t="e">
        <f t="shared" si="801"/>
        <v>#NUM!</v>
      </c>
      <c r="V2420" s="150" t="e">
        <f t="shared" si="802"/>
        <v>#DIV/0!</v>
      </c>
      <c r="W2420" s="152"/>
      <c r="X2420" s="152"/>
      <c r="Y2420" s="152"/>
      <c r="Z2420" s="153">
        <f t="shared" si="806"/>
        <v>0</v>
      </c>
      <c r="AA2420" s="148">
        <f t="shared" si="784"/>
        <v>0</v>
      </c>
      <c r="AB2420" s="149"/>
      <c r="AC2420" s="149"/>
      <c r="AD2420" s="150" t="e">
        <f t="shared" si="807"/>
        <v>#DIV/0!</v>
      </c>
      <c r="AE2420" s="154" t="e">
        <f t="shared" si="808"/>
        <v>#DIV/0!</v>
      </c>
      <c r="AF2420" s="150" t="e">
        <f t="shared" si="809"/>
        <v>#DIV/0!</v>
      </c>
      <c r="AG2420" s="150" t="e">
        <f t="shared" si="810"/>
        <v>#DIV/0!</v>
      </c>
      <c r="AH2420" s="155" t="e">
        <f t="shared" si="811"/>
        <v>#DIV/0!</v>
      </c>
      <c r="AI2420" s="156" t="e">
        <f t="shared" si="804"/>
        <v>#DIV/0!</v>
      </c>
      <c r="AJ2420" s="149"/>
      <c r="AK2420" s="149"/>
      <c r="AL2420" s="157"/>
      <c r="AM2420" s="157"/>
      <c r="AN2420" s="157"/>
      <c r="AO2420" s="157"/>
      <c r="AP2420" s="157"/>
      <c r="AQ2420" s="157"/>
      <c r="AR2420" s="157"/>
    </row>
    <row r="2421" spans="1:44" ht="16.8">
      <c r="A2421" s="145">
        <v>313</v>
      </c>
      <c r="B2421" s="145">
        <v>1101</v>
      </c>
      <c r="C2421" s="145" t="s">
        <v>4630</v>
      </c>
      <c r="D2421" s="146" t="s">
        <v>4631</v>
      </c>
      <c r="E2421" s="147" t="s">
        <v>178</v>
      </c>
      <c r="F2421" s="148"/>
      <c r="G2421" s="148"/>
      <c r="H2421" s="149"/>
      <c r="I2421" s="149"/>
      <c r="J2421" s="149"/>
      <c r="K2421" s="149"/>
      <c r="L2421" s="149"/>
      <c r="M2421" s="149">
        <f t="shared" si="790"/>
        <v>0</v>
      </c>
      <c r="N2421" s="149"/>
      <c r="O2421" s="149">
        <f t="shared" si="797"/>
        <v>0</v>
      </c>
      <c r="P2421" s="149"/>
      <c r="Q2421" s="149"/>
      <c r="R2421" s="149">
        <f t="shared" si="798"/>
        <v>0</v>
      </c>
      <c r="S2421" s="150" t="e">
        <f t="shared" si="799"/>
        <v>#DIV/0!</v>
      </c>
      <c r="T2421" s="151" t="e">
        <f t="shared" si="800"/>
        <v>#DIV/0!</v>
      </c>
      <c r="U2421" s="150" t="e">
        <f t="shared" si="801"/>
        <v>#NUM!</v>
      </c>
      <c r="V2421" s="150" t="e">
        <f t="shared" si="802"/>
        <v>#DIV/0!</v>
      </c>
      <c r="W2421" s="152"/>
      <c r="X2421" s="152"/>
      <c r="Y2421" s="152"/>
      <c r="Z2421" s="153">
        <f t="shared" si="806"/>
        <v>0</v>
      </c>
      <c r="AA2421" s="148">
        <f t="shared" si="784"/>
        <v>0</v>
      </c>
      <c r="AB2421" s="149"/>
      <c r="AC2421" s="149"/>
      <c r="AD2421" s="150" t="e">
        <f t="shared" si="807"/>
        <v>#DIV/0!</v>
      </c>
      <c r="AE2421" s="154" t="e">
        <f t="shared" si="808"/>
        <v>#DIV/0!</v>
      </c>
      <c r="AF2421" s="150" t="e">
        <f t="shared" si="809"/>
        <v>#DIV/0!</v>
      </c>
      <c r="AG2421" s="150" t="e">
        <f t="shared" si="810"/>
        <v>#DIV/0!</v>
      </c>
      <c r="AH2421" s="155" t="e">
        <f t="shared" si="811"/>
        <v>#DIV/0!</v>
      </c>
      <c r="AI2421" s="156" t="e">
        <f t="shared" si="804"/>
        <v>#DIV/0!</v>
      </c>
      <c r="AJ2421" s="149"/>
      <c r="AK2421" s="149"/>
      <c r="AL2421" s="157"/>
      <c r="AM2421" s="157"/>
      <c r="AN2421" s="157"/>
      <c r="AO2421" s="157"/>
      <c r="AP2421" s="157"/>
      <c r="AQ2421" s="157"/>
      <c r="AR2421" s="157"/>
    </row>
    <row r="2422" spans="1:44" ht="16.8">
      <c r="A2422" s="145">
        <v>314</v>
      </c>
      <c r="B2422" s="145">
        <v>1102</v>
      </c>
      <c r="C2422" s="145" t="s">
        <v>4632</v>
      </c>
      <c r="D2422" s="146" t="s">
        <v>4633</v>
      </c>
      <c r="E2422" s="147" t="s">
        <v>178</v>
      </c>
      <c r="F2422" s="148"/>
      <c r="G2422" s="148"/>
      <c r="H2422" s="149"/>
      <c r="I2422" s="149"/>
      <c r="J2422" s="149"/>
      <c r="K2422" s="149"/>
      <c r="L2422" s="149"/>
      <c r="M2422" s="149">
        <f t="shared" si="790"/>
        <v>0</v>
      </c>
      <c r="N2422" s="149"/>
      <c r="O2422" s="149">
        <f t="shared" si="797"/>
        <v>0</v>
      </c>
      <c r="P2422" s="149"/>
      <c r="Q2422" s="149"/>
      <c r="R2422" s="149">
        <f t="shared" si="798"/>
        <v>0</v>
      </c>
      <c r="S2422" s="150" t="e">
        <f t="shared" si="799"/>
        <v>#DIV/0!</v>
      </c>
      <c r="T2422" s="151" t="e">
        <f t="shared" si="800"/>
        <v>#DIV/0!</v>
      </c>
      <c r="U2422" s="150" t="e">
        <f t="shared" si="801"/>
        <v>#NUM!</v>
      </c>
      <c r="V2422" s="150" t="e">
        <f t="shared" si="802"/>
        <v>#DIV/0!</v>
      </c>
      <c r="W2422" s="152"/>
      <c r="X2422" s="152"/>
      <c r="Y2422" s="152"/>
      <c r="Z2422" s="153">
        <f t="shared" si="806"/>
        <v>0</v>
      </c>
      <c r="AA2422" s="148">
        <f t="shared" si="784"/>
        <v>0</v>
      </c>
      <c r="AB2422" s="149"/>
      <c r="AC2422" s="149"/>
      <c r="AD2422" s="150" t="e">
        <f t="shared" si="807"/>
        <v>#DIV/0!</v>
      </c>
      <c r="AE2422" s="154" t="e">
        <f t="shared" si="808"/>
        <v>#DIV/0!</v>
      </c>
      <c r="AF2422" s="150" t="e">
        <f t="shared" si="809"/>
        <v>#DIV/0!</v>
      </c>
      <c r="AG2422" s="150" t="e">
        <f t="shared" si="810"/>
        <v>#DIV/0!</v>
      </c>
      <c r="AH2422" s="155" t="e">
        <f t="shared" si="811"/>
        <v>#DIV/0!</v>
      </c>
      <c r="AI2422" s="156" t="e">
        <f t="shared" si="804"/>
        <v>#DIV/0!</v>
      </c>
      <c r="AJ2422" s="149"/>
      <c r="AK2422" s="149"/>
      <c r="AL2422" s="157"/>
      <c r="AM2422" s="157"/>
      <c r="AN2422" s="157"/>
      <c r="AO2422" s="157"/>
      <c r="AP2422" s="157"/>
      <c r="AQ2422" s="157"/>
      <c r="AR2422" s="157"/>
    </row>
    <row r="2423" spans="1:44" ht="16.8">
      <c r="A2423" s="145">
        <v>315</v>
      </c>
      <c r="B2423" s="145">
        <v>1103</v>
      </c>
      <c r="C2423" s="145" t="s">
        <v>4634</v>
      </c>
      <c r="D2423" s="146" t="s">
        <v>4635</v>
      </c>
      <c r="E2423" s="147" t="s">
        <v>1371</v>
      </c>
      <c r="F2423" s="148"/>
      <c r="G2423" s="148"/>
      <c r="H2423" s="149"/>
      <c r="I2423" s="149"/>
      <c r="J2423" s="149"/>
      <c r="K2423" s="149"/>
      <c r="L2423" s="149"/>
      <c r="M2423" s="149">
        <f t="shared" si="790"/>
        <v>0</v>
      </c>
      <c r="N2423" s="149"/>
      <c r="O2423" s="149">
        <f t="shared" si="797"/>
        <v>0</v>
      </c>
      <c r="P2423" s="149"/>
      <c r="Q2423" s="149"/>
      <c r="R2423" s="149">
        <f t="shared" si="798"/>
        <v>0</v>
      </c>
      <c r="S2423" s="150" t="e">
        <f t="shared" si="799"/>
        <v>#DIV/0!</v>
      </c>
      <c r="T2423" s="151" t="e">
        <f t="shared" si="800"/>
        <v>#DIV/0!</v>
      </c>
      <c r="U2423" s="150" t="e">
        <f t="shared" si="801"/>
        <v>#NUM!</v>
      </c>
      <c r="V2423" s="150" t="e">
        <f t="shared" si="802"/>
        <v>#DIV/0!</v>
      </c>
      <c r="W2423" s="152"/>
      <c r="X2423" s="152"/>
      <c r="Y2423" s="152"/>
      <c r="Z2423" s="153">
        <f t="shared" si="806"/>
        <v>0</v>
      </c>
      <c r="AA2423" s="148">
        <f t="shared" si="784"/>
        <v>0</v>
      </c>
      <c r="AB2423" s="149"/>
      <c r="AC2423" s="149"/>
      <c r="AD2423" s="150" t="e">
        <f t="shared" si="807"/>
        <v>#DIV/0!</v>
      </c>
      <c r="AE2423" s="154" t="e">
        <f t="shared" si="808"/>
        <v>#DIV/0!</v>
      </c>
      <c r="AF2423" s="150" t="e">
        <f t="shared" si="809"/>
        <v>#DIV/0!</v>
      </c>
      <c r="AG2423" s="150" t="e">
        <f t="shared" si="810"/>
        <v>#DIV/0!</v>
      </c>
      <c r="AH2423" s="155" t="e">
        <f t="shared" si="811"/>
        <v>#DIV/0!</v>
      </c>
      <c r="AI2423" s="156" t="e">
        <f t="shared" si="804"/>
        <v>#DIV/0!</v>
      </c>
      <c r="AJ2423" s="149"/>
      <c r="AK2423" s="149"/>
      <c r="AL2423" s="157"/>
      <c r="AM2423" s="157"/>
      <c r="AN2423" s="157"/>
      <c r="AO2423" s="157"/>
      <c r="AP2423" s="157"/>
      <c r="AQ2423" s="157"/>
      <c r="AR2423" s="157"/>
    </row>
    <row r="2424" spans="1:44" ht="16.8">
      <c r="A2424" s="145">
        <v>316</v>
      </c>
      <c r="B2424" s="145">
        <v>1104</v>
      </c>
      <c r="C2424" s="145" t="s">
        <v>4636</v>
      </c>
      <c r="D2424" s="146" t="s">
        <v>4637</v>
      </c>
      <c r="E2424" s="147" t="s">
        <v>178</v>
      </c>
      <c r="F2424" s="148"/>
      <c r="G2424" s="148"/>
      <c r="H2424" s="149"/>
      <c r="I2424" s="149"/>
      <c r="J2424" s="149"/>
      <c r="K2424" s="149"/>
      <c r="L2424" s="149"/>
      <c r="M2424" s="149">
        <f t="shared" si="790"/>
        <v>0</v>
      </c>
      <c r="N2424" s="149"/>
      <c r="O2424" s="149">
        <f t="shared" si="797"/>
        <v>0</v>
      </c>
      <c r="P2424" s="149"/>
      <c r="Q2424" s="149"/>
      <c r="R2424" s="149">
        <f t="shared" si="798"/>
        <v>0</v>
      </c>
      <c r="S2424" s="150" t="e">
        <f t="shared" si="799"/>
        <v>#DIV/0!</v>
      </c>
      <c r="T2424" s="151" t="e">
        <f t="shared" si="800"/>
        <v>#DIV/0!</v>
      </c>
      <c r="U2424" s="150" t="e">
        <f t="shared" si="801"/>
        <v>#NUM!</v>
      </c>
      <c r="V2424" s="150" t="e">
        <f t="shared" si="802"/>
        <v>#DIV/0!</v>
      </c>
      <c r="W2424" s="152"/>
      <c r="X2424" s="152"/>
      <c r="Y2424" s="152"/>
      <c r="Z2424" s="153">
        <f t="shared" si="806"/>
        <v>0</v>
      </c>
      <c r="AA2424" s="148">
        <f t="shared" si="784"/>
        <v>0</v>
      </c>
      <c r="AB2424" s="149"/>
      <c r="AC2424" s="149"/>
      <c r="AD2424" s="150" t="e">
        <f t="shared" si="807"/>
        <v>#DIV/0!</v>
      </c>
      <c r="AE2424" s="154" t="e">
        <f t="shared" si="808"/>
        <v>#DIV/0!</v>
      </c>
      <c r="AF2424" s="150" t="e">
        <f t="shared" si="809"/>
        <v>#DIV/0!</v>
      </c>
      <c r="AG2424" s="150" t="e">
        <f t="shared" si="810"/>
        <v>#DIV/0!</v>
      </c>
      <c r="AH2424" s="155" t="e">
        <f t="shared" si="811"/>
        <v>#DIV/0!</v>
      </c>
      <c r="AI2424" s="156" t="e">
        <f t="shared" si="804"/>
        <v>#DIV/0!</v>
      </c>
      <c r="AJ2424" s="149"/>
      <c r="AK2424" s="149"/>
      <c r="AL2424" s="157"/>
      <c r="AM2424" s="157"/>
      <c r="AN2424" s="157"/>
      <c r="AO2424" s="157"/>
      <c r="AP2424" s="157"/>
      <c r="AQ2424" s="157"/>
      <c r="AR2424" s="157"/>
    </row>
    <row r="2425" spans="1:44" ht="16.8">
      <c r="A2425" s="145">
        <v>317</v>
      </c>
      <c r="B2425" s="145">
        <v>1105</v>
      </c>
      <c r="C2425" s="145" t="s">
        <v>4638</v>
      </c>
      <c r="D2425" s="146" t="s">
        <v>4639</v>
      </c>
      <c r="E2425" s="147" t="s">
        <v>178</v>
      </c>
      <c r="F2425" s="148"/>
      <c r="G2425" s="148"/>
      <c r="H2425" s="149"/>
      <c r="I2425" s="149"/>
      <c r="J2425" s="149"/>
      <c r="K2425" s="149"/>
      <c r="L2425" s="149"/>
      <c r="M2425" s="149">
        <f t="shared" si="790"/>
        <v>0</v>
      </c>
      <c r="N2425" s="149"/>
      <c r="O2425" s="149">
        <f t="shared" si="797"/>
        <v>0</v>
      </c>
      <c r="P2425" s="149"/>
      <c r="Q2425" s="149"/>
      <c r="R2425" s="149">
        <f t="shared" si="798"/>
        <v>0</v>
      </c>
      <c r="S2425" s="150" t="e">
        <f t="shared" si="799"/>
        <v>#DIV/0!</v>
      </c>
      <c r="T2425" s="151" t="e">
        <f t="shared" si="800"/>
        <v>#DIV/0!</v>
      </c>
      <c r="U2425" s="150" t="e">
        <f t="shared" si="801"/>
        <v>#NUM!</v>
      </c>
      <c r="V2425" s="150" t="e">
        <f t="shared" si="802"/>
        <v>#DIV/0!</v>
      </c>
      <c r="W2425" s="152"/>
      <c r="X2425" s="152"/>
      <c r="Y2425" s="152"/>
      <c r="Z2425" s="153">
        <f t="shared" si="806"/>
        <v>0</v>
      </c>
      <c r="AA2425" s="148">
        <f t="shared" si="784"/>
        <v>0</v>
      </c>
      <c r="AB2425" s="149"/>
      <c r="AC2425" s="149"/>
      <c r="AD2425" s="150" t="e">
        <f t="shared" si="807"/>
        <v>#DIV/0!</v>
      </c>
      <c r="AE2425" s="154" t="e">
        <f t="shared" si="808"/>
        <v>#DIV/0!</v>
      </c>
      <c r="AF2425" s="150" t="e">
        <f t="shared" si="809"/>
        <v>#DIV/0!</v>
      </c>
      <c r="AG2425" s="150" t="e">
        <f t="shared" si="810"/>
        <v>#DIV/0!</v>
      </c>
      <c r="AH2425" s="155" t="e">
        <f t="shared" si="811"/>
        <v>#DIV/0!</v>
      </c>
      <c r="AI2425" s="156" t="e">
        <f t="shared" si="804"/>
        <v>#DIV/0!</v>
      </c>
      <c r="AJ2425" s="149"/>
      <c r="AK2425" s="149"/>
      <c r="AL2425" s="157"/>
      <c r="AM2425" s="157"/>
      <c r="AN2425" s="157"/>
      <c r="AO2425" s="157"/>
      <c r="AP2425" s="157"/>
      <c r="AQ2425" s="157"/>
      <c r="AR2425" s="157"/>
    </row>
    <row r="2426" spans="1:44" ht="16.8">
      <c r="A2426" s="145">
        <v>318</v>
      </c>
      <c r="B2426" s="145">
        <v>1106</v>
      </c>
      <c r="C2426" s="145" t="s">
        <v>4640</v>
      </c>
      <c r="D2426" s="146" t="s">
        <v>4641</v>
      </c>
      <c r="E2426" s="147" t="s">
        <v>178</v>
      </c>
      <c r="F2426" s="148"/>
      <c r="G2426" s="148"/>
      <c r="H2426" s="149"/>
      <c r="I2426" s="149"/>
      <c r="J2426" s="149"/>
      <c r="K2426" s="149"/>
      <c r="L2426" s="149"/>
      <c r="M2426" s="149">
        <f t="shared" si="790"/>
        <v>0</v>
      </c>
      <c r="N2426" s="149"/>
      <c r="O2426" s="149">
        <f t="shared" si="797"/>
        <v>0</v>
      </c>
      <c r="P2426" s="149"/>
      <c r="Q2426" s="149"/>
      <c r="R2426" s="149">
        <f t="shared" si="798"/>
        <v>0</v>
      </c>
      <c r="S2426" s="150" t="e">
        <f t="shared" si="799"/>
        <v>#DIV/0!</v>
      </c>
      <c r="T2426" s="151" t="e">
        <f t="shared" si="800"/>
        <v>#DIV/0!</v>
      </c>
      <c r="U2426" s="150" t="e">
        <f t="shared" si="801"/>
        <v>#NUM!</v>
      </c>
      <c r="V2426" s="150" t="e">
        <f t="shared" si="802"/>
        <v>#DIV/0!</v>
      </c>
      <c r="W2426" s="152"/>
      <c r="X2426" s="152"/>
      <c r="Y2426" s="152"/>
      <c r="Z2426" s="153">
        <f t="shared" si="806"/>
        <v>0</v>
      </c>
      <c r="AA2426" s="148">
        <f t="shared" si="784"/>
        <v>0</v>
      </c>
      <c r="AB2426" s="149"/>
      <c r="AC2426" s="149"/>
      <c r="AD2426" s="150" t="e">
        <f t="shared" si="807"/>
        <v>#DIV/0!</v>
      </c>
      <c r="AE2426" s="154" t="e">
        <f t="shared" si="808"/>
        <v>#DIV/0!</v>
      </c>
      <c r="AF2426" s="150" t="e">
        <f t="shared" si="809"/>
        <v>#DIV/0!</v>
      </c>
      <c r="AG2426" s="150" t="e">
        <f t="shared" si="810"/>
        <v>#DIV/0!</v>
      </c>
      <c r="AH2426" s="155" t="e">
        <f t="shared" si="811"/>
        <v>#DIV/0!</v>
      </c>
      <c r="AI2426" s="156" t="e">
        <f t="shared" si="804"/>
        <v>#DIV/0!</v>
      </c>
      <c r="AJ2426" s="149"/>
      <c r="AK2426" s="149"/>
      <c r="AL2426" s="157"/>
      <c r="AM2426" s="157"/>
      <c r="AN2426" s="157"/>
      <c r="AO2426" s="157"/>
      <c r="AP2426" s="157"/>
      <c r="AQ2426" s="157"/>
      <c r="AR2426" s="157"/>
    </row>
    <row r="2427" spans="1:44" ht="16.8">
      <c r="A2427" s="145">
        <v>319</v>
      </c>
      <c r="B2427" s="145">
        <v>1107</v>
      </c>
      <c r="C2427" s="145" t="s">
        <v>4642</v>
      </c>
      <c r="D2427" s="146" t="s">
        <v>4643</v>
      </c>
      <c r="E2427" s="147" t="s">
        <v>178</v>
      </c>
      <c r="F2427" s="148"/>
      <c r="G2427" s="148"/>
      <c r="H2427" s="149"/>
      <c r="I2427" s="149"/>
      <c r="J2427" s="149"/>
      <c r="K2427" s="149"/>
      <c r="L2427" s="149"/>
      <c r="M2427" s="149">
        <f t="shared" si="790"/>
        <v>0</v>
      </c>
      <c r="N2427" s="149"/>
      <c r="O2427" s="149">
        <f t="shared" si="797"/>
        <v>0</v>
      </c>
      <c r="P2427" s="149"/>
      <c r="Q2427" s="149"/>
      <c r="R2427" s="149">
        <f t="shared" si="798"/>
        <v>0</v>
      </c>
      <c r="S2427" s="150" t="e">
        <f t="shared" si="799"/>
        <v>#DIV/0!</v>
      </c>
      <c r="T2427" s="151" t="e">
        <f t="shared" si="800"/>
        <v>#DIV/0!</v>
      </c>
      <c r="U2427" s="150" t="e">
        <f t="shared" si="801"/>
        <v>#NUM!</v>
      </c>
      <c r="V2427" s="150" t="e">
        <f t="shared" si="802"/>
        <v>#DIV/0!</v>
      </c>
      <c r="W2427" s="152"/>
      <c r="X2427" s="152"/>
      <c r="Y2427" s="152"/>
      <c r="Z2427" s="153">
        <f t="shared" si="806"/>
        <v>0</v>
      </c>
      <c r="AA2427" s="148">
        <f t="shared" si="784"/>
        <v>0</v>
      </c>
      <c r="AB2427" s="149"/>
      <c r="AC2427" s="149"/>
      <c r="AD2427" s="150" t="e">
        <f t="shared" si="807"/>
        <v>#DIV/0!</v>
      </c>
      <c r="AE2427" s="154" t="e">
        <f t="shared" si="808"/>
        <v>#DIV/0!</v>
      </c>
      <c r="AF2427" s="150" t="e">
        <f t="shared" si="809"/>
        <v>#DIV/0!</v>
      </c>
      <c r="AG2427" s="150" t="e">
        <f t="shared" si="810"/>
        <v>#DIV/0!</v>
      </c>
      <c r="AH2427" s="155" t="e">
        <f t="shared" si="811"/>
        <v>#DIV/0!</v>
      </c>
      <c r="AI2427" s="156" t="e">
        <f t="shared" si="804"/>
        <v>#DIV/0!</v>
      </c>
      <c r="AJ2427" s="149"/>
      <c r="AK2427" s="149"/>
      <c r="AL2427" s="157"/>
      <c r="AM2427" s="157"/>
      <c r="AN2427" s="157"/>
      <c r="AO2427" s="157"/>
      <c r="AP2427" s="157"/>
      <c r="AQ2427" s="157"/>
      <c r="AR2427" s="157"/>
    </row>
    <row r="2428" spans="1:44" ht="16.8">
      <c r="A2428" s="145">
        <v>320</v>
      </c>
      <c r="B2428" s="145">
        <v>1108</v>
      </c>
      <c r="C2428" s="145" t="s">
        <v>4644</v>
      </c>
      <c r="D2428" s="146" t="s">
        <v>4645</v>
      </c>
      <c r="E2428" s="147" t="s">
        <v>178</v>
      </c>
      <c r="F2428" s="148"/>
      <c r="G2428" s="148"/>
      <c r="H2428" s="149"/>
      <c r="I2428" s="149"/>
      <c r="J2428" s="149"/>
      <c r="K2428" s="149"/>
      <c r="L2428" s="149"/>
      <c r="M2428" s="149">
        <f t="shared" si="790"/>
        <v>0</v>
      </c>
      <c r="N2428" s="149"/>
      <c r="O2428" s="149">
        <f t="shared" si="797"/>
        <v>0</v>
      </c>
      <c r="P2428" s="149"/>
      <c r="Q2428" s="149"/>
      <c r="R2428" s="149">
        <f t="shared" si="798"/>
        <v>0</v>
      </c>
      <c r="S2428" s="150" t="e">
        <f t="shared" si="799"/>
        <v>#DIV/0!</v>
      </c>
      <c r="T2428" s="151" t="e">
        <f t="shared" si="800"/>
        <v>#DIV/0!</v>
      </c>
      <c r="U2428" s="150" t="e">
        <f t="shared" si="801"/>
        <v>#NUM!</v>
      </c>
      <c r="V2428" s="150" t="e">
        <f t="shared" si="802"/>
        <v>#DIV/0!</v>
      </c>
      <c r="W2428" s="152"/>
      <c r="X2428" s="152"/>
      <c r="Y2428" s="152"/>
      <c r="Z2428" s="153">
        <f t="shared" si="806"/>
        <v>0</v>
      </c>
      <c r="AA2428" s="148">
        <f t="shared" si="784"/>
        <v>0</v>
      </c>
      <c r="AB2428" s="149"/>
      <c r="AC2428" s="149"/>
      <c r="AD2428" s="150" t="e">
        <f t="shared" si="807"/>
        <v>#DIV/0!</v>
      </c>
      <c r="AE2428" s="154" t="e">
        <f t="shared" si="808"/>
        <v>#DIV/0!</v>
      </c>
      <c r="AF2428" s="150" t="e">
        <f t="shared" si="809"/>
        <v>#DIV/0!</v>
      </c>
      <c r="AG2428" s="150" t="e">
        <f t="shared" si="810"/>
        <v>#DIV/0!</v>
      </c>
      <c r="AH2428" s="155" t="e">
        <f t="shared" si="811"/>
        <v>#DIV/0!</v>
      </c>
      <c r="AI2428" s="156" t="e">
        <f t="shared" si="804"/>
        <v>#DIV/0!</v>
      </c>
      <c r="AJ2428" s="149"/>
      <c r="AK2428" s="149"/>
      <c r="AL2428" s="157"/>
      <c r="AM2428" s="157"/>
      <c r="AN2428" s="157"/>
      <c r="AO2428" s="157"/>
      <c r="AP2428" s="157"/>
      <c r="AQ2428" s="157"/>
      <c r="AR2428" s="157"/>
    </row>
    <row r="2429" spans="1:44" ht="16.8">
      <c r="A2429" s="145">
        <v>321</v>
      </c>
      <c r="B2429" s="145">
        <v>1109</v>
      </c>
      <c r="C2429" s="145" t="s">
        <v>4646</v>
      </c>
      <c r="D2429" s="146" t="s">
        <v>4647</v>
      </c>
      <c r="E2429" s="147" t="s">
        <v>178</v>
      </c>
      <c r="F2429" s="148"/>
      <c r="G2429" s="148"/>
      <c r="H2429" s="149"/>
      <c r="I2429" s="149"/>
      <c r="J2429" s="149"/>
      <c r="K2429" s="149"/>
      <c r="L2429" s="149"/>
      <c r="M2429" s="149">
        <f t="shared" si="790"/>
        <v>0</v>
      </c>
      <c r="N2429" s="149"/>
      <c r="O2429" s="149">
        <f t="shared" si="797"/>
        <v>0</v>
      </c>
      <c r="P2429" s="149"/>
      <c r="Q2429" s="149"/>
      <c r="R2429" s="149">
        <f t="shared" si="798"/>
        <v>0</v>
      </c>
      <c r="S2429" s="150" t="e">
        <f t="shared" si="799"/>
        <v>#DIV/0!</v>
      </c>
      <c r="T2429" s="151" t="e">
        <f t="shared" si="800"/>
        <v>#DIV/0!</v>
      </c>
      <c r="U2429" s="150" t="e">
        <f t="shared" si="801"/>
        <v>#NUM!</v>
      </c>
      <c r="V2429" s="150" t="e">
        <f t="shared" si="802"/>
        <v>#DIV/0!</v>
      </c>
      <c r="W2429" s="152"/>
      <c r="X2429" s="152"/>
      <c r="Y2429" s="152"/>
      <c r="Z2429" s="153">
        <f t="shared" si="806"/>
        <v>0</v>
      </c>
      <c r="AA2429" s="148">
        <f t="shared" si="784"/>
        <v>0</v>
      </c>
      <c r="AB2429" s="149"/>
      <c r="AC2429" s="149"/>
      <c r="AD2429" s="150" t="e">
        <f t="shared" si="807"/>
        <v>#DIV/0!</v>
      </c>
      <c r="AE2429" s="154" t="e">
        <f t="shared" si="808"/>
        <v>#DIV/0!</v>
      </c>
      <c r="AF2429" s="150" t="e">
        <f t="shared" si="809"/>
        <v>#DIV/0!</v>
      </c>
      <c r="AG2429" s="150" t="e">
        <f t="shared" si="810"/>
        <v>#DIV/0!</v>
      </c>
      <c r="AH2429" s="155" t="e">
        <f t="shared" si="811"/>
        <v>#DIV/0!</v>
      </c>
      <c r="AI2429" s="156" t="e">
        <f t="shared" si="804"/>
        <v>#DIV/0!</v>
      </c>
      <c r="AJ2429" s="149"/>
      <c r="AK2429" s="149"/>
      <c r="AL2429" s="157"/>
      <c r="AM2429" s="157"/>
      <c r="AN2429" s="157"/>
      <c r="AO2429" s="157"/>
      <c r="AP2429" s="157"/>
      <c r="AQ2429" s="157"/>
      <c r="AR2429" s="157"/>
    </row>
    <row r="2430" spans="1:44" ht="16.8">
      <c r="A2430" s="145">
        <v>322</v>
      </c>
      <c r="B2430" s="145">
        <v>1110</v>
      </c>
      <c r="C2430" s="145" t="s">
        <v>4648</v>
      </c>
      <c r="D2430" s="146" t="s">
        <v>4649</v>
      </c>
      <c r="E2430" s="147" t="s">
        <v>178</v>
      </c>
      <c r="F2430" s="148"/>
      <c r="G2430" s="148"/>
      <c r="H2430" s="149"/>
      <c r="I2430" s="149"/>
      <c r="J2430" s="149"/>
      <c r="K2430" s="149"/>
      <c r="L2430" s="149"/>
      <c r="M2430" s="149">
        <f t="shared" si="790"/>
        <v>0</v>
      </c>
      <c r="N2430" s="149"/>
      <c r="O2430" s="149">
        <f t="shared" si="797"/>
        <v>0</v>
      </c>
      <c r="P2430" s="149"/>
      <c r="Q2430" s="149"/>
      <c r="R2430" s="149">
        <f t="shared" si="798"/>
        <v>0</v>
      </c>
      <c r="S2430" s="150" t="e">
        <f t="shared" si="799"/>
        <v>#DIV/0!</v>
      </c>
      <c r="T2430" s="151" t="e">
        <f t="shared" si="800"/>
        <v>#DIV/0!</v>
      </c>
      <c r="U2430" s="150" t="e">
        <f t="shared" si="801"/>
        <v>#NUM!</v>
      </c>
      <c r="V2430" s="150" t="e">
        <f t="shared" si="802"/>
        <v>#DIV/0!</v>
      </c>
      <c r="W2430" s="152"/>
      <c r="X2430" s="152"/>
      <c r="Y2430" s="152"/>
      <c r="Z2430" s="153">
        <f t="shared" si="806"/>
        <v>0</v>
      </c>
      <c r="AA2430" s="148">
        <f t="shared" si="784"/>
        <v>0</v>
      </c>
      <c r="AB2430" s="149"/>
      <c r="AC2430" s="149"/>
      <c r="AD2430" s="150" t="e">
        <f t="shared" si="807"/>
        <v>#DIV/0!</v>
      </c>
      <c r="AE2430" s="154" t="e">
        <f t="shared" si="808"/>
        <v>#DIV/0!</v>
      </c>
      <c r="AF2430" s="150" t="e">
        <f t="shared" si="809"/>
        <v>#DIV/0!</v>
      </c>
      <c r="AG2430" s="150" t="e">
        <f t="shared" si="810"/>
        <v>#DIV/0!</v>
      </c>
      <c r="AH2430" s="155" t="e">
        <f t="shared" si="811"/>
        <v>#DIV/0!</v>
      </c>
      <c r="AI2430" s="156" t="e">
        <f t="shared" si="804"/>
        <v>#DIV/0!</v>
      </c>
      <c r="AJ2430" s="149"/>
      <c r="AK2430" s="149"/>
      <c r="AL2430" s="157"/>
      <c r="AM2430" s="157"/>
      <c r="AN2430" s="157"/>
      <c r="AO2430" s="157"/>
      <c r="AP2430" s="157"/>
      <c r="AQ2430" s="157"/>
      <c r="AR2430" s="157"/>
    </row>
    <row r="2431" spans="1:44" ht="16.8">
      <c r="A2431" s="145">
        <v>323</v>
      </c>
      <c r="B2431" s="145">
        <v>1111</v>
      </c>
      <c r="C2431" s="145" t="s">
        <v>4650</v>
      </c>
      <c r="D2431" s="146" t="s">
        <v>4651</v>
      </c>
      <c r="E2431" s="147" t="s">
        <v>178</v>
      </c>
      <c r="F2431" s="148"/>
      <c r="G2431" s="148"/>
      <c r="H2431" s="149"/>
      <c r="I2431" s="149"/>
      <c r="J2431" s="149"/>
      <c r="K2431" s="149"/>
      <c r="L2431" s="149"/>
      <c r="M2431" s="149">
        <f t="shared" si="790"/>
        <v>0</v>
      </c>
      <c r="N2431" s="149"/>
      <c r="O2431" s="149">
        <f t="shared" si="797"/>
        <v>0</v>
      </c>
      <c r="P2431" s="149"/>
      <c r="Q2431" s="149"/>
      <c r="R2431" s="149">
        <f t="shared" si="798"/>
        <v>0</v>
      </c>
      <c r="S2431" s="150" t="e">
        <f t="shared" si="799"/>
        <v>#DIV/0!</v>
      </c>
      <c r="T2431" s="151" t="e">
        <f t="shared" si="800"/>
        <v>#DIV/0!</v>
      </c>
      <c r="U2431" s="150" t="e">
        <f t="shared" si="801"/>
        <v>#NUM!</v>
      </c>
      <c r="V2431" s="150" t="e">
        <f t="shared" si="802"/>
        <v>#DIV/0!</v>
      </c>
      <c r="W2431" s="152"/>
      <c r="X2431" s="152"/>
      <c r="Y2431" s="152"/>
      <c r="Z2431" s="153">
        <f t="shared" si="806"/>
        <v>0</v>
      </c>
      <c r="AA2431" s="148">
        <f t="shared" si="784"/>
        <v>0</v>
      </c>
      <c r="AB2431" s="149"/>
      <c r="AC2431" s="149"/>
      <c r="AD2431" s="150" t="e">
        <f t="shared" si="807"/>
        <v>#DIV/0!</v>
      </c>
      <c r="AE2431" s="154" t="e">
        <f t="shared" si="808"/>
        <v>#DIV/0!</v>
      </c>
      <c r="AF2431" s="150" t="e">
        <f t="shared" si="809"/>
        <v>#DIV/0!</v>
      </c>
      <c r="AG2431" s="150" t="e">
        <f t="shared" si="810"/>
        <v>#DIV/0!</v>
      </c>
      <c r="AH2431" s="155" t="e">
        <f t="shared" si="811"/>
        <v>#DIV/0!</v>
      </c>
      <c r="AI2431" s="156" t="e">
        <f t="shared" si="804"/>
        <v>#DIV/0!</v>
      </c>
      <c r="AJ2431" s="149"/>
      <c r="AK2431" s="149"/>
      <c r="AL2431" s="157"/>
      <c r="AM2431" s="157"/>
      <c r="AN2431" s="157"/>
      <c r="AO2431" s="157"/>
      <c r="AP2431" s="157"/>
      <c r="AQ2431" s="157"/>
      <c r="AR2431" s="157"/>
    </row>
    <row r="2432" spans="1:44" ht="16.8">
      <c r="A2432" s="145">
        <v>324</v>
      </c>
      <c r="B2432" s="145">
        <v>1112</v>
      </c>
      <c r="C2432" s="145" t="s">
        <v>4652</v>
      </c>
      <c r="D2432" s="146" t="s">
        <v>4653</v>
      </c>
      <c r="E2432" s="147" t="s">
        <v>1371</v>
      </c>
      <c r="F2432" s="148"/>
      <c r="G2432" s="148"/>
      <c r="H2432" s="149"/>
      <c r="I2432" s="149"/>
      <c r="J2432" s="149"/>
      <c r="K2432" s="149"/>
      <c r="L2432" s="149"/>
      <c r="M2432" s="149">
        <f t="shared" si="790"/>
        <v>0</v>
      </c>
      <c r="N2432" s="149"/>
      <c r="O2432" s="149">
        <f t="shared" si="797"/>
        <v>0</v>
      </c>
      <c r="P2432" s="149"/>
      <c r="Q2432" s="149"/>
      <c r="R2432" s="149">
        <f t="shared" si="798"/>
        <v>0</v>
      </c>
      <c r="S2432" s="150" t="e">
        <f t="shared" si="799"/>
        <v>#DIV/0!</v>
      </c>
      <c r="T2432" s="151" t="e">
        <f t="shared" si="800"/>
        <v>#DIV/0!</v>
      </c>
      <c r="U2432" s="150" t="e">
        <f t="shared" si="801"/>
        <v>#NUM!</v>
      </c>
      <c r="V2432" s="150" t="e">
        <f t="shared" si="802"/>
        <v>#DIV/0!</v>
      </c>
      <c r="W2432" s="152"/>
      <c r="X2432" s="152"/>
      <c r="Y2432" s="152"/>
      <c r="Z2432" s="153">
        <f t="shared" si="806"/>
        <v>0</v>
      </c>
      <c r="AA2432" s="148">
        <f t="shared" si="784"/>
        <v>0</v>
      </c>
      <c r="AB2432" s="149"/>
      <c r="AC2432" s="149"/>
      <c r="AD2432" s="150" t="e">
        <f t="shared" si="807"/>
        <v>#DIV/0!</v>
      </c>
      <c r="AE2432" s="154" t="e">
        <f t="shared" si="808"/>
        <v>#DIV/0!</v>
      </c>
      <c r="AF2432" s="150" t="e">
        <f t="shared" si="809"/>
        <v>#DIV/0!</v>
      </c>
      <c r="AG2432" s="150" t="e">
        <f t="shared" si="810"/>
        <v>#DIV/0!</v>
      </c>
      <c r="AH2432" s="155" t="e">
        <f t="shared" si="811"/>
        <v>#DIV/0!</v>
      </c>
      <c r="AI2432" s="156" t="e">
        <f t="shared" si="804"/>
        <v>#DIV/0!</v>
      </c>
      <c r="AJ2432" s="149"/>
      <c r="AK2432" s="149"/>
      <c r="AL2432" s="157"/>
      <c r="AM2432" s="157"/>
      <c r="AN2432" s="157"/>
      <c r="AO2432" s="157"/>
      <c r="AP2432" s="157"/>
      <c r="AQ2432" s="157"/>
      <c r="AR2432" s="157"/>
    </row>
    <row r="2433" spans="1:44" ht="16.8">
      <c r="A2433" s="145">
        <v>325</v>
      </c>
      <c r="B2433" s="145">
        <v>1113</v>
      </c>
      <c r="C2433" s="145" t="s">
        <v>4654</v>
      </c>
      <c r="D2433" s="146" t="s">
        <v>4655</v>
      </c>
      <c r="E2433" s="147" t="s">
        <v>1371</v>
      </c>
      <c r="F2433" s="148"/>
      <c r="G2433" s="148"/>
      <c r="H2433" s="149"/>
      <c r="I2433" s="149"/>
      <c r="J2433" s="149"/>
      <c r="K2433" s="149"/>
      <c r="L2433" s="149"/>
      <c r="M2433" s="149">
        <f t="shared" si="790"/>
        <v>0</v>
      </c>
      <c r="N2433" s="149"/>
      <c r="O2433" s="149">
        <f t="shared" si="797"/>
        <v>0</v>
      </c>
      <c r="P2433" s="149"/>
      <c r="Q2433" s="149"/>
      <c r="R2433" s="149">
        <f t="shared" si="798"/>
        <v>0</v>
      </c>
      <c r="S2433" s="150" t="e">
        <f t="shared" si="799"/>
        <v>#DIV/0!</v>
      </c>
      <c r="T2433" s="151" t="e">
        <f t="shared" si="800"/>
        <v>#DIV/0!</v>
      </c>
      <c r="U2433" s="150" t="e">
        <f t="shared" si="801"/>
        <v>#NUM!</v>
      </c>
      <c r="V2433" s="150" t="e">
        <f t="shared" si="802"/>
        <v>#DIV/0!</v>
      </c>
      <c r="W2433" s="152"/>
      <c r="X2433" s="152"/>
      <c r="Y2433" s="152"/>
      <c r="Z2433" s="153">
        <f t="shared" si="806"/>
        <v>0</v>
      </c>
      <c r="AA2433" s="148">
        <f t="shared" si="784"/>
        <v>0</v>
      </c>
      <c r="AB2433" s="149"/>
      <c r="AC2433" s="149"/>
      <c r="AD2433" s="150" t="e">
        <f t="shared" si="807"/>
        <v>#DIV/0!</v>
      </c>
      <c r="AE2433" s="154" t="e">
        <f t="shared" si="808"/>
        <v>#DIV/0!</v>
      </c>
      <c r="AF2433" s="150" t="e">
        <f t="shared" si="809"/>
        <v>#DIV/0!</v>
      </c>
      <c r="AG2433" s="150" t="e">
        <f t="shared" si="810"/>
        <v>#DIV/0!</v>
      </c>
      <c r="AH2433" s="155" t="e">
        <f t="shared" si="811"/>
        <v>#DIV/0!</v>
      </c>
      <c r="AI2433" s="156" t="e">
        <f t="shared" si="804"/>
        <v>#DIV/0!</v>
      </c>
      <c r="AJ2433" s="149"/>
      <c r="AK2433" s="149"/>
      <c r="AL2433" s="157"/>
      <c r="AM2433" s="157"/>
      <c r="AN2433" s="157"/>
      <c r="AO2433" s="157"/>
      <c r="AP2433" s="157"/>
      <c r="AQ2433" s="157"/>
      <c r="AR2433" s="157"/>
    </row>
    <row r="2434" spans="1:44" ht="16.8">
      <c r="A2434" s="145">
        <v>326</v>
      </c>
      <c r="B2434" s="145">
        <v>1114</v>
      </c>
      <c r="C2434" s="145" t="s">
        <v>4656</v>
      </c>
      <c r="D2434" s="146" t="s">
        <v>4657</v>
      </c>
      <c r="E2434" s="147" t="s">
        <v>178</v>
      </c>
      <c r="F2434" s="148"/>
      <c r="G2434" s="148"/>
      <c r="H2434" s="149"/>
      <c r="I2434" s="149"/>
      <c r="J2434" s="149"/>
      <c r="K2434" s="149"/>
      <c r="L2434" s="149"/>
      <c r="M2434" s="149">
        <f t="shared" si="790"/>
        <v>0</v>
      </c>
      <c r="N2434" s="149"/>
      <c r="O2434" s="149">
        <f t="shared" si="797"/>
        <v>0</v>
      </c>
      <c r="P2434" s="149"/>
      <c r="Q2434" s="149"/>
      <c r="R2434" s="149">
        <f t="shared" si="798"/>
        <v>0</v>
      </c>
      <c r="S2434" s="150" t="e">
        <f t="shared" si="799"/>
        <v>#DIV/0!</v>
      </c>
      <c r="T2434" s="151" t="e">
        <f t="shared" si="800"/>
        <v>#DIV/0!</v>
      </c>
      <c r="U2434" s="150" t="e">
        <f t="shared" si="801"/>
        <v>#NUM!</v>
      </c>
      <c r="V2434" s="150" t="e">
        <f t="shared" si="802"/>
        <v>#DIV/0!</v>
      </c>
      <c r="W2434" s="152"/>
      <c r="X2434" s="152"/>
      <c r="Y2434" s="152"/>
      <c r="Z2434" s="153">
        <f t="shared" si="806"/>
        <v>0</v>
      </c>
      <c r="AA2434" s="148">
        <f t="shared" si="784"/>
        <v>0</v>
      </c>
      <c r="AB2434" s="149"/>
      <c r="AC2434" s="149"/>
      <c r="AD2434" s="150" t="e">
        <f t="shared" si="807"/>
        <v>#DIV/0!</v>
      </c>
      <c r="AE2434" s="154" t="e">
        <f t="shared" si="808"/>
        <v>#DIV/0!</v>
      </c>
      <c r="AF2434" s="150" t="e">
        <f t="shared" si="809"/>
        <v>#DIV/0!</v>
      </c>
      <c r="AG2434" s="150" t="e">
        <f t="shared" si="810"/>
        <v>#DIV/0!</v>
      </c>
      <c r="AH2434" s="155" t="e">
        <f t="shared" si="811"/>
        <v>#DIV/0!</v>
      </c>
      <c r="AI2434" s="156" t="e">
        <f t="shared" si="804"/>
        <v>#DIV/0!</v>
      </c>
      <c r="AJ2434" s="149"/>
      <c r="AK2434" s="149"/>
      <c r="AL2434" s="157"/>
      <c r="AM2434" s="157"/>
      <c r="AN2434" s="157"/>
      <c r="AO2434" s="157"/>
      <c r="AP2434" s="157"/>
      <c r="AQ2434" s="157"/>
      <c r="AR2434" s="157"/>
    </row>
    <row r="2435" spans="1:44" ht="16.8">
      <c r="A2435" s="145">
        <v>327</v>
      </c>
      <c r="B2435" s="145">
        <v>1115</v>
      </c>
      <c r="C2435" s="145" t="s">
        <v>4658</v>
      </c>
      <c r="D2435" s="146" t="s">
        <v>4659</v>
      </c>
      <c r="E2435" s="147" t="s">
        <v>178</v>
      </c>
      <c r="F2435" s="148"/>
      <c r="G2435" s="148"/>
      <c r="H2435" s="149"/>
      <c r="I2435" s="149"/>
      <c r="J2435" s="149"/>
      <c r="K2435" s="149"/>
      <c r="L2435" s="149"/>
      <c r="M2435" s="149">
        <f t="shared" si="790"/>
        <v>0</v>
      </c>
      <c r="N2435" s="149"/>
      <c r="O2435" s="149">
        <f t="shared" si="797"/>
        <v>0</v>
      </c>
      <c r="P2435" s="149"/>
      <c r="Q2435" s="149"/>
      <c r="R2435" s="149">
        <f t="shared" si="798"/>
        <v>0</v>
      </c>
      <c r="S2435" s="150" t="e">
        <f t="shared" si="799"/>
        <v>#DIV/0!</v>
      </c>
      <c r="T2435" s="151" t="e">
        <f t="shared" si="800"/>
        <v>#DIV/0!</v>
      </c>
      <c r="U2435" s="150" t="e">
        <f t="shared" si="801"/>
        <v>#NUM!</v>
      </c>
      <c r="V2435" s="150" t="e">
        <f t="shared" si="802"/>
        <v>#DIV/0!</v>
      </c>
      <c r="W2435" s="152"/>
      <c r="X2435" s="152"/>
      <c r="Y2435" s="152"/>
      <c r="Z2435" s="153">
        <f t="shared" si="806"/>
        <v>0</v>
      </c>
      <c r="AA2435" s="148">
        <f t="shared" si="784"/>
        <v>0</v>
      </c>
      <c r="AB2435" s="149"/>
      <c r="AC2435" s="149"/>
      <c r="AD2435" s="150" t="e">
        <f t="shared" si="807"/>
        <v>#DIV/0!</v>
      </c>
      <c r="AE2435" s="154" t="e">
        <f t="shared" si="808"/>
        <v>#DIV/0!</v>
      </c>
      <c r="AF2435" s="150" t="e">
        <f t="shared" si="809"/>
        <v>#DIV/0!</v>
      </c>
      <c r="AG2435" s="150" t="e">
        <f t="shared" si="810"/>
        <v>#DIV/0!</v>
      </c>
      <c r="AH2435" s="155" t="e">
        <f t="shared" si="811"/>
        <v>#DIV/0!</v>
      </c>
      <c r="AI2435" s="156" t="e">
        <f t="shared" si="804"/>
        <v>#DIV/0!</v>
      </c>
      <c r="AJ2435" s="149"/>
      <c r="AK2435" s="149"/>
      <c r="AL2435" s="157"/>
      <c r="AM2435" s="157"/>
      <c r="AN2435" s="157"/>
      <c r="AO2435" s="157"/>
      <c r="AP2435" s="157"/>
      <c r="AQ2435" s="157"/>
      <c r="AR2435" s="157"/>
    </row>
    <row r="2436" spans="1:44" ht="16.8">
      <c r="A2436" s="145">
        <v>328</v>
      </c>
      <c r="B2436" s="145">
        <v>1116</v>
      </c>
      <c r="C2436" s="145" t="s">
        <v>4660</v>
      </c>
      <c r="D2436" s="146" t="s">
        <v>4661</v>
      </c>
      <c r="E2436" s="147" t="s">
        <v>178</v>
      </c>
      <c r="F2436" s="148"/>
      <c r="G2436" s="148"/>
      <c r="H2436" s="149"/>
      <c r="I2436" s="149"/>
      <c r="J2436" s="149"/>
      <c r="K2436" s="149"/>
      <c r="L2436" s="149"/>
      <c r="M2436" s="149">
        <f t="shared" si="790"/>
        <v>0</v>
      </c>
      <c r="N2436" s="149"/>
      <c r="O2436" s="149">
        <f t="shared" si="797"/>
        <v>0</v>
      </c>
      <c r="P2436" s="149"/>
      <c r="Q2436" s="149"/>
      <c r="R2436" s="149">
        <f t="shared" si="798"/>
        <v>0</v>
      </c>
      <c r="S2436" s="150" t="e">
        <f t="shared" si="799"/>
        <v>#DIV/0!</v>
      </c>
      <c r="T2436" s="151" t="e">
        <f t="shared" si="800"/>
        <v>#DIV/0!</v>
      </c>
      <c r="U2436" s="150" t="e">
        <f t="shared" si="801"/>
        <v>#NUM!</v>
      </c>
      <c r="V2436" s="150" t="e">
        <f t="shared" si="802"/>
        <v>#DIV/0!</v>
      </c>
      <c r="W2436" s="152"/>
      <c r="X2436" s="152"/>
      <c r="Y2436" s="152"/>
      <c r="Z2436" s="153">
        <f t="shared" si="806"/>
        <v>0</v>
      </c>
      <c r="AA2436" s="148">
        <f t="shared" si="784"/>
        <v>0</v>
      </c>
      <c r="AB2436" s="149"/>
      <c r="AC2436" s="149"/>
      <c r="AD2436" s="150" t="e">
        <f t="shared" si="807"/>
        <v>#DIV/0!</v>
      </c>
      <c r="AE2436" s="154" t="e">
        <f t="shared" si="808"/>
        <v>#DIV/0!</v>
      </c>
      <c r="AF2436" s="150" t="e">
        <f t="shared" si="809"/>
        <v>#DIV/0!</v>
      </c>
      <c r="AG2436" s="150" t="e">
        <f t="shared" si="810"/>
        <v>#DIV/0!</v>
      </c>
      <c r="AH2436" s="155" t="e">
        <f t="shared" si="811"/>
        <v>#DIV/0!</v>
      </c>
      <c r="AI2436" s="156" t="e">
        <f t="shared" si="804"/>
        <v>#DIV/0!</v>
      </c>
      <c r="AJ2436" s="149"/>
      <c r="AK2436" s="149"/>
      <c r="AL2436" s="157"/>
      <c r="AM2436" s="157"/>
      <c r="AN2436" s="157"/>
      <c r="AO2436" s="157"/>
      <c r="AP2436" s="157"/>
      <c r="AQ2436" s="157"/>
      <c r="AR2436" s="157"/>
    </row>
    <row r="2437" spans="1:44" ht="16.8">
      <c r="A2437" s="145">
        <v>329</v>
      </c>
      <c r="B2437" s="145">
        <v>1117</v>
      </c>
      <c r="C2437" s="145" t="s">
        <v>4662</v>
      </c>
      <c r="D2437" s="146" t="s">
        <v>4663</v>
      </c>
      <c r="E2437" s="147" t="s">
        <v>178</v>
      </c>
      <c r="F2437" s="148"/>
      <c r="G2437" s="148"/>
      <c r="H2437" s="149"/>
      <c r="I2437" s="149"/>
      <c r="J2437" s="149"/>
      <c r="K2437" s="149"/>
      <c r="L2437" s="149"/>
      <c r="M2437" s="149">
        <f t="shared" si="790"/>
        <v>0</v>
      </c>
      <c r="N2437" s="149"/>
      <c r="O2437" s="149">
        <f t="shared" si="797"/>
        <v>0</v>
      </c>
      <c r="P2437" s="149"/>
      <c r="Q2437" s="149"/>
      <c r="R2437" s="149">
        <f t="shared" si="798"/>
        <v>0</v>
      </c>
      <c r="S2437" s="150" t="e">
        <f t="shared" si="799"/>
        <v>#DIV/0!</v>
      </c>
      <c r="T2437" s="151" t="e">
        <f t="shared" si="800"/>
        <v>#DIV/0!</v>
      </c>
      <c r="U2437" s="150" t="e">
        <f t="shared" si="801"/>
        <v>#NUM!</v>
      </c>
      <c r="V2437" s="150" t="e">
        <f t="shared" si="802"/>
        <v>#DIV/0!</v>
      </c>
      <c r="W2437" s="152"/>
      <c r="X2437" s="152"/>
      <c r="Y2437" s="152"/>
      <c r="Z2437" s="153">
        <f t="shared" si="806"/>
        <v>0</v>
      </c>
      <c r="AA2437" s="148">
        <f t="shared" si="784"/>
        <v>0</v>
      </c>
      <c r="AB2437" s="149"/>
      <c r="AC2437" s="149"/>
      <c r="AD2437" s="150" t="e">
        <f t="shared" si="807"/>
        <v>#DIV/0!</v>
      </c>
      <c r="AE2437" s="154" t="e">
        <f t="shared" si="808"/>
        <v>#DIV/0!</v>
      </c>
      <c r="AF2437" s="150" t="e">
        <f t="shared" si="809"/>
        <v>#DIV/0!</v>
      </c>
      <c r="AG2437" s="150" t="e">
        <f t="shared" si="810"/>
        <v>#DIV/0!</v>
      </c>
      <c r="AH2437" s="155" t="e">
        <f t="shared" si="811"/>
        <v>#DIV/0!</v>
      </c>
      <c r="AI2437" s="156" t="e">
        <f t="shared" si="804"/>
        <v>#DIV/0!</v>
      </c>
      <c r="AJ2437" s="149"/>
      <c r="AK2437" s="149"/>
      <c r="AL2437" s="157"/>
      <c r="AM2437" s="157"/>
      <c r="AN2437" s="157"/>
      <c r="AO2437" s="157"/>
      <c r="AP2437" s="157"/>
      <c r="AQ2437" s="157"/>
      <c r="AR2437" s="157"/>
    </row>
    <row r="2438" spans="1:44" ht="16.8">
      <c r="A2438" s="145">
        <v>330</v>
      </c>
      <c r="B2438" s="145">
        <v>1118</v>
      </c>
      <c r="C2438" s="145" t="s">
        <v>4664</v>
      </c>
      <c r="D2438" s="146" t="s">
        <v>4665</v>
      </c>
      <c r="E2438" s="147" t="s">
        <v>178</v>
      </c>
      <c r="F2438" s="148"/>
      <c r="G2438" s="148"/>
      <c r="H2438" s="149"/>
      <c r="I2438" s="149"/>
      <c r="J2438" s="149"/>
      <c r="K2438" s="149"/>
      <c r="L2438" s="149"/>
      <c r="M2438" s="149">
        <f t="shared" si="790"/>
        <v>0</v>
      </c>
      <c r="N2438" s="149"/>
      <c r="O2438" s="149">
        <f t="shared" si="797"/>
        <v>0</v>
      </c>
      <c r="P2438" s="149"/>
      <c r="Q2438" s="149"/>
      <c r="R2438" s="149">
        <f t="shared" si="798"/>
        <v>0</v>
      </c>
      <c r="S2438" s="150" t="e">
        <f t="shared" si="799"/>
        <v>#DIV/0!</v>
      </c>
      <c r="T2438" s="151" t="e">
        <f t="shared" si="800"/>
        <v>#DIV/0!</v>
      </c>
      <c r="U2438" s="150" t="e">
        <f t="shared" si="801"/>
        <v>#NUM!</v>
      </c>
      <c r="V2438" s="150" t="e">
        <f t="shared" si="802"/>
        <v>#DIV/0!</v>
      </c>
      <c r="W2438" s="152"/>
      <c r="X2438" s="152"/>
      <c r="Y2438" s="152"/>
      <c r="Z2438" s="153">
        <f t="shared" si="806"/>
        <v>0</v>
      </c>
      <c r="AA2438" s="148">
        <f t="shared" si="784"/>
        <v>0</v>
      </c>
      <c r="AB2438" s="149"/>
      <c r="AC2438" s="149"/>
      <c r="AD2438" s="150" t="e">
        <f t="shared" si="807"/>
        <v>#DIV/0!</v>
      </c>
      <c r="AE2438" s="154" t="e">
        <f t="shared" si="808"/>
        <v>#DIV/0!</v>
      </c>
      <c r="AF2438" s="150" t="e">
        <f t="shared" si="809"/>
        <v>#DIV/0!</v>
      </c>
      <c r="AG2438" s="150" t="e">
        <f t="shared" si="810"/>
        <v>#DIV/0!</v>
      </c>
      <c r="AH2438" s="155" t="e">
        <f t="shared" si="811"/>
        <v>#DIV/0!</v>
      </c>
      <c r="AI2438" s="156" t="e">
        <f t="shared" si="804"/>
        <v>#DIV/0!</v>
      </c>
      <c r="AJ2438" s="149"/>
      <c r="AK2438" s="149"/>
      <c r="AL2438" s="157"/>
      <c r="AM2438" s="157"/>
      <c r="AN2438" s="157"/>
      <c r="AO2438" s="157"/>
      <c r="AP2438" s="157"/>
      <c r="AQ2438" s="157"/>
      <c r="AR2438" s="157"/>
    </row>
    <row r="2439" spans="1:44" ht="16.8">
      <c r="A2439" s="64" t="s">
        <v>4666</v>
      </c>
      <c r="B2439" s="62">
        <v>1119</v>
      </c>
      <c r="C2439" s="62" t="s">
        <v>4667</v>
      </c>
      <c r="D2439" s="19" t="s">
        <v>4668</v>
      </c>
      <c r="E2439" s="20" t="s">
        <v>414</v>
      </c>
      <c r="F2439" s="21">
        <v>2007</v>
      </c>
      <c r="G2439" s="40">
        <v>2021</v>
      </c>
      <c r="H2439" s="23">
        <v>947642393958</v>
      </c>
      <c r="I2439" s="23">
        <v>2300593405251</v>
      </c>
      <c r="J2439" s="23">
        <v>761923120886</v>
      </c>
      <c r="K2439" s="23">
        <f>(J2439+937255414899)/2</f>
        <v>849589267892.5</v>
      </c>
      <c r="L2439" s="23">
        <v>371596490213</v>
      </c>
      <c r="M2439" s="23">
        <f t="shared" si="790"/>
        <v>1538670284365</v>
      </c>
      <c r="N2439" s="23">
        <v>1244002949818</v>
      </c>
      <c r="O2439" s="25">
        <f t="shared" si="797"/>
        <v>576045903745</v>
      </c>
      <c r="P2439" s="23">
        <v>192954002844</v>
      </c>
      <c r="Q2439" s="23">
        <v>23430232517</v>
      </c>
      <c r="R2439" s="25">
        <f t="shared" si="798"/>
        <v>1220572717301</v>
      </c>
      <c r="S2439" s="26">
        <f t="shared" si="799"/>
        <v>0.331185475515554</v>
      </c>
      <c r="T2439" s="27">
        <f t="shared" si="800"/>
        <v>2.5501919929728323</v>
      </c>
      <c r="U2439" s="26">
        <f t="shared" si="801"/>
        <v>28.464188207869832</v>
      </c>
      <c r="V2439" s="26">
        <f t="shared" si="802"/>
        <v>1.4642404239684981</v>
      </c>
      <c r="W2439" s="143"/>
      <c r="X2439" s="143"/>
      <c r="Y2439" s="143"/>
      <c r="Z2439" s="30">
        <f t="shared" ref="Z2439:Z2441" si="812">X2439*Y2439</f>
        <v>0</v>
      </c>
      <c r="AA2439" s="31">
        <f t="shared" si="784"/>
        <v>14</v>
      </c>
      <c r="AB2439" s="32">
        <v>1.84E-2</v>
      </c>
      <c r="AC2439" s="32">
        <v>2.58E-2</v>
      </c>
      <c r="AD2439" s="33">
        <f t="shared" si="807"/>
        <v>0.25039013953104505</v>
      </c>
      <c r="AE2439" s="34">
        <f t="shared" si="808"/>
        <v>8.3871405700629786E-2</v>
      </c>
      <c r="AF2439" s="33">
        <f t="shared" si="809"/>
        <v>0.530546907817391</v>
      </c>
      <c r="AG2439" s="33">
        <f t="shared" si="810"/>
        <v>0</v>
      </c>
      <c r="AH2439" s="35">
        <f t="shared" si="811"/>
        <v>1.6327145294808942</v>
      </c>
      <c r="AI2439" s="36">
        <f t="shared" si="804"/>
        <v>3.8014074606964203</v>
      </c>
      <c r="AJ2439" s="23"/>
      <c r="AK2439" s="120">
        <v>1262</v>
      </c>
      <c r="AL2439" s="44"/>
      <c r="AM2439" s="44"/>
      <c r="AN2439" s="44"/>
      <c r="AO2439" s="44"/>
      <c r="AP2439" s="44"/>
      <c r="AQ2439" s="44"/>
      <c r="AR2439" s="44"/>
    </row>
    <row r="2440" spans="1:44" ht="16.8">
      <c r="A2440" s="64" t="s">
        <v>4669</v>
      </c>
      <c r="B2440" s="62"/>
      <c r="C2440" s="62" t="s">
        <v>4667</v>
      </c>
      <c r="D2440" s="19" t="s">
        <v>4668</v>
      </c>
      <c r="E2440" s="20" t="s">
        <v>414</v>
      </c>
      <c r="F2440" s="21">
        <v>2007</v>
      </c>
      <c r="G2440" s="40">
        <v>2022</v>
      </c>
      <c r="H2440" s="23">
        <v>1435205707527</v>
      </c>
      <c r="I2440" s="23">
        <v>2564919115064</v>
      </c>
      <c r="J2440" s="23">
        <v>914109491475</v>
      </c>
      <c r="K2440" s="23">
        <f t="shared" ref="K2440:K2441" si="813">SUM(J2439:J2440)/2</f>
        <v>838016306180.5</v>
      </c>
      <c r="L2440" s="23">
        <v>577848774806</v>
      </c>
      <c r="M2440" s="23">
        <f t="shared" si="790"/>
        <v>1650809623589</v>
      </c>
      <c r="N2440" s="23">
        <v>1489399093765</v>
      </c>
      <c r="O2440" s="25">
        <f t="shared" si="797"/>
        <v>857356932721</v>
      </c>
      <c r="P2440" s="23">
        <v>216062067366</v>
      </c>
      <c r="Q2440" s="23">
        <v>30938852155</v>
      </c>
      <c r="R2440" s="25">
        <f t="shared" si="798"/>
        <v>1458460241610</v>
      </c>
      <c r="S2440" s="26">
        <f t="shared" si="799"/>
        <v>0.35638920779464467</v>
      </c>
      <c r="T2440" s="27">
        <f t="shared" si="800"/>
        <v>2.4837046820923669</v>
      </c>
      <c r="U2440" s="26">
        <f t="shared" si="801"/>
        <v>28.572948059965963</v>
      </c>
      <c r="V2440" s="26">
        <f t="shared" si="802"/>
        <v>1.7772913042150267</v>
      </c>
      <c r="W2440" s="143"/>
      <c r="X2440" s="143"/>
      <c r="Y2440" s="143"/>
      <c r="Z2440" s="30">
        <f t="shared" si="812"/>
        <v>0</v>
      </c>
      <c r="AA2440" s="31">
        <f t="shared" si="784"/>
        <v>15</v>
      </c>
      <c r="AB2440" s="32">
        <v>3.15E-2</v>
      </c>
      <c r="AC2440" s="32">
        <v>8.0199999999999994E-2</v>
      </c>
      <c r="AD2440" s="33">
        <f t="shared" si="807"/>
        <v>0.33426275615697426</v>
      </c>
      <c r="AE2440" s="34">
        <f t="shared" si="808"/>
        <v>8.4237380468276016E-2</v>
      </c>
      <c r="AF2440" s="33">
        <f t="shared" si="809"/>
        <v>0.5686184149216762</v>
      </c>
      <c r="AG2440" s="33">
        <f t="shared" si="810"/>
        <v>0</v>
      </c>
      <c r="AH2440" s="35">
        <f t="shared" si="811"/>
        <v>1.6293443046540488</v>
      </c>
      <c r="AI2440" s="36">
        <f t="shared" si="804"/>
        <v>4.024832713939535</v>
      </c>
      <c r="AJ2440" s="23"/>
      <c r="AK2440" s="120">
        <v>1263</v>
      </c>
      <c r="AL2440" s="44"/>
      <c r="AM2440" s="44"/>
      <c r="AN2440" s="44"/>
      <c r="AO2440" s="44"/>
      <c r="AP2440" s="44"/>
      <c r="AQ2440" s="44"/>
      <c r="AR2440" s="44"/>
    </row>
    <row r="2441" spans="1:44" ht="16.8">
      <c r="A2441" s="64" t="s">
        <v>4670</v>
      </c>
      <c r="B2441" s="62"/>
      <c r="C2441" s="62" t="s">
        <v>4667</v>
      </c>
      <c r="D2441" s="19" t="s">
        <v>4668</v>
      </c>
      <c r="E2441" s="20" t="s">
        <v>414</v>
      </c>
      <c r="F2441" s="21">
        <v>2007</v>
      </c>
      <c r="G2441" s="40">
        <v>2023</v>
      </c>
      <c r="H2441" s="23">
        <v>1228030519037</v>
      </c>
      <c r="I2441" s="23">
        <v>2714143639489</v>
      </c>
      <c r="J2441" s="23">
        <v>982495152485</v>
      </c>
      <c r="K2441" s="23">
        <f t="shared" si="813"/>
        <v>948302321980</v>
      </c>
      <c r="L2441" s="23">
        <v>453094959977</v>
      </c>
      <c r="M2441" s="23">
        <f t="shared" si="790"/>
        <v>1731648487004</v>
      </c>
      <c r="N2441" s="23">
        <v>1661181333140</v>
      </c>
      <c r="O2441" s="25">
        <f t="shared" si="797"/>
        <v>774935559060</v>
      </c>
      <c r="P2441" s="23">
        <v>188077615457</v>
      </c>
      <c r="Q2441" s="23">
        <v>30487298647</v>
      </c>
      <c r="R2441" s="25">
        <f t="shared" si="798"/>
        <v>1630694034493</v>
      </c>
      <c r="S2441" s="26">
        <f t="shared" si="799"/>
        <v>0.36199084609611054</v>
      </c>
      <c r="T2441" s="27">
        <f t="shared" si="800"/>
        <v>2.7103159988787722</v>
      </c>
      <c r="U2441" s="26">
        <f t="shared" si="801"/>
        <v>28.629497601323557</v>
      </c>
      <c r="V2441" s="26">
        <f t="shared" si="802"/>
        <v>1.7517423448584943</v>
      </c>
      <c r="W2441" s="143"/>
      <c r="X2441" s="143"/>
      <c r="Y2441" s="143"/>
      <c r="Z2441" s="30">
        <f t="shared" si="812"/>
        <v>0</v>
      </c>
      <c r="AA2441" s="31">
        <f t="shared" si="784"/>
        <v>16</v>
      </c>
      <c r="AB2441" s="32">
        <v>3.2500000000000001E-2</v>
      </c>
      <c r="AC2441" s="32">
        <v>5.0500000000000003E-2</v>
      </c>
      <c r="AD2441" s="33">
        <f t="shared" si="807"/>
        <v>0.28551751933287489</v>
      </c>
      <c r="AE2441" s="34">
        <f t="shared" si="808"/>
        <v>6.9295380215179003E-2</v>
      </c>
      <c r="AF2441" s="33">
        <f t="shared" si="809"/>
        <v>0.6008134612949283</v>
      </c>
      <c r="AG2441" s="33">
        <f t="shared" si="810"/>
        <v>0</v>
      </c>
      <c r="AH2441" s="35">
        <f t="shared" si="811"/>
        <v>1.6907781467810974</v>
      </c>
      <c r="AI2441" s="36">
        <f t="shared" si="804"/>
        <v>4.1130971245550612</v>
      </c>
      <c r="AJ2441" s="23"/>
      <c r="AK2441" s="120">
        <v>1264</v>
      </c>
      <c r="AL2441" s="44"/>
      <c r="AM2441" s="44"/>
      <c r="AN2441" s="44"/>
      <c r="AO2441" s="44"/>
      <c r="AP2441" s="44"/>
      <c r="AQ2441" s="44"/>
      <c r="AR2441" s="44"/>
    </row>
    <row r="2442" spans="1:44" ht="16.8">
      <c r="A2442" s="145">
        <v>332</v>
      </c>
      <c r="B2442" s="145">
        <v>1120</v>
      </c>
      <c r="C2442" s="145" t="s">
        <v>4671</v>
      </c>
      <c r="D2442" s="146" t="s">
        <v>4672</v>
      </c>
      <c r="E2442" s="147" t="s">
        <v>178</v>
      </c>
      <c r="F2442" s="148"/>
      <c r="G2442" s="148"/>
      <c r="H2442" s="149"/>
      <c r="I2442" s="149"/>
      <c r="J2442" s="149"/>
      <c r="K2442" s="149"/>
      <c r="L2442" s="149"/>
      <c r="M2442" s="149">
        <f t="shared" si="790"/>
        <v>0</v>
      </c>
      <c r="N2442" s="149"/>
      <c r="O2442" s="149">
        <f t="shared" si="797"/>
        <v>0</v>
      </c>
      <c r="P2442" s="149"/>
      <c r="Q2442" s="149"/>
      <c r="R2442" s="149">
        <f t="shared" si="798"/>
        <v>0</v>
      </c>
      <c r="S2442" s="150" t="e">
        <f t="shared" si="799"/>
        <v>#DIV/0!</v>
      </c>
      <c r="T2442" s="151" t="e">
        <f t="shared" si="800"/>
        <v>#DIV/0!</v>
      </c>
      <c r="U2442" s="150" t="e">
        <f t="shared" si="801"/>
        <v>#NUM!</v>
      </c>
      <c r="V2442" s="150" t="e">
        <f t="shared" si="802"/>
        <v>#DIV/0!</v>
      </c>
      <c r="W2442" s="152"/>
      <c r="X2442" s="152"/>
      <c r="Y2442" s="152"/>
      <c r="Z2442" s="153">
        <f t="shared" ref="Z2442:Z2488" si="814">W2442*Y2442</f>
        <v>0</v>
      </c>
      <c r="AA2442" s="148">
        <f t="shared" ref="AA2442:AA2643" si="815">G2442-F2442</f>
        <v>0</v>
      </c>
      <c r="AB2442" s="149"/>
      <c r="AC2442" s="149"/>
      <c r="AD2442" s="150" t="e">
        <f t="shared" si="807"/>
        <v>#DIV/0!</v>
      </c>
      <c r="AE2442" s="154" t="e">
        <f t="shared" si="808"/>
        <v>#DIV/0!</v>
      </c>
      <c r="AF2442" s="150" t="e">
        <f t="shared" si="809"/>
        <v>#DIV/0!</v>
      </c>
      <c r="AG2442" s="150" t="e">
        <f t="shared" si="810"/>
        <v>#DIV/0!</v>
      </c>
      <c r="AH2442" s="155" t="e">
        <f t="shared" si="811"/>
        <v>#DIV/0!</v>
      </c>
      <c r="AI2442" s="156" t="e">
        <f t="shared" si="804"/>
        <v>#DIV/0!</v>
      </c>
      <c r="AJ2442" s="149"/>
      <c r="AK2442" s="149"/>
      <c r="AL2442" s="157"/>
      <c r="AM2442" s="157"/>
      <c r="AN2442" s="157"/>
      <c r="AO2442" s="157"/>
      <c r="AP2442" s="157"/>
      <c r="AQ2442" s="157"/>
      <c r="AR2442" s="157"/>
    </row>
    <row r="2443" spans="1:44" ht="16.8">
      <c r="A2443" s="145">
        <v>333</v>
      </c>
      <c r="B2443" s="145">
        <v>1121</v>
      </c>
      <c r="C2443" s="145" t="s">
        <v>4673</v>
      </c>
      <c r="D2443" s="146" t="s">
        <v>4674</v>
      </c>
      <c r="E2443" s="147" t="s">
        <v>178</v>
      </c>
      <c r="F2443" s="148"/>
      <c r="G2443" s="148"/>
      <c r="H2443" s="149"/>
      <c r="I2443" s="149"/>
      <c r="J2443" s="149"/>
      <c r="K2443" s="149"/>
      <c r="L2443" s="149"/>
      <c r="M2443" s="149">
        <f t="shared" si="790"/>
        <v>0</v>
      </c>
      <c r="N2443" s="149"/>
      <c r="O2443" s="149">
        <f t="shared" si="797"/>
        <v>0</v>
      </c>
      <c r="P2443" s="149"/>
      <c r="Q2443" s="149"/>
      <c r="R2443" s="149">
        <f t="shared" si="798"/>
        <v>0</v>
      </c>
      <c r="S2443" s="150" t="e">
        <f t="shared" si="799"/>
        <v>#DIV/0!</v>
      </c>
      <c r="T2443" s="151" t="e">
        <f t="shared" si="800"/>
        <v>#DIV/0!</v>
      </c>
      <c r="U2443" s="150" t="e">
        <f t="shared" si="801"/>
        <v>#NUM!</v>
      </c>
      <c r="V2443" s="150" t="e">
        <f t="shared" si="802"/>
        <v>#DIV/0!</v>
      </c>
      <c r="W2443" s="152"/>
      <c r="X2443" s="152"/>
      <c r="Y2443" s="152"/>
      <c r="Z2443" s="153">
        <f t="shared" si="814"/>
        <v>0</v>
      </c>
      <c r="AA2443" s="148">
        <f t="shared" si="815"/>
        <v>0</v>
      </c>
      <c r="AB2443" s="149"/>
      <c r="AC2443" s="149"/>
      <c r="AD2443" s="150" t="e">
        <f t="shared" si="807"/>
        <v>#DIV/0!</v>
      </c>
      <c r="AE2443" s="154" t="e">
        <f t="shared" si="808"/>
        <v>#DIV/0!</v>
      </c>
      <c r="AF2443" s="150" t="e">
        <f t="shared" si="809"/>
        <v>#DIV/0!</v>
      </c>
      <c r="AG2443" s="150" t="e">
        <f t="shared" si="810"/>
        <v>#DIV/0!</v>
      </c>
      <c r="AH2443" s="155" t="e">
        <f t="shared" si="811"/>
        <v>#DIV/0!</v>
      </c>
      <c r="AI2443" s="156" t="e">
        <f t="shared" si="804"/>
        <v>#DIV/0!</v>
      </c>
      <c r="AJ2443" s="149"/>
      <c r="AK2443" s="149"/>
      <c r="AL2443" s="157"/>
      <c r="AM2443" s="157"/>
      <c r="AN2443" s="157"/>
      <c r="AO2443" s="157"/>
      <c r="AP2443" s="157"/>
      <c r="AQ2443" s="157"/>
      <c r="AR2443" s="157"/>
    </row>
    <row r="2444" spans="1:44" ht="16.8">
      <c r="A2444" s="145">
        <v>334</v>
      </c>
      <c r="B2444" s="145">
        <v>1122</v>
      </c>
      <c r="C2444" s="145" t="s">
        <v>4675</v>
      </c>
      <c r="D2444" s="146" t="s">
        <v>4676</v>
      </c>
      <c r="E2444" s="147" t="s">
        <v>178</v>
      </c>
      <c r="F2444" s="148"/>
      <c r="G2444" s="148"/>
      <c r="H2444" s="149"/>
      <c r="I2444" s="149"/>
      <c r="J2444" s="149"/>
      <c r="K2444" s="149"/>
      <c r="L2444" s="149"/>
      <c r="M2444" s="149">
        <f t="shared" si="790"/>
        <v>0</v>
      </c>
      <c r="N2444" s="149"/>
      <c r="O2444" s="149">
        <f t="shared" si="797"/>
        <v>0</v>
      </c>
      <c r="P2444" s="149"/>
      <c r="Q2444" s="149"/>
      <c r="R2444" s="149">
        <f t="shared" si="798"/>
        <v>0</v>
      </c>
      <c r="S2444" s="150" t="e">
        <f t="shared" si="799"/>
        <v>#DIV/0!</v>
      </c>
      <c r="T2444" s="151" t="e">
        <f t="shared" si="800"/>
        <v>#DIV/0!</v>
      </c>
      <c r="U2444" s="150" t="e">
        <f t="shared" si="801"/>
        <v>#NUM!</v>
      </c>
      <c r="V2444" s="150" t="e">
        <f t="shared" si="802"/>
        <v>#DIV/0!</v>
      </c>
      <c r="W2444" s="152"/>
      <c r="X2444" s="152"/>
      <c r="Y2444" s="152"/>
      <c r="Z2444" s="153">
        <f t="shared" si="814"/>
        <v>0</v>
      </c>
      <c r="AA2444" s="148">
        <f t="shared" si="815"/>
        <v>0</v>
      </c>
      <c r="AB2444" s="149"/>
      <c r="AC2444" s="149"/>
      <c r="AD2444" s="150" t="e">
        <f t="shared" si="807"/>
        <v>#DIV/0!</v>
      </c>
      <c r="AE2444" s="154" t="e">
        <f t="shared" si="808"/>
        <v>#DIV/0!</v>
      </c>
      <c r="AF2444" s="150" t="e">
        <f t="shared" si="809"/>
        <v>#DIV/0!</v>
      </c>
      <c r="AG2444" s="150" t="e">
        <f t="shared" si="810"/>
        <v>#DIV/0!</v>
      </c>
      <c r="AH2444" s="155" t="e">
        <f t="shared" si="811"/>
        <v>#DIV/0!</v>
      </c>
      <c r="AI2444" s="156" t="e">
        <f t="shared" si="804"/>
        <v>#DIV/0!</v>
      </c>
      <c r="AJ2444" s="149"/>
      <c r="AK2444" s="149"/>
      <c r="AL2444" s="157"/>
      <c r="AM2444" s="157"/>
      <c r="AN2444" s="157"/>
      <c r="AO2444" s="157"/>
      <c r="AP2444" s="157"/>
      <c r="AQ2444" s="157"/>
      <c r="AR2444" s="157"/>
    </row>
    <row r="2445" spans="1:44" ht="16.8">
      <c r="A2445" s="145">
        <v>335</v>
      </c>
      <c r="B2445" s="145">
        <v>1123</v>
      </c>
      <c r="C2445" s="145" t="s">
        <v>4677</v>
      </c>
      <c r="D2445" s="146" t="s">
        <v>4678</v>
      </c>
      <c r="E2445" s="147" t="s">
        <v>178</v>
      </c>
      <c r="F2445" s="148"/>
      <c r="G2445" s="148"/>
      <c r="H2445" s="149"/>
      <c r="I2445" s="149"/>
      <c r="J2445" s="149"/>
      <c r="K2445" s="149"/>
      <c r="L2445" s="149"/>
      <c r="M2445" s="149">
        <f t="shared" si="790"/>
        <v>0</v>
      </c>
      <c r="N2445" s="149"/>
      <c r="O2445" s="149">
        <f t="shared" si="797"/>
        <v>0</v>
      </c>
      <c r="P2445" s="149"/>
      <c r="Q2445" s="149"/>
      <c r="R2445" s="149">
        <f t="shared" si="798"/>
        <v>0</v>
      </c>
      <c r="S2445" s="150" t="e">
        <f t="shared" si="799"/>
        <v>#DIV/0!</v>
      </c>
      <c r="T2445" s="151" t="e">
        <f t="shared" si="800"/>
        <v>#DIV/0!</v>
      </c>
      <c r="U2445" s="150" t="e">
        <f t="shared" si="801"/>
        <v>#NUM!</v>
      </c>
      <c r="V2445" s="150" t="e">
        <f t="shared" si="802"/>
        <v>#DIV/0!</v>
      </c>
      <c r="W2445" s="152"/>
      <c r="X2445" s="152"/>
      <c r="Y2445" s="152"/>
      <c r="Z2445" s="153">
        <f t="shared" si="814"/>
        <v>0</v>
      </c>
      <c r="AA2445" s="148">
        <f t="shared" si="815"/>
        <v>0</v>
      </c>
      <c r="AB2445" s="149"/>
      <c r="AC2445" s="149"/>
      <c r="AD2445" s="150" t="e">
        <f t="shared" si="807"/>
        <v>#DIV/0!</v>
      </c>
      <c r="AE2445" s="154" t="e">
        <f t="shared" si="808"/>
        <v>#DIV/0!</v>
      </c>
      <c r="AF2445" s="150" t="e">
        <f t="shared" si="809"/>
        <v>#DIV/0!</v>
      </c>
      <c r="AG2445" s="150" t="e">
        <f t="shared" si="810"/>
        <v>#DIV/0!</v>
      </c>
      <c r="AH2445" s="155" t="e">
        <f t="shared" si="811"/>
        <v>#DIV/0!</v>
      </c>
      <c r="AI2445" s="156" t="e">
        <f t="shared" si="804"/>
        <v>#DIV/0!</v>
      </c>
      <c r="AJ2445" s="149"/>
      <c r="AK2445" s="149"/>
      <c r="AL2445" s="157"/>
      <c r="AM2445" s="157"/>
      <c r="AN2445" s="157"/>
      <c r="AO2445" s="157"/>
      <c r="AP2445" s="157"/>
      <c r="AQ2445" s="157"/>
      <c r="AR2445" s="157"/>
    </row>
    <row r="2446" spans="1:44" ht="16.8">
      <c r="A2446" s="145">
        <v>336</v>
      </c>
      <c r="B2446" s="145">
        <v>1124</v>
      </c>
      <c r="C2446" s="145" t="s">
        <v>4679</v>
      </c>
      <c r="D2446" s="146" t="s">
        <v>4680</v>
      </c>
      <c r="E2446" s="147" t="s">
        <v>1371</v>
      </c>
      <c r="F2446" s="148"/>
      <c r="G2446" s="148"/>
      <c r="H2446" s="149"/>
      <c r="I2446" s="149"/>
      <c r="J2446" s="149"/>
      <c r="K2446" s="149"/>
      <c r="L2446" s="149"/>
      <c r="M2446" s="149">
        <f t="shared" si="790"/>
        <v>0</v>
      </c>
      <c r="N2446" s="149"/>
      <c r="O2446" s="149">
        <f t="shared" si="797"/>
        <v>0</v>
      </c>
      <c r="P2446" s="149"/>
      <c r="Q2446" s="149"/>
      <c r="R2446" s="149">
        <f t="shared" si="798"/>
        <v>0</v>
      </c>
      <c r="S2446" s="150" t="e">
        <f t="shared" si="799"/>
        <v>#DIV/0!</v>
      </c>
      <c r="T2446" s="151" t="e">
        <f t="shared" si="800"/>
        <v>#DIV/0!</v>
      </c>
      <c r="U2446" s="150" t="e">
        <f t="shared" si="801"/>
        <v>#NUM!</v>
      </c>
      <c r="V2446" s="150" t="e">
        <f t="shared" si="802"/>
        <v>#DIV/0!</v>
      </c>
      <c r="W2446" s="152"/>
      <c r="X2446" s="152"/>
      <c r="Y2446" s="152"/>
      <c r="Z2446" s="153">
        <f t="shared" si="814"/>
        <v>0</v>
      </c>
      <c r="AA2446" s="148">
        <f t="shared" si="815"/>
        <v>0</v>
      </c>
      <c r="AB2446" s="149"/>
      <c r="AC2446" s="149"/>
      <c r="AD2446" s="150" t="e">
        <f t="shared" si="807"/>
        <v>#DIV/0!</v>
      </c>
      <c r="AE2446" s="154" t="e">
        <f t="shared" si="808"/>
        <v>#DIV/0!</v>
      </c>
      <c r="AF2446" s="150" t="e">
        <f t="shared" si="809"/>
        <v>#DIV/0!</v>
      </c>
      <c r="AG2446" s="150" t="e">
        <f t="shared" si="810"/>
        <v>#DIV/0!</v>
      </c>
      <c r="AH2446" s="155" t="e">
        <f t="shared" si="811"/>
        <v>#DIV/0!</v>
      </c>
      <c r="AI2446" s="156" t="e">
        <f t="shared" si="804"/>
        <v>#DIV/0!</v>
      </c>
      <c r="AJ2446" s="149"/>
      <c r="AK2446" s="149"/>
      <c r="AL2446" s="157"/>
      <c r="AM2446" s="157"/>
      <c r="AN2446" s="157"/>
      <c r="AO2446" s="157"/>
      <c r="AP2446" s="157"/>
      <c r="AQ2446" s="157"/>
      <c r="AR2446" s="157"/>
    </row>
    <row r="2447" spans="1:44" ht="16.8">
      <c r="A2447" s="145">
        <v>337</v>
      </c>
      <c r="B2447" s="145">
        <v>1125</v>
      </c>
      <c r="C2447" s="145" t="s">
        <v>4681</v>
      </c>
      <c r="D2447" s="146" t="s">
        <v>4682</v>
      </c>
      <c r="E2447" s="147" t="s">
        <v>178</v>
      </c>
      <c r="F2447" s="148"/>
      <c r="G2447" s="148"/>
      <c r="H2447" s="149"/>
      <c r="I2447" s="149"/>
      <c r="J2447" s="149"/>
      <c r="K2447" s="149"/>
      <c r="L2447" s="149"/>
      <c r="M2447" s="149">
        <f t="shared" si="790"/>
        <v>0</v>
      </c>
      <c r="N2447" s="149"/>
      <c r="O2447" s="149">
        <f t="shared" si="797"/>
        <v>0</v>
      </c>
      <c r="P2447" s="149"/>
      <c r="Q2447" s="149"/>
      <c r="R2447" s="149">
        <f t="shared" si="798"/>
        <v>0</v>
      </c>
      <c r="S2447" s="150" t="e">
        <f t="shared" si="799"/>
        <v>#DIV/0!</v>
      </c>
      <c r="T2447" s="151" t="e">
        <f t="shared" si="800"/>
        <v>#DIV/0!</v>
      </c>
      <c r="U2447" s="150" t="e">
        <f t="shared" si="801"/>
        <v>#NUM!</v>
      </c>
      <c r="V2447" s="150" t="e">
        <f t="shared" si="802"/>
        <v>#DIV/0!</v>
      </c>
      <c r="W2447" s="152"/>
      <c r="X2447" s="152"/>
      <c r="Y2447" s="152"/>
      <c r="Z2447" s="153">
        <f t="shared" si="814"/>
        <v>0</v>
      </c>
      <c r="AA2447" s="148">
        <f t="shared" si="815"/>
        <v>0</v>
      </c>
      <c r="AB2447" s="149"/>
      <c r="AC2447" s="149"/>
      <c r="AD2447" s="150" t="e">
        <f t="shared" si="807"/>
        <v>#DIV/0!</v>
      </c>
      <c r="AE2447" s="154" t="e">
        <f t="shared" si="808"/>
        <v>#DIV/0!</v>
      </c>
      <c r="AF2447" s="150" t="e">
        <f t="shared" si="809"/>
        <v>#DIV/0!</v>
      </c>
      <c r="AG2447" s="150" t="e">
        <f t="shared" si="810"/>
        <v>#DIV/0!</v>
      </c>
      <c r="AH2447" s="155" t="e">
        <f t="shared" si="811"/>
        <v>#DIV/0!</v>
      </c>
      <c r="AI2447" s="156" t="e">
        <f t="shared" si="804"/>
        <v>#DIV/0!</v>
      </c>
      <c r="AJ2447" s="149"/>
      <c r="AK2447" s="149"/>
      <c r="AL2447" s="157"/>
      <c r="AM2447" s="157"/>
      <c r="AN2447" s="157"/>
      <c r="AO2447" s="157"/>
      <c r="AP2447" s="157"/>
      <c r="AQ2447" s="157"/>
      <c r="AR2447" s="157"/>
    </row>
    <row r="2448" spans="1:44" ht="16.8">
      <c r="A2448" s="145">
        <v>338</v>
      </c>
      <c r="B2448" s="145">
        <v>1126</v>
      </c>
      <c r="C2448" s="145" t="s">
        <v>4683</v>
      </c>
      <c r="D2448" s="146" t="s">
        <v>4684</v>
      </c>
      <c r="E2448" s="147" t="s">
        <v>178</v>
      </c>
      <c r="F2448" s="148"/>
      <c r="G2448" s="148"/>
      <c r="H2448" s="149"/>
      <c r="I2448" s="149"/>
      <c r="J2448" s="149"/>
      <c r="K2448" s="149"/>
      <c r="L2448" s="149"/>
      <c r="M2448" s="149">
        <f t="shared" si="790"/>
        <v>0</v>
      </c>
      <c r="N2448" s="149"/>
      <c r="O2448" s="149">
        <f t="shared" si="797"/>
        <v>0</v>
      </c>
      <c r="P2448" s="149"/>
      <c r="Q2448" s="149"/>
      <c r="R2448" s="149">
        <f t="shared" si="798"/>
        <v>0</v>
      </c>
      <c r="S2448" s="150" t="e">
        <f t="shared" si="799"/>
        <v>#DIV/0!</v>
      </c>
      <c r="T2448" s="151" t="e">
        <f t="shared" si="800"/>
        <v>#DIV/0!</v>
      </c>
      <c r="U2448" s="150" t="e">
        <f t="shared" si="801"/>
        <v>#NUM!</v>
      </c>
      <c r="V2448" s="150" t="e">
        <f t="shared" si="802"/>
        <v>#DIV/0!</v>
      </c>
      <c r="W2448" s="152"/>
      <c r="X2448" s="152"/>
      <c r="Y2448" s="152"/>
      <c r="Z2448" s="153">
        <f t="shared" si="814"/>
        <v>0</v>
      </c>
      <c r="AA2448" s="148">
        <f t="shared" si="815"/>
        <v>0</v>
      </c>
      <c r="AB2448" s="149"/>
      <c r="AC2448" s="149"/>
      <c r="AD2448" s="150" t="e">
        <f t="shared" si="807"/>
        <v>#DIV/0!</v>
      </c>
      <c r="AE2448" s="154" t="e">
        <f t="shared" si="808"/>
        <v>#DIV/0!</v>
      </c>
      <c r="AF2448" s="150" t="e">
        <f t="shared" si="809"/>
        <v>#DIV/0!</v>
      </c>
      <c r="AG2448" s="150" t="e">
        <f t="shared" si="810"/>
        <v>#DIV/0!</v>
      </c>
      <c r="AH2448" s="155" t="e">
        <f t="shared" si="811"/>
        <v>#DIV/0!</v>
      </c>
      <c r="AI2448" s="156" t="e">
        <f t="shared" si="804"/>
        <v>#DIV/0!</v>
      </c>
      <c r="AJ2448" s="149"/>
      <c r="AK2448" s="149"/>
      <c r="AL2448" s="157"/>
      <c r="AM2448" s="157"/>
      <c r="AN2448" s="157"/>
      <c r="AO2448" s="157"/>
      <c r="AP2448" s="157"/>
      <c r="AQ2448" s="157"/>
      <c r="AR2448" s="157"/>
    </row>
    <row r="2449" spans="1:44" ht="16.8">
      <c r="A2449" s="145">
        <v>339</v>
      </c>
      <c r="B2449" s="145">
        <v>1127</v>
      </c>
      <c r="C2449" s="145" t="s">
        <v>4685</v>
      </c>
      <c r="D2449" s="146" t="s">
        <v>4686</v>
      </c>
      <c r="E2449" s="147" t="s">
        <v>178</v>
      </c>
      <c r="F2449" s="148"/>
      <c r="G2449" s="148"/>
      <c r="H2449" s="149"/>
      <c r="I2449" s="149"/>
      <c r="J2449" s="149"/>
      <c r="K2449" s="149"/>
      <c r="L2449" s="149"/>
      <c r="M2449" s="149">
        <f t="shared" si="790"/>
        <v>0</v>
      </c>
      <c r="N2449" s="149"/>
      <c r="O2449" s="149">
        <f t="shared" si="797"/>
        <v>0</v>
      </c>
      <c r="P2449" s="149"/>
      <c r="Q2449" s="149"/>
      <c r="R2449" s="149">
        <f t="shared" si="798"/>
        <v>0</v>
      </c>
      <c r="S2449" s="150" t="e">
        <f t="shared" si="799"/>
        <v>#DIV/0!</v>
      </c>
      <c r="T2449" s="151" t="e">
        <f t="shared" si="800"/>
        <v>#DIV/0!</v>
      </c>
      <c r="U2449" s="150" t="e">
        <f t="shared" si="801"/>
        <v>#NUM!</v>
      </c>
      <c r="V2449" s="150" t="e">
        <f t="shared" si="802"/>
        <v>#DIV/0!</v>
      </c>
      <c r="W2449" s="152"/>
      <c r="X2449" s="152"/>
      <c r="Y2449" s="152"/>
      <c r="Z2449" s="153">
        <f t="shared" si="814"/>
        <v>0</v>
      </c>
      <c r="AA2449" s="148">
        <f t="shared" si="815"/>
        <v>0</v>
      </c>
      <c r="AB2449" s="149"/>
      <c r="AC2449" s="149"/>
      <c r="AD2449" s="150" t="e">
        <f t="shared" si="807"/>
        <v>#DIV/0!</v>
      </c>
      <c r="AE2449" s="154" t="e">
        <f t="shared" si="808"/>
        <v>#DIV/0!</v>
      </c>
      <c r="AF2449" s="150" t="e">
        <f t="shared" si="809"/>
        <v>#DIV/0!</v>
      </c>
      <c r="AG2449" s="150" t="e">
        <f t="shared" si="810"/>
        <v>#DIV/0!</v>
      </c>
      <c r="AH2449" s="155" t="e">
        <f t="shared" si="811"/>
        <v>#DIV/0!</v>
      </c>
      <c r="AI2449" s="156" t="e">
        <f t="shared" si="804"/>
        <v>#DIV/0!</v>
      </c>
      <c r="AJ2449" s="149"/>
      <c r="AK2449" s="149"/>
      <c r="AL2449" s="157"/>
      <c r="AM2449" s="157"/>
      <c r="AN2449" s="157"/>
      <c r="AO2449" s="157"/>
      <c r="AP2449" s="157"/>
      <c r="AQ2449" s="157"/>
      <c r="AR2449" s="157"/>
    </row>
    <row r="2450" spans="1:44" ht="16.8">
      <c r="A2450" s="145">
        <v>340</v>
      </c>
      <c r="B2450" s="145">
        <v>1128</v>
      </c>
      <c r="C2450" s="145" t="s">
        <v>4687</v>
      </c>
      <c r="D2450" s="146" t="s">
        <v>4688</v>
      </c>
      <c r="E2450" s="147" t="s">
        <v>178</v>
      </c>
      <c r="F2450" s="148"/>
      <c r="G2450" s="148"/>
      <c r="H2450" s="149"/>
      <c r="I2450" s="149"/>
      <c r="J2450" s="149"/>
      <c r="K2450" s="149"/>
      <c r="L2450" s="149"/>
      <c r="M2450" s="149">
        <f t="shared" si="790"/>
        <v>0</v>
      </c>
      <c r="N2450" s="149"/>
      <c r="O2450" s="149">
        <f t="shared" si="797"/>
        <v>0</v>
      </c>
      <c r="P2450" s="149"/>
      <c r="Q2450" s="149"/>
      <c r="R2450" s="149">
        <f t="shared" si="798"/>
        <v>0</v>
      </c>
      <c r="S2450" s="150" t="e">
        <f t="shared" si="799"/>
        <v>#DIV/0!</v>
      </c>
      <c r="T2450" s="151" t="e">
        <f t="shared" si="800"/>
        <v>#DIV/0!</v>
      </c>
      <c r="U2450" s="150" t="e">
        <f t="shared" si="801"/>
        <v>#NUM!</v>
      </c>
      <c r="V2450" s="150" t="e">
        <f t="shared" si="802"/>
        <v>#DIV/0!</v>
      </c>
      <c r="W2450" s="152"/>
      <c r="X2450" s="152"/>
      <c r="Y2450" s="152"/>
      <c r="Z2450" s="153">
        <f t="shared" si="814"/>
        <v>0</v>
      </c>
      <c r="AA2450" s="148">
        <f t="shared" si="815"/>
        <v>0</v>
      </c>
      <c r="AB2450" s="149"/>
      <c r="AC2450" s="149"/>
      <c r="AD2450" s="150" t="e">
        <f t="shared" si="807"/>
        <v>#DIV/0!</v>
      </c>
      <c r="AE2450" s="154" t="e">
        <f t="shared" si="808"/>
        <v>#DIV/0!</v>
      </c>
      <c r="AF2450" s="150" t="e">
        <f t="shared" si="809"/>
        <v>#DIV/0!</v>
      </c>
      <c r="AG2450" s="150" t="e">
        <f t="shared" si="810"/>
        <v>#DIV/0!</v>
      </c>
      <c r="AH2450" s="155" t="e">
        <f t="shared" si="811"/>
        <v>#DIV/0!</v>
      </c>
      <c r="AI2450" s="156" t="e">
        <f t="shared" si="804"/>
        <v>#DIV/0!</v>
      </c>
      <c r="AJ2450" s="149"/>
      <c r="AK2450" s="149"/>
      <c r="AL2450" s="157"/>
      <c r="AM2450" s="157"/>
      <c r="AN2450" s="157"/>
      <c r="AO2450" s="157"/>
      <c r="AP2450" s="157"/>
      <c r="AQ2450" s="157"/>
      <c r="AR2450" s="157"/>
    </row>
    <row r="2451" spans="1:44" ht="16.8">
      <c r="A2451" s="145">
        <v>341</v>
      </c>
      <c r="B2451" s="145">
        <v>1129</v>
      </c>
      <c r="C2451" s="145" t="s">
        <v>4689</v>
      </c>
      <c r="D2451" s="146" t="s">
        <v>4690</v>
      </c>
      <c r="E2451" s="147" t="s">
        <v>178</v>
      </c>
      <c r="F2451" s="148"/>
      <c r="G2451" s="148"/>
      <c r="H2451" s="149"/>
      <c r="I2451" s="149"/>
      <c r="J2451" s="149"/>
      <c r="K2451" s="149"/>
      <c r="L2451" s="149"/>
      <c r="M2451" s="149">
        <f t="shared" si="790"/>
        <v>0</v>
      </c>
      <c r="N2451" s="149"/>
      <c r="O2451" s="149">
        <f t="shared" si="797"/>
        <v>0</v>
      </c>
      <c r="P2451" s="149"/>
      <c r="Q2451" s="149"/>
      <c r="R2451" s="149">
        <f t="shared" si="798"/>
        <v>0</v>
      </c>
      <c r="S2451" s="150" t="e">
        <f t="shared" si="799"/>
        <v>#DIV/0!</v>
      </c>
      <c r="T2451" s="151" t="e">
        <f t="shared" si="800"/>
        <v>#DIV/0!</v>
      </c>
      <c r="U2451" s="150" t="e">
        <f t="shared" si="801"/>
        <v>#NUM!</v>
      </c>
      <c r="V2451" s="150" t="e">
        <f t="shared" si="802"/>
        <v>#DIV/0!</v>
      </c>
      <c r="W2451" s="152"/>
      <c r="X2451" s="152"/>
      <c r="Y2451" s="152"/>
      <c r="Z2451" s="153">
        <f t="shared" si="814"/>
        <v>0</v>
      </c>
      <c r="AA2451" s="148">
        <f t="shared" si="815"/>
        <v>0</v>
      </c>
      <c r="AB2451" s="149"/>
      <c r="AC2451" s="149"/>
      <c r="AD2451" s="150" t="e">
        <f t="shared" si="807"/>
        <v>#DIV/0!</v>
      </c>
      <c r="AE2451" s="154" t="e">
        <f t="shared" si="808"/>
        <v>#DIV/0!</v>
      </c>
      <c r="AF2451" s="150" t="e">
        <f t="shared" si="809"/>
        <v>#DIV/0!</v>
      </c>
      <c r="AG2451" s="150" t="e">
        <f t="shared" si="810"/>
        <v>#DIV/0!</v>
      </c>
      <c r="AH2451" s="155" t="e">
        <f t="shared" si="811"/>
        <v>#DIV/0!</v>
      </c>
      <c r="AI2451" s="156" t="e">
        <f t="shared" si="804"/>
        <v>#DIV/0!</v>
      </c>
      <c r="AJ2451" s="149"/>
      <c r="AK2451" s="149"/>
      <c r="AL2451" s="157"/>
      <c r="AM2451" s="157"/>
      <c r="AN2451" s="157"/>
      <c r="AO2451" s="157"/>
      <c r="AP2451" s="157"/>
      <c r="AQ2451" s="157"/>
      <c r="AR2451" s="157"/>
    </row>
    <row r="2452" spans="1:44" ht="16.8">
      <c r="A2452" s="145">
        <v>342</v>
      </c>
      <c r="B2452" s="145">
        <v>1130</v>
      </c>
      <c r="C2452" s="145" t="s">
        <v>4691</v>
      </c>
      <c r="D2452" s="146" t="s">
        <v>4692</v>
      </c>
      <c r="E2452" s="147" t="s">
        <v>178</v>
      </c>
      <c r="F2452" s="148"/>
      <c r="G2452" s="148"/>
      <c r="H2452" s="149"/>
      <c r="I2452" s="149"/>
      <c r="J2452" s="149"/>
      <c r="K2452" s="149"/>
      <c r="L2452" s="149"/>
      <c r="M2452" s="149">
        <f t="shared" si="790"/>
        <v>0</v>
      </c>
      <c r="N2452" s="149"/>
      <c r="O2452" s="149">
        <f t="shared" si="797"/>
        <v>0</v>
      </c>
      <c r="P2452" s="149"/>
      <c r="Q2452" s="149"/>
      <c r="R2452" s="149">
        <f t="shared" si="798"/>
        <v>0</v>
      </c>
      <c r="S2452" s="150" t="e">
        <f t="shared" si="799"/>
        <v>#DIV/0!</v>
      </c>
      <c r="T2452" s="151" t="e">
        <f t="shared" si="800"/>
        <v>#DIV/0!</v>
      </c>
      <c r="U2452" s="150" t="e">
        <f t="shared" si="801"/>
        <v>#NUM!</v>
      </c>
      <c r="V2452" s="150" t="e">
        <f t="shared" si="802"/>
        <v>#DIV/0!</v>
      </c>
      <c r="W2452" s="152"/>
      <c r="X2452" s="152"/>
      <c r="Y2452" s="152"/>
      <c r="Z2452" s="153">
        <f t="shared" si="814"/>
        <v>0</v>
      </c>
      <c r="AA2452" s="148">
        <f t="shared" si="815"/>
        <v>0</v>
      </c>
      <c r="AB2452" s="149"/>
      <c r="AC2452" s="149"/>
      <c r="AD2452" s="150" t="e">
        <f t="shared" si="807"/>
        <v>#DIV/0!</v>
      </c>
      <c r="AE2452" s="154" t="e">
        <f t="shared" si="808"/>
        <v>#DIV/0!</v>
      </c>
      <c r="AF2452" s="150" t="e">
        <f t="shared" si="809"/>
        <v>#DIV/0!</v>
      </c>
      <c r="AG2452" s="150" t="e">
        <f t="shared" si="810"/>
        <v>#DIV/0!</v>
      </c>
      <c r="AH2452" s="155" t="e">
        <f t="shared" si="811"/>
        <v>#DIV/0!</v>
      </c>
      <c r="AI2452" s="156" t="e">
        <f t="shared" si="804"/>
        <v>#DIV/0!</v>
      </c>
      <c r="AJ2452" s="149"/>
      <c r="AK2452" s="149"/>
      <c r="AL2452" s="157"/>
      <c r="AM2452" s="157"/>
      <c r="AN2452" s="157"/>
      <c r="AO2452" s="157"/>
      <c r="AP2452" s="157"/>
      <c r="AQ2452" s="157"/>
      <c r="AR2452" s="157"/>
    </row>
    <row r="2453" spans="1:44" ht="16.8">
      <c r="A2453" s="145">
        <v>343</v>
      </c>
      <c r="B2453" s="145">
        <v>1131</v>
      </c>
      <c r="C2453" s="145" t="s">
        <v>4693</v>
      </c>
      <c r="D2453" s="146" t="s">
        <v>4694</v>
      </c>
      <c r="E2453" s="147" t="s">
        <v>178</v>
      </c>
      <c r="F2453" s="148"/>
      <c r="G2453" s="148"/>
      <c r="H2453" s="149"/>
      <c r="I2453" s="149"/>
      <c r="J2453" s="149"/>
      <c r="K2453" s="149"/>
      <c r="L2453" s="149"/>
      <c r="M2453" s="149">
        <f t="shared" si="790"/>
        <v>0</v>
      </c>
      <c r="N2453" s="149"/>
      <c r="O2453" s="149">
        <f t="shared" si="797"/>
        <v>0</v>
      </c>
      <c r="P2453" s="149"/>
      <c r="Q2453" s="149"/>
      <c r="R2453" s="149">
        <f t="shared" si="798"/>
        <v>0</v>
      </c>
      <c r="S2453" s="150" t="e">
        <f t="shared" si="799"/>
        <v>#DIV/0!</v>
      </c>
      <c r="T2453" s="151" t="e">
        <f t="shared" si="800"/>
        <v>#DIV/0!</v>
      </c>
      <c r="U2453" s="150" t="e">
        <f t="shared" si="801"/>
        <v>#NUM!</v>
      </c>
      <c r="V2453" s="150" t="e">
        <f t="shared" si="802"/>
        <v>#DIV/0!</v>
      </c>
      <c r="W2453" s="152"/>
      <c r="X2453" s="152"/>
      <c r="Y2453" s="152"/>
      <c r="Z2453" s="153">
        <f t="shared" si="814"/>
        <v>0</v>
      </c>
      <c r="AA2453" s="148">
        <f t="shared" si="815"/>
        <v>0</v>
      </c>
      <c r="AB2453" s="149"/>
      <c r="AC2453" s="149"/>
      <c r="AD2453" s="150" t="e">
        <f t="shared" si="807"/>
        <v>#DIV/0!</v>
      </c>
      <c r="AE2453" s="154" t="e">
        <f t="shared" si="808"/>
        <v>#DIV/0!</v>
      </c>
      <c r="AF2453" s="150" t="e">
        <f t="shared" si="809"/>
        <v>#DIV/0!</v>
      </c>
      <c r="AG2453" s="150" t="e">
        <f t="shared" si="810"/>
        <v>#DIV/0!</v>
      </c>
      <c r="AH2453" s="155" t="e">
        <f t="shared" si="811"/>
        <v>#DIV/0!</v>
      </c>
      <c r="AI2453" s="156" t="e">
        <f t="shared" si="804"/>
        <v>#DIV/0!</v>
      </c>
      <c r="AJ2453" s="149"/>
      <c r="AK2453" s="149"/>
      <c r="AL2453" s="157"/>
      <c r="AM2453" s="157"/>
      <c r="AN2453" s="157"/>
      <c r="AO2453" s="157"/>
      <c r="AP2453" s="157"/>
      <c r="AQ2453" s="157"/>
      <c r="AR2453" s="157"/>
    </row>
    <row r="2454" spans="1:44" ht="16.8">
      <c r="A2454" s="145">
        <v>344</v>
      </c>
      <c r="B2454" s="145">
        <v>1132</v>
      </c>
      <c r="C2454" s="145" t="s">
        <v>4695</v>
      </c>
      <c r="D2454" s="146" t="s">
        <v>4696</v>
      </c>
      <c r="E2454" s="147" t="s">
        <v>178</v>
      </c>
      <c r="F2454" s="148"/>
      <c r="G2454" s="148"/>
      <c r="H2454" s="149"/>
      <c r="I2454" s="149"/>
      <c r="J2454" s="149"/>
      <c r="K2454" s="149"/>
      <c r="L2454" s="149"/>
      <c r="M2454" s="149">
        <f t="shared" si="790"/>
        <v>0</v>
      </c>
      <c r="N2454" s="149"/>
      <c r="O2454" s="149">
        <f t="shared" si="797"/>
        <v>0</v>
      </c>
      <c r="P2454" s="149"/>
      <c r="Q2454" s="149"/>
      <c r="R2454" s="149">
        <f t="shared" si="798"/>
        <v>0</v>
      </c>
      <c r="S2454" s="150" t="e">
        <f t="shared" si="799"/>
        <v>#DIV/0!</v>
      </c>
      <c r="T2454" s="151" t="e">
        <f t="shared" si="800"/>
        <v>#DIV/0!</v>
      </c>
      <c r="U2454" s="150" t="e">
        <f t="shared" si="801"/>
        <v>#NUM!</v>
      </c>
      <c r="V2454" s="150" t="e">
        <f t="shared" si="802"/>
        <v>#DIV/0!</v>
      </c>
      <c r="W2454" s="152"/>
      <c r="X2454" s="152"/>
      <c r="Y2454" s="152"/>
      <c r="Z2454" s="153">
        <f t="shared" si="814"/>
        <v>0</v>
      </c>
      <c r="AA2454" s="148">
        <f t="shared" si="815"/>
        <v>0</v>
      </c>
      <c r="AB2454" s="149"/>
      <c r="AC2454" s="149"/>
      <c r="AD2454" s="150" t="e">
        <f t="shared" si="807"/>
        <v>#DIV/0!</v>
      </c>
      <c r="AE2454" s="154" t="e">
        <f t="shared" si="808"/>
        <v>#DIV/0!</v>
      </c>
      <c r="AF2454" s="150" t="e">
        <f t="shared" si="809"/>
        <v>#DIV/0!</v>
      </c>
      <c r="AG2454" s="150" t="e">
        <f t="shared" si="810"/>
        <v>#DIV/0!</v>
      </c>
      <c r="AH2454" s="155" t="e">
        <f t="shared" si="811"/>
        <v>#DIV/0!</v>
      </c>
      <c r="AI2454" s="156" t="e">
        <f t="shared" si="804"/>
        <v>#DIV/0!</v>
      </c>
      <c r="AJ2454" s="149"/>
      <c r="AK2454" s="149"/>
      <c r="AL2454" s="157"/>
      <c r="AM2454" s="157"/>
      <c r="AN2454" s="157"/>
      <c r="AO2454" s="157"/>
      <c r="AP2454" s="157"/>
      <c r="AQ2454" s="157"/>
      <c r="AR2454" s="157"/>
    </row>
    <row r="2455" spans="1:44" ht="16.8">
      <c r="A2455" s="145">
        <v>345</v>
      </c>
      <c r="B2455" s="145">
        <v>1133</v>
      </c>
      <c r="C2455" s="145" t="s">
        <v>4697</v>
      </c>
      <c r="D2455" s="146" t="s">
        <v>4698</v>
      </c>
      <c r="E2455" s="147" t="s">
        <v>178</v>
      </c>
      <c r="F2455" s="148"/>
      <c r="G2455" s="148"/>
      <c r="H2455" s="149"/>
      <c r="I2455" s="149"/>
      <c r="J2455" s="149"/>
      <c r="K2455" s="149"/>
      <c r="L2455" s="149"/>
      <c r="M2455" s="149">
        <f t="shared" si="790"/>
        <v>0</v>
      </c>
      <c r="N2455" s="149"/>
      <c r="O2455" s="149">
        <f t="shared" si="797"/>
        <v>0</v>
      </c>
      <c r="P2455" s="149"/>
      <c r="Q2455" s="149"/>
      <c r="R2455" s="149">
        <f t="shared" si="798"/>
        <v>0</v>
      </c>
      <c r="S2455" s="150" t="e">
        <f t="shared" si="799"/>
        <v>#DIV/0!</v>
      </c>
      <c r="T2455" s="151" t="e">
        <f t="shared" si="800"/>
        <v>#DIV/0!</v>
      </c>
      <c r="U2455" s="150" t="e">
        <f t="shared" si="801"/>
        <v>#NUM!</v>
      </c>
      <c r="V2455" s="150" t="e">
        <f t="shared" si="802"/>
        <v>#DIV/0!</v>
      </c>
      <c r="W2455" s="152"/>
      <c r="X2455" s="152"/>
      <c r="Y2455" s="152"/>
      <c r="Z2455" s="153">
        <f t="shared" si="814"/>
        <v>0</v>
      </c>
      <c r="AA2455" s="148">
        <f t="shared" si="815"/>
        <v>0</v>
      </c>
      <c r="AB2455" s="149"/>
      <c r="AC2455" s="149"/>
      <c r="AD2455" s="150" t="e">
        <f t="shared" si="807"/>
        <v>#DIV/0!</v>
      </c>
      <c r="AE2455" s="154" t="e">
        <f t="shared" si="808"/>
        <v>#DIV/0!</v>
      </c>
      <c r="AF2455" s="150" t="e">
        <f t="shared" si="809"/>
        <v>#DIV/0!</v>
      </c>
      <c r="AG2455" s="150" t="e">
        <f t="shared" si="810"/>
        <v>#DIV/0!</v>
      </c>
      <c r="AH2455" s="155" t="e">
        <f t="shared" si="811"/>
        <v>#DIV/0!</v>
      </c>
      <c r="AI2455" s="156" t="e">
        <f t="shared" si="804"/>
        <v>#DIV/0!</v>
      </c>
      <c r="AJ2455" s="149"/>
      <c r="AK2455" s="149"/>
      <c r="AL2455" s="157"/>
      <c r="AM2455" s="157"/>
      <c r="AN2455" s="157"/>
      <c r="AO2455" s="157"/>
      <c r="AP2455" s="157"/>
      <c r="AQ2455" s="157"/>
      <c r="AR2455" s="157"/>
    </row>
    <row r="2456" spans="1:44" ht="16.8">
      <c r="A2456" s="145">
        <v>346</v>
      </c>
      <c r="B2456" s="145">
        <v>1134</v>
      </c>
      <c r="C2456" s="145" t="s">
        <v>4699</v>
      </c>
      <c r="D2456" s="146" t="s">
        <v>4700</v>
      </c>
      <c r="E2456" s="147" t="s">
        <v>178</v>
      </c>
      <c r="F2456" s="148"/>
      <c r="G2456" s="148"/>
      <c r="H2456" s="149"/>
      <c r="I2456" s="149"/>
      <c r="J2456" s="149"/>
      <c r="K2456" s="149"/>
      <c r="L2456" s="149"/>
      <c r="M2456" s="149">
        <f t="shared" si="790"/>
        <v>0</v>
      </c>
      <c r="N2456" s="149"/>
      <c r="O2456" s="149">
        <f t="shared" si="797"/>
        <v>0</v>
      </c>
      <c r="P2456" s="149"/>
      <c r="Q2456" s="149"/>
      <c r="R2456" s="149">
        <f t="shared" si="798"/>
        <v>0</v>
      </c>
      <c r="S2456" s="150" t="e">
        <f t="shared" si="799"/>
        <v>#DIV/0!</v>
      </c>
      <c r="T2456" s="151" t="e">
        <f t="shared" si="800"/>
        <v>#DIV/0!</v>
      </c>
      <c r="U2456" s="150" t="e">
        <f t="shared" si="801"/>
        <v>#NUM!</v>
      </c>
      <c r="V2456" s="150" t="e">
        <f t="shared" si="802"/>
        <v>#DIV/0!</v>
      </c>
      <c r="W2456" s="152"/>
      <c r="X2456" s="152"/>
      <c r="Y2456" s="152"/>
      <c r="Z2456" s="153">
        <f t="shared" si="814"/>
        <v>0</v>
      </c>
      <c r="AA2456" s="148">
        <f t="shared" si="815"/>
        <v>0</v>
      </c>
      <c r="AB2456" s="149"/>
      <c r="AC2456" s="149"/>
      <c r="AD2456" s="150" t="e">
        <f t="shared" si="807"/>
        <v>#DIV/0!</v>
      </c>
      <c r="AE2456" s="154" t="e">
        <f t="shared" si="808"/>
        <v>#DIV/0!</v>
      </c>
      <c r="AF2456" s="150" t="e">
        <f t="shared" si="809"/>
        <v>#DIV/0!</v>
      </c>
      <c r="AG2456" s="150" t="e">
        <f t="shared" si="810"/>
        <v>#DIV/0!</v>
      </c>
      <c r="AH2456" s="155" t="e">
        <f t="shared" si="811"/>
        <v>#DIV/0!</v>
      </c>
      <c r="AI2456" s="156" t="e">
        <f t="shared" si="804"/>
        <v>#DIV/0!</v>
      </c>
      <c r="AJ2456" s="149"/>
      <c r="AK2456" s="149"/>
      <c r="AL2456" s="157"/>
      <c r="AM2456" s="157"/>
      <c r="AN2456" s="157"/>
      <c r="AO2456" s="157"/>
      <c r="AP2456" s="157"/>
      <c r="AQ2456" s="157"/>
      <c r="AR2456" s="157"/>
    </row>
    <row r="2457" spans="1:44" ht="16.8">
      <c r="A2457" s="145">
        <v>347</v>
      </c>
      <c r="B2457" s="145">
        <v>1135</v>
      </c>
      <c r="C2457" s="145" t="s">
        <v>4701</v>
      </c>
      <c r="D2457" s="146" t="s">
        <v>4702</v>
      </c>
      <c r="E2457" s="147" t="s">
        <v>178</v>
      </c>
      <c r="F2457" s="148"/>
      <c r="G2457" s="148"/>
      <c r="H2457" s="149"/>
      <c r="I2457" s="149"/>
      <c r="J2457" s="149"/>
      <c r="K2457" s="149"/>
      <c r="L2457" s="149"/>
      <c r="M2457" s="149">
        <f t="shared" si="790"/>
        <v>0</v>
      </c>
      <c r="N2457" s="149"/>
      <c r="O2457" s="149">
        <f t="shared" si="797"/>
        <v>0</v>
      </c>
      <c r="P2457" s="149"/>
      <c r="Q2457" s="149"/>
      <c r="R2457" s="149">
        <f t="shared" si="798"/>
        <v>0</v>
      </c>
      <c r="S2457" s="150" t="e">
        <f t="shared" si="799"/>
        <v>#DIV/0!</v>
      </c>
      <c r="T2457" s="151" t="e">
        <f t="shared" si="800"/>
        <v>#DIV/0!</v>
      </c>
      <c r="U2457" s="150" t="e">
        <f t="shared" si="801"/>
        <v>#NUM!</v>
      </c>
      <c r="V2457" s="150" t="e">
        <f t="shared" si="802"/>
        <v>#DIV/0!</v>
      </c>
      <c r="W2457" s="152"/>
      <c r="X2457" s="152"/>
      <c r="Y2457" s="152"/>
      <c r="Z2457" s="153">
        <f t="shared" si="814"/>
        <v>0</v>
      </c>
      <c r="AA2457" s="148">
        <f t="shared" si="815"/>
        <v>0</v>
      </c>
      <c r="AB2457" s="149"/>
      <c r="AC2457" s="149"/>
      <c r="AD2457" s="150" t="e">
        <f t="shared" si="807"/>
        <v>#DIV/0!</v>
      </c>
      <c r="AE2457" s="154" t="e">
        <f t="shared" si="808"/>
        <v>#DIV/0!</v>
      </c>
      <c r="AF2457" s="150" t="e">
        <f t="shared" si="809"/>
        <v>#DIV/0!</v>
      </c>
      <c r="AG2457" s="150" t="e">
        <f t="shared" si="810"/>
        <v>#DIV/0!</v>
      </c>
      <c r="AH2457" s="155" t="e">
        <f t="shared" si="811"/>
        <v>#DIV/0!</v>
      </c>
      <c r="AI2457" s="156" t="e">
        <f t="shared" si="804"/>
        <v>#DIV/0!</v>
      </c>
      <c r="AJ2457" s="149"/>
      <c r="AK2457" s="149"/>
      <c r="AL2457" s="157"/>
      <c r="AM2457" s="157"/>
      <c r="AN2457" s="157"/>
      <c r="AO2457" s="157"/>
      <c r="AP2457" s="157"/>
      <c r="AQ2457" s="157"/>
      <c r="AR2457" s="157"/>
    </row>
    <row r="2458" spans="1:44" ht="16.8">
      <c r="A2458" s="145">
        <v>348</v>
      </c>
      <c r="B2458" s="145">
        <v>1136</v>
      </c>
      <c r="C2458" s="145" t="s">
        <v>4703</v>
      </c>
      <c r="D2458" s="146" t="s">
        <v>4704</v>
      </c>
      <c r="E2458" s="147" t="s">
        <v>1371</v>
      </c>
      <c r="F2458" s="148"/>
      <c r="G2458" s="148"/>
      <c r="H2458" s="149"/>
      <c r="I2458" s="149"/>
      <c r="J2458" s="149"/>
      <c r="K2458" s="149"/>
      <c r="L2458" s="149"/>
      <c r="M2458" s="149">
        <f t="shared" si="790"/>
        <v>0</v>
      </c>
      <c r="N2458" s="149"/>
      <c r="O2458" s="149">
        <f t="shared" si="797"/>
        <v>0</v>
      </c>
      <c r="P2458" s="149"/>
      <c r="Q2458" s="149"/>
      <c r="R2458" s="149">
        <f t="shared" si="798"/>
        <v>0</v>
      </c>
      <c r="S2458" s="150" t="e">
        <f t="shared" si="799"/>
        <v>#DIV/0!</v>
      </c>
      <c r="T2458" s="151" t="e">
        <f t="shared" si="800"/>
        <v>#DIV/0!</v>
      </c>
      <c r="U2458" s="150" t="e">
        <f t="shared" si="801"/>
        <v>#NUM!</v>
      </c>
      <c r="V2458" s="150" t="e">
        <f t="shared" si="802"/>
        <v>#DIV/0!</v>
      </c>
      <c r="W2458" s="152"/>
      <c r="X2458" s="152"/>
      <c r="Y2458" s="152"/>
      <c r="Z2458" s="153">
        <f t="shared" si="814"/>
        <v>0</v>
      </c>
      <c r="AA2458" s="148">
        <f t="shared" si="815"/>
        <v>0</v>
      </c>
      <c r="AB2458" s="149"/>
      <c r="AC2458" s="149"/>
      <c r="AD2458" s="150" t="e">
        <f t="shared" si="807"/>
        <v>#DIV/0!</v>
      </c>
      <c r="AE2458" s="154" t="e">
        <f t="shared" si="808"/>
        <v>#DIV/0!</v>
      </c>
      <c r="AF2458" s="150" t="e">
        <f t="shared" si="809"/>
        <v>#DIV/0!</v>
      </c>
      <c r="AG2458" s="150" t="e">
        <f t="shared" si="810"/>
        <v>#DIV/0!</v>
      </c>
      <c r="AH2458" s="155" t="e">
        <f t="shared" si="811"/>
        <v>#DIV/0!</v>
      </c>
      <c r="AI2458" s="156" t="e">
        <f t="shared" si="804"/>
        <v>#DIV/0!</v>
      </c>
      <c r="AJ2458" s="149"/>
      <c r="AK2458" s="149"/>
      <c r="AL2458" s="157"/>
      <c r="AM2458" s="157"/>
      <c r="AN2458" s="157"/>
      <c r="AO2458" s="157"/>
      <c r="AP2458" s="157"/>
      <c r="AQ2458" s="157"/>
      <c r="AR2458" s="157"/>
    </row>
    <row r="2459" spans="1:44" ht="16.8">
      <c r="A2459" s="145">
        <v>349</v>
      </c>
      <c r="B2459" s="145">
        <v>1137</v>
      </c>
      <c r="C2459" s="145" t="s">
        <v>4705</v>
      </c>
      <c r="D2459" s="146" t="s">
        <v>4706</v>
      </c>
      <c r="E2459" s="147" t="s">
        <v>1371</v>
      </c>
      <c r="F2459" s="148"/>
      <c r="G2459" s="148"/>
      <c r="H2459" s="149"/>
      <c r="I2459" s="149"/>
      <c r="J2459" s="149"/>
      <c r="K2459" s="149"/>
      <c r="L2459" s="149"/>
      <c r="M2459" s="149">
        <f t="shared" si="790"/>
        <v>0</v>
      </c>
      <c r="N2459" s="149"/>
      <c r="O2459" s="149">
        <f t="shared" si="797"/>
        <v>0</v>
      </c>
      <c r="P2459" s="149"/>
      <c r="Q2459" s="149"/>
      <c r="R2459" s="149">
        <f t="shared" si="798"/>
        <v>0</v>
      </c>
      <c r="S2459" s="150" t="e">
        <f t="shared" si="799"/>
        <v>#DIV/0!</v>
      </c>
      <c r="T2459" s="151" t="e">
        <f t="shared" si="800"/>
        <v>#DIV/0!</v>
      </c>
      <c r="U2459" s="150" t="e">
        <f t="shared" si="801"/>
        <v>#NUM!</v>
      </c>
      <c r="V2459" s="150" t="e">
        <f t="shared" si="802"/>
        <v>#DIV/0!</v>
      </c>
      <c r="W2459" s="152"/>
      <c r="X2459" s="152"/>
      <c r="Y2459" s="152"/>
      <c r="Z2459" s="153">
        <f t="shared" si="814"/>
        <v>0</v>
      </c>
      <c r="AA2459" s="148">
        <f t="shared" si="815"/>
        <v>0</v>
      </c>
      <c r="AB2459" s="149"/>
      <c r="AC2459" s="149"/>
      <c r="AD2459" s="150" t="e">
        <f t="shared" si="807"/>
        <v>#DIV/0!</v>
      </c>
      <c r="AE2459" s="154" t="e">
        <f t="shared" si="808"/>
        <v>#DIV/0!</v>
      </c>
      <c r="AF2459" s="150" t="e">
        <f t="shared" si="809"/>
        <v>#DIV/0!</v>
      </c>
      <c r="AG2459" s="150" t="e">
        <f t="shared" si="810"/>
        <v>#DIV/0!</v>
      </c>
      <c r="AH2459" s="155" t="e">
        <f t="shared" si="811"/>
        <v>#DIV/0!</v>
      </c>
      <c r="AI2459" s="156" t="e">
        <f t="shared" si="804"/>
        <v>#DIV/0!</v>
      </c>
      <c r="AJ2459" s="149"/>
      <c r="AK2459" s="149"/>
      <c r="AL2459" s="157"/>
      <c r="AM2459" s="157"/>
      <c r="AN2459" s="157"/>
      <c r="AO2459" s="157"/>
      <c r="AP2459" s="157"/>
      <c r="AQ2459" s="157"/>
      <c r="AR2459" s="157"/>
    </row>
    <row r="2460" spans="1:44" ht="16.8">
      <c r="A2460" s="145">
        <v>350</v>
      </c>
      <c r="B2460" s="145">
        <v>1138</v>
      </c>
      <c r="C2460" s="145" t="s">
        <v>4707</v>
      </c>
      <c r="D2460" s="146" t="s">
        <v>4708</v>
      </c>
      <c r="E2460" s="147" t="s">
        <v>178</v>
      </c>
      <c r="F2460" s="148"/>
      <c r="G2460" s="148"/>
      <c r="H2460" s="149"/>
      <c r="I2460" s="149"/>
      <c r="J2460" s="149"/>
      <c r="K2460" s="149"/>
      <c r="L2460" s="149"/>
      <c r="M2460" s="149">
        <f t="shared" si="790"/>
        <v>0</v>
      </c>
      <c r="N2460" s="149"/>
      <c r="O2460" s="149">
        <f t="shared" si="797"/>
        <v>0</v>
      </c>
      <c r="P2460" s="149"/>
      <c r="Q2460" s="149"/>
      <c r="R2460" s="149">
        <f t="shared" si="798"/>
        <v>0</v>
      </c>
      <c r="S2460" s="150" t="e">
        <f t="shared" si="799"/>
        <v>#DIV/0!</v>
      </c>
      <c r="T2460" s="151" t="e">
        <f t="shared" si="800"/>
        <v>#DIV/0!</v>
      </c>
      <c r="U2460" s="150" t="e">
        <f t="shared" si="801"/>
        <v>#NUM!</v>
      </c>
      <c r="V2460" s="150" t="e">
        <f t="shared" si="802"/>
        <v>#DIV/0!</v>
      </c>
      <c r="W2460" s="152"/>
      <c r="X2460" s="152"/>
      <c r="Y2460" s="152"/>
      <c r="Z2460" s="153">
        <f t="shared" si="814"/>
        <v>0</v>
      </c>
      <c r="AA2460" s="148">
        <f t="shared" si="815"/>
        <v>0</v>
      </c>
      <c r="AB2460" s="149"/>
      <c r="AC2460" s="149"/>
      <c r="AD2460" s="150" t="e">
        <f t="shared" si="807"/>
        <v>#DIV/0!</v>
      </c>
      <c r="AE2460" s="154" t="e">
        <f t="shared" si="808"/>
        <v>#DIV/0!</v>
      </c>
      <c r="AF2460" s="150" t="e">
        <f t="shared" si="809"/>
        <v>#DIV/0!</v>
      </c>
      <c r="AG2460" s="150" t="e">
        <f t="shared" si="810"/>
        <v>#DIV/0!</v>
      </c>
      <c r="AH2460" s="155" t="e">
        <f t="shared" si="811"/>
        <v>#DIV/0!</v>
      </c>
      <c r="AI2460" s="156" t="e">
        <f t="shared" si="804"/>
        <v>#DIV/0!</v>
      </c>
      <c r="AJ2460" s="149"/>
      <c r="AK2460" s="149"/>
      <c r="AL2460" s="157"/>
      <c r="AM2460" s="157"/>
      <c r="AN2460" s="157"/>
      <c r="AO2460" s="157"/>
      <c r="AP2460" s="157"/>
      <c r="AQ2460" s="157"/>
      <c r="AR2460" s="157"/>
    </row>
    <row r="2461" spans="1:44" ht="16.8">
      <c r="A2461" s="145">
        <v>351</v>
      </c>
      <c r="B2461" s="145">
        <v>1139</v>
      </c>
      <c r="C2461" s="145" t="s">
        <v>4709</v>
      </c>
      <c r="D2461" s="146" t="s">
        <v>4710</v>
      </c>
      <c r="E2461" s="147" t="s">
        <v>1371</v>
      </c>
      <c r="F2461" s="148"/>
      <c r="G2461" s="148"/>
      <c r="H2461" s="149"/>
      <c r="I2461" s="149"/>
      <c r="J2461" s="149"/>
      <c r="K2461" s="149"/>
      <c r="L2461" s="149"/>
      <c r="M2461" s="149">
        <f t="shared" si="790"/>
        <v>0</v>
      </c>
      <c r="N2461" s="149"/>
      <c r="O2461" s="149">
        <f t="shared" si="797"/>
        <v>0</v>
      </c>
      <c r="P2461" s="149"/>
      <c r="Q2461" s="149"/>
      <c r="R2461" s="149">
        <f t="shared" si="798"/>
        <v>0</v>
      </c>
      <c r="S2461" s="150" t="e">
        <f t="shared" si="799"/>
        <v>#DIV/0!</v>
      </c>
      <c r="T2461" s="151" t="e">
        <f t="shared" si="800"/>
        <v>#DIV/0!</v>
      </c>
      <c r="U2461" s="150" t="e">
        <f t="shared" si="801"/>
        <v>#NUM!</v>
      </c>
      <c r="V2461" s="150" t="e">
        <f t="shared" si="802"/>
        <v>#DIV/0!</v>
      </c>
      <c r="W2461" s="152"/>
      <c r="X2461" s="152"/>
      <c r="Y2461" s="152"/>
      <c r="Z2461" s="153">
        <f t="shared" si="814"/>
        <v>0</v>
      </c>
      <c r="AA2461" s="148">
        <f t="shared" si="815"/>
        <v>0</v>
      </c>
      <c r="AB2461" s="149"/>
      <c r="AC2461" s="149"/>
      <c r="AD2461" s="150" t="e">
        <f t="shared" si="807"/>
        <v>#DIV/0!</v>
      </c>
      <c r="AE2461" s="154" t="e">
        <f t="shared" si="808"/>
        <v>#DIV/0!</v>
      </c>
      <c r="AF2461" s="150" t="e">
        <f t="shared" si="809"/>
        <v>#DIV/0!</v>
      </c>
      <c r="AG2461" s="150" t="e">
        <f t="shared" si="810"/>
        <v>#DIV/0!</v>
      </c>
      <c r="AH2461" s="155" t="e">
        <f t="shared" si="811"/>
        <v>#DIV/0!</v>
      </c>
      <c r="AI2461" s="156" t="e">
        <f t="shared" si="804"/>
        <v>#DIV/0!</v>
      </c>
      <c r="AJ2461" s="149"/>
      <c r="AK2461" s="149"/>
      <c r="AL2461" s="157"/>
      <c r="AM2461" s="157"/>
      <c r="AN2461" s="157"/>
      <c r="AO2461" s="157"/>
      <c r="AP2461" s="157"/>
      <c r="AQ2461" s="157"/>
      <c r="AR2461" s="157"/>
    </row>
    <row r="2462" spans="1:44" ht="16.8">
      <c r="A2462" s="145">
        <v>352</v>
      </c>
      <c r="B2462" s="145">
        <v>1140</v>
      </c>
      <c r="C2462" s="145" t="s">
        <v>4711</v>
      </c>
      <c r="D2462" s="146" t="s">
        <v>4712</v>
      </c>
      <c r="E2462" s="147" t="s">
        <v>1371</v>
      </c>
      <c r="F2462" s="148"/>
      <c r="G2462" s="148"/>
      <c r="H2462" s="149"/>
      <c r="I2462" s="149"/>
      <c r="J2462" s="149"/>
      <c r="K2462" s="149"/>
      <c r="L2462" s="149"/>
      <c r="M2462" s="149">
        <f t="shared" si="790"/>
        <v>0</v>
      </c>
      <c r="N2462" s="149"/>
      <c r="O2462" s="149">
        <f t="shared" si="797"/>
        <v>0</v>
      </c>
      <c r="P2462" s="149"/>
      <c r="Q2462" s="149"/>
      <c r="R2462" s="149">
        <f t="shared" si="798"/>
        <v>0</v>
      </c>
      <c r="S2462" s="150" t="e">
        <f t="shared" si="799"/>
        <v>#DIV/0!</v>
      </c>
      <c r="T2462" s="151" t="e">
        <f t="shared" si="800"/>
        <v>#DIV/0!</v>
      </c>
      <c r="U2462" s="150" t="e">
        <f t="shared" si="801"/>
        <v>#NUM!</v>
      </c>
      <c r="V2462" s="150" t="e">
        <f t="shared" si="802"/>
        <v>#DIV/0!</v>
      </c>
      <c r="W2462" s="152"/>
      <c r="X2462" s="152"/>
      <c r="Y2462" s="152"/>
      <c r="Z2462" s="153">
        <f t="shared" si="814"/>
        <v>0</v>
      </c>
      <c r="AA2462" s="148">
        <f t="shared" si="815"/>
        <v>0</v>
      </c>
      <c r="AB2462" s="149"/>
      <c r="AC2462" s="149"/>
      <c r="AD2462" s="150" t="e">
        <f t="shared" si="807"/>
        <v>#DIV/0!</v>
      </c>
      <c r="AE2462" s="154" t="e">
        <f t="shared" si="808"/>
        <v>#DIV/0!</v>
      </c>
      <c r="AF2462" s="150" t="e">
        <f t="shared" si="809"/>
        <v>#DIV/0!</v>
      </c>
      <c r="AG2462" s="150" t="e">
        <f t="shared" si="810"/>
        <v>#DIV/0!</v>
      </c>
      <c r="AH2462" s="155" t="e">
        <f t="shared" si="811"/>
        <v>#DIV/0!</v>
      </c>
      <c r="AI2462" s="156" t="e">
        <f t="shared" si="804"/>
        <v>#DIV/0!</v>
      </c>
      <c r="AJ2462" s="149"/>
      <c r="AK2462" s="149"/>
      <c r="AL2462" s="157"/>
      <c r="AM2462" s="157"/>
      <c r="AN2462" s="157"/>
      <c r="AO2462" s="157"/>
      <c r="AP2462" s="157"/>
      <c r="AQ2462" s="157"/>
      <c r="AR2462" s="157"/>
    </row>
    <row r="2463" spans="1:44" ht="16.8">
      <c r="A2463" s="145">
        <v>353</v>
      </c>
      <c r="B2463" s="145">
        <v>1141</v>
      </c>
      <c r="C2463" s="145" t="s">
        <v>4713</v>
      </c>
      <c r="D2463" s="146" t="s">
        <v>4714</v>
      </c>
      <c r="E2463" s="147" t="s">
        <v>178</v>
      </c>
      <c r="F2463" s="148"/>
      <c r="G2463" s="148"/>
      <c r="H2463" s="149"/>
      <c r="I2463" s="149"/>
      <c r="J2463" s="149"/>
      <c r="K2463" s="149"/>
      <c r="L2463" s="149"/>
      <c r="M2463" s="149">
        <f t="shared" si="790"/>
        <v>0</v>
      </c>
      <c r="N2463" s="149"/>
      <c r="O2463" s="149">
        <f t="shared" si="797"/>
        <v>0</v>
      </c>
      <c r="P2463" s="149"/>
      <c r="Q2463" s="149"/>
      <c r="R2463" s="149">
        <f t="shared" si="798"/>
        <v>0</v>
      </c>
      <c r="S2463" s="150" t="e">
        <f t="shared" si="799"/>
        <v>#DIV/0!</v>
      </c>
      <c r="T2463" s="151" t="e">
        <f t="shared" si="800"/>
        <v>#DIV/0!</v>
      </c>
      <c r="U2463" s="150" t="e">
        <f t="shared" si="801"/>
        <v>#NUM!</v>
      </c>
      <c r="V2463" s="150" t="e">
        <f t="shared" si="802"/>
        <v>#DIV/0!</v>
      </c>
      <c r="W2463" s="152"/>
      <c r="X2463" s="152"/>
      <c r="Y2463" s="152"/>
      <c r="Z2463" s="153">
        <f t="shared" si="814"/>
        <v>0</v>
      </c>
      <c r="AA2463" s="148">
        <f t="shared" si="815"/>
        <v>0</v>
      </c>
      <c r="AB2463" s="149"/>
      <c r="AC2463" s="149"/>
      <c r="AD2463" s="150" t="e">
        <f t="shared" si="807"/>
        <v>#DIV/0!</v>
      </c>
      <c r="AE2463" s="154" t="e">
        <f t="shared" si="808"/>
        <v>#DIV/0!</v>
      </c>
      <c r="AF2463" s="150" t="e">
        <f t="shared" si="809"/>
        <v>#DIV/0!</v>
      </c>
      <c r="AG2463" s="150" t="e">
        <f t="shared" si="810"/>
        <v>#DIV/0!</v>
      </c>
      <c r="AH2463" s="155" t="e">
        <f t="shared" si="811"/>
        <v>#DIV/0!</v>
      </c>
      <c r="AI2463" s="156" t="e">
        <f t="shared" si="804"/>
        <v>#DIV/0!</v>
      </c>
      <c r="AJ2463" s="149"/>
      <c r="AK2463" s="149"/>
      <c r="AL2463" s="157"/>
      <c r="AM2463" s="157"/>
      <c r="AN2463" s="157"/>
      <c r="AO2463" s="157"/>
      <c r="AP2463" s="157"/>
      <c r="AQ2463" s="157"/>
      <c r="AR2463" s="157"/>
    </row>
    <row r="2464" spans="1:44" ht="16.8">
      <c r="A2464" s="145">
        <v>354</v>
      </c>
      <c r="B2464" s="145">
        <v>1142</v>
      </c>
      <c r="C2464" s="145" t="s">
        <v>4715</v>
      </c>
      <c r="D2464" s="146" t="s">
        <v>4716</v>
      </c>
      <c r="E2464" s="147" t="s">
        <v>178</v>
      </c>
      <c r="F2464" s="148"/>
      <c r="G2464" s="148"/>
      <c r="H2464" s="149"/>
      <c r="I2464" s="149"/>
      <c r="J2464" s="149"/>
      <c r="K2464" s="149"/>
      <c r="L2464" s="149"/>
      <c r="M2464" s="149">
        <f t="shared" si="790"/>
        <v>0</v>
      </c>
      <c r="N2464" s="149"/>
      <c r="O2464" s="149">
        <f t="shared" si="797"/>
        <v>0</v>
      </c>
      <c r="P2464" s="149"/>
      <c r="Q2464" s="149"/>
      <c r="R2464" s="149">
        <f t="shared" si="798"/>
        <v>0</v>
      </c>
      <c r="S2464" s="150" t="e">
        <f t="shared" si="799"/>
        <v>#DIV/0!</v>
      </c>
      <c r="T2464" s="151" t="e">
        <f t="shared" si="800"/>
        <v>#DIV/0!</v>
      </c>
      <c r="U2464" s="150" t="e">
        <f t="shared" si="801"/>
        <v>#NUM!</v>
      </c>
      <c r="V2464" s="150" t="e">
        <f t="shared" si="802"/>
        <v>#DIV/0!</v>
      </c>
      <c r="W2464" s="152"/>
      <c r="X2464" s="152"/>
      <c r="Y2464" s="152"/>
      <c r="Z2464" s="153">
        <f t="shared" si="814"/>
        <v>0</v>
      </c>
      <c r="AA2464" s="148">
        <f t="shared" si="815"/>
        <v>0</v>
      </c>
      <c r="AB2464" s="149"/>
      <c r="AC2464" s="149"/>
      <c r="AD2464" s="150" t="e">
        <f t="shared" si="807"/>
        <v>#DIV/0!</v>
      </c>
      <c r="AE2464" s="154" t="e">
        <f t="shared" si="808"/>
        <v>#DIV/0!</v>
      </c>
      <c r="AF2464" s="150" t="e">
        <f t="shared" si="809"/>
        <v>#DIV/0!</v>
      </c>
      <c r="AG2464" s="150" t="e">
        <f t="shared" si="810"/>
        <v>#DIV/0!</v>
      </c>
      <c r="AH2464" s="155" t="e">
        <f t="shared" si="811"/>
        <v>#DIV/0!</v>
      </c>
      <c r="AI2464" s="156" t="e">
        <f t="shared" si="804"/>
        <v>#DIV/0!</v>
      </c>
      <c r="AJ2464" s="149"/>
      <c r="AK2464" s="149"/>
      <c r="AL2464" s="157"/>
      <c r="AM2464" s="157"/>
      <c r="AN2464" s="157"/>
      <c r="AO2464" s="157"/>
      <c r="AP2464" s="157"/>
      <c r="AQ2464" s="157"/>
      <c r="AR2464" s="157"/>
    </row>
    <row r="2465" spans="1:44" ht="16.8">
      <c r="A2465" s="145">
        <v>355</v>
      </c>
      <c r="B2465" s="145">
        <v>1143</v>
      </c>
      <c r="C2465" s="145" t="s">
        <v>4717</v>
      </c>
      <c r="D2465" s="146" t="s">
        <v>4718</v>
      </c>
      <c r="E2465" s="147" t="s">
        <v>1371</v>
      </c>
      <c r="F2465" s="148"/>
      <c r="G2465" s="148"/>
      <c r="H2465" s="149"/>
      <c r="I2465" s="149"/>
      <c r="J2465" s="149"/>
      <c r="K2465" s="149"/>
      <c r="L2465" s="149"/>
      <c r="M2465" s="149">
        <f t="shared" si="790"/>
        <v>0</v>
      </c>
      <c r="N2465" s="149"/>
      <c r="O2465" s="149">
        <f t="shared" si="797"/>
        <v>0</v>
      </c>
      <c r="P2465" s="149"/>
      <c r="Q2465" s="149"/>
      <c r="R2465" s="149">
        <f t="shared" si="798"/>
        <v>0</v>
      </c>
      <c r="S2465" s="150" t="e">
        <f t="shared" si="799"/>
        <v>#DIV/0!</v>
      </c>
      <c r="T2465" s="151" t="e">
        <f t="shared" si="800"/>
        <v>#DIV/0!</v>
      </c>
      <c r="U2465" s="150" t="e">
        <f t="shared" si="801"/>
        <v>#NUM!</v>
      </c>
      <c r="V2465" s="150" t="e">
        <f t="shared" si="802"/>
        <v>#DIV/0!</v>
      </c>
      <c r="W2465" s="152"/>
      <c r="X2465" s="152"/>
      <c r="Y2465" s="152"/>
      <c r="Z2465" s="153">
        <f t="shared" si="814"/>
        <v>0</v>
      </c>
      <c r="AA2465" s="148">
        <f t="shared" si="815"/>
        <v>0</v>
      </c>
      <c r="AB2465" s="149"/>
      <c r="AC2465" s="149"/>
      <c r="AD2465" s="150" t="e">
        <f t="shared" si="807"/>
        <v>#DIV/0!</v>
      </c>
      <c r="AE2465" s="154" t="e">
        <f t="shared" si="808"/>
        <v>#DIV/0!</v>
      </c>
      <c r="AF2465" s="150" t="e">
        <f t="shared" si="809"/>
        <v>#DIV/0!</v>
      </c>
      <c r="AG2465" s="150" t="e">
        <f t="shared" si="810"/>
        <v>#DIV/0!</v>
      </c>
      <c r="AH2465" s="155" t="e">
        <f t="shared" si="811"/>
        <v>#DIV/0!</v>
      </c>
      <c r="AI2465" s="156" t="e">
        <f t="shared" si="804"/>
        <v>#DIV/0!</v>
      </c>
      <c r="AJ2465" s="149"/>
      <c r="AK2465" s="149"/>
      <c r="AL2465" s="157"/>
      <c r="AM2465" s="157"/>
      <c r="AN2465" s="157"/>
      <c r="AO2465" s="157"/>
      <c r="AP2465" s="157"/>
      <c r="AQ2465" s="157"/>
      <c r="AR2465" s="157"/>
    </row>
    <row r="2466" spans="1:44" ht="16.8">
      <c r="A2466" s="145">
        <v>356</v>
      </c>
      <c r="B2466" s="145">
        <v>1144</v>
      </c>
      <c r="C2466" s="145" t="s">
        <v>4719</v>
      </c>
      <c r="D2466" s="146" t="s">
        <v>4720</v>
      </c>
      <c r="E2466" s="147" t="s">
        <v>178</v>
      </c>
      <c r="F2466" s="148"/>
      <c r="G2466" s="148"/>
      <c r="H2466" s="149"/>
      <c r="I2466" s="149"/>
      <c r="J2466" s="149"/>
      <c r="K2466" s="149"/>
      <c r="L2466" s="149"/>
      <c r="M2466" s="149">
        <f t="shared" si="790"/>
        <v>0</v>
      </c>
      <c r="N2466" s="149"/>
      <c r="O2466" s="149">
        <f t="shared" si="797"/>
        <v>0</v>
      </c>
      <c r="P2466" s="149"/>
      <c r="Q2466" s="149"/>
      <c r="R2466" s="149">
        <f t="shared" si="798"/>
        <v>0</v>
      </c>
      <c r="S2466" s="150" t="e">
        <f t="shared" si="799"/>
        <v>#DIV/0!</v>
      </c>
      <c r="T2466" s="151" t="e">
        <f t="shared" si="800"/>
        <v>#DIV/0!</v>
      </c>
      <c r="U2466" s="150" t="e">
        <f t="shared" si="801"/>
        <v>#NUM!</v>
      </c>
      <c r="V2466" s="150" t="e">
        <f t="shared" si="802"/>
        <v>#DIV/0!</v>
      </c>
      <c r="W2466" s="152"/>
      <c r="X2466" s="152"/>
      <c r="Y2466" s="152"/>
      <c r="Z2466" s="153">
        <f t="shared" si="814"/>
        <v>0</v>
      </c>
      <c r="AA2466" s="148">
        <f t="shared" si="815"/>
        <v>0</v>
      </c>
      <c r="AB2466" s="149"/>
      <c r="AC2466" s="149"/>
      <c r="AD2466" s="150" t="e">
        <f t="shared" si="807"/>
        <v>#DIV/0!</v>
      </c>
      <c r="AE2466" s="154" t="e">
        <f t="shared" si="808"/>
        <v>#DIV/0!</v>
      </c>
      <c r="AF2466" s="150" t="e">
        <f t="shared" si="809"/>
        <v>#DIV/0!</v>
      </c>
      <c r="AG2466" s="150" t="e">
        <f t="shared" si="810"/>
        <v>#DIV/0!</v>
      </c>
      <c r="AH2466" s="155" t="e">
        <f t="shared" si="811"/>
        <v>#DIV/0!</v>
      </c>
      <c r="AI2466" s="156" t="e">
        <f t="shared" si="804"/>
        <v>#DIV/0!</v>
      </c>
      <c r="AJ2466" s="149"/>
      <c r="AK2466" s="149"/>
      <c r="AL2466" s="157"/>
      <c r="AM2466" s="157"/>
      <c r="AN2466" s="157"/>
      <c r="AO2466" s="157"/>
      <c r="AP2466" s="157"/>
      <c r="AQ2466" s="157"/>
      <c r="AR2466" s="157"/>
    </row>
    <row r="2467" spans="1:44" ht="16.8">
      <c r="A2467" s="145">
        <v>357</v>
      </c>
      <c r="B2467" s="145">
        <v>1145</v>
      </c>
      <c r="C2467" s="145" t="s">
        <v>4721</v>
      </c>
      <c r="D2467" s="146" t="s">
        <v>4722</v>
      </c>
      <c r="E2467" s="147" t="s">
        <v>178</v>
      </c>
      <c r="F2467" s="148"/>
      <c r="G2467" s="148"/>
      <c r="H2467" s="149"/>
      <c r="I2467" s="149"/>
      <c r="J2467" s="149"/>
      <c r="K2467" s="149"/>
      <c r="L2467" s="149"/>
      <c r="M2467" s="149">
        <f t="shared" si="790"/>
        <v>0</v>
      </c>
      <c r="N2467" s="149"/>
      <c r="O2467" s="149">
        <f t="shared" si="797"/>
        <v>0</v>
      </c>
      <c r="P2467" s="149"/>
      <c r="Q2467" s="149"/>
      <c r="R2467" s="149">
        <f t="shared" si="798"/>
        <v>0</v>
      </c>
      <c r="S2467" s="150" t="e">
        <f t="shared" si="799"/>
        <v>#DIV/0!</v>
      </c>
      <c r="T2467" s="151" t="e">
        <f t="shared" si="800"/>
        <v>#DIV/0!</v>
      </c>
      <c r="U2467" s="150" t="e">
        <f t="shared" si="801"/>
        <v>#NUM!</v>
      </c>
      <c r="V2467" s="150" t="e">
        <f t="shared" si="802"/>
        <v>#DIV/0!</v>
      </c>
      <c r="W2467" s="152"/>
      <c r="X2467" s="152"/>
      <c r="Y2467" s="152"/>
      <c r="Z2467" s="153">
        <f t="shared" si="814"/>
        <v>0</v>
      </c>
      <c r="AA2467" s="148">
        <f t="shared" si="815"/>
        <v>0</v>
      </c>
      <c r="AB2467" s="149"/>
      <c r="AC2467" s="149"/>
      <c r="AD2467" s="150" t="e">
        <f t="shared" si="807"/>
        <v>#DIV/0!</v>
      </c>
      <c r="AE2467" s="154" t="e">
        <f t="shared" si="808"/>
        <v>#DIV/0!</v>
      </c>
      <c r="AF2467" s="150" t="e">
        <f t="shared" si="809"/>
        <v>#DIV/0!</v>
      </c>
      <c r="AG2467" s="150" t="e">
        <f t="shared" si="810"/>
        <v>#DIV/0!</v>
      </c>
      <c r="AH2467" s="155" t="e">
        <f t="shared" si="811"/>
        <v>#DIV/0!</v>
      </c>
      <c r="AI2467" s="156" t="e">
        <f t="shared" si="804"/>
        <v>#DIV/0!</v>
      </c>
      <c r="AJ2467" s="149"/>
      <c r="AK2467" s="149"/>
      <c r="AL2467" s="157"/>
      <c r="AM2467" s="157"/>
      <c r="AN2467" s="157"/>
      <c r="AO2467" s="157"/>
      <c r="AP2467" s="157"/>
      <c r="AQ2467" s="157"/>
      <c r="AR2467" s="157"/>
    </row>
    <row r="2468" spans="1:44" ht="16.8">
      <c r="A2468" s="145">
        <v>358</v>
      </c>
      <c r="B2468" s="145">
        <v>1146</v>
      </c>
      <c r="C2468" s="145" t="s">
        <v>4723</v>
      </c>
      <c r="D2468" s="146" t="s">
        <v>4724</v>
      </c>
      <c r="E2468" s="147" t="s">
        <v>178</v>
      </c>
      <c r="F2468" s="148"/>
      <c r="G2468" s="148"/>
      <c r="H2468" s="149"/>
      <c r="I2468" s="149"/>
      <c r="J2468" s="149"/>
      <c r="K2468" s="149"/>
      <c r="L2468" s="149"/>
      <c r="M2468" s="149">
        <f t="shared" si="790"/>
        <v>0</v>
      </c>
      <c r="N2468" s="149"/>
      <c r="O2468" s="149">
        <f t="shared" si="797"/>
        <v>0</v>
      </c>
      <c r="P2468" s="149"/>
      <c r="Q2468" s="149"/>
      <c r="R2468" s="149">
        <f t="shared" si="798"/>
        <v>0</v>
      </c>
      <c r="S2468" s="150" t="e">
        <f t="shared" si="799"/>
        <v>#DIV/0!</v>
      </c>
      <c r="T2468" s="151" t="e">
        <f t="shared" si="800"/>
        <v>#DIV/0!</v>
      </c>
      <c r="U2468" s="150" t="e">
        <f t="shared" si="801"/>
        <v>#NUM!</v>
      </c>
      <c r="V2468" s="150" t="e">
        <f t="shared" si="802"/>
        <v>#DIV/0!</v>
      </c>
      <c r="W2468" s="152"/>
      <c r="X2468" s="152"/>
      <c r="Y2468" s="152"/>
      <c r="Z2468" s="153">
        <f t="shared" si="814"/>
        <v>0</v>
      </c>
      <c r="AA2468" s="148">
        <f t="shared" si="815"/>
        <v>0</v>
      </c>
      <c r="AB2468" s="149"/>
      <c r="AC2468" s="149"/>
      <c r="AD2468" s="150" t="e">
        <f t="shared" si="807"/>
        <v>#DIV/0!</v>
      </c>
      <c r="AE2468" s="154" t="e">
        <f t="shared" si="808"/>
        <v>#DIV/0!</v>
      </c>
      <c r="AF2468" s="150" t="e">
        <f t="shared" si="809"/>
        <v>#DIV/0!</v>
      </c>
      <c r="AG2468" s="150" t="e">
        <f t="shared" si="810"/>
        <v>#DIV/0!</v>
      </c>
      <c r="AH2468" s="155" t="e">
        <f t="shared" si="811"/>
        <v>#DIV/0!</v>
      </c>
      <c r="AI2468" s="156" t="e">
        <f t="shared" si="804"/>
        <v>#DIV/0!</v>
      </c>
      <c r="AJ2468" s="149"/>
      <c r="AK2468" s="149"/>
      <c r="AL2468" s="157"/>
      <c r="AM2468" s="157"/>
      <c r="AN2468" s="157"/>
      <c r="AO2468" s="157"/>
      <c r="AP2468" s="157"/>
      <c r="AQ2468" s="157"/>
      <c r="AR2468" s="157"/>
    </row>
    <row r="2469" spans="1:44" ht="16.8">
      <c r="A2469" s="145">
        <v>359</v>
      </c>
      <c r="B2469" s="145">
        <v>1147</v>
      </c>
      <c r="C2469" s="145" t="s">
        <v>4725</v>
      </c>
      <c r="D2469" s="146" t="s">
        <v>4726</v>
      </c>
      <c r="E2469" s="147" t="s">
        <v>178</v>
      </c>
      <c r="F2469" s="148"/>
      <c r="G2469" s="148"/>
      <c r="H2469" s="149"/>
      <c r="I2469" s="149"/>
      <c r="J2469" s="149"/>
      <c r="K2469" s="149"/>
      <c r="L2469" s="149"/>
      <c r="M2469" s="149">
        <f t="shared" si="790"/>
        <v>0</v>
      </c>
      <c r="N2469" s="149"/>
      <c r="O2469" s="149">
        <f t="shared" si="797"/>
        <v>0</v>
      </c>
      <c r="P2469" s="149"/>
      <c r="Q2469" s="149"/>
      <c r="R2469" s="149">
        <f t="shared" si="798"/>
        <v>0</v>
      </c>
      <c r="S2469" s="150" t="e">
        <f t="shared" si="799"/>
        <v>#DIV/0!</v>
      </c>
      <c r="T2469" s="151" t="e">
        <f t="shared" si="800"/>
        <v>#DIV/0!</v>
      </c>
      <c r="U2469" s="150" t="e">
        <f t="shared" si="801"/>
        <v>#NUM!</v>
      </c>
      <c r="V2469" s="150" t="e">
        <f t="shared" si="802"/>
        <v>#DIV/0!</v>
      </c>
      <c r="W2469" s="152"/>
      <c r="X2469" s="152"/>
      <c r="Y2469" s="152"/>
      <c r="Z2469" s="153">
        <f t="shared" si="814"/>
        <v>0</v>
      </c>
      <c r="AA2469" s="148">
        <f t="shared" si="815"/>
        <v>0</v>
      </c>
      <c r="AB2469" s="149"/>
      <c r="AC2469" s="149"/>
      <c r="AD2469" s="150" t="e">
        <f t="shared" si="807"/>
        <v>#DIV/0!</v>
      </c>
      <c r="AE2469" s="154" t="e">
        <f t="shared" si="808"/>
        <v>#DIV/0!</v>
      </c>
      <c r="AF2469" s="150" t="e">
        <f t="shared" si="809"/>
        <v>#DIV/0!</v>
      </c>
      <c r="AG2469" s="150" t="e">
        <f t="shared" si="810"/>
        <v>#DIV/0!</v>
      </c>
      <c r="AH2469" s="155" t="e">
        <f t="shared" si="811"/>
        <v>#DIV/0!</v>
      </c>
      <c r="AI2469" s="156" t="e">
        <f t="shared" si="804"/>
        <v>#DIV/0!</v>
      </c>
      <c r="AJ2469" s="149"/>
      <c r="AK2469" s="149"/>
      <c r="AL2469" s="157"/>
      <c r="AM2469" s="157"/>
      <c r="AN2469" s="157"/>
      <c r="AO2469" s="157"/>
      <c r="AP2469" s="157"/>
      <c r="AQ2469" s="157"/>
      <c r="AR2469" s="157"/>
    </row>
    <row r="2470" spans="1:44" ht="16.8">
      <c r="A2470" s="145">
        <v>360</v>
      </c>
      <c r="B2470" s="145">
        <v>1148</v>
      </c>
      <c r="C2470" s="145" t="s">
        <v>4727</v>
      </c>
      <c r="D2470" s="146" t="s">
        <v>4728</v>
      </c>
      <c r="E2470" s="147" t="s">
        <v>178</v>
      </c>
      <c r="F2470" s="148"/>
      <c r="G2470" s="148"/>
      <c r="H2470" s="149"/>
      <c r="I2470" s="149"/>
      <c r="J2470" s="149"/>
      <c r="K2470" s="149"/>
      <c r="L2470" s="149"/>
      <c r="M2470" s="149">
        <f t="shared" si="790"/>
        <v>0</v>
      </c>
      <c r="N2470" s="149"/>
      <c r="O2470" s="149">
        <f t="shared" si="797"/>
        <v>0</v>
      </c>
      <c r="P2470" s="149"/>
      <c r="Q2470" s="149"/>
      <c r="R2470" s="149">
        <f t="shared" si="798"/>
        <v>0</v>
      </c>
      <c r="S2470" s="150" t="e">
        <f t="shared" si="799"/>
        <v>#DIV/0!</v>
      </c>
      <c r="T2470" s="151" t="e">
        <f t="shared" si="800"/>
        <v>#DIV/0!</v>
      </c>
      <c r="U2470" s="150" t="e">
        <f t="shared" si="801"/>
        <v>#NUM!</v>
      </c>
      <c r="V2470" s="150" t="e">
        <f t="shared" si="802"/>
        <v>#DIV/0!</v>
      </c>
      <c r="W2470" s="152"/>
      <c r="X2470" s="152"/>
      <c r="Y2470" s="152"/>
      <c r="Z2470" s="153">
        <f t="shared" si="814"/>
        <v>0</v>
      </c>
      <c r="AA2470" s="148">
        <f t="shared" si="815"/>
        <v>0</v>
      </c>
      <c r="AB2470" s="149"/>
      <c r="AC2470" s="149"/>
      <c r="AD2470" s="150" t="e">
        <f t="shared" si="807"/>
        <v>#DIV/0!</v>
      </c>
      <c r="AE2470" s="154" t="e">
        <f t="shared" si="808"/>
        <v>#DIV/0!</v>
      </c>
      <c r="AF2470" s="150" t="e">
        <f t="shared" si="809"/>
        <v>#DIV/0!</v>
      </c>
      <c r="AG2470" s="150" t="e">
        <f t="shared" si="810"/>
        <v>#DIV/0!</v>
      </c>
      <c r="AH2470" s="155" t="e">
        <f t="shared" si="811"/>
        <v>#DIV/0!</v>
      </c>
      <c r="AI2470" s="156" t="e">
        <f t="shared" si="804"/>
        <v>#DIV/0!</v>
      </c>
      <c r="AJ2470" s="149"/>
      <c r="AK2470" s="149"/>
      <c r="AL2470" s="157"/>
      <c r="AM2470" s="157"/>
      <c r="AN2470" s="157"/>
      <c r="AO2470" s="157"/>
      <c r="AP2470" s="157"/>
      <c r="AQ2470" s="157"/>
      <c r="AR2470" s="157"/>
    </row>
    <row r="2471" spans="1:44" ht="16.8">
      <c r="A2471" s="145">
        <v>361</v>
      </c>
      <c r="B2471" s="145">
        <v>1149</v>
      </c>
      <c r="C2471" s="145" t="s">
        <v>4729</v>
      </c>
      <c r="D2471" s="146" t="s">
        <v>4730</v>
      </c>
      <c r="E2471" s="147" t="s">
        <v>178</v>
      </c>
      <c r="F2471" s="148"/>
      <c r="G2471" s="148"/>
      <c r="H2471" s="149"/>
      <c r="I2471" s="149"/>
      <c r="J2471" s="149"/>
      <c r="K2471" s="149"/>
      <c r="L2471" s="149"/>
      <c r="M2471" s="149">
        <f t="shared" si="790"/>
        <v>0</v>
      </c>
      <c r="N2471" s="149"/>
      <c r="O2471" s="149">
        <f t="shared" si="797"/>
        <v>0</v>
      </c>
      <c r="P2471" s="149"/>
      <c r="Q2471" s="149"/>
      <c r="R2471" s="149">
        <f t="shared" si="798"/>
        <v>0</v>
      </c>
      <c r="S2471" s="150" t="e">
        <f t="shared" si="799"/>
        <v>#DIV/0!</v>
      </c>
      <c r="T2471" s="151" t="e">
        <f t="shared" si="800"/>
        <v>#DIV/0!</v>
      </c>
      <c r="U2471" s="150" t="e">
        <f t="shared" si="801"/>
        <v>#NUM!</v>
      </c>
      <c r="V2471" s="150" t="e">
        <f t="shared" si="802"/>
        <v>#DIV/0!</v>
      </c>
      <c r="W2471" s="152"/>
      <c r="X2471" s="152"/>
      <c r="Y2471" s="152"/>
      <c r="Z2471" s="153">
        <f t="shared" si="814"/>
        <v>0</v>
      </c>
      <c r="AA2471" s="148">
        <f t="shared" si="815"/>
        <v>0</v>
      </c>
      <c r="AB2471" s="149"/>
      <c r="AC2471" s="149"/>
      <c r="AD2471" s="150" t="e">
        <f t="shared" si="807"/>
        <v>#DIV/0!</v>
      </c>
      <c r="AE2471" s="154" t="e">
        <f t="shared" si="808"/>
        <v>#DIV/0!</v>
      </c>
      <c r="AF2471" s="150" t="e">
        <f t="shared" si="809"/>
        <v>#DIV/0!</v>
      </c>
      <c r="AG2471" s="150" t="e">
        <f t="shared" si="810"/>
        <v>#DIV/0!</v>
      </c>
      <c r="AH2471" s="155" t="e">
        <f t="shared" si="811"/>
        <v>#DIV/0!</v>
      </c>
      <c r="AI2471" s="156" t="e">
        <f t="shared" si="804"/>
        <v>#DIV/0!</v>
      </c>
      <c r="AJ2471" s="149"/>
      <c r="AK2471" s="149"/>
      <c r="AL2471" s="157"/>
      <c r="AM2471" s="157"/>
      <c r="AN2471" s="157"/>
      <c r="AO2471" s="157"/>
      <c r="AP2471" s="157"/>
      <c r="AQ2471" s="157"/>
      <c r="AR2471" s="157"/>
    </row>
    <row r="2472" spans="1:44" ht="16.8">
      <c r="A2472" s="145">
        <v>362</v>
      </c>
      <c r="B2472" s="145">
        <v>1150</v>
      </c>
      <c r="C2472" s="145" t="s">
        <v>4731</v>
      </c>
      <c r="D2472" s="146" t="s">
        <v>4732</v>
      </c>
      <c r="E2472" s="147" t="s">
        <v>178</v>
      </c>
      <c r="F2472" s="148"/>
      <c r="G2472" s="148"/>
      <c r="H2472" s="149"/>
      <c r="I2472" s="149"/>
      <c r="J2472" s="149"/>
      <c r="K2472" s="149"/>
      <c r="L2472" s="149"/>
      <c r="M2472" s="149">
        <f t="shared" si="790"/>
        <v>0</v>
      </c>
      <c r="N2472" s="149"/>
      <c r="O2472" s="149">
        <f t="shared" si="797"/>
        <v>0</v>
      </c>
      <c r="P2472" s="149"/>
      <c r="Q2472" s="149"/>
      <c r="R2472" s="149">
        <f t="shared" si="798"/>
        <v>0</v>
      </c>
      <c r="S2472" s="150" t="e">
        <f t="shared" si="799"/>
        <v>#DIV/0!</v>
      </c>
      <c r="T2472" s="151" t="e">
        <f t="shared" si="800"/>
        <v>#DIV/0!</v>
      </c>
      <c r="U2472" s="150" t="e">
        <f t="shared" si="801"/>
        <v>#NUM!</v>
      </c>
      <c r="V2472" s="150" t="e">
        <f t="shared" si="802"/>
        <v>#DIV/0!</v>
      </c>
      <c r="W2472" s="152"/>
      <c r="X2472" s="152"/>
      <c r="Y2472" s="152"/>
      <c r="Z2472" s="153">
        <f t="shared" si="814"/>
        <v>0</v>
      </c>
      <c r="AA2472" s="148">
        <f t="shared" si="815"/>
        <v>0</v>
      </c>
      <c r="AB2472" s="149"/>
      <c r="AC2472" s="149"/>
      <c r="AD2472" s="150" t="e">
        <f t="shared" si="807"/>
        <v>#DIV/0!</v>
      </c>
      <c r="AE2472" s="154" t="e">
        <f t="shared" si="808"/>
        <v>#DIV/0!</v>
      </c>
      <c r="AF2472" s="150" t="e">
        <f t="shared" si="809"/>
        <v>#DIV/0!</v>
      </c>
      <c r="AG2472" s="150" t="e">
        <f t="shared" si="810"/>
        <v>#DIV/0!</v>
      </c>
      <c r="AH2472" s="155" t="e">
        <f t="shared" si="811"/>
        <v>#DIV/0!</v>
      </c>
      <c r="AI2472" s="156" t="e">
        <f t="shared" si="804"/>
        <v>#DIV/0!</v>
      </c>
      <c r="AJ2472" s="149"/>
      <c r="AK2472" s="149"/>
      <c r="AL2472" s="157"/>
      <c r="AM2472" s="157"/>
      <c r="AN2472" s="157"/>
      <c r="AO2472" s="157"/>
      <c r="AP2472" s="157"/>
      <c r="AQ2472" s="157"/>
      <c r="AR2472" s="157"/>
    </row>
    <row r="2473" spans="1:44" ht="16.8">
      <c r="A2473" s="145">
        <v>363</v>
      </c>
      <c r="B2473" s="145">
        <v>1151</v>
      </c>
      <c r="C2473" s="145" t="s">
        <v>4733</v>
      </c>
      <c r="D2473" s="146" t="s">
        <v>4734</v>
      </c>
      <c r="E2473" s="147" t="s">
        <v>178</v>
      </c>
      <c r="F2473" s="148"/>
      <c r="G2473" s="148"/>
      <c r="H2473" s="149"/>
      <c r="I2473" s="149"/>
      <c r="J2473" s="149"/>
      <c r="K2473" s="149"/>
      <c r="L2473" s="149"/>
      <c r="M2473" s="149">
        <f t="shared" si="790"/>
        <v>0</v>
      </c>
      <c r="N2473" s="149"/>
      <c r="O2473" s="149">
        <f t="shared" si="797"/>
        <v>0</v>
      </c>
      <c r="P2473" s="149"/>
      <c r="Q2473" s="149"/>
      <c r="R2473" s="149">
        <f t="shared" si="798"/>
        <v>0</v>
      </c>
      <c r="S2473" s="150" t="e">
        <f t="shared" si="799"/>
        <v>#DIV/0!</v>
      </c>
      <c r="T2473" s="151" t="e">
        <f t="shared" si="800"/>
        <v>#DIV/0!</v>
      </c>
      <c r="U2473" s="150" t="e">
        <f t="shared" si="801"/>
        <v>#NUM!</v>
      </c>
      <c r="V2473" s="150" t="e">
        <f t="shared" si="802"/>
        <v>#DIV/0!</v>
      </c>
      <c r="W2473" s="152"/>
      <c r="X2473" s="152"/>
      <c r="Y2473" s="152"/>
      <c r="Z2473" s="153">
        <f t="shared" si="814"/>
        <v>0</v>
      </c>
      <c r="AA2473" s="148">
        <f t="shared" si="815"/>
        <v>0</v>
      </c>
      <c r="AB2473" s="149"/>
      <c r="AC2473" s="149"/>
      <c r="AD2473" s="150" t="e">
        <f t="shared" si="807"/>
        <v>#DIV/0!</v>
      </c>
      <c r="AE2473" s="154" t="e">
        <f t="shared" si="808"/>
        <v>#DIV/0!</v>
      </c>
      <c r="AF2473" s="150" t="e">
        <f t="shared" si="809"/>
        <v>#DIV/0!</v>
      </c>
      <c r="AG2473" s="150" t="e">
        <f t="shared" si="810"/>
        <v>#DIV/0!</v>
      </c>
      <c r="AH2473" s="155" t="e">
        <f t="shared" si="811"/>
        <v>#DIV/0!</v>
      </c>
      <c r="AI2473" s="156" t="e">
        <f t="shared" si="804"/>
        <v>#DIV/0!</v>
      </c>
      <c r="AJ2473" s="149"/>
      <c r="AK2473" s="149"/>
      <c r="AL2473" s="157"/>
      <c r="AM2473" s="157"/>
      <c r="AN2473" s="157"/>
      <c r="AO2473" s="157"/>
      <c r="AP2473" s="157"/>
      <c r="AQ2473" s="157"/>
      <c r="AR2473" s="157"/>
    </row>
    <row r="2474" spans="1:44" ht="16.8">
      <c r="A2474" s="145">
        <v>364</v>
      </c>
      <c r="B2474" s="145">
        <v>1152</v>
      </c>
      <c r="C2474" s="145" t="s">
        <v>4735</v>
      </c>
      <c r="D2474" s="146" t="s">
        <v>4736</v>
      </c>
      <c r="E2474" s="147" t="s">
        <v>1371</v>
      </c>
      <c r="F2474" s="148"/>
      <c r="G2474" s="148"/>
      <c r="H2474" s="149"/>
      <c r="I2474" s="149"/>
      <c r="J2474" s="149"/>
      <c r="K2474" s="149"/>
      <c r="L2474" s="149"/>
      <c r="M2474" s="149">
        <f t="shared" si="790"/>
        <v>0</v>
      </c>
      <c r="N2474" s="149"/>
      <c r="O2474" s="149">
        <f t="shared" si="797"/>
        <v>0</v>
      </c>
      <c r="P2474" s="149"/>
      <c r="Q2474" s="149"/>
      <c r="R2474" s="149">
        <f t="shared" si="798"/>
        <v>0</v>
      </c>
      <c r="S2474" s="150" t="e">
        <f t="shared" si="799"/>
        <v>#DIV/0!</v>
      </c>
      <c r="T2474" s="151" t="e">
        <f t="shared" si="800"/>
        <v>#DIV/0!</v>
      </c>
      <c r="U2474" s="150" t="e">
        <f t="shared" si="801"/>
        <v>#NUM!</v>
      </c>
      <c r="V2474" s="150" t="e">
        <f t="shared" si="802"/>
        <v>#DIV/0!</v>
      </c>
      <c r="W2474" s="152"/>
      <c r="X2474" s="152"/>
      <c r="Y2474" s="152"/>
      <c r="Z2474" s="153">
        <f t="shared" si="814"/>
        <v>0</v>
      </c>
      <c r="AA2474" s="148">
        <f t="shared" si="815"/>
        <v>0</v>
      </c>
      <c r="AB2474" s="149"/>
      <c r="AC2474" s="149"/>
      <c r="AD2474" s="150" t="e">
        <f t="shared" si="807"/>
        <v>#DIV/0!</v>
      </c>
      <c r="AE2474" s="154" t="e">
        <f t="shared" si="808"/>
        <v>#DIV/0!</v>
      </c>
      <c r="AF2474" s="150" t="e">
        <f t="shared" si="809"/>
        <v>#DIV/0!</v>
      </c>
      <c r="AG2474" s="150" t="e">
        <f t="shared" si="810"/>
        <v>#DIV/0!</v>
      </c>
      <c r="AH2474" s="155" t="e">
        <f t="shared" si="811"/>
        <v>#DIV/0!</v>
      </c>
      <c r="AI2474" s="156" t="e">
        <f t="shared" si="804"/>
        <v>#DIV/0!</v>
      </c>
      <c r="AJ2474" s="149"/>
      <c r="AK2474" s="149"/>
      <c r="AL2474" s="157"/>
      <c r="AM2474" s="157"/>
      <c r="AN2474" s="157"/>
      <c r="AO2474" s="157"/>
      <c r="AP2474" s="157"/>
      <c r="AQ2474" s="157"/>
      <c r="AR2474" s="157"/>
    </row>
    <row r="2475" spans="1:44" ht="16.8">
      <c r="A2475" s="145">
        <v>365</v>
      </c>
      <c r="B2475" s="145">
        <v>1153</v>
      </c>
      <c r="C2475" s="145" t="s">
        <v>4737</v>
      </c>
      <c r="D2475" s="146" t="s">
        <v>4738</v>
      </c>
      <c r="E2475" s="147" t="s">
        <v>178</v>
      </c>
      <c r="F2475" s="148"/>
      <c r="G2475" s="148"/>
      <c r="H2475" s="149"/>
      <c r="I2475" s="149"/>
      <c r="J2475" s="149"/>
      <c r="K2475" s="149"/>
      <c r="L2475" s="149"/>
      <c r="M2475" s="149">
        <f t="shared" si="790"/>
        <v>0</v>
      </c>
      <c r="N2475" s="149"/>
      <c r="O2475" s="149">
        <f t="shared" si="797"/>
        <v>0</v>
      </c>
      <c r="P2475" s="149"/>
      <c r="Q2475" s="149"/>
      <c r="R2475" s="149">
        <f t="shared" si="798"/>
        <v>0</v>
      </c>
      <c r="S2475" s="150" t="e">
        <f t="shared" si="799"/>
        <v>#DIV/0!</v>
      </c>
      <c r="T2475" s="151" t="e">
        <f t="shared" si="800"/>
        <v>#DIV/0!</v>
      </c>
      <c r="U2475" s="150" t="e">
        <f t="shared" si="801"/>
        <v>#NUM!</v>
      </c>
      <c r="V2475" s="150" t="e">
        <f t="shared" si="802"/>
        <v>#DIV/0!</v>
      </c>
      <c r="W2475" s="152"/>
      <c r="X2475" s="152"/>
      <c r="Y2475" s="152"/>
      <c r="Z2475" s="153">
        <f t="shared" si="814"/>
        <v>0</v>
      </c>
      <c r="AA2475" s="148">
        <f t="shared" si="815"/>
        <v>0</v>
      </c>
      <c r="AB2475" s="149"/>
      <c r="AC2475" s="149"/>
      <c r="AD2475" s="150" t="e">
        <f t="shared" si="807"/>
        <v>#DIV/0!</v>
      </c>
      <c r="AE2475" s="154" t="e">
        <f t="shared" si="808"/>
        <v>#DIV/0!</v>
      </c>
      <c r="AF2475" s="150" t="e">
        <f t="shared" si="809"/>
        <v>#DIV/0!</v>
      </c>
      <c r="AG2475" s="150" t="e">
        <f t="shared" si="810"/>
        <v>#DIV/0!</v>
      </c>
      <c r="AH2475" s="155" t="e">
        <f t="shared" si="811"/>
        <v>#DIV/0!</v>
      </c>
      <c r="AI2475" s="156" t="e">
        <f t="shared" si="804"/>
        <v>#DIV/0!</v>
      </c>
      <c r="AJ2475" s="149"/>
      <c r="AK2475" s="149"/>
      <c r="AL2475" s="157"/>
      <c r="AM2475" s="157"/>
      <c r="AN2475" s="157"/>
      <c r="AO2475" s="157"/>
      <c r="AP2475" s="157"/>
      <c r="AQ2475" s="157"/>
      <c r="AR2475" s="157"/>
    </row>
    <row r="2476" spans="1:44" ht="16.8">
      <c r="A2476" s="145">
        <v>366</v>
      </c>
      <c r="B2476" s="145">
        <v>1154</v>
      </c>
      <c r="C2476" s="145" t="s">
        <v>4739</v>
      </c>
      <c r="D2476" s="146" t="s">
        <v>4740</v>
      </c>
      <c r="E2476" s="147" t="s">
        <v>178</v>
      </c>
      <c r="F2476" s="148"/>
      <c r="G2476" s="148"/>
      <c r="H2476" s="149"/>
      <c r="I2476" s="149"/>
      <c r="J2476" s="149"/>
      <c r="K2476" s="149"/>
      <c r="L2476" s="149"/>
      <c r="M2476" s="149">
        <f t="shared" si="790"/>
        <v>0</v>
      </c>
      <c r="N2476" s="149"/>
      <c r="O2476" s="149">
        <f t="shared" si="797"/>
        <v>0</v>
      </c>
      <c r="P2476" s="149"/>
      <c r="Q2476" s="149"/>
      <c r="R2476" s="149">
        <f t="shared" si="798"/>
        <v>0</v>
      </c>
      <c r="S2476" s="150" t="e">
        <f t="shared" si="799"/>
        <v>#DIV/0!</v>
      </c>
      <c r="T2476" s="151" t="e">
        <f t="shared" si="800"/>
        <v>#DIV/0!</v>
      </c>
      <c r="U2476" s="150" t="e">
        <f t="shared" si="801"/>
        <v>#NUM!</v>
      </c>
      <c r="V2476" s="150" t="e">
        <f t="shared" si="802"/>
        <v>#DIV/0!</v>
      </c>
      <c r="W2476" s="152"/>
      <c r="X2476" s="152"/>
      <c r="Y2476" s="152"/>
      <c r="Z2476" s="153">
        <f t="shared" si="814"/>
        <v>0</v>
      </c>
      <c r="AA2476" s="148">
        <f t="shared" si="815"/>
        <v>0</v>
      </c>
      <c r="AB2476" s="149"/>
      <c r="AC2476" s="149"/>
      <c r="AD2476" s="150" t="e">
        <f t="shared" si="807"/>
        <v>#DIV/0!</v>
      </c>
      <c r="AE2476" s="154" t="e">
        <f t="shared" si="808"/>
        <v>#DIV/0!</v>
      </c>
      <c r="AF2476" s="150" t="e">
        <f t="shared" si="809"/>
        <v>#DIV/0!</v>
      </c>
      <c r="AG2476" s="150" t="e">
        <f t="shared" si="810"/>
        <v>#DIV/0!</v>
      </c>
      <c r="AH2476" s="155" t="e">
        <f t="shared" si="811"/>
        <v>#DIV/0!</v>
      </c>
      <c r="AI2476" s="156" t="e">
        <f t="shared" si="804"/>
        <v>#DIV/0!</v>
      </c>
      <c r="AJ2476" s="149"/>
      <c r="AK2476" s="149"/>
      <c r="AL2476" s="157"/>
      <c r="AM2476" s="157"/>
      <c r="AN2476" s="157"/>
      <c r="AO2476" s="157"/>
      <c r="AP2476" s="157"/>
      <c r="AQ2476" s="157"/>
      <c r="AR2476" s="157"/>
    </row>
    <row r="2477" spans="1:44" ht="16.8">
      <c r="A2477" s="145">
        <v>367</v>
      </c>
      <c r="B2477" s="145">
        <v>1155</v>
      </c>
      <c r="C2477" s="145" t="s">
        <v>4741</v>
      </c>
      <c r="D2477" s="146" t="s">
        <v>4742</v>
      </c>
      <c r="E2477" s="147" t="s">
        <v>178</v>
      </c>
      <c r="F2477" s="148"/>
      <c r="G2477" s="148"/>
      <c r="H2477" s="149"/>
      <c r="I2477" s="149"/>
      <c r="J2477" s="149"/>
      <c r="K2477" s="149"/>
      <c r="L2477" s="149"/>
      <c r="M2477" s="149">
        <f t="shared" si="790"/>
        <v>0</v>
      </c>
      <c r="N2477" s="149"/>
      <c r="O2477" s="149">
        <f t="shared" si="797"/>
        <v>0</v>
      </c>
      <c r="P2477" s="149"/>
      <c r="Q2477" s="149"/>
      <c r="R2477" s="149">
        <f t="shared" si="798"/>
        <v>0</v>
      </c>
      <c r="S2477" s="150" t="e">
        <f t="shared" si="799"/>
        <v>#DIV/0!</v>
      </c>
      <c r="T2477" s="151" t="e">
        <f t="shared" si="800"/>
        <v>#DIV/0!</v>
      </c>
      <c r="U2477" s="150" t="e">
        <f t="shared" si="801"/>
        <v>#NUM!</v>
      </c>
      <c r="V2477" s="150" t="e">
        <f t="shared" si="802"/>
        <v>#DIV/0!</v>
      </c>
      <c r="W2477" s="152"/>
      <c r="X2477" s="152"/>
      <c r="Y2477" s="152"/>
      <c r="Z2477" s="153">
        <f t="shared" si="814"/>
        <v>0</v>
      </c>
      <c r="AA2477" s="148">
        <f t="shared" si="815"/>
        <v>0</v>
      </c>
      <c r="AB2477" s="149"/>
      <c r="AC2477" s="149"/>
      <c r="AD2477" s="150" t="e">
        <f t="shared" si="807"/>
        <v>#DIV/0!</v>
      </c>
      <c r="AE2477" s="154" t="e">
        <f t="shared" si="808"/>
        <v>#DIV/0!</v>
      </c>
      <c r="AF2477" s="150" t="e">
        <f t="shared" si="809"/>
        <v>#DIV/0!</v>
      </c>
      <c r="AG2477" s="150" t="e">
        <f t="shared" si="810"/>
        <v>#DIV/0!</v>
      </c>
      <c r="AH2477" s="155" t="e">
        <f t="shared" si="811"/>
        <v>#DIV/0!</v>
      </c>
      <c r="AI2477" s="156" t="e">
        <f t="shared" si="804"/>
        <v>#DIV/0!</v>
      </c>
      <c r="AJ2477" s="149"/>
      <c r="AK2477" s="149"/>
      <c r="AL2477" s="157"/>
      <c r="AM2477" s="157"/>
      <c r="AN2477" s="157"/>
      <c r="AO2477" s="157"/>
      <c r="AP2477" s="157"/>
      <c r="AQ2477" s="157"/>
      <c r="AR2477" s="157"/>
    </row>
    <row r="2478" spans="1:44" ht="16.8">
      <c r="A2478" s="145">
        <v>368</v>
      </c>
      <c r="B2478" s="145">
        <v>1156</v>
      </c>
      <c r="C2478" s="145" t="s">
        <v>4743</v>
      </c>
      <c r="D2478" s="146" t="s">
        <v>4744</v>
      </c>
      <c r="E2478" s="147" t="s">
        <v>178</v>
      </c>
      <c r="F2478" s="148"/>
      <c r="G2478" s="148"/>
      <c r="H2478" s="149"/>
      <c r="I2478" s="149"/>
      <c r="J2478" s="149"/>
      <c r="K2478" s="149"/>
      <c r="L2478" s="149"/>
      <c r="M2478" s="149">
        <f t="shared" si="790"/>
        <v>0</v>
      </c>
      <c r="N2478" s="149"/>
      <c r="O2478" s="149">
        <f t="shared" si="797"/>
        <v>0</v>
      </c>
      <c r="P2478" s="149"/>
      <c r="Q2478" s="149"/>
      <c r="R2478" s="149">
        <f t="shared" si="798"/>
        <v>0</v>
      </c>
      <c r="S2478" s="150" t="e">
        <f t="shared" si="799"/>
        <v>#DIV/0!</v>
      </c>
      <c r="T2478" s="151" t="e">
        <f t="shared" si="800"/>
        <v>#DIV/0!</v>
      </c>
      <c r="U2478" s="150" t="e">
        <f t="shared" si="801"/>
        <v>#NUM!</v>
      </c>
      <c r="V2478" s="150" t="e">
        <f t="shared" si="802"/>
        <v>#DIV/0!</v>
      </c>
      <c r="W2478" s="152"/>
      <c r="X2478" s="152"/>
      <c r="Y2478" s="152"/>
      <c r="Z2478" s="153">
        <f t="shared" si="814"/>
        <v>0</v>
      </c>
      <c r="AA2478" s="148">
        <f t="shared" si="815"/>
        <v>0</v>
      </c>
      <c r="AB2478" s="149"/>
      <c r="AC2478" s="149"/>
      <c r="AD2478" s="150" t="e">
        <f t="shared" si="807"/>
        <v>#DIV/0!</v>
      </c>
      <c r="AE2478" s="154" t="e">
        <f t="shared" si="808"/>
        <v>#DIV/0!</v>
      </c>
      <c r="AF2478" s="150" t="e">
        <f t="shared" si="809"/>
        <v>#DIV/0!</v>
      </c>
      <c r="AG2478" s="150" t="e">
        <f t="shared" si="810"/>
        <v>#DIV/0!</v>
      </c>
      <c r="AH2478" s="155" t="e">
        <f t="shared" si="811"/>
        <v>#DIV/0!</v>
      </c>
      <c r="AI2478" s="156" t="e">
        <f t="shared" si="804"/>
        <v>#DIV/0!</v>
      </c>
      <c r="AJ2478" s="149"/>
      <c r="AK2478" s="149"/>
      <c r="AL2478" s="157"/>
      <c r="AM2478" s="157"/>
      <c r="AN2478" s="157"/>
      <c r="AO2478" s="157"/>
      <c r="AP2478" s="157"/>
      <c r="AQ2478" s="157"/>
      <c r="AR2478" s="157"/>
    </row>
    <row r="2479" spans="1:44" ht="16.8">
      <c r="A2479" s="145">
        <v>369</v>
      </c>
      <c r="B2479" s="145">
        <v>1157</v>
      </c>
      <c r="C2479" s="145" t="s">
        <v>4745</v>
      </c>
      <c r="D2479" s="146" t="s">
        <v>4746</v>
      </c>
      <c r="E2479" s="147" t="s">
        <v>178</v>
      </c>
      <c r="F2479" s="148"/>
      <c r="G2479" s="148"/>
      <c r="H2479" s="149"/>
      <c r="I2479" s="149"/>
      <c r="J2479" s="149"/>
      <c r="K2479" s="149"/>
      <c r="L2479" s="149"/>
      <c r="M2479" s="149">
        <f t="shared" si="790"/>
        <v>0</v>
      </c>
      <c r="N2479" s="149"/>
      <c r="O2479" s="149">
        <f t="shared" si="797"/>
        <v>0</v>
      </c>
      <c r="P2479" s="149"/>
      <c r="Q2479" s="149"/>
      <c r="R2479" s="149">
        <f t="shared" si="798"/>
        <v>0</v>
      </c>
      <c r="S2479" s="150" t="e">
        <f t="shared" si="799"/>
        <v>#DIV/0!</v>
      </c>
      <c r="T2479" s="151" t="e">
        <f t="shared" si="800"/>
        <v>#DIV/0!</v>
      </c>
      <c r="U2479" s="150" t="e">
        <f t="shared" si="801"/>
        <v>#NUM!</v>
      </c>
      <c r="V2479" s="150" t="e">
        <f t="shared" si="802"/>
        <v>#DIV/0!</v>
      </c>
      <c r="W2479" s="152"/>
      <c r="X2479" s="152"/>
      <c r="Y2479" s="152"/>
      <c r="Z2479" s="153">
        <f t="shared" si="814"/>
        <v>0</v>
      </c>
      <c r="AA2479" s="148">
        <f t="shared" si="815"/>
        <v>0</v>
      </c>
      <c r="AB2479" s="149"/>
      <c r="AC2479" s="149"/>
      <c r="AD2479" s="150" t="e">
        <f t="shared" si="807"/>
        <v>#DIV/0!</v>
      </c>
      <c r="AE2479" s="154" t="e">
        <f t="shared" si="808"/>
        <v>#DIV/0!</v>
      </c>
      <c r="AF2479" s="150" t="e">
        <f t="shared" si="809"/>
        <v>#DIV/0!</v>
      </c>
      <c r="AG2479" s="150" t="e">
        <f t="shared" si="810"/>
        <v>#DIV/0!</v>
      </c>
      <c r="AH2479" s="155" t="e">
        <f t="shared" si="811"/>
        <v>#DIV/0!</v>
      </c>
      <c r="AI2479" s="156" t="e">
        <f t="shared" si="804"/>
        <v>#DIV/0!</v>
      </c>
      <c r="AJ2479" s="149"/>
      <c r="AK2479" s="149"/>
      <c r="AL2479" s="157"/>
      <c r="AM2479" s="157"/>
      <c r="AN2479" s="157"/>
      <c r="AO2479" s="157"/>
      <c r="AP2479" s="157"/>
      <c r="AQ2479" s="157"/>
      <c r="AR2479" s="157"/>
    </row>
    <row r="2480" spans="1:44" ht="16.8">
      <c r="A2480" s="145">
        <v>370</v>
      </c>
      <c r="B2480" s="145">
        <v>1158</v>
      </c>
      <c r="C2480" s="145" t="s">
        <v>4747</v>
      </c>
      <c r="D2480" s="146" t="s">
        <v>4748</v>
      </c>
      <c r="E2480" s="147" t="s">
        <v>1371</v>
      </c>
      <c r="F2480" s="148"/>
      <c r="G2480" s="148"/>
      <c r="H2480" s="149"/>
      <c r="I2480" s="149"/>
      <c r="J2480" s="149"/>
      <c r="K2480" s="149"/>
      <c r="L2480" s="149"/>
      <c r="M2480" s="149">
        <f t="shared" si="790"/>
        <v>0</v>
      </c>
      <c r="N2480" s="149"/>
      <c r="O2480" s="149">
        <f t="shared" si="797"/>
        <v>0</v>
      </c>
      <c r="P2480" s="149"/>
      <c r="Q2480" s="149"/>
      <c r="R2480" s="149">
        <f t="shared" si="798"/>
        <v>0</v>
      </c>
      <c r="S2480" s="150" t="e">
        <f t="shared" si="799"/>
        <v>#DIV/0!</v>
      </c>
      <c r="T2480" s="151" t="e">
        <f t="shared" si="800"/>
        <v>#DIV/0!</v>
      </c>
      <c r="U2480" s="150" t="e">
        <f t="shared" si="801"/>
        <v>#NUM!</v>
      </c>
      <c r="V2480" s="150" t="e">
        <f t="shared" si="802"/>
        <v>#DIV/0!</v>
      </c>
      <c r="W2480" s="152"/>
      <c r="X2480" s="152"/>
      <c r="Y2480" s="152"/>
      <c r="Z2480" s="153">
        <f t="shared" si="814"/>
        <v>0</v>
      </c>
      <c r="AA2480" s="148">
        <f t="shared" si="815"/>
        <v>0</v>
      </c>
      <c r="AB2480" s="149"/>
      <c r="AC2480" s="149"/>
      <c r="AD2480" s="150" t="e">
        <f t="shared" si="807"/>
        <v>#DIV/0!</v>
      </c>
      <c r="AE2480" s="154" t="e">
        <f t="shared" si="808"/>
        <v>#DIV/0!</v>
      </c>
      <c r="AF2480" s="150" t="e">
        <f t="shared" si="809"/>
        <v>#DIV/0!</v>
      </c>
      <c r="AG2480" s="150" t="e">
        <f t="shared" si="810"/>
        <v>#DIV/0!</v>
      </c>
      <c r="AH2480" s="155" t="e">
        <f t="shared" si="811"/>
        <v>#DIV/0!</v>
      </c>
      <c r="AI2480" s="156" t="e">
        <f t="shared" si="804"/>
        <v>#DIV/0!</v>
      </c>
      <c r="AJ2480" s="149"/>
      <c r="AK2480" s="149"/>
      <c r="AL2480" s="157"/>
      <c r="AM2480" s="157"/>
      <c r="AN2480" s="157"/>
      <c r="AO2480" s="157"/>
      <c r="AP2480" s="157"/>
      <c r="AQ2480" s="157"/>
      <c r="AR2480" s="157"/>
    </row>
    <row r="2481" spans="1:44" ht="16.8">
      <c r="A2481" s="145">
        <v>371</v>
      </c>
      <c r="B2481" s="145">
        <v>1159</v>
      </c>
      <c r="C2481" s="145" t="s">
        <v>4749</v>
      </c>
      <c r="D2481" s="146" t="s">
        <v>4750</v>
      </c>
      <c r="E2481" s="147" t="s">
        <v>1371</v>
      </c>
      <c r="F2481" s="148"/>
      <c r="G2481" s="148"/>
      <c r="H2481" s="149"/>
      <c r="I2481" s="149"/>
      <c r="J2481" s="149"/>
      <c r="K2481" s="149"/>
      <c r="L2481" s="149"/>
      <c r="M2481" s="149">
        <f t="shared" si="790"/>
        <v>0</v>
      </c>
      <c r="N2481" s="149"/>
      <c r="O2481" s="149">
        <f t="shared" si="797"/>
        <v>0</v>
      </c>
      <c r="P2481" s="149"/>
      <c r="Q2481" s="149"/>
      <c r="R2481" s="149">
        <f t="shared" si="798"/>
        <v>0</v>
      </c>
      <c r="S2481" s="150" t="e">
        <f t="shared" si="799"/>
        <v>#DIV/0!</v>
      </c>
      <c r="T2481" s="151" t="e">
        <f t="shared" si="800"/>
        <v>#DIV/0!</v>
      </c>
      <c r="U2481" s="150" t="e">
        <f t="shared" si="801"/>
        <v>#NUM!</v>
      </c>
      <c r="V2481" s="150" t="e">
        <f t="shared" si="802"/>
        <v>#DIV/0!</v>
      </c>
      <c r="W2481" s="152"/>
      <c r="X2481" s="152"/>
      <c r="Y2481" s="152"/>
      <c r="Z2481" s="153">
        <f t="shared" si="814"/>
        <v>0</v>
      </c>
      <c r="AA2481" s="148">
        <f t="shared" si="815"/>
        <v>0</v>
      </c>
      <c r="AB2481" s="149"/>
      <c r="AC2481" s="149"/>
      <c r="AD2481" s="150" t="e">
        <f t="shared" si="807"/>
        <v>#DIV/0!</v>
      </c>
      <c r="AE2481" s="154" t="e">
        <f t="shared" si="808"/>
        <v>#DIV/0!</v>
      </c>
      <c r="AF2481" s="150" t="e">
        <f t="shared" si="809"/>
        <v>#DIV/0!</v>
      </c>
      <c r="AG2481" s="150" t="e">
        <f t="shared" si="810"/>
        <v>#DIV/0!</v>
      </c>
      <c r="AH2481" s="155" t="e">
        <f t="shared" si="811"/>
        <v>#DIV/0!</v>
      </c>
      <c r="AI2481" s="156" t="e">
        <f t="shared" si="804"/>
        <v>#DIV/0!</v>
      </c>
      <c r="AJ2481" s="149"/>
      <c r="AK2481" s="149"/>
      <c r="AL2481" s="157"/>
      <c r="AM2481" s="157"/>
      <c r="AN2481" s="157"/>
      <c r="AO2481" s="157"/>
      <c r="AP2481" s="157"/>
      <c r="AQ2481" s="157"/>
      <c r="AR2481" s="157"/>
    </row>
    <row r="2482" spans="1:44" ht="16.8">
      <c r="A2482" s="145">
        <v>372</v>
      </c>
      <c r="B2482" s="145">
        <v>1160</v>
      </c>
      <c r="C2482" s="145" t="s">
        <v>4751</v>
      </c>
      <c r="D2482" s="146" t="s">
        <v>4752</v>
      </c>
      <c r="E2482" s="147" t="s">
        <v>178</v>
      </c>
      <c r="F2482" s="148"/>
      <c r="G2482" s="148"/>
      <c r="H2482" s="149"/>
      <c r="I2482" s="149"/>
      <c r="J2482" s="149"/>
      <c r="K2482" s="149"/>
      <c r="L2482" s="149"/>
      <c r="M2482" s="149">
        <f t="shared" si="790"/>
        <v>0</v>
      </c>
      <c r="N2482" s="149"/>
      <c r="O2482" s="149">
        <f t="shared" si="797"/>
        <v>0</v>
      </c>
      <c r="P2482" s="149"/>
      <c r="Q2482" s="149"/>
      <c r="R2482" s="149">
        <f t="shared" si="798"/>
        <v>0</v>
      </c>
      <c r="S2482" s="150" t="e">
        <f t="shared" si="799"/>
        <v>#DIV/0!</v>
      </c>
      <c r="T2482" s="151" t="e">
        <f t="shared" si="800"/>
        <v>#DIV/0!</v>
      </c>
      <c r="U2482" s="150" t="e">
        <f t="shared" si="801"/>
        <v>#NUM!</v>
      </c>
      <c r="V2482" s="150" t="e">
        <f t="shared" si="802"/>
        <v>#DIV/0!</v>
      </c>
      <c r="W2482" s="152"/>
      <c r="X2482" s="152"/>
      <c r="Y2482" s="152"/>
      <c r="Z2482" s="153">
        <f t="shared" si="814"/>
        <v>0</v>
      </c>
      <c r="AA2482" s="148">
        <f t="shared" si="815"/>
        <v>0</v>
      </c>
      <c r="AB2482" s="149"/>
      <c r="AC2482" s="149"/>
      <c r="AD2482" s="150" t="e">
        <f t="shared" si="807"/>
        <v>#DIV/0!</v>
      </c>
      <c r="AE2482" s="154" t="e">
        <f t="shared" si="808"/>
        <v>#DIV/0!</v>
      </c>
      <c r="AF2482" s="150" t="e">
        <f t="shared" si="809"/>
        <v>#DIV/0!</v>
      </c>
      <c r="AG2482" s="150" t="e">
        <f t="shared" si="810"/>
        <v>#DIV/0!</v>
      </c>
      <c r="AH2482" s="155" t="e">
        <f t="shared" si="811"/>
        <v>#DIV/0!</v>
      </c>
      <c r="AI2482" s="156" t="e">
        <f t="shared" si="804"/>
        <v>#DIV/0!</v>
      </c>
      <c r="AJ2482" s="149"/>
      <c r="AK2482" s="149"/>
      <c r="AL2482" s="157"/>
      <c r="AM2482" s="157"/>
      <c r="AN2482" s="157"/>
      <c r="AO2482" s="157"/>
      <c r="AP2482" s="157"/>
      <c r="AQ2482" s="157"/>
      <c r="AR2482" s="157"/>
    </row>
    <row r="2483" spans="1:44" ht="16.8">
      <c r="A2483" s="145">
        <v>373</v>
      </c>
      <c r="B2483" s="145">
        <v>1161</v>
      </c>
      <c r="C2483" s="145" t="s">
        <v>4753</v>
      </c>
      <c r="D2483" s="146" t="s">
        <v>4754</v>
      </c>
      <c r="E2483" s="147" t="s">
        <v>178</v>
      </c>
      <c r="F2483" s="148"/>
      <c r="G2483" s="148"/>
      <c r="H2483" s="149"/>
      <c r="I2483" s="149"/>
      <c r="J2483" s="149"/>
      <c r="K2483" s="149"/>
      <c r="L2483" s="149"/>
      <c r="M2483" s="149">
        <f t="shared" si="790"/>
        <v>0</v>
      </c>
      <c r="N2483" s="149"/>
      <c r="O2483" s="149">
        <f t="shared" si="797"/>
        <v>0</v>
      </c>
      <c r="P2483" s="149"/>
      <c r="Q2483" s="149"/>
      <c r="R2483" s="149">
        <f t="shared" si="798"/>
        <v>0</v>
      </c>
      <c r="S2483" s="150" t="e">
        <f t="shared" si="799"/>
        <v>#DIV/0!</v>
      </c>
      <c r="T2483" s="151" t="e">
        <f t="shared" si="800"/>
        <v>#DIV/0!</v>
      </c>
      <c r="U2483" s="150" t="e">
        <f t="shared" si="801"/>
        <v>#NUM!</v>
      </c>
      <c r="V2483" s="150" t="e">
        <f t="shared" si="802"/>
        <v>#DIV/0!</v>
      </c>
      <c r="W2483" s="152"/>
      <c r="X2483" s="152"/>
      <c r="Y2483" s="152"/>
      <c r="Z2483" s="153">
        <f t="shared" si="814"/>
        <v>0</v>
      </c>
      <c r="AA2483" s="148">
        <f t="shared" si="815"/>
        <v>0</v>
      </c>
      <c r="AB2483" s="149"/>
      <c r="AC2483" s="149"/>
      <c r="AD2483" s="150" t="e">
        <f t="shared" si="807"/>
        <v>#DIV/0!</v>
      </c>
      <c r="AE2483" s="154" t="e">
        <f t="shared" si="808"/>
        <v>#DIV/0!</v>
      </c>
      <c r="AF2483" s="150" t="e">
        <f t="shared" si="809"/>
        <v>#DIV/0!</v>
      </c>
      <c r="AG2483" s="150" t="e">
        <f t="shared" si="810"/>
        <v>#DIV/0!</v>
      </c>
      <c r="AH2483" s="155" t="e">
        <f t="shared" si="811"/>
        <v>#DIV/0!</v>
      </c>
      <c r="AI2483" s="156" t="e">
        <f t="shared" si="804"/>
        <v>#DIV/0!</v>
      </c>
      <c r="AJ2483" s="149"/>
      <c r="AK2483" s="149"/>
      <c r="AL2483" s="157"/>
      <c r="AM2483" s="157"/>
      <c r="AN2483" s="157"/>
      <c r="AO2483" s="157"/>
      <c r="AP2483" s="157"/>
      <c r="AQ2483" s="157"/>
      <c r="AR2483" s="157"/>
    </row>
    <row r="2484" spans="1:44" ht="16.8">
      <c r="A2484" s="145">
        <v>374</v>
      </c>
      <c r="B2484" s="145">
        <v>1162</v>
      </c>
      <c r="C2484" s="145" t="s">
        <v>4755</v>
      </c>
      <c r="D2484" s="146" t="s">
        <v>4756</v>
      </c>
      <c r="E2484" s="147" t="s">
        <v>178</v>
      </c>
      <c r="F2484" s="148"/>
      <c r="G2484" s="148"/>
      <c r="H2484" s="149"/>
      <c r="I2484" s="149"/>
      <c r="J2484" s="149"/>
      <c r="K2484" s="149"/>
      <c r="L2484" s="149"/>
      <c r="M2484" s="149">
        <f t="shared" si="790"/>
        <v>0</v>
      </c>
      <c r="N2484" s="149"/>
      <c r="O2484" s="149">
        <f t="shared" si="797"/>
        <v>0</v>
      </c>
      <c r="P2484" s="149"/>
      <c r="Q2484" s="149"/>
      <c r="R2484" s="149">
        <f t="shared" si="798"/>
        <v>0</v>
      </c>
      <c r="S2484" s="150" t="e">
        <f t="shared" si="799"/>
        <v>#DIV/0!</v>
      </c>
      <c r="T2484" s="151" t="e">
        <f t="shared" si="800"/>
        <v>#DIV/0!</v>
      </c>
      <c r="U2484" s="150" t="e">
        <f t="shared" si="801"/>
        <v>#NUM!</v>
      </c>
      <c r="V2484" s="150" t="e">
        <f t="shared" si="802"/>
        <v>#DIV/0!</v>
      </c>
      <c r="W2484" s="152"/>
      <c r="X2484" s="152"/>
      <c r="Y2484" s="152"/>
      <c r="Z2484" s="153">
        <f t="shared" si="814"/>
        <v>0</v>
      </c>
      <c r="AA2484" s="148">
        <f t="shared" si="815"/>
        <v>0</v>
      </c>
      <c r="AB2484" s="149"/>
      <c r="AC2484" s="149"/>
      <c r="AD2484" s="150" t="e">
        <f t="shared" si="807"/>
        <v>#DIV/0!</v>
      </c>
      <c r="AE2484" s="154" t="e">
        <f t="shared" si="808"/>
        <v>#DIV/0!</v>
      </c>
      <c r="AF2484" s="150" t="e">
        <f t="shared" si="809"/>
        <v>#DIV/0!</v>
      </c>
      <c r="AG2484" s="150" t="e">
        <f t="shared" si="810"/>
        <v>#DIV/0!</v>
      </c>
      <c r="AH2484" s="155" t="e">
        <f t="shared" si="811"/>
        <v>#DIV/0!</v>
      </c>
      <c r="AI2484" s="156" t="e">
        <f t="shared" si="804"/>
        <v>#DIV/0!</v>
      </c>
      <c r="AJ2484" s="149"/>
      <c r="AK2484" s="149"/>
      <c r="AL2484" s="157"/>
      <c r="AM2484" s="157"/>
      <c r="AN2484" s="157"/>
      <c r="AO2484" s="157"/>
      <c r="AP2484" s="157"/>
      <c r="AQ2484" s="157"/>
      <c r="AR2484" s="157"/>
    </row>
    <row r="2485" spans="1:44" ht="16.8">
      <c r="A2485" s="145">
        <v>375</v>
      </c>
      <c r="B2485" s="145">
        <v>1163</v>
      </c>
      <c r="C2485" s="145" t="s">
        <v>4757</v>
      </c>
      <c r="D2485" s="146" t="s">
        <v>4758</v>
      </c>
      <c r="E2485" s="147" t="s">
        <v>178</v>
      </c>
      <c r="F2485" s="148"/>
      <c r="G2485" s="148"/>
      <c r="H2485" s="149"/>
      <c r="I2485" s="149"/>
      <c r="J2485" s="149"/>
      <c r="K2485" s="149"/>
      <c r="L2485" s="149"/>
      <c r="M2485" s="149">
        <f t="shared" si="790"/>
        <v>0</v>
      </c>
      <c r="N2485" s="149"/>
      <c r="O2485" s="149">
        <f t="shared" si="797"/>
        <v>0</v>
      </c>
      <c r="P2485" s="149"/>
      <c r="Q2485" s="149"/>
      <c r="R2485" s="149">
        <f t="shared" si="798"/>
        <v>0</v>
      </c>
      <c r="S2485" s="150" t="e">
        <f t="shared" si="799"/>
        <v>#DIV/0!</v>
      </c>
      <c r="T2485" s="151" t="e">
        <f t="shared" si="800"/>
        <v>#DIV/0!</v>
      </c>
      <c r="U2485" s="150" t="e">
        <f t="shared" si="801"/>
        <v>#NUM!</v>
      </c>
      <c r="V2485" s="150" t="e">
        <f t="shared" si="802"/>
        <v>#DIV/0!</v>
      </c>
      <c r="W2485" s="152"/>
      <c r="X2485" s="152"/>
      <c r="Y2485" s="152"/>
      <c r="Z2485" s="153">
        <f t="shared" si="814"/>
        <v>0</v>
      </c>
      <c r="AA2485" s="148">
        <f t="shared" si="815"/>
        <v>0</v>
      </c>
      <c r="AB2485" s="149"/>
      <c r="AC2485" s="149"/>
      <c r="AD2485" s="150" t="e">
        <f t="shared" si="807"/>
        <v>#DIV/0!</v>
      </c>
      <c r="AE2485" s="154" t="e">
        <f t="shared" si="808"/>
        <v>#DIV/0!</v>
      </c>
      <c r="AF2485" s="150" t="e">
        <f t="shared" si="809"/>
        <v>#DIV/0!</v>
      </c>
      <c r="AG2485" s="150" t="e">
        <f t="shared" si="810"/>
        <v>#DIV/0!</v>
      </c>
      <c r="AH2485" s="155" t="e">
        <f t="shared" si="811"/>
        <v>#DIV/0!</v>
      </c>
      <c r="AI2485" s="156" t="e">
        <f t="shared" si="804"/>
        <v>#DIV/0!</v>
      </c>
      <c r="AJ2485" s="149"/>
      <c r="AK2485" s="149"/>
      <c r="AL2485" s="157"/>
      <c r="AM2485" s="157"/>
      <c r="AN2485" s="157"/>
      <c r="AO2485" s="157"/>
      <c r="AP2485" s="157"/>
      <c r="AQ2485" s="157"/>
      <c r="AR2485" s="157"/>
    </row>
    <row r="2486" spans="1:44" ht="16.8">
      <c r="A2486" s="145">
        <v>376</v>
      </c>
      <c r="B2486" s="145">
        <v>1164</v>
      </c>
      <c r="C2486" s="145" t="s">
        <v>4759</v>
      </c>
      <c r="D2486" s="146" t="s">
        <v>4760</v>
      </c>
      <c r="E2486" s="147" t="s">
        <v>178</v>
      </c>
      <c r="F2486" s="148"/>
      <c r="G2486" s="148"/>
      <c r="H2486" s="149"/>
      <c r="I2486" s="149"/>
      <c r="J2486" s="149"/>
      <c r="K2486" s="149"/>
      <c r="L2486" s="149"/>
      <c r="M2486" s="149">
        <f t="shared" si="790"/>
        <v>0</v>
      </c>
      <c r="N2486" s="149"/>
      <c r="O2486" s="149">
        <f t="shared" si="797"/>
        <v>0</v>
      </c>
      <c r="P2486" s="149"/>
      <c r="Q2486" s="149"/>
      <c r="R2486" s="149">
        <f t="shared" si="798"/>
        <v>0</v>
      </c>
      <c r="S2486" s="150" t="e">
        <f t="shared" si="799"/>
        <v>#DIV/0!</v>
      </c>
      <c r="T2486" s="151" t="e">
        <f t="shared" si="800"/>
        <v>#DIV/0!</v>
      </c>
      <c r="U2486" s="150" t="e">
        <f t="shared" si="801"/>
        <v>#NUM!</v>
      </c>
      <c r="V2486" s="150" t="e">
        <f t="shared" si="802"/>
        <v>#DIV/0!</v>
      </c>
      <c r="W2486" s="152"/>
      <c r="X2486" s="152"/>
      <c r="Y2486" s="152"/>
      <c r="Z2486" s="153">
        <f t="shared" si="814"/>
        <v>0</v>
      </c>
      <c r="AA2486" s="148">
        <f t="shared" si="815"/>
        <v>0</v>
      </c>
      <c r="AB2486" s="149"/>
      <c r="AC2486" s="149"/>
      <c r="AD2486" s="150" t="e">
        <f t="shared" si="807"/>
        <v>#DIV/0!</v>
      </c>
      <c r="AE2486" s="154" t="e">
        <f t="shared" si="808"/>
        <v>#DIV/0!</v>
      </c>
      <c r="AF2486" s="150" t="e">
        <f t="shared" si="809"/>
        <v>#DIV/0!</v>
      </c>
      <c r="AG2486" s="150" t="e">
        <f t="shared" si="810"/>
        <v>#DIV/0!</v>
      </c>
      <c r="AH2486" s="155" t="e">
        <f t="shared" si="811"/>
        <v>#DIV/0!</v>
      </c>
      <c r="AI2486" s="156" t="e">
        <f t="shared" si="804"/>
        <v>#DIV/0!</v>
      </c>
      <c r="AJ2486" s="149"/>
      <c r="AK2486" s="149"/>
      <c r="AL2486" s="157"/>
      <c r="AM2486" s="157"/>
      <c r="AN2486" s="157"/>
      <c r="AO2486" s="157"/>
      <c r="AP2486" s="157"/>
      <c r="AQ2486" s="157"/>
      <c r="AR2486" s="157"/>
    </row>
    <row r="2487" spans="1:44" ht="16.8">
      <c r="A2487" s="145">
        <v>377</v>
      </c>
      <c r="B2487" s="145">
        <v>1165</v>
      </c>
      <c r="C2487" s="145" t="s">
        <v>4761</v>
      </c>
      <c r="D2487" s="146" t="s">
        <v>4762</v>
      </c>
      <c r="E2487" s="147" t="s">
        <v>178</v>
      </c>
      <c r="F2487" s="148"/>
      <c r="G2487" s="148"/>
      <c r="H2487" s="149"/>
      <c r="I2487" s="149"/>
      <c r="J2487" s="149"/>
      <c r="K2487" s="149"/>
      <c r="L2487" s="149"/>
      <c r="M2487" s="149">
        <f t="shared" si="790"/>
        <v>0</v>
      </c>
      <c r="N2487" s="149"/>
      <c r="O2487" s="149">
        <f t="shared" si="797"/>
        <v>0</v>
      </c>
      <c r="P2487" s="149"/>
      <c r="Q2487" s="149"/>
      <c r="R2487" s="149">
        <f t="shared" si="798"/>
        <v>0</v>
      </c>
      <c r="S2487" s="150" t="e">
        <f t="shared" si="799"/>
        <v>#DIV/0!</v>
      </c>
      <c r="T2487" s="151" t="e">
        <f t="shared" si="800"/>
        <v>#DIV/0!</v>
      </c>
      <c r="U2487" s="150" t="e">
        <f t="shared" si="801"/>
        <v>#NUM!</v>
      </c>
      <c r="V2487" s="150" t="e">
        <f t="shared" si="802"/>
        <v>#DIV/0!</v>
      </c>
      <c r="W2487" s="152"/>
      <c r="X2487" s="152"/>
      <c r="Y2487" s="152"/>
      <c r="Z2487" s="153">
        <f t="shared" si="814"/>
        <v>0</v>
      </c>
      <c r="AA2487" s="148">
        <f t="shared" si="815"/>
        <v>0</v>
      </c>
      <c r="AB2487" s="149"/>
      <c r="AC2487" s="149"/>
      <c r="AD2487" s="150" t="e">
        <f t="shared" si="807"/>
        <v>#DIV/0!</v>
      </c>
      <c r="AE2487" s="154" t="e">
        <f t="shared" si="808"/>
        <v>#DIV/0!</v>
      </c>
      <c r="AF2487" s="150" t="e">
        <f t="shared" si="809"/>
        <v>#DIV/0!</v>
      </c>
      <c r="AG2487" s="150" t="e">
        <f t="shared" si="810"/>
        <v>#DIV/0!</v>
      </c>
      <c r="AH2487" s="155" t="e">
        <f t="shared" si="811"/>
        <v>#DIV/0!</v>
      </c>
      <c r="AI2487" s="156" t="e">
        <f t="shared" si="804"/>
        <v>#DIV/0!</v>
      </c>
      <c r="AJ2487" s="149"/>
      <c r="AK2487" s="149"/>
      <c r="AL2487" s="157"/>
      <c r="AM2487" s="157"/>
      <c r="AN2487" s="157"/>
      <c r="AO2487" s="157"/>
      <c r="AP2487" s="157"/>
      <c r="AQ2487" s="157"/>
      <c r="AR2487" s="157"/>
    </row>
    <row r="2488" spans="1:44" ht="16.8">
      <c r="A2488" s="145">
        <v>378</v>
      </c>
      <c r="B2488" s="145">
        <v>1166</v>
      </c>
      <c r="C2488" s="145" t="s">
        <v>4763</v>
      </c>
      <c r="D2488" s="146" t="s">
        <v>4764</v>
      </c>
      <c r="E2488" s="147" t="s">
        <v>1371</v>
      </c>
      <c r="F2488" s="148"/>
      <c r="G2488" s="148"/>
      <c r="H2488" s="149"/>
      <c r="I2488" s="149"/>
      <c r="J2488" s="149"/>
      <c r="K2488" s="149"/>
      <c r="L2488" s="149"/>
      <c r="M2488" s="149">
        <f t="shared" si="790"/>
        <v>0</v>
      </c>
      <c r="N2488" s="149"/>
      <c r="O2488" s="149">
        <f t="shared" si="797"/>
        <v>0</v>
      </c>
      <c r="P2488" s="149"/>
      <c r="Q2488" s="149"/>
      <c r="R2488" s="149">
        <f t="shared" si="798"/>
        <v>0</v>
      </c>
      <c r="S2488" s="150" t="e">
        <f t="shared" si="799"/>
        <v>#DIV/0!</v>
      </c>
      <c r="T2488" s="151" t="e">
        <f t="shared" si="800"/>
        <v>#DIV/0!</v>
      </c>
      <c r="U2488" s="150" t="e">
        <f t="shared" si="801"/>
        <v>#NUM!</v>
      </c>
      <c r="V2488" s="150" t="e">
        <f t="shared" si="802"/>
        <v>#DIV/0!</v>
      </c>
      <c r="W2488" s="152"/>
      <c r="X2488" s="152"/>
      <c r="Y2488" s="152"/>
      <c r="Z2488" s="153">
        <f t="shared" si="814"/>
        <v>0</v>
      </c>
      <c r="AA2488" s="148">
        <f t="shared" si="815"/>
        <v>0</v>
      </c>
      <c r="AB2488" s="149"/>
      <c r="AC2488" s="149"/>
      <c r="AD2488" s="150" t="e">
        <f t="shared" si="807"/>
        <v>#DIV/0!</v>
      </c>
      <c r="AE2488" s="154" t="e">
        <f t="shared" si="808"/>
        <v>#DIV/0!</v>
      </c>
      <c r="AF2488" s="150" t="e">
        <f t="shared" si="809"/>
        <v>#DIV/0!</v>
      </c>
      <c r="AG2488" s="150" t="e">
        <f t="shared" si="810"/>
        <v>#DIV/0!</v>
      </c>
      <c r="AH2488" s="155" t="e">
        <f t="shared" si="811"/>
        <v>#DIV/0!</v>
      </c>
      <c r="AI2488" s="156" t="e">
        <f t="shared" si="804"/>
        <v>#DIV/0!</v>
      </c>
      <c r="AJ2488" s="149"/>
      <c r="AK2488" s="149"/>
      <c r="AL2488" s="157"/>
      <c r="AM2488" s="157"/>
      <c r="AN2488" s="157"/>
      <c r="AO2488" s="157"/>
      <c r="AP2488" s="157"/>
      <c r="AQ2488" s="157"/>
      <c r="AR2488" s="157"/>
    </row>
    <row r="2489" spans="1:44" ht="16.8">
      <c r="A2489" s="70" t="s">
        <v>4765</v>
      </c>
      <c r="B2489" s="71">
        <v>1167</v>
      </c>
      <c r="C2489" s="71" t="s">
        <v>4766</v>
      </c>
      <c r="D2489" s="19" t="s">
        <v>4767</v>
      </c>
      <c r="E2489" s="20" t="s">
        <v>414</v>
      </c>
      <c r="F2489" s="21">
        <v>2014</v>
      </c>
      <c r="G2489" s="40">
        <v>2021</v>
      </c>
      <c r="H2489" s="23">
        <v>604217673475</v>
      </c>
      <c r="I2489" s="23">
        <v>938589049757</v>
      </c>
      <c r="J2489" s="23">
        <v>118298915066</v>
      </c>
      <c r="K2489" s="23">
        <f>AVERAGE(J2489,160452647300)</f>
        <v>139375781183</v>
      </c>
      <c r="L2489" s="23">
        <v>105557133880</v>
      </c>
      <c r="M2489" s="23">
        <f t="shared" si="790"/>
        <v>820290134691</v>
      </c>
      <c r="N2489" s="23">
        <v>488318545497</v>
      </c>
      <c r="O2489" s="25">
        <f t="shared" si="797"/>
        <v>498660539595</v>
      </c>
      <c r="P2489" s="23">
        <v>42232946730</v>
      </c>
      <c r="Q2489" s="23">
        <v>56953291391</v>
      </c>
      <c r="R2489" s="25">
        <f t="shared" si="798"/>
        <v>431365254106</v>
      </c>
      <c r="S2489" s="26">
        <f t="shared" si="799"/>
        <v>0.12603909570075156</v>
      </c>
      <c r="T2489" s="27">
        <f t="shared" si="800"/>
        <v>5.7240818433161493</v>
      </c>
      <c r="U2489" s="26">
        <f t="shared" si="801"/>
        <v>27.567643573668249</v>
      </c>
      <c r="V2489" s="26">
        <f t="shared" si="802"/>
        <v>3.5036111823175302</v>
      </c>
      <c r="W2489" s="23"/>
      <c r="X2489" s="23"/>
      <c r="Y2489" s="23"/>
      <c r="Z2489" s="30">
        <f t="shared" ref="Z2489:Z2491" si="816">X2489*Y2489</f>
        <v>0</v>
      </c>
      <c r="AA2489" s="31">
        <f t="shared" si="815"/>
        <v>7</v>
      </c>
      <c r="AB2489" s="32">
        <v>1.84E-2</v>
      </c>
      <c r="AC2489" s="32">
        <v>2.58E-2</v>
      </c>
      <c r="AD2489" s="33">
        <f t="shared" si="807"/>
        <v>0.5312874039219857</v>
      </c>
      <c r="AE2489" s="34">
        <f t="shared" si="808"/>
        <v>4.499620653035967E-2</v>
      </c>
      <c r="AF2489" s="33">
        <f t="shared" si="809"/>
        <v>0.45958905467486555</v>
      </c>
      <c r="AG2489" s="33">
        <f t="shared" si="810"/>
        <v>0</v>
      </c>
      <c r="AH2489" s="35">
        <f t="shared" si="811"/>
        <v>4.1278362123994361</v>
      </c>
      <c r="AI2489" s="36">
        <f t="shared" si="804"/>
        <v>6.3450196666753786</v>
      </c>
      <c r="AJ2489" s="23"/>
      <c r="AK2489" s="120">
        <v>1265</v>
      </c>
      <c r="AL2489" s="44"/>
      <c r="AM2489" s="44"/>
      <c r="AN2489" s="44"/>
      <c r="AO2489" s="44"/>
      <c r="AP2489" s="44"/>
      <c r="AQ2489" s="44"/>
      <c r="AR2489" s="44"/>
    </row>
    <row r="2490" spans="1:44" ht="16.8">
      <c r="A2490" s="70" t="s">
        <v>4768</v>
      </c>
      <c r="B2490" s="71"/>
      <c r="C2490" s="71" t="s">
        <v>4766</v>
      </c>
      <c r="D2490" s="19" t="s">
        <v>4767</v>
      </c>
      <c r="E2490" s="20" t="s">
        <v>414</v>
      </c>
      <c r="F2490" s="21">
        <v>2014</v>
      </c>
      <c r="G2490" s="40">
        <v>2022</v>
      </c>
      <c r="H2490" s="23">
        <v>838027266659</v>
      </c>
      <c r="I2490" s="23">
        <v>1076542733192</v>
      </c>
      <c r="J2490" s="23">
        <v>214635144911</v>
      </c>
      <c r="K2490" s="23">
        <f t="shared" ref="K2490:K2491" si="817">AVERAGE(J2489:J2490)</f>
        <v>166467029988.5</v>
      </c>
      <c r="L2490" s="23">
        <v>197207160313</v>
      </c>
      <c r="M2490" s="23">
        <f t="shared" si="790"/>
        <v>861907588281</v>
      </c>
      <c r="N2490" s="23">
        <v>995163223157</v>
      </c>
      <c r="O2490" s="25">
        <f t="shared" si="797"/>
        <v>640820106346</v>
      </c>
      <c r="P2490" s="23">
        <v>135865721042</v>
      </c>
      <c r="Q2490" s="23">
        <v>112334616961</v>
      </c>
      <c r="R2490" s="25">
        <f t="shared" si="798"/>
        <v>882828606196</v>
      </c>
      <c r="S2490" s="26">
        <f t="shared" si="799"/>
        <v>0.19937447747624162</v>
      </c>
      <c r="T2490" s="27">
        <f t="shared" si="800"/>
        <v>4.2494768715746112</v>
      </c>
      <c r="U2490" s="26">
        <f t="shared" si="801"/>
        <v>27.704775849379111</v>
      </c>
      <c r="V2490" s="26">
        <f t="shared" si="802"/>
        <v>5.9781400750992466</v>
      </c>
      <c r="W2490" s="23"/>
      <c r="X2490" s="23"/>
      <c r="Y2490" s="23"/>
      <c r="Z2490" s="30">
        <f t="shared" si="816"/>
        <v>0</v>
      </c>
      <c r="AA2490" s="31">
        <f t="shared" si="815"/>
        <v>8</v>
      </c>
      <c r="AB2490" s="32">
        <v>3.15E-2</v>
      </c>
      <c r="AC2490" s="32">
        <v>8.0199999999999994E-2</v>
      </c>
      <c r="AD2490" s="33">
        <f t="shared" si="807"/>
        <v>0.59525747245159344</v>
      </c>
      <c r="AE2490" s="34">
        <f t="shared" si="808"/>
        <v>0.12620559951127228</v>
      </c>
      <c r="AF2490" s="33">
        <f t="shared" si="809"/>
        <v>0.82005904547641273</v>
      </c>
      <c r="AG2490" s="33">
        <f t="shared" si="810"/>
        <v>0</v>
      </c>
      <c r="AH2490" s="35">
        <f t="shared" si="811"/>
        <v>4.6365343549382443</v>
      </c>
      <c r="AI2490" s="36">
        <f t="shared" si="804"/>
        <v>8.2337260112681001</v>
      </c>
      <c r="AJ2490" s="23"/>
      <c r="AK2490" s="120">
        <v>1266</v>
      </c>
      <c r="AL2490" s="44"/>
      <c r="AM2490" s="44"/>
      <c r="AN2490" s="44"/>
      <c r="AO2490" s="44"/>
      <c r="AP2490" s="44"/>
      <c r="AQ2490" s="44"/>
      <c r="AR2490" s="44"/>
    </row>
    <row r="2491" spans="1:44" ht="16.8">
      <c r="A2491" s="70" t="s">
        <v>4769</v>
      </c>
      <c r="B2491" s="71"/>
      <c r="C2491" s="71" t="s">
        <v>4766</v>
      </c>
      <c r="D2491" s="19" t="s">
        <v>4767</v>
      </c>
      <c r="E2491" s="20" t="s">
        <v>414</v>
      </c>
      <c r="F2491" s="21">
        <v>2014</v>
      </c>
      <c r="G2491" s="40">
        <v>2023</v>
      </c>
      <c r="H2491" s="23">
        <v>1057520529139</v>
      </c>
      <c r="I2491" s="23">
        <v>1289193128768</v>
      </c>
      <c r="J2491" s="23">
        <v>276872906801</v>
      </c>
      <c r="K2491" s="23">
        <f t="shared" si="817"/>
        <v>245754025856</v>
      </c>
      <c r="L2491" s="23">
        <v>257977026478</v>
      </c>
      <c r="M2491" s="23">
        <f t="shared" si="790"/>
        <v>1012320221967</v>
      </c>
      <c r="N2491" s="23">
        <v>1455650680216</v>
      </c>
      <c r="O2491" s="25">
        <f t="shared" si="797"/>
        <v>799543502661</v>
      </c>
      <c r="P2491" s="23">
        <v>241138310966</v>
      </c>
      <c r="Q2491" s="23">
        <v>201431609371</v>
      </c>
      <c r="R2491" s="25">
        <f t="shared" si="798"/>
        <v>1254219070845</v>
      </c>
      <c r="S2491" s="26">
        <f t="shared" si="799"/>
        <v>0.21476449154331892</v>
      </c>
      <c r="T2491" s="27">
        <f t="shared" si="800"/>
        <v>4.099281798758093</v>
      </c>
      <c r="U2491" s="26">
        <f t="shared" si="801"/>
        <v>27.885037657031727</v>
      </c>
      <c r="V2491" s="26">
        <f t="shared" si="802"/>
        <v>5.9232017670747785</v>
      </c>
      <c r="W2491" s="23"/>
      <c r="X2491" s="23"/>
      <c r="Y2491" s="23"/>
      <c r="Z2491" s="30">
        <f t="shared" si="816"/>
        <v>0</v>
      </c>
      <c r="AA2491" s="31">
        <f t="shared" si="815"/>
        <v>9</v>
      </c>
      <c r="AB2491" s="32">
        <v>3.2500000000000001E-2</v>
      </c>
      <c r="AC2491" s="32">
        <v>5.0500000000000003E-2</v>
      </c>
      <c r="AD2491" s="33">
        <f t="shared" si="807"/>
        <v>0.62018908169722631</v>
      </c>
      <c r="AE2491" s="34">
        <f t="shared" si="808"/>
        <v>0.18704591700425877</v>
      </c>
      <c r="AF2491" s="33">
        <f t="shared" si="809"/>
        <v>0.97287135872619601</v>
      </c>
      <c r="AG2491" s="33">
        <f t="shared" si="810"/>
        <v>0</v>
      </c>
      <c r="AH2491" s="35">
        <f t="shared" si="811"/>
        <v>5.2574688402510841</v>
      </c>
      <c r="AI2491" s="36">
        <f t="shared" si="804"/>
        <v>9.4740355058901642</v>
      </c>
      <c r="AJ2491" s="23"/>
      <c r="AK2491" s="120">
        <v>1267</v>
      </c>
      <c r="AL2491" s="44"/>
      <c r="AM2491" s="44"/>
      <c r="AN2491" s="44"/>
      <c r="AO2491" s="44"/>
      <c r="AP2491" s="44"/>
      <c r="AQ2491" s="44"/>
      <c r="AR2491" s="44"/>
    </row>
    <row r="2492" spans="1:44" ht="16.8">
      <c r="A2492" s="145">
        <v>380</v>
      </c>
      <c r="B2492" s="145">
        <v>1168</v>
      </c>
      <c r="C2492" s="145" t="s">
        <v>4770</v>
      </c>
      <c r="D2492" s="146" t="s">
        <v>4771</v>
      </c>
      <c r="E2492" s="147" t="s">
        <v>178</v>
      </c>
      <c r="F2492" s="148"/>
      <c r="G2492" s="148"/>
      <c r="H2492" s="149"/>
      <c r="I2492" s="149"/>
      <c r="J2492" s="149"/>
      <c r="K2492" s="149"/>
      <c r="L2492" s="149"/>
      <c r="M2492" s="149">
        <f t="shared" si="790"/>
        <v>0</v>
      </c>
      <c r="N2492" s="149"/>
      <c r="O2492" s="149">
        <f t="shared" si="797"/>
        <v>0</v>
      </c>
      <c r="P2492" s="149"/>
      <c r="Q2492" s="149"/>
      <c r="R2492" s="149">
        <f t="shared" si="798"/>
        <v>0</v>
      </c>
      <c r="S2492" s="150" t="e">
        <f t="shared" si="799"/>
        <v>#DIV/0!</v>
      </c>
      <c r="T2492" s="151" t="e">
        <f t="shared" si="800"/>
        <v>#DIV/0!</v>
      </c>
      <c r="U2492" s="150" t="e">
        <f t="shared" si="801"/>
        <v>#NUM!</v>
      </c>
      <c r="V2492" s="150" t="e">
        <f t="shared" si="802"/>
        <v>#DIV/0!</v>
      </c>
      <c r="W2492" s="152"/>
      <c r="X2492" s="152"/>
      <c r="Y2492" s="152"/>
      <c r="Z2492" s="153">
        <f>W2492*Y2492</f>
        <v>0</v>
      </c>
      <c r="AA2492" s="148">
        <f t="shared" si="815"/>
        <v>0</v>
      </c>
      <c r="AB2492" s="149"/>
      <c r="AC2492" s="149"/>
      <c r="AD2492" s="150" t="e">
        <f t="shared" si="807"/>
        <v>#DIV/0!</v>
      </c>
      <c r="AE2492" s="154" t="e">
        <f t="shared" si="808"/>
        <v>#DIV/0!</v>
      </c>
      <c r="AF2492" s="150" t="e">
        <f t="shared" si="809"/>
        <v>#DIV/0!</v>
      </c>
      <c r="AG2492" s="150" t="e">
        <f t="shared" si="810"/>
        <v>#DIV/0!</v>
      </c>
      <c r="AH2492" s="155" t="e">
        <f t="shared" si="811"/>
        <v>#DIV/0!</v>
      </c>
      <c r="AI2492" s="156" t="e">
        <f t="shared" si="804"/>
        <v>#DIV/0!</v>
      </c>
      <c r="AJ2492" s="149"/>
      <c r="AK2492" s="149"/>
      <c r="AL2492" s="157"/>
      <c r="AM2492" s="157"/>
      <c r="AN2492" s="157"/>
      <c r="AO2492" s="157"/>
      <c r="AP2492" s="157"/>
      <c r="AQ2492" s="157"/>
      <c r="AR2492" s="157"/>
    </row>
    <row r="2493" spans="1:44" ht="16.8">
      <c r="A2493" s="70" t="s">
        <v>4772</v>
      </c>
      <c r="B2493" s="71">
        <v>1169</v>
      </c>
      <c r="C2493" s="71" t="s">
        <v>4773</v>
      </c>
      <c r="D2493" s="19" t="s">
        <v>4774</v>
      </c>
      <c r="E2493" s="20" t="s">
        <v>414</v>
      </c>
      <c r="F2493" s="21">
        <v>1983</v>
      </c>
      <c r="G2493" s="40">
        <v>2021</v>
      </c>
      <c r="H2493" s="23">
        <v>1638901206529</v>
      </c>
      <c r="I2493" s="23">
        <v>1998570531145</v>
      </c>
      <c r="J2493" s="23">
        <v>1300968568978</v>
      </c>
      <c r="K2493" s="23">
        <f>AVERAGE(J2493,1211158363390)</f>
        <v>1256063466184</v>
      </c>
      <c r="L2493" s="23">
        <v>1040397198962</v>
      </c>
      <c r="M2493" s="23">
        <f t="shared" si="790"/>
        <v>697601962167</v>
      </c>
      <c r="N2493" s="23">
        <v>172807231561</v>
      </c>
      <c r="O2493" s="25">
        <f t="shared" si="797"/>
        <v>598504007567</v>
      </c>
      <c r="P2493" s="23">
        <v>46707985668</v>
      </c>
      <c r="Q2493" s="23">
        <v>37004617082</v>
      </c>
      <c r="R2493" s="25">
        <f t="shared" si="798"/>
        <v>135802614479</v>
      </c>
      <c r="S2493" s="26">
        <f t="shared" si="799"/>
        <v>0.65094954053618648</v>
      </c>
      <c r="T2493" s="27">
        <f t="shared" si="800"/>
        <v>1.5752649162878609</v>
      </c>
      <c r="U2493" s="26">
        <f t="shared" si="801"/>
        <v>28.323453306516573</v>
      </c>
      <c r="V2493" s="26">
        <f t="shared" si="802"/>
        <v>0.13757842355370725</v>
      </c>
      <c r="W2493" s="23"/>
      <c r="X2493" s="23"/>
      <c r="Y2493" s="23"/>
      <c r="Z2493" s="30">
        <f t="shared" ref="Z2493:Z2495" si="818">X2493*Y2493</f>
        <v>0</v>
      </c>
      <c r="AA2493" s="31">
        <f t="shared" si="815"/>
        <v>38</v>
      </c>
      <c r="AB2493" s="32">
        <v>1.84E-2</v>
      </c>
      <c r="AC2493" s="32">
        <v>2.58E-2</v>
      </c>
      <c r="AD2493" s="33">
        <f t="shared" si="807"/>
        <v>0.29946604247392328</v>
      </c>
      <c r="AE2493" s="34">
        <f t="shared" si="808"/>
        <v>2.3370696675508645E-2</v>
      </c>
      <c r="AF2493" s="33">
        <f t="shared" si="809"/>
        <v>6.7949873353329887E-2</v>
      </c>
      <c r="AG2493" s="33">
        <f t="shared" si="810"/>
        <v>0</v>
      </c>
      <c r="AH2493" s="35">
        <f t="shared" si="811"/>
        <v>0.13282967450685756</v>
      </c>
      <c r="AI2493" s="36">
        <f t="shared" si="804"/>
        <v>0.74914248288726615</v>
      </c>
      <c r="AJ2493" s="23"/>
      <c r="AK2493" s="120">
        <v>1268</v>
      </c>
      <c r="AL2493" s="44"/>
      <c r="AM2493" s="44"/>
      <c r="AN2493" s="44"/>
      <c r="AO2493" s="44"/>
      <c r="AP2493" s="44"/>
      <c r="AQ2493" s="44"/>
      <c r="AR2493" s="44"/>
    </row>
    <row r="2494" spans="1:44" ht="16.8">
      <c r="A2494" s="70" t="s">
        <v>4775</v>
      </c>
      <c r="B2494" s="71"/>
      <c r="C2494" s="71" t="s">
        <v>4773</v>
      </c>
      <c r="D2494" s="19" t="s">
        <v>4774</v>
      </c>
      <c r="E2494" s="20" t="s">
        <v>414</v>
      </c>
      <c r="F2494" s="21">
        <v>1983</v>
      </c>
      <c r="G2494" s="40">
        <v>2022</v>
      </c>
      <c r="H2494" s="23">
        <v>1508236473290</v>
      </c>
      <c r="I2494" s="23">
        <v>1999084698043</v>
      </c>
      <c r="J2494" s="23">
        <v>1119066546358</v>
      </c>
      <c r="K2494" s="23">
        <f t="shared" ref="K2494:K2495" si="819">AVERAGE(J2493:J2494)</f>
        <v>1210017557668</v>
      </c>
      <c r="L2494" s="23">
        <v>867950198702</v>
      </c>
      <c r="M2494" s="23">
        <f t="shared" si="790"/>
        <v>880018151685</v>
      </c>
      <c r="N2494" s="23">
        <v>655760353181</v>
      </c>
      <c r="O2494" s="25">
        <f t="shared" si="797"/>
        <v>640286274588</v>
      </c>
      <c r="P2494" s="23">
        <v>215976167246</v>
      </c>
      <c r="Q2494" s="23">
        <f>417680442+108288247954</f>
        <v>108705928396</v>
      </c>
      <c r="R2494" s="25">
        <f t="shared" si="798"/>
        <v>547054424785</v>
      </c>
      <c r="S2494" s="26">
        <f t="shared" si="799"/>
        <v>0.55978946137375174</v>
      </c>
      <c r="T2494" s="27">
        <f t="shared" si="800"/>
        <v>1.7376993237002927</v>
      </c>
      <c r="U2494" s="26">
        <f t="shared" si="801"/>
        <v>28.323710540755823</v>
      </c>
      <c r="V2494" s="26">
        <f t="shared" si="802"/>
        <v>0.54194284126323811</v>
      </c>
      <c r="W2494" s="23"/>
      <c r="X2494" s="23"/>
      <c r="Y2494" s="23"/>
      <c r="Z2494" s="30">
        <f t="shared" si="818"/>
        <v>0</v>
      </c>
      <c r="AA2494" s="31">
        <f t="shared" si="815"/>
        <v>39</v>
      </c>
      <c r="AB2494" s="32">
        <v>3.15E-2</v>
      </c>
      <c r="AC2494" s="32">
        <v>8.0199999999999994E-2</v>
      </c>
      <c r="AD2494" s="33">
        <f t="shared" si="807"/>
        <v>0.3202897181969363</v>
      </c>
      <c r="AE2494" s="34">
        <f t="shared" si="808"/>
        <v>0.1080375271029934</v>
      </c>
      <c r="AF2494" s="33">
        <f t="shared" si="809"/>
        <v>0.27365244970387592</v>
      </c>
      <c r="AG2494" s="33">
        <f t="shared" si="810"/>
        <v>0</v>
      </c>
      <c r="AH2494" s="35">
        <f t="shared" si="811"/>
        <v>0.58598870220468202</v>
      </c>
      <c r="AI2494" s="36">
        <f t="shared" si="804"/>
        <v>2.0246419860079867</v>
      </c>
      <c r="AJ2494" s="23"/>
      <c r="AK2494" s="120">
        <v>1269</v>
      </c>
      <c r="AL2494" s="44"/>
      <c r="AM2494" s="44"/>
      <c r="AN2494" s="44"/>
      <c r="AO2494" s="44"/>
      <c r="AP2494" s="44"/>
      <c r="AQ2494" s="44"/>
      <c r="AR2494" s="44"/>
    </row>
    <row r="2495" spans="1:44" ht="16.8">
      <c r="A2495" s="70" t="s">
        <v>4776</v>
      </c>
      <c r="B2495" s="71"/>
      <c r="C2495" s="71" t="s">
        <v>4773</v>
      </c>
      <c r="D2495" s="19" t="s">
        <v>4774</v>
      </c>
      <c r="E2495" s="20" t="s">
        <v>414</v>
      </c>
      <c r="F2495" s="21">
        <v>1983</v>
      </c>
      <c r="G2495" s="40">
        <v>2023</v>
      </c>
      <c r="H2495" s="23">
        <v>1524808803588</v>
      </c>
      <c r="I2495" s="23">
        <v>2047845740830</v>
      </c>
      <c r="J2495" s="23">
        <v>1129569248637</v>
      </c>
      <c r="K2495" s="23">
        <f t="shared" si="819"/>
        <v>1124317897497.5</v>
      </c>
      <c r="L2495" s="23">
        <v>825615722652</v>
      </c>
      <c r="M2495" s="23">
        <f t="shared" si="790"/>
        <v>918276492193</v>
      </c>
      <c r="N2495" s="23">
        <v>99164951899</v>
      </c>
      <c r="O2495" s="25">
        <f t="shared" si="797"/>
        <v>699193080936</v>
      </c>
      <c r="P2495" s="23">
        <v>103074050589</v>
      </c>
      <c r="Q2495" s="23">
        <f>325833190+35888275498</f>
        <v>36214108688</v>
      </c>
      <c r="R2495" s="25">
        <f t="shared" si="798"/>
        <v>62950843211</v>
      </c>
      <c r="S2495" s="26">
        <f t="shared" si="799"/>
        <v>0.55158903139802962</v>
      </c>
      <c r="T2495" s="27">
        <f t="shared" si="800"/>
        <v>1.8468747163511958</v>
      </c>
      <c r="U2495" s="26">
        <f t="shared" si="801"/>
        <v>28.347809498408623</v>
      </c>
      <c r="V2495" s="26">
        <f t="shared" si="802"/>
        <v>8.8200100807539178E-2</v>
      </c>
      <c r="W2495" s="23"/>
      <c r="X2495" s="23"/>
      <c r="Y2495" s="23"/>
      <c r="Z2495" s="30">
        <f t="shared" si="818"/>
        <v>0</v>
      </c>
      <c r="AA2495" s="31">
        <f t="shared" si="815"/>
        <v>40</v>
      </c>
      <c r="AB2495" s="32">
        <v>3.2500000000000001E-2</v>
      </c>
      <c r="AC2495" s="32">
        <v>5.0500000000000003E-2</v>
      </c>
      <c r="AD2495" s="33">
        <f t="shared" si="807"/>
        <v>0.34142858858725084</v>
      </c>
      <c r="AE2495" s="34">
        <f t="shared" si="808"/>
        <v>5.0332917433138141E-2</v>
      </c>
      <c r="AF2495" s="33">
        <f t="shared" si="809"/>
        <v>3.074003180800414E-2</v>
      </c>
      <c r="AG2495" s="33">
        <f t="shared" si="810"/>
        <v>0</v>
      </c>
      <c r="AH2495" s="35">
        <f t="shared" si="811"/>
        <v>8.7790059811435062E-2</v>
      </c>
      <c r="AI2495" s="36">
        <f t="shared" si="804"/>
        <v>0.66941255548894318</v>
      </c>
      <c r="AJ2495" s="23"/>
      <c r="AK2495" s="120">
        <v>1270</v>
      </c>
      <c r="AL2495" s="44"/>
      <c r="AM2495" s="44"/>
      <c r="AN2495" s="44"/>
      <c r="AO2495" s="44"/>
      <c r="AP2495" s="44"/>
      <c r="AQ2495" s="44"/>
      <c r="AR2495" s="44"/>
    </row>
    <row r="2496" spans="1:44" ht="16.8">
      <c r="A2496" s="145">
        <v>382</v>
      </c>
      <c r="B2496" s="145">
        <v>1170</v>
      </c>
      <c r="C2496" s="145" t="s">
        <v>4777</v>
      </c>
      <c r="D2496" s="146" t="s">
        <v>4778</v>
      </c>
      <c r="E2496" s="147" t="s">
        <v>178</v>
      </c>
      <c r="F2496" s="148"/>
      <c r="G2496" s="148"/>
      <c r="H2496" s="149"/>
      <c r="I2496" s="149"/>
      <c r="J2496" s="149"/>
      <c r="K2496" s="149"/>
      <c r="L2496" s="149"/>
      <c r="M2496" s="149">
        <f t="shared" si="790"/>
        <v>0</v>
      </c>
      <c r="N2496" s="149"/>
      <c r="O2496" s="149">
        <f t="shared" si="797"/>
        <v>0</v>
      </c>
      <c r="P2496" s="149"/>
      <c r="Q2496" s="149"/>
      <c r="R2496" s="149">
        <f t="shared" si="798"/>
        <v>0</v>
      </c>
      <c r="S2496" s="150" t="e">
        <f t="shared" si="799"/>
        <v>#DIV/0!</v>
      </c>
      <c r="T2496" s="151" t="e">
        <f t="shared" si="800"/>
        <v>#DIV/0!</v>
      </c>
      <c r="U2496" s="150" t="e">
        <f t="shared" si="801"/>
        <v>#NUM!</v>
      </c>
      <c r="V2496" s="150" t="e">
        <f t="shared" si="802"/>
        <v>#DIV/0!</v>
      </c>
      <c r="W2496" s="152"/>
      <c r="X2496" s="152"/>
      <c r="Y2496" s="152"/>
      <c r="Z2496" s="153">
        <f t="shared" ref="Z2496:Z2502" si="820">W2496*Y2496</f>
        <v>0</v>
      </c>
      <c r="AA2496" s="148">
        <f t="shared" si="815"/>
        <v>0</v>
      </c>
      <c r="AB2496" s="149"/>
      <c r="AC2496" s="149"/>
      <c r="AD2496" s="150" t="e">
        <f t="shared" si="807"/>
        <v>#DIV/0!</v>
      </c>
      <c r="AE2496" s="154" t="e">
        <f t="shared" si="808"/>
        <v>#DIV/0!</v>
      </c>
      <c r="AF2496" s="150" t="e">
        <f t="shared" si="809"/>
        <v>#DIV/0!</v>
      </c>
      <c r="AG2496" s="150" t="e">
        <f t="shared" si="810"/>
        <v>#DIV/0!</v>
      </c>
      <c r="AH2496" s="155" t="e">
        <f t="shared" si="811"/>
        <v>#DIV/0!</v>
      </c>
      <c r="AI2496" s="156" t="e">
        <f t="shared" si="804"/>
        <v>#DIV/0!</v>
      </c>
      <c r="AJ2496" s="149"/>
      <c r="AK2496" s="149"/>
      <c r="AL2496" s="157"/>
      <c r="AM2496" s="157"/>
      <c r="AN2496" s="157"/>
      <c r="AO2496" s="157"/>
      <c r="AP2496" s="157"/>
      <c r="AQ2496" s="157"/>
      <c r="AR2496" s="157"/>
    </row>
    <row r="2497" spans="1:44" ht="16.8">
      <c r="A2497" s="145">
        <v>383</v>
      </c>
      <c r="B2497" s="145">
        <v>1171</v>
      </c>
      <c r="C2497" s="145" t="s">
        <v>4779</v>
      </c>
      <c r="D2497" s="146" t="s">
        <v>4780</v>
      </c>
      <c r="E2497" s="147" t="s">
        <v>178</v>
      </c>
      <c r="F2497" s="148"/>
      <c r="G2497" s="148"/>
      <c r="H2497" s="149"/>
      <c r="I2497" s="149"/>
      <c r="J2497" s="149"/>
      <c r="K2497" s="149"/>
      <c r="L2497" s="149"/>
      <c r="M2497" s="149">
        <f t="shared" si="790"/>
        <v>0</v>
      </c>
      <c r="N2497" s="149"/>
      <c r="O2497" s="149">
        <f t="shared" si="797"/>
        <v>0</v>
      </c>
      <c r="P2497" s="149"/>
      <c r="Q2497" s="149"/>
      <c r="R2497" s="149">
        <f t="shared" si="798"/>
        <v>0</v>
      </c>
      <c r="S2497" s="150" t="e">
        <f t="shared" si="799"/>
        <v>#DIV/0!</v>
      </c>
      <c r="T2497" s="151" t="e">
        <f t="shared" si="800"/>
        <v>#DIV/0!</v>
      </c>
      <c r="U2497" s="150" t="e">
        <f t="shared" si="801"/>
        <v>#NUM!</v>
      </c>
      <c r="V2497" s="150" t="e">
        <f t="shared" si="802"/>
        <v>#DIV/0!</v>
      </c>
      <c r="W2497" s="152"/>
      <c r="X2497" s="152"/>
      <c r="Y2497" s="152"/>
      <c r="Z2497" s="153">
        <f t="shared" si="820"/>
        <v>0</v>
      </c>
      <c r="AA2497" s="148">
        <f t="shared" si="815"/>
        <v>0</v>
      </c>
      <c r="AB2497" s="149"/>
      <c r="AC2497" s="149"/>
      <c r="AD2497" s="150" t="e">
        <f t="shared" si="807"/>
        <v>#DIV/0!</v>
      </c>
      <c r="AE2497" s="154" t="e">
        <f t="shared" si="808"/>
        <v>#DIV/0!</v>
      </c>
      <c r="AF2497" s="150" t="e">
        <f t="shared" si="809"/>
        <v>#DIV/0!</v>
      </c>
      <c r="AG2497" s="150" t="e">
        <f t="shared" si="810"/>
        <v>#DIV/0!</v>
      </c>
      <c r="AH2497" s="155" t="e">
        <f t="shared" si="811"/>
        <v>#DIV/0!</v>
      </c>
      <c r="AI2497" s="156" t="e">
        <f t="shared" si="804"/>
        <v>#DIV/0!</v>
      </c>
      <c r="AJ2497" s="149"/>
      <c r="AK2497" s="149"/>
      <c r="AL2497" s="157"/>
      <c r="AM2497" s="157"/>
      <c r="AN2497" s="157"/>
      <c r="AO2497" s="157"/>
      <c r="AP2497" s="157"/>
      <c r="AQ2497" s="157"/>
      <c r="AR2497" s="157"/>
    </row>
    <row r="2498" spans="1:44" ht="16.8">
      <c r="A2498" s="145">
        <v>384</v>
      </c>
      <c r="B2498" s="145">
        <v>1172</v>
      </c>
      <c r="C2498" s="145" t="s">
        <v>4781</v>
      </c>
      <c r="D2498" s="146" t="s">
        <v>4782</v>
      </c>
      <c r="E2498" s="147" t="s">
        <v>1371</v>
      </c>
      <c r="F2498" s="148"/>
      <c r="G2498" s="148"/>
      <c r="H2498" s="149"/>
      <c r="I2498" s="149"/>
      <c r="J2498" s="149"/>
      <c r="K2498" s="149"/>
      <c r="L2498" s="149"/>
      <c r="M2498" s="149">
        <f t="shared" si="790"/>
        <v>0</v>
      </c>
      <c r="N2498" s="149"/>
      <c r="O2498" s="149">
        <f t="shared" si="797"/>
        <v>0</v>
      </c>
      <c r="P2498" s="149"/>
      <c r="Q2498" s="149"/>
      <c r="R2498" s="149">
        <f t="shared" si="798"/>
        <v>0</v>
      </c>
      <c r="S2498" s="150" t="e">
        <f t="shared" si="799"/>
        <v>#DIV/0!</v>
      </c>
      <c r="T2498" s="151" t="e">
        <f t="shared" si="800"/>
        <v>#DIV/0!</v>
      </c>
      <c r="U2498" s="150" t="e">
        <f t="shared" si="801"/>
        <v>#NUM!</v>
      </c>
      <c r="V2498" s="150" t="e">
        <f t="shared" si="802"/>
        <v>#DIV/0!</v>
      </c>
      <c r="W2498" s="152"/>
      <c r="X2498" s="152"/>
      <c r="Y2498" s="152"/>
      <c r="Z2498" s="153">
        <f t="shared" si="820"/>
        <v>0</v>
      </c>
      <c r="AA2498" s="148">
        <f t="shared" si="815"/>
        <v>0</v>
      </c>
      <c r="AB2498" s="149"/>
      <c r="AC2498" s="149"/>
      <c r="AD2498" s="150" t="e">
        <f t="shared" si="807"/>
        <v>#DIV/0!</v>
      </c>
      <c r="AE2498" s="154" t="e">
        <f t="shared" si="808"/>
        <v>#DIV/0!</v>
      </c>
      <c r="AF2498" s="150" t="e">
        <f t="shared" si="809"/>
        <v>#DIV/0!</v>
      </c>
      <c r="AG2498" s="150" t="e">
        <f t="shared" si="810"/>
        <v>#DIV/0!</v>
      </c>
      <c r="AH2498" s="155" t="e">
        <f t="shared" si="811"/>
        <v>#DIV/0!</v>
      </c>
      <c r="AI2498" s="156" t="e">
        <f t="shared" si="804"/>
        <v>#DIV/0!</v>
      </c>
      <c r="AJ2498" s="149"/>
      <c r="AK2498" s="149"/>
      <c r="AL2498" s="157"/>
      <c r="AM2498" s="157"/>
      <c r="AN2498" s="157"/>
      <c r="AO2498" s="157"/>
      <c r="AP2498" s="157"/>
      <c r="AQ2498" s="157"/>
      <c r="AR2498" s="157"/>
    </row>
    <row r="2499" spans="1:44" ht="16.8">
      <c r="A2499" s="145">
        <v>385</v>
      </c>
      <c r="B2499" s="145">
        <v>1173</v>
      </c>
      <c r="C2499" s="145" t="s">
        <v>4783</v>
      </c>
      <c r="D2499" s="146" t="s">
        <v>4784</v>
      </c>
      <c r="E2499" s="147" t="s">
        <v>1371</v>
      </c>
      <c r="F2499" s="148"/>
      <c r="G2499" s="148"/>
      <c r="H2499" s="149"/>
      <c r="I2499" s="149"/>
      <c r="J2499" s="149"/>
      <c r="K2499" s="149"/>
      <c r="L2499" s="149"/>
      <c r="M2499" s="149">
        <f t="shared" ref="M2499:M2643" si="821">I2499-J2499</f>
        <v>0</v>
      </c>
      <c r="N2499" s="149"/>
      <c r="O2499" s="149">
        <f t="shared" si="797"/>
        <v>0</v>
      </c>
      <c r="P2499" s="149"/>
      <c r="Q2499" s="149"/>
      <c r="R2499" s="149">
        <f t="shared" si="798"/>
        <v>0</v>
      </c>
      <c r="S2499" s="150" t="e">
        <f t="shared" si="799"/>
        <v>#DIV/0!</v>
      </c>
      <c r="T2499" s="151" t="e">
        <f t="shared" si="800"/>
        <v>#DIV/0!</v>
      </c>
      <c r="U2499" s="150" t="e">
        <f t="shared" si="801"/>
        <v>#NUM!</v>
      </c>
      <c r="V2499" s="150" t="e">
        <f t="shared" si="802"/>
        <v>#DIV/0!</v>
      </c>
      <c r="W2499" s="152"/>
      <c r="X2499" s="152"/>
      <c r="Y2499" s="152"/>
      <c r="Z2499" s="153">
        <f t="shared" si="820"/>
        <v>0</v>
      </c>
      <c r="AA2499" s="148">
        <f t="shared" si="815"/>
        <v>0</v>
      </c>
      <c r="AB2499" s="149"/>
      <c r="AC2499" s="149"/>
      <c r="AD2499" s="150" t="e">
        <f t="shared" si="807"/>
        <v>#DIV/0!</v>
      </c>
      <c r="AE2499" s="154" t="e">
        <f t="shared" si="808"/>
        <v>#DIV/0!</v>
      </c>
      <c r="AF2499" s="150" t="e">
        <f t="shared" si="809"/>
        <v>#DIV/0!</v>
      </c>
      <c r="AG2499" s="150" t="e">
        <f t="shared" si="810"/>
        <v>#DIV/0!</v>
      </c>
      <c r="AH2499" s="155" t="e">
        <f t="shared" si="811"/>
        <v>#DIV/0!</v>
      </c>
      <c r="AI2499" s="156" t="e">
        <f t="shared" si="804"/>
        <v>#DIV/0!</v>
      </c>
      <c r="AJ2499" s="149"/>
      <c r="AK2499" s="149"/>
      <c r="AL2499" s="157"/>
      <c r="AM2499" s="157"/>
      <c r="AN2499" s="157"/>
      <c r="AO2499" s="157"/>
      <c r="AP2499" s="157"/>
      <c r="AQ2499" s="157"/>
      <c r="AR2499" s="157"/>
    </row>
    <row r="2500" spans="1:44" ht="16.8">
      <c r="A2500" s="145">
        <v>386</v>
      </c>
      <c r="B2500" s="145">
        <v>1174</v>
      </c>
      <c r="C2500" s="145" t="s">
        <v>4785</v>
      </c>
      <c r="D2500" s="146" t="s">
        <v>4786</v>
      </c>
      <c r="E2500" s="147" t="s">
        <v>178</v>
      </c>
      <c r="F2500" s="148"/>
      <c r="G2500" s="148"/>
      <c r="H2500" s="149"/>
      <c r="I2500" s="149"/>
      <c r="J2500" s="149"/>
      <c r="K2500" s="149"/>
      <c r="L2500" s="149"/>
      <c r="M2500" s="149">
        <f t="shared" si="821"/>
        <v>0</v>
      </c>
      <c r="N2500" s="149"/>
      <c r="O2500" s="149">
        <f t="shared" si="797"/>
        <v>0</v>
      </c>
      <c r="P2500" s="149"/>
      <c r="Q2500" s="149"/>
      <c r="R2500" s="149">
        <f t="shared" si="798"/>
        <v>0</v>
      </c>
      <c r="S2500" s="150" t="e">
        <f t="shared" si="799"/>
        <v>#DIV/0!</v>
      </c>
      <c r="T2500" s="151" t="e">
        <f t="shared" si="800"/>
        <v>#DIV/0!</v>
      </c>
      <c r="U2500" s="150" t="e">
        <f t="shared" si="801"/>
        <v>#NUM!</v>
      </c>
      <c r="V2500" s="150" t="e">
        <f t="shared" si="802"/>
        <v>#DIV/0!</v>
      </c>
      <c r="W2500" s="152"/>
      <c r="X2500" s="152"/>
      <c r="Y2500" s="152"/>
      <c r="Z2500" s="153">
        <f t="shared" si="820"/>
        <v>0</v>
      </c>
      <c r="AA2500" s="148">
        <f t="shared" si="815"/>
        <v>0</v>
      </c>
      <c r="AB2500" s="149"/>
      <c r="AC2500" s="149"/>
      <c r="AD2500" s="150" t="e">
        <f t="shared" si="807"/>
        <v>#DIV/0!</v>
      </c>
      <c r="AE2500" s="154" t="e">
        <f t="shared" si="808"/>
        <v>#DIV/0!</v>
      </c>
      <c r="AF2500" s="150" t="e">
        <f t="shared" si="809"/>
        <v>#DIV/0!</v>
      </c>
      <c r="AG2500" s="150" t="e">
        <f t="shared" si="810"/>
        <v>#DIV/0!</v>
      </c>
      <c r="AH2500" s="155" t="e">
        <f t="shared" si="811"/>
        <v>#DIV/0!</v>
      </c>
      <c r="AI2500" s="156" t="e">
        <f t="shared" si="804"/>
        <v>#DIV/0!</v>
      </c>
      <c r="AJ2500" s="149"/>
      <c r="AK2500" s="149"/>
      <c r="AL2500" s="157"/>
      <c r="AM2500" s="157"/>
      <c r="AN2500" s="157"/>
      <c r="AO2500" s="157"/>
      <c r="AP2500" s="157"/>
      <c r="AQ2500" s="157"/>
      <c r="AR2500" s="157"/>
    </row>
    <row r="2501" spans="1:44" ht="16.8">
      <c r="A2501" s="145">
        <v>387</v>
      </c>
      <c r="B2501" s="145">
        <v>1175</v>
      </c>
      <c r="C2501" s="145" t="s">
        <v>4787</v>
      </c>
      <c r="D2501" s="146" t="s">
        <v>4788</v>
      </c>
      <c r="E2501" s="147" t="s">
        <v>178</v>
      </c>
      <c r="F2501" s="148"/>
      <c r="G2501" s="148"/>
      <c r="H2501" s="149"/>
      <c r="I2501" s="149"/>
      <c r="J2501" s="149"/>
      <c r="K2501" s="149"/>
      <c r="L2501" s="149"/>
      <c r="M2501" s="149">
        <f t="shared" si="821"/>
        <v>0</v>
      </c>
      <c r="N2501" s="149"/>
      <c r="O2501" s="149">
        <f t="shared" si="797"/>
        <v>0</v>
      </c>
      <c r="P2501" s="149"/>
      <c r="Q2501" s="149"/>
      <c r="R2501" s="149">
        <f t="shared" si="798"/>
        <v>0</v>
      </c>
      <c r="S2501" s="150" t="e">
        <f t="shared" si="799"/>
        <v>#DIV/0!</v>
      </c>
      <c r="T2501" s="151" t="e">
        <f t="shared" si="800"/>
        <v>#DIV/0!</v>
      </c>
      <c r="U2501" s="150" t="e">
        <f t="shared" si="801"/>
        <v>#NUM!</v>
      </c>
      <c r="V2501" s="150" t="e">
        <f t="shared" si="802"/>
        <v>#DIV/0!</v>
      </c>
      <c r="W2501" s="152"/>
      <c r="X2501" s="152"/>
      <c r="Y2501" s="152"/>
      <c r="Z2501" s="153">
        <f t="shared" si="820"/>
        <v>0</v>
      </c>
      <c r="AA2501" s="148">
        <f t="shared" si="815"/>
        <v>0</v>
      </c>
      <c r="AB2501" s="149"/>
      <c r="AC2501" s="149"/>
      <c r="AD2501" s="150" t="e">
        <f t="shared" si="807"/>
        <v>#DIV/0!</v>
      </c>
      <c r="AE2501" s="154" t="e">
        <f t="shared" si="808"/>
        <v>#DIV/0!</v>
      </c>
      <c r="AF2501" s="150" t="e">
        <f t="shared" si="809"/>
        <v>#DIV/0!</v>
      </c>
      <c r="AG2501" s="150" t="e">
        <f t="shared" si="810"/>
        <v>#DIV/0!</v>
      </c>
      <c r="AH2501" s="155" t="e">
        <f t="shared" si="811"/>
        <v>#DIV/0!</v>
      </c>
      <c r="AI2501" s="156" t="e">
        <f t="shared" si="804"/>
        <v>#DIV/0!</v>
      </c>
      <c r="AJ2501" s="149"/>
      <c r="AK2501" s="149"/>
      <c r="AL2501" s="157"/>
      <c r="AM2501" s="157"/>
      <c r="AN2501" s="157"/>
      <c r="AO2501" s="157"/>
      <c r="AP2501" s="157"/>
      <c r="AQ2501" s="157"/>
      <c r="AR2501" s="157"/>
    </row>
    <row r="2502" spans="1:44" ht="16.8">
      <c r="A2502" s="145">
        <v>388</v>
      </c>
      <c r="B2502" s="145">
        <v>1176</v>
      </c>
      <c r="C2502" s="145" t="s">
        <v>4789</v>
      </c>
      <c r="D2502" s="146" t="s">
        <v>4790</v>
      </c>
      <c r="E2502" s="147" t="s">
        <v>1371</v>
      </c>
      <c r="F2502" s="148"/>
      <c r="G2502" s="148"/>
      <c r="H2502" s="149"/>
      <c r="I2502" s="149"/>
      <c r="J2502" s="149"/>
      <c r="K2502" s="149"/>
      <c r="L2502" s="149"/>
      <c r="M2502" s="149">
        <f t="shared" si="821"/>
        <v>0</v>
      </c>
      <c r="N2502" s="149"/>
      <c r="O2502" s="149">
        <f t="shared" si="797"/>
        <v>0</v>
      </c>
      <c r="P2502" s="149"/>
      <c r="Q2502" s="149"/>
      <c r="R2502" s="149">
        <f t="shared" si="798"/>
        <v>0</v>
      </c>
      <c r="S2502" s="150" t="e">
        <f t="shared" si="799"/>
        <v>#DIV/0!</v>
      </c>
      <c r="T2502" s="151" t="e">
        <f t="shared" si="800"/>
        <v>#DIV/0!</v>
      </c>
      <c r="U2502" s="150" t="e">
        <f t="shared" si="801"/>
        <v>#NUM!</v>
      </c>
      <c r="V2502" s="150" t="e">
        <f t="shared" si="802"/>
        <v>#DIV/0!</v>
      </c>
      <c r="W2502" s="152"/>
      <c r="X2502" s="152"/>
      <c r="Y2502" s="152"/>
      <c r="Z2502" s="153">
        <f t="shared" si="820"/>
        <v>0</v>
      </c>
      <c r="AA2502" s="148">
        <f t="shared" si="815"/>
        <v>0</v>
      </c>
      <c r="AB2502" s="149"/>
      <c r="AC2502" s="149"/>
      <c r="AD2502" s="150" t="e">
        <f t="shared" si="807"/>
        <v>#DIV/0!</v>
      </c>
      <c r="AE2502" s="154" t="e">
        <f t="shared" si="808"/>
        <v>#DIV/0!</v>
      </c>
      <c r="AF2502" s="150" t="e">
        <f t="shared" si="809"/>
        <v>#DIV/0!</v>
      </c>
      <c r="AG2502" s="150" t="e">
        <f t="shared" si="810"/>
        <v>#DIV/0!</v>
      </c>
      <c r="AH2502" s="155" t="e">
        <f t="shared" si="811"/>
        <v>#DIV/0!</v>
      </c>
      <c r="AI2502" s="156" t="e">
        <f t="shared" si="804"/>
        <v>#DIV/0!</v>
      </c>
      <c r="AJ2502" s="149"/>
      <c r="AK2502" s="149"/>
      <c r="AL2502" s="157"/>
      <c r="AM2502" s="157"/>
      <c r="AN2502" s="157"/>
      <c r="AO2502" s="157"/>
      <c r="AP2502" s="157"/>
      <c r="AQ2502" s="157"/>
      <c r="AR2502" s="157"/>
    </row>
    <row r="2503" spans="1:44" ht="16.8">
      <c r="A2503" s="70" t="s">
        <v>4791</v>
      </c>
      <c r="B2503" s="71">
        <v>1177</v>
      </c>
      <c r="C2503" s="71" t="s">
        <v>4792</v>
      </c>
      <c r="D2503" s="19" t="s">
        <v>4793</v>
      </c>
      <c r="E2503" s="20" t="s">
        <v>414</v>
      </c>
      <c r="F2503" s="21">
        <v>2008</v>
      </c>
      <c r="G2503" s="40">
        <v>2021</v>
      </c>
      <c r="H2503" s="23">
        <v>490517309339</v>
      </c>
      <c r="I2503" s="23">
        <v>937098351202</v>
      </c>
      <c r="J2503" s="23">
        <v>383004502715</v>
      </c>
      <c r="K2503" s="23">
        <f>AVERAGE(J2503,308831407519)</f>
        <v>345917955117</v>
      </c>
      <c r="L2503" s="23">
        <v>357002711814</v>
      </c>
      <c r="M2503" s="23">
        <f t="shared" si="821"/>
        <v>554093848487</v>
      </c>
      <c r="N2503" s="23">
        <v>1191308836374</v>
      </c>
      <c r="O2503" s="25">
        <f t="shared" si="797"/>
        <v>133514597525</v>
      </c>
      <c r="P2503" s="23">
        <v>158689173658</v>
      </c>
      <c r="Q2503" s="23">
        <f>53629969483+70412715383</f>
        <v>124042684866</v>
      </c>
      <c r="R2503" s="25">
        <f t="shared" si="798"/>
        <v>1067266151508</v>
      </c>
      <c r="S2503" s="26">
        <f t="shared" si="799"/>
        <v>0.40871323935606835</v>
      </c>
      <c r="T2503" s="27">
        <f t="shared" si="800"/>
        <v>1.3739876284036792</v>
      </c>
      <c r="U2503" s="26">
        <f t="shared" si="801"/>
        <v>27.566054077606069</v>
      </c>
      <c r="V2503" s="26">
        <f t="shared" si="802"/>
        <v>3.4439057549674259</v>
      </c>
      <c r="W2503" s="23"/>
      <c r="X2503" s="23"/>
      <c r="Y2503" s="23"/>
      <c r="Z2503" s="30">
        <f t="shared" ref="Z2503:Z2505" si="822">X2503*Y2503</f>
        <v>0</v>
      </c>
      <c r="AA2503" s="31">
        <f t="shared" si="815"/>
        <v>13</v>
      </c>
      <c r="AB2503" s="32">
        <v>1.84E-2</v>
      </c>
      <c r="AC2503" s="32">
        <v>2.58E-2</v>
      </c>
      <c r="AD2503" s="33">
        <f t="shared" si="807"/>
        <v>0.14247661129031239</v>
      </c>
      <c r="AE2503" s="34">
        <f t="shared" si="808"/>
        <v>0.16934100188571682</v>
      </c>
      <c r="AF2503" s="33">
        <f t="shared" si="809"/>
        <v>1.1389051641581014</v>
      </c>
      <c r="AG2503" s="33">
        <f t="shared" si="810"/>
        <v>0</v>
      </c>
      <c r="AH2503" s="35">
        <f t="shared" si="811"/>
        <v>3.1104303681266972</v>
      </c>
      <c r="AI2503" s="36">
        <f t="shared" si="804"/>
        <v>7.2768667460368102</v>
      </c>
      <c r="AJ2503" s="23"/>
      <c r="AK2503" s="120">
        <v>1271</v>
      </c>
      <c r="AL2503" s="44"/>
      <c r="AM2503" s="44"/>
      <c r="AN2503" s="44"/>
      <c r="AO2503" s="44"/>
      <c r="AP2503" s="44"/>
      <c r="AQ2503" s="44"/>
      <c r="AR2503" s="44"/>
    </row>
    <row r="2504" spans="1:44" ht="16.8">
      <c r="A2504" s="70" t="s">
        <v>4794</v>
      </c>
      <c r="B2504" s="71"/>
      <c r="C2504" s="71" t="s">
        <v>4792</v>
      </c>
      <c r="D2504" s="19" t="s">
        <v>4793</v>
      </c>
      <c r="E2504" s="20" t="s">
        <v>414</v>
      </c>
      <c r="F2504" s="21">
        <v>2008</v>
      </c>
      <c r="G2504" s="40">
        <v>2022</v>
      </c>
      <c r="H2504" s="23">
        <v>560694365457</v>
      </c>
      <c r="I2504" s="23">
        <v>978496121183</v>
      </c>
      <c r="J2504" s="23">
        <v>371804416662</v>
      </c>
      <c r="K2504" s="23">
        <f t="shared" ref="K2504:K2505" si="823">AVERAGE(J2503:J2504)</f>
        <v>377404459688.5</v>
      </c>
      <c r="L2504" s="23">
        <v>346109516829</v>
      </c>
      <c r="M2504" s="23">
        <f t="shared" si="821"/>
        <v>606691704521</v>
      </c>
      <c r="N2504" s="23">
        <v>1387352461073</v>
      </c>
      <c r="O2504" s="25">
        <f t="shared" si="797"/>
        <v>214584848628</v>
      </c>
      <c r="P2504" s="23">
        <v>184734743197</v>
      </c>
      <c r="Q2504" s="23">
        <f>7444311897+79515542917</f>
        <v>86959854814</v>
      </c>
      <c r="R2504" s="25">
        <f t="shared" si="798"/>
        <v>1300392606259</v>
      </c>
      <c r="S2504" s="26">
        <f t="shared" si="799"/>
        <v>0.37997536077351962</v>
      </c>
      <c r="T2504" s="27">
        <f t="shared" si="800"/>
        <v>1.6199911825424278</v>
      </c>
      <c r="U2504" s="26">
        <f t="shared" si="801"/>
        <v>27.609282659730741</v>
      </c>
      <c r="V2504" s="26">
        <f t="shared" si="802"/>
        <v>3.6760362138223943</v>
      </c>
      <c r="W2504" s="23"/>
      <c r="X2504" s="23"/>
      <c r="Y2504" s="23"/>
      <c r="Z2504" s="30">
        <f t="shared" si="822"/>
        <v>0</v>
      </c>
      <c r="AA2504" s="31">
        <f t="shared" si="815"/>
        <v>14</v>
      </c>
      <c r="AB2504" s="32">
        <v>3.15E-2</v>
      </c>
      <c r="AC2504" s="32">
        <v>8.0199999999999994E-2</v>
      </c>
      <c r="AD2504" s="33">
        <f t="shared" si="807"/>
        <v>0.21930066352083982</v>
      </c>
      <c r="AE2504" s="34">
        <f t="shared" si="808"/>
        <v>0.18879455850438737</v>
      </c>
      <c r="AF2504" s="33">
        <f t="shared" si="809"/>
        <v>1.3289706296299137</v>
      </c>
      <c r="AG2504" s="33">
        <f t="shared" si="810"/>
        <v>0</v>
      </c>
      <c r="AH2504" s="35">
        <f t="shared" si="811"/>
        <v>3.7314039287871466</v>
      </c>
      <c r="AI2504" s="36">
        <f t="shared" si="804"/>
        <v>8.6444801846970112</v>
      </c>
      <c r="AJ2504" s="23"/>
      <c r="AK2504" s="120">
        <v>1272</v>
      </c>
      <c r="AL2504" s="44"/>
      <c r="AM2504" s="44"/>
      <c r="AN2504" s="44"/>
      <c r="AO2504" s="44"/>
      <c r="AP2504" s="44"/>
      <c r="AQ2504" s="44"/>
      <c r="AR2504" s="44"/>
    </row>
    <row r="2505" spans="1:44" ht="16.8">
      <c r="A2505" s="70" t="s">
        <v>4795</v>
      </c>
      <c r="B2505" s="71"/>
      <c r="C2505" s="71" t="s">
        <v>4792</v>
      </c>
      <c r="D2505" s="19" t="s">
        <v>4793</v>
      </c>
      <c r="E2505" s="20" t="s">
        <v>414</v>
      </c>
      <c r="F2505" s="21">
        <v>2008</v>
      </c>
      <c r="G2505" s="40">
        <v>2023</v>
      </c>
      <c r="H2505" s="23">
        <v>638196128380</v>
      </c>
      <c r="I2505" s="23">
        <v>1016566729709</v>
      </c>
      <c r="J2505" s="23">
        <v>418188480601</v>
      </c>
      <c r="K2505" s="23">
        <f t="shared" si="823"/>
        <v>394996448631.5</v>
      </c>
      <c r="L2505" s="23">
        <v>400972817929</v>
      </c>
      <c r="M2505" s="23">
        <f t="shared" si="821"/>
        <v>598378249108</v>
      </c>
      <c r="N2505" s="23">
        <v>1319935158211</v>
      </c>
      <c r="O2505" s="25">
        <f t="shared" si="797"/>
        <v>237223310451</v>
      </c>
      <c r="P2505" s="23">
        <v>154277169252</v>
      </c>
      <c r="Q2505" s="23">
        <f>77618675463+87722910147</f>
        <v>165341585610</v>
      </c>
      <c r="R2505" s="25">
        <f t="shared" si="798"/>
        <v>1154593572601</v>
      </c>
      <c r="S2505" s="26">
        <f t="shared" si="799"/>
        <v>0.41137336918424394</v>
      </c>
      <c r="T2505" s="27">
        <f t="shared" si="800"/>
        <v>1.5916194311530738</v>
      </c>
      <c r="U2505" s="26">
        <f t="shared" si="801"/>
        <v>27.647452114401244</v>
      </c>
      <c r="V2505" s="26">
        <f t="shared" si="802"/>
        <v>3.341638039491321</v>
      </c>
      <c r="W2505" s="23"/>
      <c r="X2505" s="23"/>
      <c r="Y2505" s="23"/>
      <c r="Z2505" s="30">
        <f t="shared" si="822"/>
        <v>0</v>
      </c>
      <c r="AA2505" s="31">
        <f t="shared" si="815"/>
        <v>15</v>
      </c>
      <c r="AB2505" s="32">
        <v>3.2500000000000001E-2</v>
      </c>
      <c r="AC2505" s="32">
        <v>5.0500000000000003E-2</v>
      </c>
      <c r="AD2505" s="33">
        <f t="shared" si="807"/>
        <v>0.233357342433297</v>
      </c>
      <c r="AE2505" s="34">
        <f t="shared" si="808"/>
        <v>0.15176295342280482</v>
      </c>
      <c r="AF2505" s="33">
        <f t="shared" si="809"/>
        <v>1.1357774545026782</v>
      </c>
      <c r="AG2505" s="33">
        <f t="shared" si="810"/>
        <v>0</v>
      </c>
      <c r="AH2505" s="35">
        <f t="shared" si="811"/>
        <v>3.1563163966497925</v>
      </c>
      <c r="AI2505" s="36">
        <f t="shared" si="804"/>
        <v>7.3968789422205132</v>
      </c>
      <c r="AJ2505" s="23"/>
      <c r="AK2505" s="120">
        <v>1273</v>
      </c>
      <c r="AL2505" s="44"/>
      <c r="AM2505" s="44"/>
      <c r="AN2505" s="44"/>
      <c r="AO2505" s="44"/>
      <c r="AP2505" s="44"/>
      <c r="AQ2505" s="44"/>
      <c r="AR2505" s="44"/>
    </row>
    <row r="2506" spans="1:44" ht="16.8">
      <c r="A2506" s="145">
        <v>390</v>
      </c>
      <c r="B2506" s="145">
        <v>1178</v>
      </c>
      <c r="C2506" s="145" t="s">
        <v>4796</v>
      </c>
      <c r="D2506" s="146" t="s">
        <v>4797</v>
      </c>
      <c r="E2506" s="147" t="s">
        <v>178</v>
      </c>
      <c r="F2506" s="148"/>
      <c r="G2506" s="148"/>
      <c r="H2506" s="149"/>
      <c r="I2506" s="149"/>
      <c r="J2506" s="149"/>
      <c r="K2506" s="149"/>
      <c r="L2506" s="149"/>
      <c r="M2506" s="149">
        <f t="shared" si="821"/>
        <v>0</v>
      </c>
      <c r="N2506" s="149"/>
      <c r="O2506" s="149">
        <f t="shared" si="797"/>
        <v>0</v>
      </c>
      <c r="P2506" s="149"/>
      <c r="Q2506" s="149"/>
      <c r="R2506" s="149">
        <f t="shared" si="798"/>
        <v>0</v>
      </c>
      <c r="S2506" s="150" t="e">
        <f t="shared" si="799"/>
        <v>#DIV/0!</v>
      </c>
      <c r="T2506" s="151" t="e">
        <f t="shared" si="800"/>
        <v>#DIV/0!</v>
      </c>
      <c r="U2506" s="150" t="e">
        <f t="shared" si="801"/>
        <v>#NUM!</v>
      </c>
      <c r="V2506" s="150" t="e">
        <f t="shared" si="802"/>
        <v>#DIV/0!</v>
      </c>
      <c r="W2506" s="152"/>
      <c r="X2506" s="152"/>
      <c r="Y2506" s="152"/>
      <c r="Z2506" s="153">
        <f t="shared" ref="Z2506:Z2509" si="824">W2506*Y2506</f>
        <v>0</v>
      </c>
      <c r="AA2506" s="148">
        <f t="shared" si="815"/>
        <v>0</v>
      </c>
      <c r="AB2506" s="149"/>
      <c r="AC2506" s="149"/>
      <c r="AD2506" s="150" t="e">
        <f t="shared" si="807"/>
        <v>#DIV/0!</v>
      </c>
      <c r="AE2506" s="154" t="e">
        <f t="shared" si="808"/>
        <v>#DIV/0!</v>
      </c>
      <c r="AF2506" s="150" t="e">
        <f t="shared" si="809"/>
        <v>#DIV/0!</v>
      </c>
      <c r="AG2506" s="150" t="e">
        <f t="shared" si="810"/>
        <v>#DIV/0!</v>
      </c>
      <c r="AH2506" s="155" t="e">
        <f t="shared" si="811"/>
        <v>#DIV/0!</v>
      </c>
      <c r="AI2506" s="156" t="e">
        <f t="shared" si="804"/>
        <v>#DIV/0!</v>
      </c>
      <c r="AJ2506" s="149"/>
      <c r="AK2506" s="149"/>
      <c r="AL2506" s="157"/>
      <c r="AM2506" s="157"/>
      <c r="AN2506" s="157"/>
      <c r="AO2506" s="157"/>
      <c r="AP2506" s="157"/>
      <c r="AQ2506" s="157"/>
      <c r="AR2506" s="157"/>
    </row>
    <row r="2507" spans="1:44" ht="16.8">
      <c r="A2507" s="145">
        <v>391</v>
      </c>
      <c r="B2507" s="145">
        <v>1179</v>
      </c>
      <c r="C2507" s="145" t="s">
        <v>4798</v>
      </c>
      <c r="D2507" s="146" t="s">
        <v>4799</v>
      </c>
      <c r="E2507" s="147" t="s">
        <v>178</v>
      </c>
      <c r="F2507" s="148"/>
      <c r="G2507" s="148"/>
      <c r="H2507" s="149"/>
      <c r="I2507" s="149"/>
      <c r="J2507" s="149"/>
      <c r="K2507" s="149"/>
      <c r="L2507" s="149"/>
      <c r="M2507" s="149">
        <f t="shared" si="821"/>
        <v>0</v>
      </c>
      <c r="N2507" s="149"/>
      <c r="O2507" s="149">
        <f t="shared" si="797"/>
        <v>0</v>
      </c>
      <c r="P2507" s="149"/>
      <c r="Q2507" s="149"/>
      <c r="R2507" s="149">
        <f t="shared" si="798"/>
        <v>0</v>
      </c>
      <c r="S2507" s="150" t="e">
        <f t="shared" si="799"/>
        <v>#DIV/0!</v>
      </c>
      <c r="T2507" s="151" t="e">
        <f t="shared" si="800"/>
        <v>#DIV/0!</v>
      </c>
      <c r="U2507" s="150" t="e">
        <f t="shared" si="801"/>
        <v>#NUM!</v>
      </c>
      <c r="V2507" s="150" t="e">
        <f t="shared" si="802"/>
        <v>#DIV/0!</v>
      </c>
      <c r="W2507" s="152"/>
      <c r="X2507" s="152"/>
      <c r="Y2507" s="152"/>
      <c r="Z2507" s="153">
        <f t="shared" si="824"/>
        <v>0</v>
      </c>
      <c r="AA2507" s="148">
        <f t="shared" si="815"/>
        <v>0</v>
      </c>
      <c r="AB2507" s="149"/>
      <c r="AC2507" s="149"/>
      <c r="AD2507" s="150" t="e">
        <f t="shared" si="807"/>
        <v>#DIV/0!</v>
      </c>
      <c r="AE2507" s="154" t="e">
        <f t="shared" si="808"/>
        <v>#DIV/0!</v>
      </c>
      <c r="AF2507" s="150" t="e">
        <f t="shared" si="809"/>
        <v>#DIV/0!</v>
      </c>
      <c r="AG2507" s="150" t="e">
        <f t="shared" si="810"/>
        <v>#DIV/0!</v>
      </c>
      <c r="AH2507" s="155" t="e">
        <f t="shared" si="811"/>
        <v>#DIV/0!</v>
      </c>
      <c r="AI2507" s="156" t="e">
        <f t="shared" si="804"/>
        <v>#DIV/0!</v>
      </c>
      <c r="AJ2507" s="149"/>
      <c r="AK2507" s="149"/>
      <c r="AL2507" s="157"/>
      <c r="AM2507" s="157"/>
      <c r="AN2507" s="157"/>
      <c r="AO2507" s="157"/>
      <c r="AP2507" s="157"/>
      <c r="AQ2507" s="157"/>
      <c r="AR2507" s="157"/>
    </row>
    <row r="2508" spans="1:44" ht="16.8">
      <c r="A2508" s="145">
        <v>392</v>
      </c>
      <c r="B2508" s="145">
        <v>1180</v>
      </c>
      <c r="C2508" s="145" t="s">
        <v>4800</v>
      </c>
      <c r="D2508" s="146" t="s">
        <v>4801</v>
      </c>
      <c r="E2508" s="147" t="s">
        <v>1371</v>
      </c>
      <c r="F2508" s="148"/>
      <c r="G2508" s="148"/>
      <c r="H2508" s="149"/>
      <c r="I2508" s="149"/>
      <c r="J2508" s="149"/>
      <c r="K2508" s="149"/>
      <c r="L2508" s="149"/>
      <c r="M2508" s="149">
        <f t="shared" si="821"/>
        <v>0</v>
      </c>
      <c r="N2508" s="149"/>
      <c r="O2508" s="149">
        <f t="shared" si="797"/>
        <v>0</v>
      </c>
      <c r="P2508" s="149"/>
      <c r="Q2508" s="149"/>
      <c r="R2508" s="149">
        <f t="shared" si="798"/>
        <v>0</v>
      </c>
      <c r="S2508" s="150" t="e">
        <f t="shared" si="799"/>
        <v>#DIV/0!</v>
      </c>
      <c r="T2508" s="151" t="e">
        <f t="shared" si="800"/>
        <v>#DIV/0!</v>
      </c>
      <c r="U2508" s="150" t="e">
        <f t="shared" si="801"/>
        <v>#NUM!</v>
      </c>
      <c r="V2508" s="150" t="e">
        <f t="shared" si="802"/>
        <v>#DIV/0!</v>
      </c>
      <c r="W2508" s="152"/>
      <c r="X2508" s="152"/>
      <c r="Y2508" s="152"/>
      <c r="Z2508" s="153">
        <f t="shared" si="824"/>
        <v>0</v>
      </c>
      <c r="AA2508" s="148">
        <f t="shared" si="815"/>
        <v>0</v>
      </c>
      <c r="AB2508" s="149"/>
      <c r="AC2508" s="149"/>
      <c r="AD2508" s="150" t="e">
        <f t="shared" si="807"/>
        <v>#DIV/0!</v>
      </c>
      <c r="AE2508" s="154" t="e">
        <f t="shared" si="808"/>
        <v>#DIV/0!</v>
      </c>
      <c r="AF2508" s="150" t="e">
        <f t="shared" si="809"/>
        <v>#DIV/0!</v>
      </c>
      <c r="AG2508" s="150" t="e">
        <f t="shared" si="810"/>
        <v>#DIV/0!</v>
      </c>
      <c r="AH2508" s="155" t="e">
        <f t="shared" si="811"/>
        <v>#DIV/0!</v>
      </c>
      <c r="AI2508" s="156" t="e">
        <f t="shared" si="804"/>
        <v>#DIV/0!</v>
      </c>
      <c r="AJ2508" s="149"/>
      <c r="AK2508" s="149"/>
      <c r="AL2508" s="157"/>
      <c r="AM2508" s="157"/>
      <c r="AN2508" s="157"/>
      <c r="AO2508" s="157"/>
      <c r="AP2508" s="157"/>
      <c r="AQ2508" s="157"/>
      <c r="AR2508" s="157"/>
    </row>
    <row r="2509" spans="1:44" ht="16.8">
      <c r="A2509" s="145">
        <v>393</v>
      </c>
      <c r="B2509" s="145">
        <v>1181</v>
      </c>
      <c r="C2509" s="145" t="s">
        <v>4802</v>
      </c>
      <c r="D2509" s="146" t="s">
        <v>4803</v>
      </c>
      <c r="E2509" s="147" t="s">
        <v>178</v>
      </c>
      <c r="F2509" s="148"/>
      <c r="G2509" s="148"/>
      <c r="H2509" s="149"/>
      <c r="I2509" s="149"/>
      <c r="J2509" s="149"/>
      <c r="K2509" s="149"/>
      <c r="L2509" s="149"/>
      <c r="M2509" s="149">
        <f t="shared" si="821"/>
        <v>0</v>
      </c>
      <c r="N2509" s="149"/>
      <c r="O2509" s="149">
        <f t="shared" si="797"/>
        <v>0</v>
      </c>
      <c r="P2509" s="149"/>
      <c r="Q2509" s="149"/>
      <c r="R2509" s="149">
        <f t="shared" si="798"/>
        <v>0</v>
      </c>
      <c r="S2509" s="150" t="e">
        <f t="shared" si="799"/>
        <v>#DIV/0!</v>
      </c>
      <c r="T2509" s="151" t="e">
        <f t="shared" si="800"/>
        <v>#DIV/0!</v>
      </c>
      <c r="U2509" s="150" t="e">
        <f t="shared" si="801"/>
        <v>#NUM!</v>
      </c>
      <c r="V2509" s="150" t="e">
        <f t="shared" si="802"/>
        <v>#DIV/0!</v>
      </c>
      <c r="W2509" s="152"/>
      <c r="X2509" s="152"/>
      <c r="Y2509" s="152"/>
      <c r="Z2509" s="153">
        <f t="shared" si="824"/>
        <v>0</v>
      </c>
      <c r="AA2509" s="148">
        <f t="shared" si="815"/>
        <v>0</v>
      </c>
      <c r="AB2509" s="149"/>
      <c r="AC2509" s="149"/>
      <c r="AD2509" s="150" t="e">
        <f t="shared" si="807"/>
        <v>#DIV/0!</v>
      </c>
      <c r="AE2509" s="154" t="e">
        <f t="shared" si="808"/>
        <v>#DIV/0!</v>
      </c>
      <c r="AF2509" s="150" t="e">
        <f t="shared" si="809"/>
        <v>#DIV/0!</v>
      </c>
      <c r="AG2509" s="150" t="e">
        <f t="shared" si="810"/>
        <v>#DIV/0!</v>
      </c>
      <c r="AH2509" s="155" t="e">
        <f t="shared" si="811"/>
        <v>#DIV/0!</v>
      </c>
      <c r="AI2509" s="156" t="e">
        <f t="shared" si="804"/>
        <v>#DIV/0!</v>
      </c>
      <c r="AJ2509" s="149"/>
      <c r="AK2509" s="149"/>
      <c r="AL2509" s="157"/>
      <c r="AM2509" s="157"/>
      <c r="AN2509" s="157"/>
      <c r="AO2509" s="157"/>
      <c r="AP2509" s="157"/>
      <c r="AQ2509" s="157"/>
      <c r="AR2509" s="157"/>
    </row>
    <row r="2510" spans="1:44" ht="16.8">
      <c r="A2510" s="78" t="s">
        <v>4804</v>
      </c>
      <c r="B2510" s="79">
        <v>1182</v>
      </c>
      <c r="C2510" s="79" t="s">
        <v>4805</v>
      </c>
      <c r="D2510" s="19" t="s">
        <v>4806</v>
      </c>
      <c r="E2510" s="20" t="s">
        <v>414</v>
      </c>
      <c r="F2510" s="21">
        <v>1989</v>
      </c>
      <c r="G2510" s="40">
        <v>2021</v>
      </c>
      <c r="H2510" s="23">
        <v>541519168220</v>
      </c>
      <c r="I2510" s="23">
        <v>598205478063</v>
      </c>
      <c r="J2510" s="23">
        <v>361577245981</v>
      </c>
      <c r="K2510" s="23">
        <f>(J2510+402984479751)/2</f>
        <v>382280862866</v>
      </c>
      <c r="L2510" s="23">
        <v>349159444250</v>
      </c>
      <c r="M2510" s="23">
        <f t="shared" si="821"/>
        <v>236628232082</v>
      </c>
      <c r="N2510" s="23">
        <v>1127632522545</v>
      </c>
      <c r="O2510" s="25">
        <f t="shared" si="797"/>
        <v>192359723970</v>
      </c>
      <c r="P2510" s="23">
        <v>23980929637</v>
      </c>
      <c r="Q2510" s="23">
        <f>125479925610+25287897227</f>
        <v>150767822837</v>
      </c>
      <c r="R2510" s="25">
        <f t="shared" si="798"/>
        <v>976864699708</v>
      </c>
      <c r="S2510" s="26">
        <f t="shared" si="799"/>
        <v>0.60443653433564926</v>
      </c>
      <c r="T2510" s="27">
        <f t="shared" si="800"/>
        <v>1.5509222996479208</v>
      </c>
      <c r="U2510" s="26">
        <f t="shared" si="801"/>
        <v>27.117200140678062</v>
      </c>
      <c r="V2510" s="26">
        <f t="shared" si="802"/>
        <v>2.9497488158078848</v>
      </c>
      <c r="W2510" s="143"/>
      <c r="X2510" s="143"/>
      <c r="Y2510" s="143"/>
      <c r="Z2510" s="30">
        <f t="shared" ref="Z2510:Z2512" si="825">X2510*Y2510</f>
        <v>0</v>
      </c>
      <c r="AA2510" s="31">
        <f t="shared" si="815"/>
        <v>32</v>
      </c>
      <c r="AB2510" s="32">
        <v>1.84E-2</v>
      </c>
      <c r="AC2510" s="32">
        <v>2.58E-2</v>
      </c>
      <c r="AD2510" s="33">
        <f t="shared" si="807"/>
        <v>0.32156128792545369</v>
      </c>
      <c r="AE2510" s="34">
        <f t="shared" si="808"/>
        <v>4.0088114396161459E-2</v>
      </c>
      <c r="AF2510" s="33">
        <f t="shared" si="809"/>
        <v>1.632991899156633</v>
      </c>
      <c r="AG2510" s="33">
        <f t="shared" si="810"/>
        <v>0</v>
      </c>
      <c r="AH2510" s="35">
        <f t="shared" si="811"/>
        <v>3.1186490164379821</v>
      </c>
      <c r="AI2510" s="36">
        <f t="shared" si="804"/>
        <v>8.9495191893200428</v>
      </c>
      <c r="AJ2510" s="23"/>
      <c r="AK2510" s="120">
        <v>1274</v>
      </c>
      <c r="AL2510" s="44"/>
      <c r="AM2510" s="44"/>
      <c r="AN2510" s="44"/>
      <c r="AO2510" s="44"/>
      <c r="AP2510" s="44"/>
      <c r="AQ2510" s="44"/>
      <c r="AR2510" s="44"/>
    </row>
    <row r="2511" spans="1:44" ht="16.8">
      <c r="A2511" s="78" t="s">
        <v>4807</v>
      </c>
      <c r="B2511" s="79"/>
      <c r="C2511" s="79" t="s">
        <v>4805</v>
      </c>
      <c r="D2511" s="19" t="s">
        <v>4806</v>
      </c>
      <c r="E2511" s="20" t="s">
        <v>414</v>
      </c>
      <c r="F2511" s="21">
        <v>1989</v>
      </c>
      <c r="G2511" s="40">
        <v>2022</v>
      </c>
      <c r="H2511" s="23">
        <v>595862129224</v>
      </c>
      <c r="I2511" s="23">
        <v>650097667621</v>
      </c>
      <c r="J2511" s="23">
        <v>409562308395</v>
      </c>
      <c r="K2511" s="23">
        <f t="shared" ref="K2511:K2512" si="826">AVERAGE(J2510:J2511)</f>
        <v>385569777188</v>
      </c>
      <c r="L2511" s="23">
        <v>399723021516</v>
      </c>
      <c r="M2511" s="23">
        <f t="shared" si="821"/>
        <v>240535359226</v>
      </c>
      <c r="N2511" s="23">
        <v>1225153914566</v>
      </c>
      <c r="O2511" s="25">
        <f t="shared" si="797"/>
        <v>196139107708</v>
      </c>
      <c r="P2511" s="23">
        <v>24558110759</v>
      </c>
      <c r="Q2511" s="23">
        <f>151289039797+30822266723</f>
        <v>182111306520</v>
      </c>
      <c r="R2511" s="25">
        <f t="shared" si="798"/>
        <v>1043042608046</v>
      </c>
      <c r="S2511" s="26">
        <f t="shared" si="799"/>
        <v>0.63000119642602759</v>
      </c>
      <c r="T2511" s="27">
        <f t="shared" si="800"/>
        <v>1.490687544000137</v>
      </c>
      <c r="U2511" s="26">
        <f t="shared" si="801"/>
        <v>27.20038844642697</v>
      </c>
      <c r="V2511" s="26">
        <f t="shared" si="802"/>
        <v>3.1775154253561402</v>
      </c>
      <c r="W2511" s="143"/>
      <c r="X2511" s="143"/>
      <c r="Y2511" s="143"/>
      <c r="Z2511" s="30">
        <f t="shared" si="825"/>
        <v>0</v>
      </c>
      <c r="AA2511" s="31">
        <f t="shared" si="815"/>
        <v>33</v>
      </c>
      <c r="AB2511" s="32">
        <v>3.15E-2</v>
      </c>
      <c r="AC2511" s="32">
        <v>8.0199999999999994E-2</v>
      </c>
      <c r="AD2511" s="33">
        <f t="shared" si="807"/>
        <v>0.30170713952222178</v>
      </c>
      <c r="AE2511" s="34">
        <f t="shared" si="808"/>
        <v>3.7776032713467779E-2</v>
      </c>
      <c r="AF2511" s="33">
        <f t="shared" si="809"/>
        <v>1.604439855726544</v>
      </c>
      <c r="AG2511" s="33">
        <f t="shared" si="810"/>
        <v>0</v>
      </c>
      <c r="AH2511" s="35">
        <f t="shared" si="811"/>
        <v>2.9913736919961087</v>
      </c>
      <c r="AI2511" s="36">
        <f t="shared" si="804"/>
        <v>8.7009602291192252</v>
      </c>
      <c r="AJ2511" s="23"/>
      <c r="AK2511" s="120">
        <v>1275</v>
      </c>
      <c r="AL2511" s="44"/>
      <c r="AM2511" s="44"/>
      <c r="AN2511" s="44"/>
      <c r="AO2511" s="44"/>
      <c r="AP2511" s="44"/>
      <c r="AQ2511" s="44"/>
      <c r="AR2511" s="44"/>
    </row>
    <row r="2512" spans="1:44" ht="16.8">
      <c r="A2512" s="78" t="s">
        <v>4808</v>
      </c>
      <c r="B2512" s="79"/>
      <c r="C2512" s="79" t="s">
        <v>4805</v>
      </c>
      <c r="D2512" s="19" t="s">
        <v>4806</v>
      </c>
      <c r="E2512" s="20" t="s">
        <v>414</v>
      </c>
      <c r="F2512" s="21">
        <v>1989</v>
      </c>
      <c r="G2512" s="40">
        <v>2023</v>
      </c>
      <c r="H2512" s="23">
        <v>468673047421</v>
      </c>
      <c r="I2512" s="23">
        <v>531539797951</v>
      </c>
      <c r="J2512" s="23">
        <v>360576581668</v>
      </c>
      <c r="K2512" s="23">
        <f t="shared" si="826"/>
        <v>385069445031.5</v>
      </c>
      <c r="L2512" s="23">
        <v>352261852922</v>
      </c>
      <c r="M2512" s="23">
        <f t="shared" si="821"/>
        <v>170963216283</v>
      </c>
      <c r="N2512" s="23">
        <v>1062361690247</v>
      </c>
      <c r="O2512" s="25">
        <f t="shared" si="797"/>
        <v>116411194499</v>
      </c>
      <c r="P2512" s="23">
        <v>33135046685</v>
      </c>
      <c r="Q2512" s="23">
        <f>130266305821+29060515187</f>
        <v>159326821008</v>
      </c>
      <c r="R2512" s="25">
        <f t="shared" si="798"/>
        <v>903034869239</v>
      </c>
      <c r="S2512" s="26">
        <f t="shared" si="799"/>
        <v>0.6783623409911439</v>
      </c>
      <c r="T2512" s="27">
        <f t="shared" si="800"/>
        <v>1.330467785635524</v>
      </c>
      <c r="U2512" s="26">
        <f t="shared" si="801"/>
        <v>26.999043910478306</v>
      </c>
      <c r="V2512" s="26">
        <f t="shared" si="802"/>
        <v>2.7588833753353117</v>
      </c>
      <c r="W2512" s="143"/>
      <c r="X2512" s="143"/>
      <c r="Y2512" s="143"/>
      <c r="Z2512" s="30">
        <f t="shared" si="825"/>
        <v>0</v>
      </c>
      <c r="AA2512" s="31">
        <f t="shared" si="815"/>
        <v>34</v>
      </c>
      <c r="AB2512" s="32">
        <v>3.2500000000000001E-2</v>
      </c>
      <c r="AC2512" s="32">
        <v>5.0500000000000003E-2</v>
      </c>
      <c r="AD2512" s="33">
        <f t="shared" si="807"/>
        <v>0.21900748532423411</v>
      </c>
      <c r="AE2512" s="34">
        <f t="shared" si="808"/>
        <v>6.2337847161642923E-2</v>
      </c>
      <c r="AF2512" s="33">
        <f t="shared" si="809"/>
        <v>1.69890358674939</v>
      </c>
      <c r="AG2512" s="33">
        <f t="shared" si="810"/>
        <v>0</v>
      </c>
      <c r="AH2512" s="35">
        <f t="shared" si="811"/>
        <v>2.9462858772818667</v>
      </c>
      <c r="AI2512" s="36">
        <f t="shared" si="804"/>
        <v>8.902749681970235</v>
      </c>
      <c r="AJ2512" s="23"/>
      <c r="AK2512" s="120">
        <v>1276</v>
      </c>
      <c r="AL2512" s="44"/>
      <c r="AM2512" s="44"/>
      <c r="AN2512" s="44"/>
      <c r="AO2512" s="44"/>
      <c r="AP2512" s="44"/>
      <c r="AQ2512" s="44"/>
      <c r="AR2512" s="44"/>
    </row>
    <row r="2513" spans="1:44" ht="16.8">
      <c r="A2513" s="145">
        <v>395</v>
      </c>
      <c r="B2513" s="145">
        <v>1183</v>
      </c>
      <c r="C2513" s="145" t="s">
        <v>4809</v>
      </c>
      <c r="D2513" s="146" t="s">
        <v>4810</v>
      </c>
      <c r="E2513" s="147" t="s">
        <v>178</v>
      </c>
      <c r="F2513" s="148"/>
      <c r="G2513" s="148"/>
      <c r="H2513" s="149"/>
      <c r="I2513" s="149"/>
      <c r="J2513" s="149"/>
      <c r="K2513" s="149"/>
      <c r="L2513" s="149"/>
      <c r="M2513" s="149">
        <f t="shared" si="821"/>
        <v>0</v>
      </c>
      <c r="N2513" s="149"/>
      <c r="O2513" s="149">
        <f t="shared" si="797"/>
        <v>0</v>
      </c>
      <c r="P2513" s="149"/>
      <c r="Q2513" s="149"/>
      <c r="R2513" s="149">
        <f t="shared" si="798"/>
        <v>0</v>
      </c>
      <c r="S2513" s="150" t="e">
        <f t="shared" si="799"/>
        <v>#DIV/0!</v>
      </c>
      <c r="T2513" s="151" t="e">
        <f t="shared" si="800"/>
        <v>#DIV/0!</v>
      </c>
      <c r="U2513" s="150" t="e">
        <f t="shared" si="801"/>
        <v>#NUM!</v>
      </c>
      <c r="V2513" s="150" t="e">
        <f t="shared" si="802"/>
        <v>#DIV/0!</v>
      </c>
      <c r="W2513" s="152"/>
      <c r="X2513" s="152"/>
      <c r="Y2513" s="152"/>
      <c r="Z2513" s="153">
        <f t="shared" ref="Z2513:Z2558" si="827">W2513*Y2513</f>
        <v>0</v>
      </c>
      <c r="AA2513" s="148">
        <f t="shared" si="815"/>
        <v>0</v>
      </c>
      <c r="AB2513" s="149"/>
      <c r="AC2513" s="149"/>
      <c r="AD2513" s="150" t="e">
        <f t="shared" si="807"/>
        <v>#DIV/0!</v>
      </c>
      <c r="AE2513" s="154" t="e">
        <f t="shared" si="808"/>
        <v>#DIV/0!</v>
      </c>
      <c r="AF2513" s="150" t="e">
        <f t="shared" si="809"/>
        <v>#DIV/0!</v>
      </c>
      <c r="AG2513" s="150" t="e">
        <f t="shared" si="810"/>
        <v>#DIV/0!</v>
      </c>
      <c r="AH2513" s="155" t="e">
        <f t="shared" si="811"/>
        <v>#DIV/0!</v>
      </c>
      <c r="AI2513" s="156" t="e">
        <f t="shared" si="804"/>
        <v>#DIV/0!</v>
      </c>
      <c r="AJ2513" s="149"/>
      <c r="AK2513" s="149"/>
      <c r="AL2513" s="157"/>
      <c r="AM2513" s="157"/>
      <c r="AN2513" s="157"/>
      <c r="AO2513" s="157"/>
      <c r="AP2513" s="157"/>
      <c r="AQ2513" s="157"/>
      <c r="AR2513" s="157"/>
    </row>
    <row r="2514" spans="1:44" ht="16.8">
      <c r="A2514" s="145">
        <v>396</v>
      </c>
      <c r="B2514" s="145">
        <v>1184</v>
      </c>
      <c r="C2514" s="145" t="s">
        <v>4811</v>
      </c>
      <c r="D2514" s="146" t="s">
        <v>4812</v>
      </c>
      <c r="E2514" s="147" t="s">
        <v>178</v>
      </c>
      <c r="F2514" s="148"/>
      <c r="G2514" s="148"/>
      <c r="H2514" s="149"/>
      <c r="I2514" s="149"/>
      <c r="J2514" s="149"/>
      <c r="K2514" s="149"/>
      <c r="L2514" s="149"/>
      <c r="M2514" s="149">
        <f t="shared" si="821"/>
        <v>0</v>
      </c>
      <c r="N2514" s="149"/>
      <c r="O2514" s="149">
        <f t="shared" si="797"/>
        <v>0</v>
      </c>
      <c r="P2514" s="149"/>
      <c r="Q2514" s="149"/>
      <c r="R2514" s="149">
        <f t="shared" si="798"/>
        <v>0</v>
      </c>
      <c r="S2514" s="150" t="e">
        <f t="shared" si="799"/>
        <v>#DIV/0!</v>
      </c>
      <c r="T2514" s="151" t="e">
        <f t="shared" si="800"/>
        <v>#DIV/0!</v>
      </c>
      <c r="U2514" s="150" t="e">
        <f t="shared" si="801"/>
        <v>#NUM!</v>
      </c>
      <c r="V2514" s="150" t="e">
        <f t="shared" si="802"/>
        <v>#DIV/0!</v>
      </c>
      <c r="W2514" s="152"/>
      <c r="X2514" s="152"/>
      <c r="Y2514" s="152"/>
      <c r="Z2514" s="153">
        <f t="shared" si="827"/>
        <v>0</v>
      </c>
      <c r="AA2514" s="148">
        <f t="shared" si="815"/>
        <v>0</v>
      </c>
      <c r="AB2514" s="149"/>
      <c r="AC2514" s="149"/>
      <c r="AD2514" s="150" t="e">
        <f t="shared" si="807"/>
        <v>#DIV/0!</v>
      </c>
      <c r="AE2514" s="154" t="e">
        <f t="shared" si="808"/>
        <v>#DIV/0!</v>
      </c>
      <c r="AF2514" s="150" t="e">
        <f t="shared" si="809"/>
        <v>#DIV/0!</v>
      </c>
      <c r="AG2514" s="150" t="e">
        <f t="shared" si="810"/>
        <v>#DIV/0!</v>
      </c>
      <c r="AH2514" s="155" t="e">
        <f t="shared" si="811"/>
        <v>#DIV/0!</v>
      </c>
      <c r="AI2514" s="156" t="e">
        <f t="shared" si="804"/>
        <v>#DIV/0!</v>
      </c>
      <c r="AJ2514" s="149"/>
      <c r="AK2514" s="149"/>
      <c r="AL2514" s="157"/>
      <c r="AM2514" s="157"/>
      <c r="AN2514" s="157"/>
      <c r="AO2514" s="157"/>
      <c r="AP2514" s="157"/>
      <c r="AQ2514" s="157"/>
      <c r="AR2514" s="157"/>
    </row>
    <row r="2515" spans="1:44" ht="16.8">
      <c r="A2515" s="145">
        <v>397</v>
      </c>
      <c r="B2515" s="145">
        <v>1185</v>
      </c>
      <c r="C2515" s="145" t="s">
        <v>4813</v>
      </c>
      <c r="D2515" s="146" t="s">
        <v>4814</v>
      </c>
      <c r="E2515" s="147" t="s">
        <v>178</v>
      </c>
      <c r="F2515" s="148"/>
      <c r="G2515" s="148"/>
      <c r="H2515" s="149"/>
      <c r="I2515" s="149"/>
      <c r="J2515" s="149"/>
      <c r="K2515" s="149"/>
      <c r="L2515" s="149"/>
      <c r="M2515" s="149">
        <f t="shared" si="821"/>
        <v>0</v>
      </c>
      <c r="N2515" s="149"/>
      <c r="O2515" s="149">
        <f t="shared" si="797"/>
        <v>0</v>
      </c>
      <c r="P2515" s="149"/>
      <c r="Q2515" s="149"/>
      <c r="R2515" s="149">
        <f t="shared" si="798"/>
        <v>0</v>
      </c>
      <c r="S2515" s="150" t="e">
        <f t="shared" si="799"/>
        <v>#DIV/0!</v>
      </c>
      <c r="T2515" s="151" t="e">
        <f t="shared" si="800"/>
        <v>#DIV/0!</v>
      </c>
      <c r="U2515" s="150" t="e">
        <f t="shared" si="801"/>
        <v>#NUM!</v>
      </c>
      <c r="V2515" s="150" t="e">
        <f t="shared" si="802"/>
        <v>#DIV/0!</v>
      </c>
      <c r="W2515" s="152"/>
      <c r="X2515" s="152"/>
      <c r="Y2515" s="152"/>
      <c r="Z2515" s="153">
        <f t="shared" si="827"/>
        <v>0</v>
      </c>
      <c r="AA2515" s="148">
        <f t="shared" si="815"/>
        <v>0</v>
      </c>
      <c r="AB2515" s="149"/>
      <c r="AC2515" s="149"/>
      <c r="AD2515" s="150" t="e">
        <f t="shared" si="807"/>
        <v>#DIV/0!</v>
      </c>
      <c r="AE2515" s="154" t="e">
        <f t="shared" si="808"/>
        <v>#DIV/0!</v>
      </c>
      <c r="AF2515" s="150" t="e">
        <f t="shared" si="809"/>
        <v>#DIV/0!</v>
      </c>
      <c r="AG2515" s="150" t="e">
        <f t="shared" si="810"/>
        <v>#DIV/0!</v>
      </c>
      <c r="AH2515" s="155" t="e">
        <f t="shared" si="811"/>
        <v>#DIV/0!</v>
      </c>
      <c r="AI2515" s="156" t="e">
        <f t="shared" si="804"/>
        <v>#DIV/0!</v>
      </c>
      <c r="AJ2515" s="149"/>
      <c r="AK2515" s="149"/>
      <c r="AL2515" s="157"/>
      <c r="AM2515" s="157"/>
      <c r="AN2515" s="157"/>
      <c r="AO2515" s="157"/>
      <c r="AP2515" s="157"/>
      <c r="AQ2515" s="157"/>
      <c r="AR2515" s="157"/>
    </row>
    <row r="2516" spans="1:44" ht="16.8">
      <c r="A2516" s="145">
        <v>398</v>
      </c>
      <c r="B2516" s="145">
        <v>1186</v>
      </c>
      <c r="C2516" s="145" t="s">
        <v>4815</v>
      </c>
      <c r="D2516" s="146" t="s">
        <v>4816</v>
      </c>
      <c r="E2516" s="147" t="s">
        <v>178</v>
      </c>
      <c r="F2516" s="148"/>
      <c r="G2516" s="148"/>
      <c r="H2516" s="149"/>
      <c r="I2516" s="149"/>
      <c r="J2516" s="149"/>
      <c r="K2516" s="149"/>
      <c r="L2516" s="149"/>
      <c r="M2516" s="149">
        <f t="shared" si="821"/>
        <v>0</v>
      </c>
      <c r="N2516" s="149"/>
      <c r="O2516" s="149">
        <f t="shared" si="797"/>
        <v>0</v>
      </c>
      <c r="P2516" s="149"/>
      <c r="Q2516" s="149"/>
      <c r="R2516" s="149">
        <f t="shared" si="798"/>
        <v>0</v>
      </c>
      <c r="S2516" s="150" t="e">
        <f t="shared" si="799"/>
        <v>#DIV/0!</v>
      </c>
      <c r="T2516" s="151" t="e">
        <f t="shared" si="800"/>
        <v>#DIV/0!</v>
      </c>
      <c r="U2516" s="150" t="e">
        <f t="shared" si="801"/>
        <v>#NUM!</v>
      </c>
      <c r="V2516" s="150" t="e">
        <f t="shared" si="802"/>
        <v>#DIV/0!</v>
      </c>
      <c r="W2516" s="152"/>
      <c r="X2516" s="152"/>
      <c r="Y2516" s="152"/>
      <c r="Z2516" s="153">
        <f t="shared" si="827"/>
        <v>0</v>
      </c>
      <c r="AA2516" s="148">
        <f t="shared" si="815"/>
        <v>0</v>
      </c>
      <c r="AB2516" s="149"/>
      <c r="AC2516" s="149"/>
      <c r="AD2516" s="150" t="e">
        <f t="shared" si="807"/>
        <v>#DIV/0!</v>
      </c>
      <c r="AE2516" s="154" t="e">
        <f t="shared" si="808"/>
        <v>#DIV/0!</v>
      </c>
      <c r="AF2516" s="150" t="e">
        <f t="shared" si="809"/>
        <v>#DIV/0!</v>
      </c>
      <c r="AG2516" s="150" t="e">
        <f t="shared" si="810"/>
        <v>#DIV/0!</v>
      </c>
      <c r="AH2516" s="155" t="e">
        <f t="shared" si="811"/>
        <v>#DIV/0!</v>
      </c>
      <c r="AI2516" s="156" t="e">
        <f t="shared" si="804"/>
        <v>#DIV/0!</v>
      </c>
      <c r="AJ2516" s="149"/>
      <c r="AK2516" s="149"/>
      <c r="AL2516" s="157"/>
      <c r="AM2516" s="157"/>
      <c r="AN2516" s="157"/>
      <c r="AO2516" s="157"/>
      <c r="AP2516" s="157"/>
      <c r="AQ2516" s="157"/>
      <c r="AR2516" s="157"/>
    </row>
    <row r="2517" spans="1:44" ht="16.8">
      <c r="A2517" s="145">
        <v>399</v>
      </c>
      <c r="B2517" s="145">
        <v>1187</v>
      </c>
      <c r="C2517" s="145" t="s">
        <v>4817</v>
      </c>
      <c r="D2517" s="146" t="s">
        <v>4818</v>
      </c>
      <c r="E2517" s="147" t="s">
        <v>178</v>
      </c>
      <c r="F2517" s="148"/>
      <c r="G2517" s="148"/>
      <c r="H2517" s="149"/>
      <c r="I2517" s="149"/>
      <c r="J2517" s="149"/>
      <c r="K2517" s="149"/>
      <c r="L2517" s="149"/>
      <c r="M2517" s="149">
        <f t="shared" si="821"/>
        <v>0</v>
      </c>
      <c r="N2517" s="149"/>
      <c r="O2517" s="149">
        <f t="shared" si="797"/>
        <v>0</v>
      </c>
      <c r="P2517" s="149"/>
      <c r="Q2517" s="149"/>
      <c r="R2517" s="149">
        <f t="shared" si="798"/>
        <v>0</v>
      </c>
      <c r="S2517" s="150" t="e">
        <f t="shared" si="799"/>
        <v>#DIV/0!</v>
      </c>
      <c r="T2517" s="151" t="e">
        <f t="shared" si="800"/>
        <v>#DIV/0!</v>
      </c>
      <c r="U2517" s="150" t="e">
        <f t="shared" si="801"/>
        <v>#NUM!</v>
      </c>
      <c r="V2517" s="150" t="e">
        <f t="shared" si="802"/>
        <v>#DIV/0!</v>
      </c>
      <c r="W2517" s="152"/>
      <c r="X2517" s="152"/>
      <c r="Y2517" s="152"/>
      <c r="Z2517" s="153">
        <f t="shared" si="827"/>
        <v>0</v>
      </c>
      <c r="AA2517" s="148">
        <f t="shared" si="815"/>
        <v>0</v>
      </c>
      <c r="AB2517" s="149"/>
      <c r="AC2517" s="149"/>
      <c r="AD2517" s="150" t="e">
        <f t="shared" si="807"/>
        <v>#DIV/0!</v>
      </c>
      <c r="AE2517" s="154" t="e">
        <f t="shared" si="808"/>
        <v>#DIV/0!</v>
      </c>
      <c r="AF2517" s="150" t="e">
        <f t="shared" si="809"/>
        <v>#DIV/0!</v>
      </c>
      <c r="AG2517" s="150" t="e">
        <f t="shared" si="810"/>
        <v>#DIV/0!</v>
      </c>
      <c r="AH2517" s="155" t="e">
        <f t="shared" si="811"/>
        <v>#DIV/0!</v>
      </c>
      <c r="AI2517" s="156" t="e">
        <f t="shared" si="804"/>
        <v>#DIV/0!</v>
      </c>
      <c r="AJ2517" s="149"/>
      <c r="AK2517" s="149"/>
      <c r="AL2517" s="157"/>
      <c r="AM2517" s="157"/>
      <c r="AN2517" s="157"/>
      <c r="AO2517" s="157"/>
      <c r="AP2517" s="157"/>
      <c r="AQ2517" s="157"/>
      <c r="AR2517" s="157"/>
    </row>
    <row r="2518" spans="1:44" ht="16.8">
      <c r="A2518" s="145">
        <v>400</v>
      </c>
      <c r="B2518" s="145">
        <v>1188</v>
      </c>
      <c r="C2518" s="145" t="s">
        <v>4819</v>
      </c>
      <c r="D2518" s="146" t="s">
        <v>4820</v>
      </c>
      <c r="E2518" s="147" t="s">
        <v>178</v>
      </c>
      <c r="F2518" s="148"/>
      <c r="G2518" s="148"/>
      <c r="H2518" s="149"/>
      <c r="I2518" s="149"/>
      <c r="J2518" s="149"/>
      <c r="K2518" s="149"/>
      <c r="L2518" s="149"/>
      <c r="M2518" s="149">
        <f t="shared" si="821"/>
        <v>0</v>
      </c>
      <c r="N2518" s="149"/>
      <c r="O2518" s="149">
        <f t="shared" si="797"/>
        <v>0</v>
      </c>
      <c r="P2518" s="149"/>
      <c r="Q2518" s="149"/>
      <c r="R2518" s="149">
        <f t="shared" si="798"/>
        <v>0</v>
      </c>
      <c r="S2518" s="150" t="e">
        <f t="shared" si="799"/>
        <v>#DIV/0!</v>
      </c>
      <c r="T2518" s="151" t="e">
        <f t="shared" si="800"/>
        <v>#DIV/0!</v>
      </c>
      <c r="U2518" s="150" t="e">
        <f t="shared" si="801"/>
        <v>#NUM!</v>
      </c>
      <c r="V2518" s="150" t="e">
        <f t="shared" si="802"/>
        <v>#DIV/0!</v>
      </c>
      <c r="W2518" s="152"/>
      <c r="X2518" s="152"/>
      <c r="Y2518" s="152"/>
      <c r="Z2518" s="153">
        <f t="shared" si="827"/>
        <v>0</v>
      </c>
      <c r="AA2518" s="148">
        <f t="shared" si="815"/>
        <v>0</v>
      </c>
      <c r="AB2518" s="149"/>
      <c r="AC2518" s="149"/>
      <c r="AD2518" s="150" t="e">
        <f t="shared" si="807"/>
        <v>#DIV/0!</v>
      </c>
      <c r="AE2518" s="154" t="e">
        <f t="shared" si="808"/>
        <v>#DIV/0!</v>
      </c>
      <c r="AF2518" s="150" t="e">
        <f t="shared" si="809"/>
        <v>#DIV/0!</v>
      </c>
      <c r="AG2518" s="150" t="e">
        <f t="shared" si="810"/>
        <v>#DIV/0!</v>
      </c>
      <c r="AH2518" s="155" t="e">
        <f t="shared" si="811"/>
        <v>#DIV/0!</v>
      </c>
      <c r="AI2518" s="156" t="e">
        <f t="shared" si="804"/>
        <v>#DIV/0!</v>
      </c>
      <c r="AJ2518" s="149"/>
      <c r="AK2518" s="149"/>
      <c r="AL2518" s="157"/>
      <c r="AM2518" s="157"/>
      <c r="AN2518" s="157"/>
      <c r="AO2518" s="157"/>
      <c r="AP2518" s="157"/>
      <c r="AQ2518" s="157"/>
      <c r="AR2518" s="157"/>
    </row>
    <row r="2519" spans="1:44" ht="16.8">
      <c r="A2519" s="145">
        <v>401</v>
      </c>
      <c r="B2519" s="145">
        <v>1189</v>
      </c>
      <c r="C2519" s="145" t="s">
        <v>4821</v>
      </c>
      <c r="D2519" s="146" t="s">
        <v>4822</v>
      </c>
      <c r="E2519" s="147" t="s">
        <v>178</v>
      </c>
      <c r="F2519" s="148"/>
      <c r="G2519" s="148"/>
      <c r="H2519" s="149"/>
      <c r="I2519" s="149"/>
      <c r="J2519" s="149"/>
      <c r="K2519" s="149"/>
      <c r="L2519" s="149"/>
      <c r="M2519" s="149">
        <f t="shared" si="821"/>
        <v>0</v>
      </c>
      <c r="N2519" s="149"/>
      <c r="O2519" s="149">
        <f t="shared" si="797"/>
        <v>0</v>
      </c>
      <c r="P2519" s="149"/>
      <c r="Q2519" s="149"/>
      <c r="R2519" s="149">
        <f t="shared" si="798"/>
        <v>0</v>
      </c>
      <c r="S2519" s="150" t="e">
        <f t="shared" si="799"/>
        <v>#DIV/0!</v>
      </c>
      <c r="T2519" s="151" t="e">
        <f t="shared" si="800"/>
        <v>#DIV/0!</v>
      </c>
      <c r="U2519" s="150" t="e">
        <f t="shared" si="801"/>
        <v>#NUM!</v>
      </c>
      <c r="V2519" s="150" t="e">
        <f t="shared" si="802"/>
        <v>#DIV/0!</v>
      </c>
      <c r="W2519" s="152"/>
      <c r="X2519" s="152"/>
      <c r="Y2519" s="152"/>
      <c r="Z2519" s="153">
        <f t="shared" si="827"/>
        <v>0</v>
      </c>
      <c r="AA2519" s="148">
        <f t="shared" si="815"/>
        <v>0</v>
      </c>
      <c r="AB2519" s="149"/>
      <c r="AC2519" s="149"/>
      <c r="AD2519" s="150" t="e">
        <f t="shared" si="807"/>
        <v>#DIV/0!</v>
      </c>
      <c r="AE2519" s="154" t="e">
        <f t="shared" si="808"/>
        <v>#DIV/0!</v>
      </c>
      <c r="AF2519" s="150" t="e">
        <f t="shared" si="809"/>
        <v>#DIV/0!</v>
      </c>
      <c r="AG2519" s="150" t="e">
        <f t="shared" si="810"/>
        <v>#DIV/0!</v>
      </c>
      <c r="AH2519" s="155" t="e">
        <f t="shared" si="811"/>
        <v>#DIV/0!</v>
      </c>
      <c r="AI2519" s="156" t="e">
        <f t="shared" si="804"/>
        <v>#DIV/0!</v>
      </c>
      <c r="AJ2519" s="149"/>
      <c r="AK2519" s="149"/>
      <c r="AL2519" s="157"/>
      <c r="AM2519" s="157"/>
      <c r="AN2519" s="157"/>
      <c r="AO2519" s="157"/>
      <c r="AP2519" s="157"/>
      <c r="AQ2519" s="157"/>
      <c r="AR2519" s="157"/>
    </row>
    <row r="2520" spans="1:44" ht="16.8">
      <c r="A2520" s="145">
        <v>402</v>
      </c>
      <c r="B2520" s="145">
        <v>1190</v>
      </c>
      <c r="C2520" s="145" t="s">
        <v>4823</v>
      </c>
      <c r="D2520" s="146" t="s">
        <v>4824</v>
      </c>
      <c r="E2520" s="147" t="s">
        <v>178</v>
      </c>
      <c r="F2520" s="148"/>
      <c r="G2520" s="148"/>
      <c r="H2520" s="149"/>
      <c r="I2520" s="149"/>
      <c r="J2520" s="149"/>
      <c r="K2520" s="149"/>
      <c r="L2520" s="149"/>
      <c r="M2520" s="149">
        <f t="shared" si="821"/>
        <v>0</v>
      </c>
      <c r="N2520" s="149"/>
      <c r="O2520" s="149">
        <f t="shared" si="797"/>
        <v>0</v>
      </c>
      <c r="P2520" s="149"/>
      <c r="Q2520" s="149"/>
      <c r="R2520" s="149">
        <f t="shared" si="798"/>
        <v>0</v>
      </c>
      <c r="S2520" s="150" t="e">
        <f t="shared" si="799"/>
        <v>#DIV/0!</v>
      </c>
      <c r="T2520" s="151" t="e">
        <f t="shared" si="800"/>
        <v>#DIV/0!</v>
      </c>
      <c r="U2520" s="150" t="e">
        <f t="shared" si="801"/>
        <v>#NUM!</v>
      </c>
      <c r="V2520" s="150" t="e">
        <f t="shared" si="802"/>
        <v>#DIV/0!</v>
      </c>
      <c r="W2520" s="152"/>
      <c r="X2520" s="152"/>
      <c r="Y2520" s="152"/>
      <c r="Z2520" s="153">
        <f t="shared" si="827"/>
        <v>0</v>
      </c>
      <c r="AA2520" s="148">
        <f t="shared" si="815"/>
        <v>0</v>
      </c>
      <c r="AB2520" s="149"/>
      <c r="AC2520" s="149"/>
      <c r="AD2520" s="150" t="e">
        <f t="shared" si="807"/>
        <v>#DIV/0!</v>
      </c>
      <c r="AE2520" s="154" t="e">
        <f t="shared" si="808"/>
        <v>#DIV/0!</v>
      </c>
      <c r="AF2520" s="150" t="e">
        <f t="shared" si="809"/>
        <v>#DIV/0!</v>
      </c>
      <c r="AG2520" s="150" t="e">
        <f t="shared" si="810"/>
        <v>#DIV/0!</v>
      </c>
      <c r="AH2520" s="155" t="e">
        <f t="shared" si="811"/>
        <v>#DIV/0!</v>
      </c>
      <c r="AI2520" s="156" t="e">
        <f t="shared" si="804"/>
        <v>#DIV/0!</v>
      </c>
      <c r="AJ2520" s="149"/>
      <c r="AK2520" s="149"/>
      <c r="AL2520" s="157"/>
      <c r="AM2520" s="157"/>
      <c r="AN2520" s="157"/>
      <c r="AO2520" s="157"/>
      <c r="AP2520" s="157"/>
      <c r="AQ2520" s="157"/>
      <c r="AR2520" s="157"/>
    </row>
    <row r="2521" spans="1:44" ht="16.8">
      <c r="A2521" s="145">
        <v>403</v>
      </c>
      <c r="B2521" s="145">
        <v>1191</v>
      </c>
      <c r="C2521" s="145" t="s">
        <v>4825</v>
      </c>
      <c r="D2521" s="146" t="s">
        <v>4826</v>
      </c>
      <c r="E2521" s="147" t="s">
        <v>178</v>
      </c>
      <c r="F2521" s="148"/>
      <c r="G2521" s="148"/>
      <c r="H2521" s="149"/>
      <c r="I2521" s="149"/>
      <c r="J2521" s="149"/>
      <c r="K2521" s="149"/>
      <c r="L2521" s="149"/>
      <c r="M2521" s="149">
        <f t="shared" si="821"/>
        <v>0</v>
      </c>
      <c r="N2521" s="149"/>
      <c r="O2521" s="149">
        <f t="shared" si="797"/>
        <v>0</v>
      </c>
      <c r="P2521" s="149"/>
      <c r="Q2521" s="149"/>
      <c r="R2521" s="149">
        <f t="shared" si="798"/>
        <v>0</v>
      </c>
      <c r="S2521" s="150" t="e">
        <f t="shared" si="799"/>
        <v>#DIV/0!</v>
      </c>
      <c r="T2521" s="151" t="e">
        <f t="shared" si="800"/>
        <v>#DIV/0!</v>
      </c>
      <c r="U2521" s="150" t="e">
        <f t="shared" si="801"/>
        <v>#NUM!</v>
      </c>
      <c r="V2521" s="150" t="e">
        <f t="shared" si="802"/>
        <v>#DIV/0!</v>
      </c>
      <c r="W2521" s="152"/>
      <c r="X2521" s="152"/>
      <c r="Y2521" s="152"/>
      <c r="Z2521" s="153">
        <f t="shared" si="827"/>
        <v>0</v>
      </c>
      <c r="AA2521" s="148">
        <f t="shared" si="815"/>
        <v>0</v>
      </c>
      <c r="AB2521" s="149"/>
      <c r="AC2521" s="149"/>
      <c r="AD2521" s="150" t="e">
        <f t="shared" si="807"/>
        <v>#DIV/0!</v>
      </c>
      <c r="AE2521" s="154" t="e">
        <f t="shared" si="808"/>
        <v>#DIV/0!</v>
      </c>
      <c r="AF2521" s="150" t="e">
        <f t="shared" si="809"/>
        <v>#DIV/0!</v>
      </c>
      <c r="AG2521" s="150" t="e">
        <f t="shared" si="810"/>
        <v>#DIV/0!</v>
      </c>
      <c r="AH2521" s="155" t="e">
        <f t="shared" si="811"/>
        <v>#DIV/0!</v>
      </c>
      <c r="AI2521" s="156" t="e">
        <f t="shared" si="804"/>
        <v>#DIV/0!</v>
      </c>
      <c r="AJ2521" s="149"/>
      <c r="AK2521" s="149"/>
      <c r="AL2521" s="157"/>
      <c r="AM2521" s="157"/>
      <c r="AN2521" s="157"/>
      <c r="AO2521" s="157"/>
      <c r="AP2521" s="157"/>
      <c r="AQ2521" s="157"/>
      <c r="AR2521" s="157"/>
    </row>
    <row r="2522" spans="1:44" ht="16.8">
      <c r="A2522" s="145">
        <v>404</v>
      </c>
      <c r="B2522" s="145">
        <v>1192</v>
      </c>
      <c r="C2522" s="145" t="s">
        <v>4827</v>
      </c>
      <c r="D2522" s="146" t="s">
        <v>4828</v>
      </c>
      <c r="E2522" s="147" t="s">
        <v>178</v>
      </c>
      <c r="F2522" s="148"/>
      <c r="G2522" s="148"/>
      <c r="H2522" s="149"/>
      <c r="I2522" s="149"/>
      <c r="J2522" s="149"/>
      <c r="K2522" s="149"/>
      <c r="L2522" s="149"/>
      <c r="M2522" s="149">
        <f t="shared" si="821"/>
        <v>0</v>
      </c>
      <c r="N2522" s="149"/>
      <c r="O2522" s="149">
        <f t="shared" si="797"/>
        <v>0</v>
      </c>
      <c r="P2522" s="149"/>
      <c r="Q2522" s="149"/>
      <c r="R2522" s="149">
        <f t="shared" si="798"/>
        <v>0</v>
      </c>
      <c r="S2522" s="150" t="e">
        <f t="shared" si="799"/>
        <v>#DIV/0!</v>
      </c>
      <c r="T2522" s="151" t="e">
        <f t="shared" si="800"/>
        <v>#DIV/0!</v>
      </c>
      <c r="U2522" s="150" t="e">
        <f t="shared" si="801"/>
        <v>#NUM!</v>
      </c>
      <c r="V2522" s="150" t="e">
        <f t="shared" si="802"/>
        <v>#DIV/0!</v>
      </c>
      <c r="W2522" s="152"/>
      <c r="X2522" s="152"/>
      <c r="Y2522" s="152"/>
      <c r="Z2522" s="153">
        <f t="shared" si="827"/>
        <v>0</v>
      </c>
      <c r="AA2522" s="148">
        <f t="shared" si="815"/>
        <v>0</v>
      </c>
      <c r="AB2522" s="149"/>
      <c r="AC2522" s="149"/>
      <c r="AD2522" s="150" t="e">
        <f t="shared" si="807"/>
        <v>#DIV/0!</v>
      </c>
      <c r="AE2522" s="154" t="e">
        <f t="shared" si="808"/>
        <v>#DIV/0!</v>
      </c>
      <c r="AF2522" s="150" t="e">
        <f t="shared" si="809"/>
        <v>#DIV/0!</v>
      </c>
      <c r="AG2522" s="150" t="e">
        <f t="shared" si="810"/>
        <v>#DIV/0!</v>
      </c>
      <c r="AH2522" s="155" t="e">
        <f t="shared" si="811"/>
        <v>#DIV/0!</v>
      </c>
      <c r="AI2522" s="156" t="e">
        <f t="shared" si="804"/>
        <v>#DIV/0!</v>
      </c>
      <c r="AJ2522" s="149"/>
      <c r="AK2522" s="149"/>
      <c r="AL2522" s="157"/>
      <c r="AM2522" s="157"/>
      <c r="AN2522" s="157"/>
      <c r="AO2522" s="157"/>
      <c r="AP2522" s="157"/>
      <c r="AQ2522" s="157"/>
      <c r="AR2522" s="157"/>
    </row>
    <row r="2523" spans="1:44" ht="16.8">
      <c r="A2523" s="145">
        <v>405</v>
      </c>
      <c r="B2523" s="145">
        <v>1193</v>
      </c>
      <c r="C2523" s="145" t="s">
        <v>4829</v>
      </c>
      <c r="D2523" s="146" t="s">
        <v>4830</v>
      </c>
      <c r="E2523" s="147" t="s">
        <v>178</v>
      </c>
      <c r="F2523" s="148"/>
      <c r="G2523" s="148"/>
      <c r="H2523" s="149"/>
      <c r="I2523" s="149"/>
      <c r="J2523" s="149"/>
      <c r="K2523" s="149"/>
      <c r="L2523" s="149"/>
      <c r="M2523" s="149">
        <f t="shared" si="821"/>
        <v>0</v>
      </c>
      <c r="N2523" s="149"/>
      <c r="O2523" s="149">
        <f t="shared" si="797"/>
        <v>0</v>
      </c>
      <c r="P2523" s="149"/>
      <c r="Q2523" s="149"/>
      <c r="R2523" s="149">
        <f t="shared" si="798"/>
        <v>0</v>
      </c>
      <c r="S2523" s="150" t="e">
        <f t="shared" si="799"/>
        <v>#DIV/0!</v>
      </c>
      <c r="T2523" s="151" t="e">
        <f t="shared" si="800"/>
        <v>#DIV/0!</v>
      </c>
      <c r="U2523" s="150" t="e">
        <f t="shared" si="801"/>
        <v>#NUM!</v>
      </c>
      <c r="V2523" s="150" t="e">
        <f t="shared" si="802"/>
        <v>#DIV/0!</v>
      </c>
      <c r="W2523" s="152"/>
      <c r="X2523" s="152"/>
      <c r="Y2523" s="152"/>
      <c r="Z2523" s="153">
        <f t="shared" si="827"/>
        <v>0</v>
      </c>
      <c r="AA2523" s="148">
        <f t="shared" si="815"/>
        <v>0</v>
      </c>
      <c r="AB2523" s="149"/>
      <c r="AC2523" s="149"/>
      <c r="AD2523" s="150" t="e">
        <f t="shared" si="807"/>
        <v>#DIV/0!</v>
      </c>
      <c r="AE2523" s="154" t="e">
        <f t="shared" si="808"/>
        <v>#DIV/0!</v>
      </c>
      <c r="AF2523" s="150" t="e">
        <f t="shared" si="809"/>
        <v>#DIV/0!</v>
      </c>
      <c r="AG2523" s="150" t="e">
        <f t="shared" si="810"/>
        <v>#DIV/0!</v>
      </c>
      <c r="AH2523" s="155" t="e">
        <f t="shared" si="811"/>
        <v>#DIV/0!</v>
      </c>
      <c r="AI2523" s="156" t="e">
        <f t="shared" si="804"/>
        <v>#DIV/0!</v>
      </c>
      <c r="AJ2523" s="149"/>
      <c r="AK2523" s="149"/>
      <c r="AL2523" s="157"/>
      <c r="AM2523" s="157"/>
      <c r="AN2523" s="157"/>
      <c r="AO2523" s="157"/>
      <c r="AP2523" s="157"/>
      <c r="AQ2523" s="157"/>
      <c r="AR2523" s="157"/>
    </row>
    <row r="2524" spans="1:44" ht="16.8">
      <c r="A2524" s="145">
        <v>406</v>
      </c>
      <c r="B2524" s="145">
        <v>1194</v>
      </c>
      <c r="C2524" s="145" t="s">
        <v>4831</v>
      </c>
      <c r="D2524" s="146" t="s">
        <v>4832</v>
      </c>
      <c r="E2524" s="147" t="s">
        <v>178</v>
      </c>
      <c r="F2524" s="148"/>
      <c r="G2524" s="148"/>
      <c r="H2524" s="149"/>
      <c r="I2524" s="149"/>
      <c r="J2524" s="149"/>
      <c r="K2524" s="149"/>
      <c r="L2524" s="149"/>
      <c r="M2524" s="149">
        <f t="shared" si="821"/>
        <v>0</v>
      </c>
      <c r="N2524" s="149"/>
      <c r="O2524" s="149">
        <f t="shared" si="797"/>
        <v>0</v>
      </c>
      <c r="P2524" s="149"/>
      <c r="Q2524" s="149"/>
      <c r="R2524" s="149">
        <f t="shared" si="798"/>
        <v>0</v>
      </c>
      <c r="S2524" s="150" t="e">
        <f t="shared" si="799"/>
        <v>#DIV/0!</v>
      </c>
      <c r="T2524" s="151" t="e">
        <f t="shared" si="800"/>
        <v>#DIV/0!</v>
      </c>
      <c r="U2524" s="150" t="e">
        <f t="shared" si="801"/>
        <v>#NUM!</v>
      </c>
      <c r="V2524" s="150" t="e">
        <f t="shared" si="802"/>
        <v>#DIV/0!</v>
      </c>
      <c r="W2524" s="152"/>
      <c r="X2524" s="152"/>
      <c r="Y2524" s="152"/>
      <c r="Z2524" s="153">
        <f t="shared" si="827"/>
        <v>0</v>
      </c>
      <c r="AA2524" s="148">
        <f t="shared" si="815"/>
        <v>0</v>
      </c>
      <c r="AB2524" s="149"/>
      <c r="AC2524" s="149"/>
      <c r="AD2524" s="150" t="e">
        <f t="shared" si="807"/>
        <v>#DIV/0!</v>
      </c>
      <c r="AE2524" s="154" t="e">
        <f t="shared" si="808"/>
        <v>#DIV/0!</v>
      </c>
      <c r="AF2524" s="150" t="e">
        <f t="shared" si="809"/>
        <v>#DIV/0!</v>
      </c>
      <c r="AG2524" s="150" t="e">
        <f t="shared" si="810"/>
        <v>#DIV/0!</v>
      </c>
      <c r="AH2524" s="155" t="e">
        <f t="shared" si="811"/>
        <v>#DIV/0!</v>
      </c>
      <c r="AI2524" s="156" t="e">
        <f t="shared" si="804"/>
        <v>#DIV/0!</v>
      </c>
      <c r="AJ2524" s="149"/>
      <c r="AK2524" s="149"/>
      <c r="AL2524" s="157"/>
      <c r="AM2524" s="157"/>
      <c r="AN2524" s="157"/>
      <c r="AO2524" s="157"/>
      <c r="AP2524" s="157"/>
      <c r="AQ2524" s="157"/>
      <c r="AR2524" s="157"/>
    </row>
    <row r="2525" spans="1:44" ht="16.8">
      <c r="A2525" s="145">
        <v>407</v>
      </c>
      <c r="B2525" s="145">
        <v>1195</v>
      </c>
      <c r="C2525" s="145" t="s">
        <v>4833</v>
      </c>
      <c r="D2525" s="146" t="s">
        <v>4834</v>
      </c>
      <c r="E2525" s="147" t="s">
        <v>178</v>
      </c>
      <c r="F2525" s="148"/>
      <c r="G2525" s="148"/>
      <c r="H2525" s="149"/>
      <c r="I2525" s="149"/>
      <c r="J2525" s="149"/>
      <c r="K2525" s="149"/>
      <c r="L2525" s="149"/>
      <c r="M2525" s="149">
        <f t="shared" si="821"/>
        <v>0</v>
      </c>
      <c r="N2525" s="149"/>
      <c r="O2525" s="149">
        <f t="shared" si="797"/>
        <v>0</v>
      </c>
      <c r="P2525" s="149"/>
      <c r="Q2525" s="149"/>
      <c r="R2525" s="149">
        <f t="shared" si="798"/>
        <v>0</v>
      </c>
      <c r="S2525" s="150" t="e">
        <f t="shared" si="799"/>
        <v>#DIV/0!</v>
      </c>
      <c r="T2525" s="151" t="e">
        <f t="shared" si="800"/>
        <v>#DIV/0!</v>
      </c>
      <c r="U2525" s="150" t="e">
        <f t="shared" si="801"/>
        <v>#NUM!</v>
      </c>
      <c r="V2525" s="150" t="e">
        <f t="shared" si="802"/>
        <v>#DIV/0!</v>
      </c>
      <c r="W2525" s="152"/>
      <c r="X2525" s="152"/>
      <c r="Y2525" s="152"/>
      <c r="Z2525" s="153">
        <f t="shared" si="827"/>
        <v>0</v>
      </c>
      <c r="AA2525" s="148">
        <f t="shared" si="815"/>
        <v>0</v>
      </c>
      <c r="AB2525" s="149"/>
      <c r="AC2525" s="149"/>
      <c r="AD2525" s="150" t="e">
        <f t="shared" si="807"/>
        <v>#DIV/0!</v>
      </c>
      <c r="AE2525" s="154" t="e">
        <f t="shared" si="808"/>
        <v>#DIV/0!</v>
      </c>
      <c r="AF2525" s="150" t="e">
        <f t="shared" si="809"/>
        <v>#DIV/0!</v>
      </c>
      <c r="AG2525" s="150" t="e">
        <f t="shared" si="810"/>
        <v>#DIV/0!</v>
      </c>
      <c r="AH2525" s="155" t="e">
        <f t="shared" si="811"/>
        <v>#DIV/0!</v>
      </c>
      <c r="AI2525" s="156" t="e">
        <f t="shared" si="804"/>
        <v>#DIV/0!</v>
      </c>
      <c r="AJ2525" s="149"/>
      <c r="AK2525" s="149"/>
      <c r="AL2525" s="157"/>
      <c r="AM2525" s="157"/>
      <c r="AN2525" s="157"/>
      <c r="AO2525" s="157"/>
      <c r="AP2525" s="157"/>
      <c r="AQ2525" s="157"/>
      <c r="AR2525" s="157"/>
    </row>
    <row r="2526" spans="1:44" ht="16.8">
      <c r="A2526" s="145">
        <v>408</v>
      </c>
      <c r="B2526" s="145">
        <v>1196</v>
      </c>
      <c r="C2526" s="145" t="s">
        <v>4835</v>
      </c>
      <c r="D2526" s="146" t="s">
        <v>4836</v>
      </c>
      <c r="E2526" s="147" t="s">
        <v>178</v>
      </c>
      <c r="F2526" s="148"/>
      <c r="G2526" s="148"/>
      <c r="H2526" s="149"/>
      <c r="I2526" s="149"/>
      <c r="J2526" s="149"/>
      <c r="K2526" s="149"/>
      <c r="L2526" s="149"/>
      <c r="M2526" s="149">
        <f t="shared" si="821"/>
        <v>0</v>
      </c>
      <c r="N2526" s="149"/>
      <c r="O2526" s="149">
        <f t="shared" si="797"/>
        <v>0</v>
      </c>
      <c r="P2526" s="149"/>
      <c r="Q2526" s="149"/>
      <c r="R2526" s="149">
        <f t="shared" si="798"/>
        <v>0</v>
      </c>
      <c r="S2526" s="150" t="e">
        <f t="shared" si="799"/>
        <v>#DIV/0!</v>
      </c>
      <c r="T2526" s="151" t="e">
        <f t="shared" si="800"/>
        <v>#DIV/0!</v>
      </c>
      <c r="U2526" s="150" t="e">
        <f t="shared" si="801"/>
        <v>#NUM!</v>
      </c>
      <c r="V2526" s="150" t="e">
        <f t="shared" si="802"/>
        <v>#DIV/0!</v>
      </c>
      <c r="W2526" s="152"/>
      <c r="X2526" s="152"/>
      <c r="Y2526" s="152"/>
      <c r="Z2526" s="153">
        <f t="shared" si="827"/>
        <v>0</v>
      </c>
      <c r="AA2526" s="148">
        <f t="shared" si="815"/>
        <v>0</v>
      </c>
      <c r="AB2526" s="149"/>
      <c r="AC2526" s="149"/>
      <c r="AD2526" s="150" t="e">
        <f t="shared" si="807"/>
        <v>#DIV/0!</v>
      </c>
      <c r="AE2526" s="154" t="e">
        <f t="shared" si="808"/>
        <v>#DIV/0!</v>
      </c>
      <c r="AF2526" s="150" t="e">
        <f t="shared" si="809"/>
        <v>#DIV/0!</v>
      </c>
      <c r="AG2526" s="150" t="e">
        <f t="shared" si="810"/>
        <v>#DIV/0!</v>
      </c>
      <c r="AH2526" s="155" t="e">
        <f t="shared" si="811"/>
        <v>#DIV/0!</v>
      </c>
      <c r="AI2526" s="156" t="e">
        <f t="shared" si="804"/>
        <v>#DIV/0!</v>
      </c>
      <c r="AJ2526" s="149"/>
      <c r="AK2526" s="149"/>
      <c r="AL2526" s="157"/>
      <c r="AM2526" s="157"/>
      <c r="AN2526" s="157"/>
      <c r="AO2526" s="157"/>
      <c r="AP2526" s="157"/>
      <c r="AQ2526" s="157"/>
      <c r="AR2526" s="157"/>
    </row>
    <row r="2527" spans="1:44" ht="16.8">
      <c r="A2527" s="145">
        <v>409</v>
      </c>
      <c r="B2527" s="145">
        <v>1197</v>
      </c>
      <c r="C2527" s="145" t="s">
        <v>4837</v>
      </c>
      <c r="D2527" s="146" t="s">
        <v>4838</v>
      </c>
      <c r="E2527" s="147" t="s">
        <v>178</v>
      </c>
      <c r="F2527" s="148"/>
      <c r="G2527" s="148"/>
      <c r="H2527" s="149"/>
      <c r="I2527" s="149"/>
      <c r="J2527" s="149"/>
      <c r="K2527" s="149"/>
      <c r="L2527" s="149"/>
      <c r="M2527" s="149">
        <f t="shared" si="821"/>
        <v>0</v>
      </c>
      <c r="N2527" s="149"/>
      <c r="O2527" s="149">
        <f t="shared" si="797"/>
        <v>0</v>
      </c>
      <c r="P2527" s="149"/>
      <c r="Q2527" s="149"/>
      <c r="R2527" s="149">
        <f t="shared" si="798"/>
        <v>0</v>
      </c>
      <c r="S2527" s="150" t="e">
        <f t="shared" si="799"/>
        <v>#DIV/0!</v>
      </c>
      <c r="T2527" s="151" t="e">
        <f t="shared" si="800"/>
        <v>#DIV/0!</v>
      </c>
      <c r="U2527" s="150" t="e">
        <f t="shared" si="801"/>
        <v>#NUM!</v>
      </c>
      <c r="V2527" s="150" t="e">
        <f t="shared" si="802"/>
        <v>#DIV/0!</v>
      </c>
      <c r="W2527" s="152"/>
      <c r="X2527" s="152"/>
      <c r="Y2527" s="152"/>
      <c r="Z2527" s="153">
        <f t="shared" si="827"/>
        <v>0</v>
      </c>
      <c r="AA2527" s="148">
        <f t="shared" si="815"/>
        <v>0</v>
      </c>
      <c r="AB2527" s="149"/>
      <c r="AC2527" s="149"/>
      <c r="AD2527" s="150" t="e">
        <f t="shared" si="807"/>
        <v>#DIV/0!</v>
      </c>
      <c r="AE2527" s="154" t="e">
        <f t="shared" si="808"/>
        <v>#DIV/0!</v>
      </c>
      <c r="AF2527" s="150" t="e">
        <f t="shared" si="809"/>
        <v>#DIV/0!</v>
      </c>
      <c r="AG2527" s="150" t="e">
        <f t="shared" si="810"/>
        <v>#DIV/0!</v>
      </c>
      <c r="AH2527" s="155" t="e">
        <f t="shared" si="811"/>
        <v>#DIV/0!</v>
      </c>
      <c r="AI2527" s="156" t="e">
        <f t="shared" si="804"/>
        <v>#DIV/0!</v>
      </c>
      <c r="AJ2527" s="149"/>
      <c r="AK2527" s="149"/>
      <c r="AL2527" s="157"/>
      <c r="AM2527" s="157"/>
      <c r="AN2527" s="157"/>
      <c r="AO2527" s="157"/>
      <c r="AP2527" s="157"/>
      <c r="AQ2527" s="157"/>
      <c r="AR2527" s="157"/>
    </row>
    <row r="2528" spans="1:44" ht="16.8">
      <c r="A2528" s="145">
        <v>410</v>
      </c>
      <c r="B2528" s="145">
        <v>1198</v>
      </c>
      <c r="C2528" s="145" t="s">
        <v>4839</v>
      </c>
      <c r="D2528" s="146" t="s">
        <v>4840</v>
      </c>
      <c r="E2528" s="147" t="s">
        <v>178</v>
      </c>
      <c r="F2528" s="148"/>
      <c r="G2528" s="148"/>
      <c r="H2528" s="149"/>
      <c r="I2528" s="149"/>
      <c r="J2528" s="149"/>
      <c r="K2528" s="149"/>
      <c r="L2528" s="149"/>
      <c r="M2528" s="149">
        <f t="shared" si="821"/>
        <v>0</v>
      </c>
      <c r="N2528" s="149"/>
      <c r="O2528" s="149">
        <f t="shared" si="797"/>
        <v>0</v>
      </c>
      <c r="P2528" s="149"/>
      <c r="Q2528" s="149"/>
      <c r="R2528" s="149">
        <f t="shared" si="798"/>
        <v>0</v>
      </c>
      <c r="S2528" s="150" t="e">
        <f t="shared" si="799"/>
        <v>#DIV/0!</v>
      </c>
      <c r="T2528" s="151" t="e">
        <f t="shared" si="800"/>
        <v>#DIV/0!</v>
      </c>
      <c r="U2528" s="150" t="e">
        <f t="shared" si="801"/>
        <v>#NUM!</v>
      </c>
      <c r="V2528" s="150" t="e">
        <f t="shared" si="802"/>
        <v>#DIV/0!</v>
      </c>
      <c r="W2528" s="152"/>
      <c r="X2528" s="152"/>
      <c r="Y2528" s="152"/>
      <c r="Z2528" s="153">
        <f t="shared" si="827"/>
        <v>0</v>
      </c>
      <c r="AA2528" s="148">
        <f t="shared" si="815"/>
        <v>0</v>
      </c>
      <c r="AB2528" s="149"/>
      <c r="AC2528" s="149"/>
      <c r="AD2528" s="150" t="e">
        <f t="shared" si="807"/>
        <v>#DIV/0!</v>
      </c>
      <c r="AE2528" s="154" t="e">
        <f t="shared" si="808"/>
        <v>#DIV/0!</v>
      </c>
      <c r="AF2528" s="150" t="e">
        <f t="shared" si="809"/>
        <v>#DIV/0!</v>
      </c>
      <c r="AG2528" s="150" t="e">
        <f t="shared" si="810"/>
        <v>#DIV/0!</v>
      </c>
      <c r="AH2528" s="155" t="e">
        <f t="shared" si="811"/>
        <v>#DIV/0!</v>
      </c>
      <c r="AI2528" s="156" t="e">
        <f t="shared" si="804"/>
        <v>#DIV/0!</v>
      </c>
      <c r="AJ2528" s="149"/>
      <c r="AK2528" s="149"/>
      <c r="AL2528" s="157"/>
      <c r="AM2528" s="157"/>
      <c r="AN2528" s="157"/>
      <c r="AO2528" s="157"/>
      <c r="AP2528" s="157"/>
      <c r="AQ2528" s="157"/>
      <c r="AR2528" s="157"/>
    </row>
    <row r="2529" spans="1:44" ht="16.8">
      <c r="A2529" s="145">
        <v>411</v>
      </c>
      <c r="B2529" s="145">
        <v>1199</v>
      </c>
      <c r="C2529" s="145" t="s">
        <v>4841</v>
      </c>
      <c r="D2529" s="146" t="s">
        <v>4842</v>
      </c>
      <c r="E2529" s="147" t="s">
        <v>178</v>
      </c>
      <c r="F2529" s="148"/>
      <c r="G2529" s="148"/>
      <c r="H2529" s="149"/>
      <c r="I2529" s="149"/>
      <c r="J2529" s="149"/>
      <c r="K2529" s="149"/>
      <c r="L2529" s="149"/>
      <c r="M2529" s="149">
        <f t="shared" si="821"/>
        <v>0</v>
      </c>
      <c r="N2529" s="149"/>
      <c r="O2529" s="149">
        <f t="shared" si="797"/>
        <v>0</v>
      </c>
      <c r="P2529" s="149"/>
      <c r="Q2529" s="149"/>
      <c r="R2529" s="149">
        <f t="shared" si="798"/>
        <v>0</v>
      </c>
      <c r="S2529" s="150" t="e">
        <f t="shared" si="799"/>
        <v>#DIV/0!</v>
      </c>
      <c r="T2529" s="151" t="e">
        <f t="shared" si="800"/>
        <v>#DIV/0!</v>
      </c>
      <c r="U2529" s="150" t="e">
        <f t="shared" si="801"/>
        <v>#NUM!</v>
      </c>
      <c r="V2529" s="150" t="e">
        <f t="shared" si="802"/>
        <v>#DIV/0!</v>
      </c>
      <c r="W2529" s="152"/>
      <c r="X2529" s="152"/>
      <c r="Y2529" s="152"/>
      <c r="Z2529" s="153">
        <f t="shared" si="827"/>
        <v>0</v>
      </c>
      <c r="AA2529" s="148">
        <f t="shared" si="815"/>
        <v>0</v>
      </c>
      <c r="AB2529" s="149"/>
      <c r="AC2529" s="149"/>
      <c r="AD2529" s="150" t="e">
        <f t="shared" si="807"/>
        <v>#DIV/0!</v>
      </c>
      <c r="AE2529" s="154" t="e">
        <f t="shared" si="808"/>
        <v>#DIV/0!</v>
      </c>
      <c r="AF2529" s="150" t="e">
        <f t="shared" si="809"/>
        <v>#DIV/0!</v>
      </c>
      <c r="AG2529" s="150" t="e">
        <f t="shared" si="810"/>
        <v>#DIV/0!</v>
      </c>
      <c r="AH2529" s="155" t="e">
        <f t="shared" si="811"/>
        <v>#DIV/0!</v>
      </c>
      <c r="AI2529" s="156" t="e">
        <f t="shared" si="804"/>
        <v>#DIV/0!</v>
      </c>
      <c r="AJ2529" s="149"/>
      <c r="AK2529" s="149"/>
      <c r="AL2529" s="157"/>
      <c r="AM2529" s="157"/>
      <c r="AN2529" s="157"/>
      <c r="AO2529" s="157"/>
      <c r="AP2529" s="157"/>
      <c r="AQ2529" s="157"/>
      <c r="AR2529" s="157"/>
    </row>
    <row r="2530" spans="1:44" ht="16.8">
      <c r="A2530" s="145">
        <v>412</v>
      </c>
      <c r="B2530" s="145">
        <v>1200</v>
      </c>
      <c r="C2530" s="145" t="s">
        <v>4843</v>
      </c>
      <c r="D2530" s="146" t="s">
        <v>4844</v>
      </c>
      <c r="E2530" s="147" t="s">
        <v>178</v>
      </c>
      <c r="F2530" s="148"/>
      <c r="G2530" s="148"/>
      <c r="H2530" s="149"/>
      <c r="I2530" s="149"/>
      <c r="J2530" s="149"/>
      <c r="K2530" s="149"/>
      <c r="L2530" s="149"/>
      <c r="M2530" s="149">
        <f t="shared" si="821"/>
        <v>0</v>
      </c>
      <c r="N2530" s="149"/>
      <c r="O2530" s="149">
        <f t="shared" si="797"/>
        <v>0</v>
      </c>
      <c r="P2530" s="149"/>
      <c r="Q2530" s="149"/>
      <c r="R2530" s="149">
        <f t="shared" si="798"/>
        <v>0</v>
      </c>
      <c r="S2530" s="150" t="e">
        <f t="shared" si="799"/>
        <v>#DIV/0!</v>
      </c>
      <c r="T2530" s="151" t="e">
        <f t="shared" si="800"/>
        <v>#DIV/0!</v>
      </c>
      <c r="U2530" s="150" t="e">
        <f t="shared" si="801"/>
        <v>#NUM!</v>
      </c>
      <c r="V2530" s="150" t="e">
        <f t="shared" si="802"/>
        <v>#DIV/0!</v>
      </c>
      <c r="W2530" s="152"/>
      <c r="X2530" s="152"/>
      <c r="Y2530" s="152"/>
      <c r="Z2530" s="153">
        <f t="shared" si="827"/>
        <v>0</v>
      </c>
      <c r="AA2530" s="148">
        <f t="shared" si="815"/>
        <v>0</v>
      </c>
      <c r="AB2530" s="149"/>
      <c r="AC2530" s="149"/>
      <c r="AD2530" s="150" t="e">
        <f t="shared" si="807"/>
        <v>#DIV/0!</v>
      </c>
      <c r="AE2530" s="154" t="e">
        <f t="shared" si="808"/>
        <v>#DIV/0!</v>
      </c>
      <c r="AF2530" s="150" t="e">
        <f t="shared" si="809"/>
        <v>#DIV/0!</v>
      </c>
      <c r="AG2530" s="150" t="e">
        <f t="shared" si="810"/>
        <v>#DIV/0!</v>
      </c>
      <c r="AH2530" s="155" t="e">
        <f t="shared" si="811"/>
        <v>#DIV/0!</v>
      </c>
      <c r="AI2530" s="156" t="e">
        <f t="shared" si="804"/>
        <v>#DIV/0!</v>
      </c>
      <c r="AJ2530" s="149"/>
      <c r="AK2530" s="149"/>
      <c r="AL2530" s="157"/>
      <c r="AM2530" s="157"/>
      <c r="AN2530" s="157"/>
      <c r="AO2530" s="157"/>
      <c r="AP2530" s="157"/>
      <c r="AQ2530" s="157"/>
      <c r="AR2530" s="157"/>
    </row>
    <row r="2531" spans="1:44" ht="16.8">
      <c r="A2531" s="145">
        <v>413</v>
      </c>
      <c r="B2531" s="145">
        <v>1201</v>
      </c>
      <c r="C2531" s="145" t="s">
        <v>4845</v>
      </c>
      <c r="D2531" s="146" t="s">
        <v>4846</v>
      </c>
      <c r="E2531" s="147" t="s">
        <v>178</v>
      </c>
      <c r="F2531" s="148"/>
      <c r="G2531" s="148"/>
      <c r="H2531" s="149"/>
      <c r="I2531" s="149"/>
      <c r="J2531" s="149"/>
      <c r="K2531" s="149"/>
      <c r="L2531" s="149"/>
      <c r="M2531" s="149">
        <f t="shared" si="821"/>
        <v>0</v>
      </c>
      <c r="N2531" s="149"/>
      <c r="O2531" s="149">
        <f t="shared" si="797"/>
        <v>0</v>
      </c>
      <c r="P2531" s="149"/>
      <c r="Q2531" s="149"/>
      <c r="R2531" s="149">
        <f t="shared" si="798"/>
        <v>0</v>
      </c>
      <c r="S2531" s="150" t="e">
        <f t="shared" si="799"/>
        <v>#DIV/0!</v>
      </c>
      <c r="T2531" s="151" t="e">
        <f t="shared" si="800"/>
        <v>#DIV/0!</v>
      </c>
      <c r="U2531" s="150" t="e">
        <f t="shared" si="801"/>
        <v>#NUM!</v>
      </c>
      <c r="V2531" s="150" t="e">
        <f t="shared" si="802"/>
        <v>#DIV/0!</v>
      </c>
      <c r="W2531" s="152"/>
      <c r="X2531" s="152"/>
      <c r="Y2531" s="152"/>
      <c r="Z2531" s="153">
        <f t="shared" si="827"/>
        <v>0</v>
      </c>
      <c r="AA2531" s="148">
        <f t="shared" si="815"/>
        <v>0</v>
      </c>
      <c r="AB2531" s="149"/>
      <c r="AC2531" s="149"/>
      <c r="AD2531" s="150" t="e">
        <f t="shared" si="807"/>
        <v>#DIV/0!</v>
      </c>
      <c r="AE2531" s="154" t="e">
        <f t="shared" si="808"/>
        <v>#DIV/0!</v>
      </c>
      <c r="AF2531" s="150" t="e">
        <f t="shared" si="809"/>
        <v>#DIV/0!</v>
      </c>
      <c r="AG2531" s="150" t="e">
        <f t="shared" si="810"/>
        <v>#DIV/0!</v>
      </c>
      <c r="AH2531" s="155" t="e">
        <f t="shared" si="811"/>
        <v>#DIV/0!</v>
      </c>
      <c r="AI2531" s="156" t="e">
        <f t="shared" si="804"/>
        <v>#DIV/0!</v>
      </c>
      <c r="AJ2531" s="149"/>
      <c r="AK2531" s="149"/>
      <c r="AL2531" s="157"/>
      <c r="AM2531" s="157"/>
      <c r="AN2531" s="157"/>
      <c r="AO2531" s="157"/>
      <c r="AP2531" s="157"/>
      <c r="AQ2531" s="157"/>
      <c r="AR2531" s="157"/>
    </row>
    <row r="2532" spans="1:44" ht="16.8">
      <c r="A2532" s="145">
        <v>414</v>
      </c>
      <c r="B2532" s="145">
        <v>1202</v>
      </c>
      <c r="C2532" s="145" t="s">
        <v>4847</v>
      </c>
      <c r="D2532" s="146" t="s">
        <v>4848</v>
      </c>
      <c r="E2532" s="147" t="s">
        <v>178</v>
      </c>
      <c r="F2532" s="148"/>
      <c r="G2532" s="148"/>
      <c r="H2532" s="149"/>
      <c r="I2532" s="149"/>
      <c r="J2532" s="149"/>
      <c r="K2532" s="149"/>
      <c r="L2532" s="149"/>
      <c r="M2532" s="149">
        <f t="shared" si="821"/>
        <v>0</v>
      </c>
      <c r="N2532" s="149"/>
      <c r="O2532" s="149">
        <f t="shared" si="797"/>
        <v>0</v>
      </c>
      <c r="P2532" s="149"/>
      <c r="Q2532" s="149"/>
      <c r="R2532" s="149">
        <f t="shared" si="798"/>
        <v>0</v>
      </c>
      <c r="S2532" s="150" t="e">
        <f t="shared" si="799"/>
        <v>#DIV/0!</v>
      </c>
      <c r="T2532" s="151" t="e">
        <f t="shared" si="800"/>
        <v>#DIV/0!</v>
      </c>
      <c r="U2532" s="150" t="e">
        <f t="shared" si="801"/>
        <v>#NUM!</v>
      </c>
      <c r="V2532" s="150" t="e">
        <f t="shared" si="802"/>
        <v>#DIV/0!</v>
      </c>
      <c r="W2532" s="152"/>
      <c r="X2532" s="152"/>
      <c r="Y2532" s="152"/>
      <c r="Z2532" s="153">
        <f t="shared" si="827"/>
        <v>0</v>
      </c>
      <c r="AA2532" s="148">
        <f t="shared" si="815"/>
        <v>0</v>
      </c>
      <c r="AB2532" s="149"/>
      <c r="AC2532" s="149"/>
      <c r="AD2532" s="150" t="e">
        <f t="shared" si="807"/>
        <v>#DIV/0!</v>
      </c>
      <c r="AE2532" s="154" t="e">
        <f t="shared" si="808"/>
        <v>#DIV/0!</v>
      </c>
      <c r="AF2532" s="150" t="e">
        <f t="shared" si="809"/>
        <v>#DIV/0!</v>
      </c>
      <c r="AG2532" s="150" t="e">
        <f t="shared" si="810"/>
        <v>#DIV/0!</v>
      </c>
      <c r="AH2532" s="155" t="e">
        <f t="shared" si="811"/>
        <v>#DIV/0!</v>
      </c>
      <c r="AI2532" s="156" t="e">
        <f t="shared" si="804"/>
        <v>#DIV/0!</v>
      </c>
      <c r="AJ2532" s="149"/>
      <c r="AK2532" s="149"/>
      <c r="AL2532" s="157"/>
      <c r="AM2532" s="157"/>
      <c r="AN2532" s="157"/>
      <c r="AO2532" s="157"/>
      <c r="AP2532" s="157"/>
      <c r="AQ2532" s="157"/>
      <c r="AR2532" s="157"/>
    </row>
    <row r="2533" spans="1:44" ht="16.8">
      <c r="A2533" s="145">
        <v>415</v>
      </c>
      <c r="B2533" s="145">
        <v>1203</v>
      </c>
      <c r="C2533" s="145" t="s">
        <v>4849</v>
      </c>
      <c r="D2533" s="146" t="s">
        <v>4850</v>
      </c>
      <c r="E2533" s="147" t="s">
        <v>178</v>
      </c>
      <c r="F2533" s="148"/>
      <c r="G2533" s="148"/>
      <c r="H2533" s="149"/>
      <c r="I2533" s="149"/>
      <c r="J2533" s="149"/>
      <c r="K2533" s="149"/>
      <c r="L2533" s="149"/>
      <c r="M2533" s="149">
        <f t="shared" si="821"/>
        <v>0</v>
      </c>
      <c r="N2533" s="149"/>
      <c r="O2533" s="149">
        <f t="shared" si="797"/>
        <v>0</v>
      </c>
      <c r="P2533" s="149"/>
      <c r="Q2533" s="149"/>
      <c r="R2533" s="149">
        <f t="shared" si="798"/>
        <v>0</v>
      </c>
      <c r="S2533" s="150" t="e">
        <f t="shared" si="799"/>
        <v>#DIV/0!</v>
      </c>
      <c r="T2533" s="151" t="e">
        <f t="shared" si="800"/>
        <v>#DIV/0!</v>
      </c>
      <c r="U2533" s="150" t="e">
        <f t="shared" si="801"/>
        <v>#NUM!</v>
      </c>
      <c r="V2533" s="150" t="e">
        <f t="shared" si="802"/>
        <v>#DIV/0!</v>
      </c>
      <c r="W2533" s="152"/>
      <c r="X2533" s="152"/>
      <c r="Y2533" s="152"/>
      <c r="Z2533" s="153">
        <f t="shared" si="827"/>
        <v>0</v>
      </c>
      <c r="AA2533" s="148">
        <f t="shared" si="815"/>
        <v>0</v>
      </c>
      <c r="AB2533" s="149"/>
      <c r="AC2533" s="149"/>
      <c r="AD2533" s="150" t="e">
        <f t="shared" si="807"/>
        <v>#DIV/0!</v>
      </c>
      <c r="AE2533" s="154" t="e">
        <f t="shared" si="808"/>
        <v>#DIV/0!</v>
      </c>
      <c r="AF2533" s="150" t="e">
        <f t="shared" si="809"/>
        <v>#DIV/0!</v>
      </c>
      <c r="AG2533" s="150" t="e">
        <f t="shared" si="810"/>
        <v>#DIV/0!</v>
      </c>
      <c r="AH2533" s="155" t="e">
        <f t="shared" si="811"/>
        <v>#DIV/0!</v>
      </c>
      <c r="AI2533" s="156" t="e">
        <f t="shared" si="804"/>
        <v>#DIV/0!</v>
      </c>
      <c r="AJ2533" s="149"/>
      <c r="AK2533" s="149"/>
      <c r="AL2533" s="157"/>
      <c r="AM2533" s="157"/>
      <c r="AN2533" s="157"/>
      <c r="AO2533" s="157"/>
      <c r="AP2533" s="157"/>
      <c r="AQ2533" s="157"/>
      <c r="AR2533" s="157"/>
    </row>
    <row r="2534" spans="1:44" ht="16.8">
      <c r="A2534" s="145">
        <v>416</v>
      </c>
      <c r="B2534" s="145">
        <v>1204</v>
      </c>
      <c r="C2534" s="145" t="s">
        <v>4851</v>
      </c>
      <c r="D2534" s="146" t="s">
        <v>4852</v>
      </c>
      <c r="E2534" s="147" t="s">
        <v>178</v>
      </c>
      <c r="F2534" s="148"/>
      <c r="G2534" s="148"/>
      <c r="H2534" s="149"/>
      <c r="I2534" s="149"/>
      <c r="J2534" s="149"/>
      <c r="K2534" s="149"/>
      <c r="L2534" s="149"/>
      <c r="M2534" s="149">
        <f t="shared" si="821"/>
        <v>0</v>
      </c>
      <c r="N2534" s="149"/>
      <c r="O2534" s="149">
        <f t="shared" si="797"/>
        <v>0</v>
      </c>
      <c r="P2534" s="149"/>
      <c r="Q2534" s="149"/>
      <c r="R2534" s="149">
        <f t="shared" si="798"/>
        <v>0</v>
      </c>
      <c r="S2534" s="150" t="e">
        <f t="shared" si="799"/>
        <v>#DIV/0!</v>
      </c>
      <c r="T2534" s="151" t="e">
        <f t="shared" si="800"/>
        <v>#DIV/0!</v>
      </c>
      <c r="U2534" s="150" t="e">
        <f t="shared" si="801"/>
        <v>#NUM!</v>
      </c>
      <c r="V2534" s="150" t="e">
        <f t="shared" si="802"/>
        <v>#DIV/0!</v>
      </c>
      <c r="W2534" s="152"/>
      <c r="X2534" s="152"/>
      <c r="Y2534" s="152"/>
      <c r="Z2534" s="153">
        <f t="shared" si="827"/>
        <v>0</v>
      </c>
      <c r="AA2534" s="148">
        <f t="shared" si="815"/>
        <v>0</v>
      </c>
      <c r="AB2534" s="149"/>
      <c r="AC2534" s="149"/>
      <c r="AD2534" s="150" t="e">
        <f t="shared" si="807"/>
        <v>#DIV/0!</v>
      </c>
      <c r="AE2534" s="154" t="e">
        <f t="shared" si="808"/>
        <v>#DIV/0!</v>
      </c>
      <c r="AF2534" s="150" t="e">
        <f t="shared" si="809"/>
        <v>#DIV/0!</v>
      </c>
      <c r="AG2534" s="150" t="e">
        <f t="shared" si="810"/>
        <v>#DIV/0!</v>
      </c>
      <c r="AH2534" s="155" t="e">
        <f t="shared" si="811"/>
        <v>#DIV/0!</v>
      </c>
      <c r="AI2534" s="156" t="e">
        <f t="shared" si="804"/>
        <v>#DIV/0!</v>
      </c>
      <c r="AJ2534" s="149"/>
      <c r="AK2534" s="149"/>
      <c r="AL2534" s="157"/>
      <c r="AM2534" s="157"/>
      <c r="AN2534" s="157"/>
      <c r="AO2534" s="157"/>
      <c r="AP2534" s="157"/>
      <c r="AQ2534" s="157"/>
      <c r="AR2534" s="157"/>
    </row>
    <row r="2535" spans="1:44" ht="16.8">
      <c r="A2535" s="145">
        <v>418</v>
      </c>
      <c r="B2535" s="145">
        <v>1206</v>
      </c>
      <c r="C2535" s="145" t="s">
        <v>4853</v>
      </c>
      <c r="D2535" s="146" t="s">
        <v>4854</v>
      </c>
      <c r="E2535" s="147" t="s">
        <v>178</v>
      </c>
      <c r="F2535" s="148"/>
      <c r="G2535" s="148"/>
      <c r="H2535" s="149"/>
      <c r="I2535" s="149"/>
      <c r="J2535" s="149"/>
      <c r="K2535" s="149"/>
      <c r="L2535" s="149"/>
      <c r="M2535" s="149">
        <f t="shared" si="821"/>
        <v>0</v>
      </c>
      <c r="N2535" s="149"/>
      <c r="O2535" s="149">
        <f t="shared" si="797"/>
        <v>0</v>
      </c>
      <c r="P2535" s="149"/>
      <c r="Q2535" s="149"/>
      <c r="R2535" s="149">
        <f t="shared" si="798"/>
        <v>0</v>
      </c>
      <c r="S2535" s="150" t="e">
        <f t="shared" si="799"/>
        <v>#DIV/0!</v>
      </c>
      <c r="T2535" s="151" t="e">
        <f t="shared" si="800"/>
        <v>#DIV/0!</v>
      </c>
      <c r="U2535" s="150" t="e">
        <f t="shared" si="801"/>
        <v>#NUM!</v>
      </c>
      <c r="V2535" s="150" t="e">
        <f t="shared" si="802"/>
        <v>#DIV/0!</v>
      </c>
      <c r="W2535" s="152"/>
      <c r="X2535" s="152"/>
      <c r="Y2535" s="152"/>
      <c r="Z2535" s="153">
        <f t="shared" si="827"/>
        <v>0</v>
      </c>
      <c r="AA2535" s="148">
        <f t="shared" si="815"/>
        <v>0</v>
      </c>
      <c r="AB2535" s="149"/>
      <c r="AC2535" s="149"/>
      <c r="AD2535" s="150" t="e">
        <f t="shared" si="807"/>
        <v>#DIV/0!</v>
      </c>
      <c r="AE2535" s="154" t="e">
        <f t="shared" si="808"/>
        <v>#DIV/0!</v>
      </c>
      <c r="AF2535" s="150" t="e">
        <f t="shared" si="809"/>
        <v>#DIV/0!</v>
      </c>
      <c r="AG2535" s="150" t="e">
        <f t="shared" si="810"/>
        <v>#DIV/0!</v>
      </c>
      <c r="AH2535" s="155" t="e">
        <f t="shared" si="811"/>
        <v>#DIV/0!</v>
      </c>
      <c r="AI2535" s="156" t="e">
        <f t="shared" si="804"/>
        <v>#DIV/0!</v>
      </c>
      <c r="AJ2535" s="149"/>
      <c r="AK2535" s="149"/>
      <c r="AL2535" s="157"/>
      <c r="AM2535" s="157"/>
      <c r="AN2535" s="157"/>
      <c r="AO2535" s="157"/>
      <c r="AP2535" s="157"/>
      <c r="AQ2535" s="157"/>
      <c r="AR2535" s="157"/>
    </row>
    <row r="2536" spans="1:44" ht="16.8">
      <c r="A2536" s="145">
        <v>419</v>
      </c>
      <c r="B2536" s="145">
        <v>1207</v>
      </c>
      <c r="C2536" s="145" t="s">
        <v>4855</v>
      </c>
      <c r="D2536" s="146" t="s">
        <v>4856</v>
      </c>
      <c r="E2536" s="147" t="s">
        <v>178</v>
      </c>
      <c r="F2536" s="148"/>
      <c r="G2536" s="148"/>
      <c r="H2536" s="149"/>
      <c r="I2536" s="149"/>
      <c r="J2536" s="149"/>
      <c r="K2536" s="149"/>
      <c r="L2536" s="149"/>
      <c r="M2536" s="149">
        <f t="shared" si="821"/>
        <v>0</v>
      </c>
      <c r="N2536" s="149"/>
      <c r="O2536" s="149">
        <f t="shared" si="797"/>
        <v>0</v>
      </c>
      <c r="P2536" s="149"/>
      <c r="Q2536" s="149"/>
      <c r="R2536" s="149">
        <f t="shared" si="798"/>
        <v>0</v>
      </c>
      <c r="S2536" s="150" t="e">
        <f t="shared" si="799"/>
        <v>#DIV/0!</v>
      </c>
      <c r="T2536" s="151" t="e">
        <f t="shared" si="800"/>
        <v>#DIV/0!</v>
      </c>
      <c r="U2536" s="150" t="e">
        <f t="shared" si="801"/>
        <v>#NUM!</v>
      </c>
      <c r="V2536" s="150" t="e">
        <f t="shared" si="802"/>
        <v>#DIV/0!</v>
      </c>
      <c r="W2536" s="152"/>
      <c r="X2536" s="152"/>
      <c r="Y2536" s="152"/>
      <c r="Z2536" s="153">
        <f t="shared" si="827"/>
        <v>0</v>
      </c>
      <c r="AA2536" s="148">
        <f t="shared" si="815"/>
        <v>0</v>
      </c>
      <c r="AB2536" s="149"/>
      <c r="AC2536" s="149"/>
      <c r="AD2536" s="150" t="e">
        <f t="shared" si="807"/>
        <v>#DIV/0!</v>
      </c>
      <c r="AE2536" s="154" t="e">
        <f t="shared" si="808"/>
        <v>#DIV/0!</v>
      </c>
      <c r="AF2536" s="150" t="e">
        <f t="shared" si="809"/>
        <v>#DIV/0!</v>
      </c>
      <c r="AG2536" s="150" t="e">
        <f t="shared" si="810"/>
        <v>#DIV/0!</v>
      </c>
      <c r="AH2536" s="155" t="e">
        <f t="shared" si="811"/>
        <v>#DIV/0!</v>
      </c>
      <c r="AI2536" s="156" t="e">
        <f t="shared" si="804"/>
        <v>#DIV/0!</v>
      </c>
      <c r="AJ2536" s="149"/>
      <c r="AK2536" s="149"/>
      <c r="AL2536" s="157"/>
      <c r="AM2536" s="157"/>
      <c r="AN2536" s="157"/>
      <c r="AO2536" s="157"/>
      <c r="AP2536" s="157"/>
      <c r="AQ2536" s="157"/>
      <c r="AR2536" s="157"/>
    </row>
    <row r="2537" spans="1:44" ht="16.8">
      <c r="A2537" s="145">
        <v>420</v>
      </c>
      <c r="B2537" s="145">
        <v>1208</v>
      </c>
      <c r="C2537" s="145" t="s">
        <v>4857</v>
      </c>
      <c r="D2537" s="146" t="s">
        <v>4858</v>
      </c>
      <c r="E2537" s="147" t="s">
        <v>178</v>
      </c>
      <c r="F2537" s="148"/>
      <c r="G2537" s="148"/>
      <c r="H2537" s="149"/>
      <c r="I2537" s="149"/>
      <c r="J2537" s="149"/>
      <c r="K2537" s="149"/>
      <c r="L2537" s="149"/>
      <c r="M2537" s="149">
        <f t="shared" si="821"/>
        <v>0</v>
      </c>
      <c r="N2537" s="149"/>
      <c r="O2537" s="149">
        <f t="shared" si="797"/>
        <v>0</v>
      </c>
      <c r="P2537" s="149"/>
      <c r="Q2537" s="149"/>
      <c r="R2537" s="149">
        <f t="shared" si="798"/>
        <v>0</v>
      </c>
      <c r="S2537" s="150" t="e">
        <f t="shared" si="799"/>
        <v>#DIV/0!</v>
      </c>
      <c r="T2537" s="151" t="e">
        <f t="shared" si="800"/>
        <v>#DIV/0!</v>
      </c>
      <c r="U2537" s="150" t="e">
        <f t="shared" si="801"/>
        <v>#NUM!</v>
      </c>
      <c r="V2537" s="150" t="e">
        <f t="shared" si="802"/>
        <v>#DIV/0!</v>
      </c>
      <c r="W2537" s="152"/>
      <c r="X2537" s="152"/>
      <c r="Y2537" s="152"/>
      <c r="Z2537" s="153">
        <f t="shared" si="827"/>
        <v>0</v>
      </c>
      <c r="AA2537" s="148">
        <f t="shared" si="815"/>
        <v>0</v>
      </c>
      <c r="AB2537" s="149"/>
      <c r="AC2537" s="149"/>
      <c r="AD2537" s="150" t="e">
        <f t="shared" si="807"/>
        <v>#DIV/0!</v>
      </c>
      <c r="AE2537" s="154" t="e">
        <f t="shared" si="808"/>
        <v>#DIV/0!</v>
      </c>
      <c r="AF2537" s="150" t="e">
        <f t="shared" si="809"/>
        <v>#DIV/0!</v>
      </c>
      <c r="AG2537" s="150" t="e">
        <f t="shared" si="810"/>
        <v>#DIV/0!</v>
      </c>
      <c r="AH2537" s="155" t="e">
        <f t="shared" si="811"/>
        <v>#DIV/0!</v>
      </c>
      <c r="AI2537" s="156" t="e">
        <f t="shared" si="804"/>
        <v>#DIV/0!</v>
      </c>
      <c r="AJ2537" s="149"/>
      <c r="AK2537" s="149"/>
      <c r="AL2537" s="157"/>
      <c r="AM2537" s="157"/>
      <c r="AN2537" s="157"/>
      <c r="AO2537" s="157"/>
      <c r="AP2537" s="157"/>
      <c r="AQ2537" s="157"/>
      <c r="AR2537" s="157"/>
    </row>
    <row r="2538" spans="1:44" ht="16.8">
      <c r="A2538" s="145">
        <v>421</v>
      </c>
      <c r="B2538" s="145">
        <v>1209</v>
      </c>
      <c r="C2538" s="145" t="s">
        <v>4859</v>
      </c>
      <c r="D2538" s="146" t="s">
        <v>4860</v>
      </c>
      <c r="E2538" s="147" t="s">
        <v>178</v>
      </c>
      <c r="F2538" s="148"/>
      <c r="G2538" s="148"/>
      <c r="H2538" s="149"/>
      <c r="I2538" s="149"/>
      <c r="J2538" s="149"/>
      <c r="K2538" s="149"/>
      <c r="L2538" s="149"/>
      <c r="M2538" s="149">
        <f t="shared" si="821"/>
        <v>0</v>
      </c>
      <c r="N2538" s="149"/>
      <c r="O2538" s="149">
        <f t="shared" si="797"/>
        <v>0</v>
      </c>
      <c r="P2538" s="149"/>
      <c r="Q2538" s="149"/>
      <c r="R2538" s="149">
        <f t="shared" si="798"/>
        <v>0</v>
      </c>
      <c r="S2538" s="150" t="e">
        <f t="shared" si="799"/>
        <v>#DIV/0!</v>
      </c>
      <c r="T2538" s="151" t="e">
        <f t="shared" si="800"/>
        <v>#DIV/0!</v>
      </c>
      <c r="U2538" s="150" t="e">
        <f t="shared" si="801"/>
        <v>#NUM!</v>
      </c>
      <c r="V2538" s="150" t="e">
        <f t="shared" si="802"/>
        <v>#DIV/0!</v>
      </c>
      <c r="W2538" s="152"/>
      <c r="X2538" s="152"/>
      <c r="Y2538" s="152"/>
      <c r="Z2538" s="153">
        <f t="shared" si="827"/>
        <v>0</v>
      </c>
      <c r="AA2538" s="148">
        <f t="shared" si="815"/>
        <v>0</v>
      </c>
      <c r="AB2538" s="149"/>
      <c r="AC2538" s="149"/>
      <c r="AD2538" s="150" t="e">
        <f t="shared" si="807"/>
        <v>#DIV/0!</v>
      </c>
      <c r="AE2538" s="154" t="e">
        <f t="shared" si="808"/>
        <v>#DIV/0!</v>
      </c>
      <c r="AF2538" s="150" t="e">
        <f t="shared" si="809"/>
        <v>#DIV/0!</v>
      </c>
      <c r="AG2538" s="150" t="e">
        <f t="shared" si="810"/>
        <v>#DIV/0!</v>
      </c>
      <c r="AH2538" s="155" t="e">
        <f t="shared" si="811"/>
        <v>#DIV/0!</v>
      </c>
      <c r="AI2538" s="156" t="e">
        <f t="shared" si="804"/>
        <v>#DIV/0!</v>
      </c>
      <c r="AJ2538" s="149"/>
      <c r="AK2538" s="149"/>
      <c r="AL2538" s="157"/>
      <c r="AM2538" s="157"/>
      <c r="AN2538" s="157"/>
      <c r="AO2538" s="157"/>
      <c r="AP2538" s="157"/>
      <c r="AQ2538" s="157"/>
      <c r="AR2538" s="157"/>
    </row>
    <row r="2539" spans="1:44" ht="16.8">
      <c r="A2539" s="145">
        <v>422</v>
      </c>
      <c r="B2539" s="145">
        <v>1210</v>
      </c>
      <c r="C2539" s="145" t="s">
        <v>4861</v>
      </c>
      <c r="D2539" s="146" t="s">
        <v>4862</v>
      </c>
      <c r="E2539" s="147" t="s">
        <v>178</v>
      </c>
      <c r="F2539" s="148"/>
      <c r="G2539" s="148"/>
      <c r="H2539" s="149"/>
      <c r="I2539" s="149"/>
      <c r="J2539" s="149"/>
      <c r="K2539" s="149"/>
      <c r="L2539" s="149"/>
      <c r="M2539" s="149">
        <f t="shared" si="821"/>
        <v>0</v>
      </c>
      <c r="N2539" s="149"/>
      <c r="O2539" s="149">
        <f t="shared" si="797"/>
        <v>0</v>
      </c>
      <c r="P2539" s="149"/>
      <c r="Q2539" s="149"/>
      <c r="R2539" s="149">
        <f t="shared" si="798"/>
        <v>0</v>
      </c>
      <c r="S2539" s="150" t="e">
        <f t="shared" si="799"/>
        <v>#DIV/0!</v>
      </c>
      <c r="T2539" s="151" t="e">
        <f t="shared" si="800"/>
        <v>#DIV/0!</v>
      </c>
      <c r="U2539" s="150" t="e">
        <f t="shared" si="801"/>
        <v>#NUM!</v>
      </c>
      <c r="V2539" s="150" t="e">
        <f t="shared" si="802"/>
        <v>#DIV/0!</v>
      </c>
      <c r="W2539" s="152"/>
      <c r="X2539" s="152"/>
      <c r="Y2539" s="152"/>
      <c r="Z2539" s="153">
        <f t="shared" si="827"/>
        <v>0</v>
      </c>
      <c r="AA2539" s="148">
        <f t="shared" si="815"/>
        <v>0</v>
      </c>
      <c r="AB2539" s="149"/>
      <c r="AC2539" s="149"/>
      <c r="AD2539" s="150" t="e">
        <f t="shared" si="807"/>
        <v>#DIV/0!</v>
      </c>
      <c r="AE2539" s="154" t="e">
        <f t="shared" si="808"/>
        <v>#DIV/0!</v>
      </c>
      <c r="AF2539" s="150" t="e">
        <f t="shared" si="809"/>
        <v>#DIV/0!</v>
      </c>
      <c r="AG2539" s="150" t="e">
        <f t="shared" si="810"/>
        <v>#DIV/0!</v>
      </c>
      <c r="AH2539" s="155" t="e">
        <f t="shared" si="811"/>
        <v>#DIV/0!</v>
      </c>
      <c r="AI2539" s="156" t="e">
        <f t="shared" si="804"/>
        <v>#DIV/0!</v>
      </c>
      <c r="AJ2539" s="149"/>
      <c r="AK2539" s="149"/>
      <c r="AL2539" s="157"/>
      <c r="AM2539" s="157"/>
      <c r="AN2539" s="157"/>
      <c r="AO2539" s="157"/>
      <c r="AP2539" s="157"/>
      <c r="AQ2539" s="157"/>
      <c r="AR2539" s="157"/>
    </row>
    <row r="2540" spans="1:44" ht="16.8">
      <c r="A2540" s="145">
        <v>423</v>
      </c>
      <c r="B2540" s="145">
        <v>1211</v>
      </c>
      <c r="C2540" s="145" t="s">
        <v>4863</v>
      </c>
      <c r="D2540" s="146" t="s">
        <v>4864</v>
      </c>
      <c r="E2540" s="147" t="s">
        <v>178</v>
      </c>
      <c r="F2540" s="148"/>
      <c r="G2540" s="148"/>
      <c r="H2540" s="149"/>
      <c r="I2540" s="149"/>
      <c r="J2540" s="149"/>
      <c r="K2540" s="149"/>
      <c r="L2540" s="149"/>
      <c r="M2540" s="149">
        <f t="shared" si="821"/>
        <v>0</v>
      </c>
      <c r="N2540" s="149"/>
      <c r="O2540" s="149">
        <f t="shared" si="797"/>
        <v>0</v>
      </c>
      <c r="P2540" s="149"/>
      <c r="Q2540" s="149"/>
      <c r="R2540" s="149">
        <f t="shared" si="798"/>
        <v>0</v>
      </c>
      <c r="S2540" s="150" t="e">
        <f t="shared" si="799"/>
        <v>#DIV/0!</v>
      </c>
      <c r="T2540" s="151" t="e">
        <f t="shared" si="800"/>
        <v>#DIV/0!</v>
      </c>
      <c r="U2540" s="150" t="e">
        <f t="shared" si="801"/>
        <v>#NUM!</v>
      </c>
      <c r="V2540" s="150" t="e">
        <f t="shared" si="802"/>
        <v>#DIV/0!</v>
      </c>
      <c r="W2540" s="152"/>
      <c r="X2540" s="152"/>
      <c r="Y2540" s="152"/>
      <c r="Z2540" s="153">
        <f t="shared" si="827"/>
        <v>0</v>
      </c>
      <c r="AA2540" s="148">
        <f t="shared" si="815"/>
        <v>0</v>
      </c>
      <c r="AB2540" s="149"/>
      <c r="AC2540" s="149"/>
      <c r="AD2540" s="150" t="e">
        <f t="shared" si="807"/>
        <v>#DIV/0!</v>
      </c>
      <c r="AE2540" s="154" t="e">
        <f t="shared" si="808"/>
        <v>#DIV/0!</v>
      </c>
      <c r="AF2540" s="150" t="e">
        <f t="shared" si="809"/>
        <v>#DIV/0!</v>
      </c>
      <c r="AG2540" s="150" t="e">
        <f t="shared" si="810"/>
        <v>#DIV/0!</v>
      </c>
      <c r="AH2540" s="155" t="e">
        <f t="shared" si="811"/>
        <v>#DIV/0!</v>
      </c>
      <c r="AI2540" s="156" t="e">
        <f t="shared" si="804"/>
        <v>#DIV/0!</v>
      </c>
      <c r="AJ2540" s="149"/>
      <c r="AK2540" s="149"/>
      <c r="AL2540" s="157"/>
      <c r="AM2540" s="157"/>
      <c r="AN2540" s="157"/>
      <c r="AO2540" s="157"/>
      <c r="AP2540" s="157"/>
      <c r="AQ2540" s="157"/>
      <c r="AR2540" s="157"/>
    </row>
    <row r="2541" spans="1:44" ht="16.8">
      <c r="A2541" s="145">
        <v>424</v>
      </c>
      <c r="B2541" s="145">
        <v>1212</v>
      </c>
      <c r="C2541" s="145" t="s">
        <v>4865</v>
      </c>
      <c r="D2541" s="146" t="s">
        <v>4866</v>
      </c>
      <c r="E2541" s="147" t="s">
        <v>178</v>
      </c>
      <c r="F2541" s="148"/>
      <c r="G2541" s="148"/>
      <c r="H2541" s="149"/>
      <c r="I2541" s="149"/>
      <c r="J2541" s="149"/>
      <c r="K2541" s="149"/>
      <c r="L2541" s="149"/>
      <c r="M2541" s="149">
        <f t="shared" si="821"/>
        <v>0</v>
      </c>
      <c r="N2541" s="149"/>
      <c r="O2541" s="149">
        <f t="shared" si="797"/>
        <v>0</v>
      </c>
      <c r="P2541" s="149"/>
      <c r="Q2541" s="149"/>
      <c r="R2541" s="149">
        <f t="shared" si="798"/>
        <v>0</v>
      </c>
      <c r="S2541" s="150" t="e">
        <f t="shared" si="799"/>
        <v>#DIV/0!</v>
      </c>
      <c r="T2541" s="151" t="e">
        <f t="shared" si="800"/>
        <v>#DIV/0!</v>
      </c>
      <c r="U2541" s="150" t="e">
        <f t="shared" si="801"/>
        <v>#NUM!</v>
      </c>
      <c r="V2541" s="150" t="e">
        <f t="shared" si="802"/>
        <v>#DIV/0!</v>
      </c>
      <c r="W2541" s="152"/>
      <c r="X2541" s="152"/>
      <c r="Y2541" s="152"/>
      <c r="Z2541" s="153">
        <f t="shared" si="827"/>
        <v>0</v>
      </c>
      <c r="AA2541" s="148">
        <f t="shared" si="815"/>
        <v>0</v>
      </c>
      <c r="AB2541" s="149"/>
      <c r="AC2541" s="149"/>
      <c r="AD2541" s="150" t="e">
        <f t="shared" si="807"/>
        <v>#DIV/0!</v>
      </c>
      <c r="AE2541" s="154" t="e">
        <f t="shared" si="808"/>
        <v>#DIV/0!</v>
      </c>
      <c r="AF2541" s="150" t="e">
        <f t="shared" si="809"/>
        <v>#DIV/0!</v>
      </c>
      <c r="AG2541" s="150" t="e">
        <f t="shared" si="810"/>
        <v>#DIV/0!</v>
      </c>
      <c r="AH2541" s="155" t="e">
        <f t="shared" si="811"/>
        <v>#DIV/0!</v>
      </c>
      <c r="AI2541" s="156" t="e">
        <f t="shared" si="804"/>
        <v>#DIV/0!</v>
      </c>
      <c r="AJ2541" s="149"/>
      <c r="AK2541" s="149"/>
      <c r="AL2541" s="157"/>
      <c r="AM2541" s="157"/>
      <c r="AN2541" s="157"/>
      <c r="AO2541" s="157"/>
      <c r="AP2541" s="157"/>
      <c r="AQ2541" s="157"/>
      <c r="AR2541" s="157"/>
    </row>
    <row r="2542" spans="1:44" ht="16.8">
      <c r="A2542" s="145">
        <v>425</v>
      </c>
      <c r="B2542" s="145">
        <v>1213</v>
      </c>
      <c r="C2542" s="145" t="s">
        <v>4867</v>
      </c>
      <c r="D2542" s="146" t="s">
        <v>4868</v>
      </c>
      <c r="E2542" s="147" t="s">
        <v>178</v>
      </c>
      <c r="F2542" s="148"/>
      <c r="G2542" s="148"/>
      <c r="H2542" s="149"/>
      <c r="I2542" s="149"/>
      <c r="J2542" s="149"/>
      <c r="K2542" s="149"/>
      <c r="L2542" s="149"/>
      <c r="M2542" s="149">
        <f t="shared" si="821"/>
        <v>0</v>
      </c>
      <c r="N2542" s="149"/>
      <c r="O2542" s="149">
        <f t="shared" si="797"/>
        <v>0</v>
      </c>
      <c r="P2542" s="149"/>
      <c r="Q2542" s="149"/>
      <c r="R2542" s="149">
        <f t="shared" si="798"/>
        <v>0</v>
      </c>
      <c r="S2542" s="150" t="e">
        <f t="shared" si="799"/>
        <v>#DIV/0!</v>
      </c>
      <c r="T2542" s="151" t="e">
        <f t="shared" si="800"/>
        <v>#DIV/0!</v>
      </c>
      <c r="U2542" s="150" t="e">
        <f t="shared" si="801"/>
        <v>#NUM!</v>
      </c>
      <c r="V2542" s="150" t="e">
        <f t="shared" si="802"/>
        <v>#DIV/0!</v>
      </c>
      <c r="W2542" s="152"/>
      <c r="X2542" s="152"/>
      <c r="Y2542" s="152"/>
      <c r="Z2542" s="153">
        <f t="shared" si="827"/>
        <v>0</v>
      </c>
      <c r="AA2542" s="148">
        <f t="shared" si="815"/>
        <v>0</v>
      </c>
      <c r="AB2542" s="149"/>
      <c r="AC2542" s="149"/>
      <c r="AD2542" s="150" t="e">
        <f t="shared" si="807"/>
        <v>#DIV/0!</v>
      </c>
      <c r="AE2542" s="154" t="e">
        <f t="shared" si="808"/>
        <v>#DIV/0!</v>
      </c>
      <c r="AF2542" s="150" t="e">
        <f t="shared" si="809"/>
        <v>#DIV/0!</v>
      </c>
      <c r="AG2542" s="150" t="e">
        <f t="shared" si="810"/>
        <v>#DIV/0!</v>
      </c>
      <c r="AH2542" s="155" t="e">
        <f t="shared" si="811"/>
        <v>#DIV/0!</v>
      </c>
      <c r="AI2542" s="156" t="e">
        <f t="shared" si="804"/>
        <v>#DIV/0!</v>
      </c>
      <c r="AJ2542" s="149"/>
      <c r="AK2542" s="149"/>
      <c r="AL2542" s="157"/>
      <c r="AM2542" s="157"/>
      <c r="AN2542" s="157"/>
      <c r="AO2542" s="157"/>
      <c r="AP2542" s="157"/>
      <c r="AQ2542" s="157"/>
      <c r="AR2542" s="157"/>
    </row>
    <row r="2543" spans="1:44" ht="16.8">
      <c r="A2543" s="145">
        <v>426</v>
      </c>
      <c r="B2543" s="145">
        <v>1214</v>
      </c>
      <c r="C2543" s="145" t="s">
        <v>4869</v>
      </c>
      <c r="D2543" s="146" t="s">
        <v>4870</v>
      </c>
      <c r="E2543" s="147" t="s">
        <v>178</v>
      </c>
      <c r="F2543" s="148"/>
      <c r="G2543" s="148"/>
      <c r="H2543" s="149"/>
      <c r="I2543" s="149"/>
      <c r="J2543" s="149"/>
      <c r="K2543" s="149"/>
      <c r="L2543" s="149"/>
      <c r="M2543" s="149">
        <f t="shared" si="821"/>
        <v>0</v>
      </c>
      <c r="N2543" s="149"/>
      <c r="O2543" s="149">
        <f t="shared" si="797"/>
        <v>0</v>
      </c>
      <c r="P2543" s="149"/>
      <c r="Q2543" s="149"/>
      <c r="R2543" s="149">
        <f t="shared" si="798"/>
        <v>0</v>
      </c>
      <c r="S2543" s="150" t="e">
        <f t="shared" si="799"/>
        <v>#DIV/0!</v>
      </c>
      <c r="T2543" s="151" t="e">
        <f t="shared" si="800"/>
        <v>#DIV/0!</v>
      </c>
      <c r="U2543" s="150" t="e">
        <f t="shared" si="801"/>
        <v>#NUM!</v>
      </c>
      <c r="V2543" s="150" t="e">
        <f t="shared" si="802"/>
        <v>#DIV/0!</v>
      </c>
      <c r="W2543" s="152"/>
      <c r="X2543" s="152"/>
      <c r="Y2543" s="152"/>
      <c r="Z2543" s="153">
        <f t="shared" si="827"/>
        <v>0</v>
      </c>
      <c r="AA2543" s="148">
        <f t="shared" si="815"/>
        <v>0</v>
      </c>
      <c r="AB2543" s="149"/>
      <c r="AC2543" s="149"/>
      <c r="AD2543" s="150" t="e">
        <f t="shared" si="807"/>
        <v>#DIV/0!</v>
      </c>
      <c r="AE2543" s="154" t="e">
        <f t="shared" si="808"/>
        <v>#DIV/0!</v>
      </c>
      <c r="AF2543" s="150" t="e">
        <f t="shared" si="809"/>
        <v>#DIV/0!</v>
      </c>
      <c r="AG2543" s="150" t="e">
        <f t="shared" si="810"/>
        <v>#DIV/0!</v>
      </c>
      <c r="AH2543" s="155" t="e">
        <f t="shared" si="811"/>
        <v>#DIV/0!</v>
      </c>
      <c r="AI2543" s="156" t="e">
        <f t="shared" si="804"/>
        <v>#DIV/0!</v>
      </c>
      <c r="AJ2543" s="149"/>
      <c r="AK2543" s="149"/>
      <c r="AL2543" s="157"/>
      <c r="AM2543" s="157"/>
      <c r="AN2543" s="157"/>
      <c r="AO2543" s="157"/>
      <c r="AP2543" s="157"/>
      <c r="AQ2543" s="157"/>
      <c r="AR2543" s="157"/>
    </row>
    <row r="2544" spans="1:44" ht="16.8">
      <c r="A2544" s="145">
        <v>427</v>
      </c>
      <c r="B2544" s="145">
        <v>1215</v>
      </c>
      <c r="C2544" s="145" t="s">
        <v>4871</v>
      </c>
      <c r="D2544" s="146" t="s">
        <v>4872</v>
      </c>
      <c r="E2544" s="147" t="s">
        <v>178</v>
      </c>
      <c r="F2544" s="148"/>
      <c r="G2544" s="148"/>
      <c r="H2544" s="149"/>
      <c r="I2544" s="149"/>
      <c r="J2544" s="149"/>
      <c r="K2544" s="149"/>
      <c r="L2544" s="149"/>
      <c r="M2544" s="149">
        <f t="shared" si="821"/>
        <v>0</v>
      </c>
      <c r="N2544" s="149"/>
      <c r="O2544" s="149">
        <f t="shared" si="797"/>
        <v>0</v>
      </c>
      <c r="P2544" s="149"/>
      <c r="Q2544" s="149"/>
      <c r="R2544" s="149">
        <f t="shared" si="798"/>
        <v>0</v>
      </c>
      <c r="S2544" s="150" t="e">
        <f t="shared" si="799"/>
        <v>#DIV/0!</v>
      </c>
      <c r="T2544" s="151" t="e">
        <f t="shared" si="800"/>
        <v>#DIV/0!</v>
      </c>
      <c r="U2544" s="150" t="e">
        <f t="shared" si="801"/>
        <v>#NUM!</v>
      </c>
      <c r="V2544" s="150" t="e">
        <f t="shared" si="802"/>
        <v>#DIV/0!</v>
      </c>
      <c r="W2544" s="152"/>
      <c r="X2544" s="152"/>
      <c r="Y2544" s="152"/>
      <c r="Z2544" s="153">
        <f t="shared" si="827"/>
        <v>0</v>
      </c>
      <c r="AA2544" s="148">
        <f t="shared" si="815"/>
        <v>0</v>
      </c>
      <c r="AB2544" s="149"/>
      <c r="AC2544" s="149"/>
      <c r="AD2544" s="150" t="e">
        <f t="shared" si="807"/>
        <v>#DIV/0!</v>
      </c>
      <c r="AE2544" s="154" t="e">
        <f t="shared" si="808"/>
        <v>#DIV/0!</v>
      </c>
      <c r="AF2544" s="150" t="e">
        <f t="shared" si="809"/>
        <v>#DIV/0!</v>
      </c>
      <c r="AG2544" s="150" t="e">
        <f t="shared" si="810"/>
        <v>#DIV/0!</v>
      </c>
      <c r="AH2544" s="155" t="e">
        <f t="shared" si="811"/>
        <v>#DIV/0!</v>
      </c>
      <c r="AI2544" s="156" t="e">
        <f t="shared" si="804"/>
        <v>#DIV/0!</v>
      </c>
      <c r="AJ2544" s="149"/>
      <c r="AK2544" s="149"/>
      <c r="AL2544" s="157"/>
      <c r="AM2544" s="157"/>
      <c r="AN2544" s="157"/>
      <c r="AO2544" s="157"/>
      <c r="AP2544" s="157"/>
      <c r="AQ2544" s="157"/>
      <c r="AR2544" s="157"/>
    </row>
    <row r="2545" spans="1:44" ht="16.8">
      <c r="A2545" s="145">
        <v>428</v>
      </c>
      <c r="B2545" s="145">
        <v>1216</v>
      </c>
      <c r="C2545" s="145" t="s">
        <v>4873</v>
      </c>
      <c r="D2545" s="146" t="s">
        <v>4874</v>
      </c>
      <c r="E2545" s="147" t="s">
        <v>178</v>
      </c>
      <c r="F2545" s="148"/>
      <c r="G2545" s="148"/>
      <c r="H2545" s="149"/>
      <c r="I2545" s="149"/>
      <c r="J2545" s="149"/>
      <c r="K2545" s="149"/>
      <c r="L2545" s="149"/>
      <c r="M2545" s="149">
        <f t="shared" si="821"/>
        <v>0</v>
      </c>
      <c r="N2545" s="149"/>
      <c r="O2545" s="149">
        <f t="shared" si="797"/>
        <v>0</v>
      </c>
      <c r="P2545" s="149"/>
      <c r="Q2545" s="149"/>
      <c r="R2545" s="149">
        <f t="shared" si="798"/>
        <v>0</v>
      </c>
      <c r="S2545" s="150" t="e">
        <f t="shared" si="799"/>
        <v>#DIV/0!</v>
      </c>
      <c r="T2545" s="151" t="e">
        <f t="shared" si="800"/>
        <v>#DIV/0!</v>
      </c>
      <c r="U2545" s="150" t="e">
        <f t="shared" si="801"/>
        <v>#NUM!</v>
      </c>
      <c r="V2545" s="150" t="e">
        <f t="shared" si="802"/>
        <v>#DIV/0!</v>
      </c>
      <c r="W2545" s="152"/>
      <c r="X2545" s="152"/>
      <c r="Y2545" s="152"/>
      <c r="Z2545" s="153">
        <f t="shared" si="827"/>
        <v>0</v>
      </c>
      <c r="AA2545" s="148">
        <f t="shared" si="815"/>
        <v>0</v>
      </c>
      <c r="AB2545" s="149"/>
      <c r="AC2545" s="149"/>
      <c r="AD2545" s="150" t="e">
        <f t="shared" si="807"/>
        <v>#DIV/0!</v>
      </c>
      <c r="AE2545" s="154" t="e">
        <f t="shared" si="808"/>
        <v>#DIV/0!</v>
      </c>
      <c r="AF2545" s="150" t="e">
        <f t="shared" si="809"/>
        <v>#DIV/0!</v>
      </c>
      <c r="AG2545" s="150" t="e">
        <f t="shared" si="810"/>
        <v>#DIV/0!</v>
      </c>
      <c r="AH2545" s="155" t="e">
        <f t="shared" si="811"/>
        <v>#DIV/0!</v>
      </c>
      <c r="AI2545" s="156" t="e">
        <f t="shared" si="804"/>
        <v>#DIV/0!</v>
      </c>
      <c r="AJ2545" s="149"/>
      <c r="AK2545" s="149"/>
      <c r="AL2545" s="157"/>
      <c r="AM2545" s="157"/>
      <c r="AN2545" s="157"/>
      <c r="AO2545" s="157"/>
      <c r="AP2545" s="157"/>
      <c r="AQ2545" s="157"/>
      <c r="AR2545" s="157"/>
    </row>
    <row r="2546" spans="1:44" ht="16.8">
      <c r="A2546" s="145">
        <v>429</v>
      </c>
      <c r="B2546" s="145">
        <v>1217</v>
      </c>
      <c r="C2546" s="145" t="s">
        <v>4875</v>
      </c>
      <c r="D2546" s="146" t="s">
        <v>4876</v>
      </c>
      <c r="E2546" s="147" t="s">
        <v>178</v>
      </c>
      <c r="F2546" s="148"/>
      <c r="G2546" s="148"/>
      <c r="H2546" s="149"/>
      <c r="I2546" s="149"/>
      <c r="J2546" s="149"/>
      <c r="K2546" s="149"/>
      <c r="L2546" s="149"/>
      <c r="M2546" s="149">
        <f t="shared" si="821"/>
        <v>0</v>
      </c>
      <c r="N2546" s="149"/>
      <c r="O2546" s="149">
        <f t="shared" si="797"/>
        <v>0</v>
      </c>
      <c r="P2546" s="149"/>
      <c r="Q2546" s="149"/>
      <c r="R2546" s="149">
        <f t="shared" si="798"/>
        <v>0</v>
      </c>
      <c r="S2546" s="150" t="e">
        <f t="shared" si="799"/>
        <v>#DIV/0!</v>
      </c>
      <c r="T2546" s="151" t="e">
        <f t="shared" si="800"/>
        <v>#DIV/0!</v>
      </c>
      <c r="U2546" s="150" t="e">
        <f t="shared" si="801"/>
        <v>#NUM!</v>
      </c>
      <c r="V2546" s="150" t="e">
        <f t="shared" si="802"/>
        <v>#DIV/0!</v>
      </c>
      <c r="W2546" s="152"/>
      <c r="X2546" s="152"/>
      <c r="Y2546" s="152"/>
      <c r="Z2546" s="153">
        <f t="shared" si="827"/>
        <v>0</v>
      </c>
      <c r="AA2546" s="148">
        <f t="shared" si="815"/>
        <v>0</v>
      </c>
      <c r="AB2546" s="149"/>
      <c r="AC2546" s="149"/>
      <c r="AD2546" s="150" t="e">
        <f t="shared" si="807"/>
        <v>#DIV/0!</v>
      </c>
      <c r="AE2546" s="154" t="e">
        <f t="shared" si="808"/>
        <v>#DIV/0!</v>
      </c>
      <c r="AF2546" s="150" t="e">
        <f t="shared" si="809"/>
        <v>#DIV/0!</v>
      </c>
      <c r="AG2546" s="150" t="e">
        <f t="shared" si="810"/>
        <v>#DIV/0!</v>
      </c>
      <c r="AH2546" s="155" t="e">
        <f t="shared" si="811"/>
        <v>#DIV/0!</v>
      </c>
      <c r="AI2546" s="156" t="e">
        <f t="shared" si="804"/>
        <v>#DIV/0!</v>
      </c>
      <c r="AJ2546" s="149"/>
      <c r="AK2546" s="149"/>
      <c r="AL2546" s="157"/>
      <c r="AM2546" s="157"/>
      <c r="AN2546" s="157"/>
      <c r="AO2546" s="157"/>
      <c r="AP2546" s="157"/>
      <c r="AQ2546" s="157"/>
      <c r="AR2546" s="157"/>
    </row>
    <row r="2547" spans="1:44" ht="16.8">
      <c r="A2547" s="145">
        <v>430</v>
      </c>
      <c r="B2547" s="145">
        <v>1218</v>
      </c>
      <c r="C2547" s="145" t="s">
        <v>4877</v>
      </c>
      <c r="D2547" s="146" t="s">
        <v>4878</v>
      </c>
      <c r="E2547" s="147" t="s">
        <v>178</v>
      </c>
      <c r="F2547" s="148"/>
      <c r="G2547" s="148"/>
      <c r="H2547" s="149"/>
      <c r="I2547" s="149"/>
      <c r="J2547" s="149"/>
      <c r="K2547" s="149"/>
      <c r="L2547" s="149"/>
      <c r="M2547" s="149">
        <f t="shared" si="821"/>
        <v>0</v>
      </c>
      <c r="N2547" s="149"/>
      <c r="O2547" s="149">
        <f t="shared" si="797"/>
        <v>0</v>
      </c>
      <c r="P2547" s="149"/>
      <c r="Q2547" s="149"/>
      <c r="R2547" s="149">
        <f t="shared" si="798"/>
        <v>0</v>
      </c>
      <c r="S2547" s="150" t="e">
        <f t="shared" si="799"/>
        <v>#DIV/0!</v>
      </c>
      <c r="T2547" s="151" t="e">
        <f t="shared" si="800"/>
        <v>#DIV/0!</v>
      </c>
      <c r="U2547" s="150" t="e">
        <f t="shared" si="801"/>
        <v>#NUM!</v>
      </c>
      <c r="V2547" s="150" t="e">
        <f t="shared" si="802"/>
        <v>#DIV/0!</v>
      </c>
      <c r="W2547" s="152"/>
      <c r="X2547" s="152"/>
      <c r="Y2547" s="152"/>
      <c r="Z2547" s="153">
        <f t="shared" si="827"/>
        <v>0</v>
      </c>
      <c r="AA2547" s="148">
        <f t="shared" si="815"/>
        <v>0</v>
      </c>
      <c r="AB2547" s="149"/>
      <c r="AC2547" s="149"/>
      <c r="AD2547" s="150" t="e">
        <f t="shared" si="807"/>
        <v>#DIV/0!</v>
      </c>
      <c r="AE2547" s="154" t="e">
        <f t="shared" si="808"/>
        <v>#DIV/0!</v>
      </c>
      <c r="AF2547" s="150" t="e">
        <f t="shared" si="809"/>
        <v>#DIV/0!</v>
      </c>
      <c r="AG2547" s="150" t="e">
        <f t="shared" si="810"/>
        <v>#DIV/0!</v>
      </c>
      <c r="AH2547" s="155" t="e">
        <f t="shared" si="811"/>
        <v>#DIV/0!</v>
      </c>
      <c r="AI2547" s="156" t="e">
        <f t="shared" si="804"/>
        <v>#DIV/0!</v>
      </c>
      <c r="AJ2547" s="149"/>
      <c r="AK2547" s="149"/>
      <c r="AL2547" s="157"/>
      <c r="AM2547" s="157"/>
      <c r="AN2547" s="157"/>
      <c r="AO2547" s="157"/>
      <c r="AP2547" s="157"/>
      <c r="AQ2547" s="157"/>
      <c r="AR2547" s="157"/>
    </row>
    <row r="2548" spans="1:44" ht="16.8">
      <c r="A2548" s="145">
        <v>431</v>
      </c>
      <c r="B2548" s="145">
        <v>1219</v>
      </c>
      <c r="C2548" s="145" t="s">
        <v>4879</v>
      </c>
      <c r="D2548" s="146" t="s">
        <v>4880</v>
      </c>
      <c r="E2548" s="147" t="s">
        <v>178</v>
      </c>
      <c r="F2548" s="148"/>
      <c r="G2548" s="148"/>
      <c r="H2548" s="149"/>
      <c r="I2548" s="149"/>
      <c r="J2548" s="149"/>
      <c r="K2548" s="149"/>
      <c r="L2548" s="149"/>
      <c r="M2548" s="149">
        <f t="shared" si="821"/>
        <v>0</v>
      </c>
      <c r="N2548" s="149"/>
      <c r="O2548" s="149">
        <f t="shared" si="797"/>
        <v>0</v>
      </c>
      <c r="P2548" s="149"/>
      <c r="Q2548" s="149"/>
      <c r="R2548" s="149">
        <f t="shared" si="798"/>
        <v>0</v>
      </c>
      <c r="S2548" s="150" t="e">
        <f t="shared" si="799"/>
        <v>#DIV/0!</v>
      </c>
      <c r="T2548" s="151" t="e">
        <f t="shared" si="800"/>
        <v>#DIV/0!</v>
      </c>
      <c r="U2548" s="150" t="e">
        <f t="shared" si="801"/>
        <v>#NUM!</v>
      </c>
      <c r="V2548" s="150" t="e">
        <f t="shared" si="802"/>
        <v>#DIV/0!</v>
      </c>
      <c r="W2548" s="152"/>
      <c r="X2548" s="152"/>
      <c r="Y2548" s="152"/>
      <c r="Z2548" s="153">
        <f t="shared" si="827"/>
        <v>0</v>
      </c>
      <c r="AA2548" s="148">
        <f t="shared" si="815"/>
        <v>0</v>
      </c>
      <c r="AB2548" s="149"/>
      <c r="AC2548" s="149"/>
      <c r="AD2548" s="150" t="e">
        <f t="shared" si="807"/>
        <v>#DIV/0!</v>
      </c>
      <c r="AE2548" s="154" t="e">
        <f t="shared" si="808"/>
        <v>#DIV/0!</v>
      </c>
      <c r="AF2548" s="150" t="e">
        <f t="shared" si="809"/>
        <v>#DIV/0!</v>
      </c>
      <c r="AG2548" s="150" t="e">
        <f t="shared" si="810"/>
        <v>#DIV/0!</v>
      </c>
      <c r="AH2548" s="155" t="e">
        <f t="shared" si="811"/>
        <v>#DIV/0!</v>
      </c>
      <c r="AI2548" s="156" t="e">
        <f t="shared" si="804"/>
        <v>#DIV/0!</v>
      </c>
      <c r="AJ2548" s="149"/>
      <c r="AK2548" s="149"/>
      <c r="AL2548" s="157"/>
      <c r="AM2548" s="157"/>
      <c r="AN2548" s="157"/>
      <c r="AO2548" s="157"/>
      <c r="AP2548" s="157"/>
      <c r="AQ2548" s="157"/>
      <c r="AR2548" s="157"/>
    </row>
    <row r="2549" spans="1:44" ht="16.8">
      <c r="A2549" s="145">
        <v>432</v>
      </c>
      <c r="B2549" s="145">
        <v>1220</v>
      </c>
      <c r="C2549" s="145" t="s">
        <v>4881</v>
      </c>
      <c r="D2549" s="146" t="s">
        <v>4882</v>
      </c>
      <c r="E2549" s="147" t="s">
        <v>178</v>
      </c>
      <c r="F2549" s="148"/>
      <c r="G2549" s="148"/>
      <c r="H2549" s="149"/>
      <c r="I2549" s="149"/>
      <c r="J2549" s="149"/>
      <c r="K2549" s="149"/>
      <c r="L2549" s="149"/>
      <c r="M2549" s="149">
        <f t="shared" si="821"/>
        <v>0</v>
      </c>
      <c r="N2549" s="149"/>
      <c r="O2549" s="149">
        <f t="shared" si="797"/>
        <v>0</v>
      </c>
      <c r="P2549" s="149"/>
      <c r="Q2549" s="149"/>
      <c r="R2549" s="149">
        <f t="shared" si="798"/>
        <v>0</v>
      </c>
      <c r="S2549" s="150" t="e">
        <f t="shared" si="799"/>
        <v>#DIV/0!</v>
      </c>
      <c r="T2549" s="151" t="e">
        <f t="shared" si="800"/>
        <v>#DIV/0!</v>
      </c>
      <c r="U2549" s="150" t="e">
        <f t="shared" si="801"/>
        <v>#NUM!</v>
      </c>
      <c r="V2549" s="150" t="e">
        <f t="shared" si="802"/>
        <v>#DIV/0!</v>
      </c>
      <c r="W2549" s="152"/>
      <c r="X2549" s="152"/>
      <c r="Y2549" s="152"/>
      <c r="Z2549" s="153">
        <f t="shared" si="827"/>
        <v>0</v>
      </c>
      <c r="AA2549" s="148">
        <f t="shared" si="815"/>
        <v>0</v>
      </c>
      <c r="AB2549" s="149"/>
      <c r="AC2549" s="149"/>
      <c r="AD2549" s="150" t="e">
        <f t="shared" si="807"/>
        <v>#DIV/0!</v>
      </c>
      <c r="AE2549" s="154" t="e">
        <f t="shared" si="808"/>
        <v>#DIV/0!</v>
      </c>
      <c r="AF2549" s="150" t="e">
        <f t="shared" si="809"/>
        <v>#DIV/0!</v>
      </c>
      <c r="AG2549" s="150" t="e">
        <f t="shared" si="810"/>
        <v>#DIV/0!</v>
      </c>
      <c r="AH2549" s="155" t="e">
        <f t="shared" si="811"/>
        <v>#DIV/0!</v>
      </c>
      <c r="AI2549" s="156" t="e">
        <f t="shared" si="804"/>
        <v>#DIV/0!</v>
      </c>
      <c r="AJ2549" s="149"/>
      <c r="AK2549" s="149"/>
      <c r="AL2549" s="157"/>
      <c r="AM2549" s="157"/>
      <c r="AN2549" s="157"/>
      <c r="AO2549" s="157"/>
      <c r="AP2549" s="157"/>
      <c r="AQ2549" s="157"/>
      <c r="AR2549" s="157"/>
    </row>
    <row r="2550" spans="1:44" ht="16.8">
      <c r="A2550" s="145">
        <v>433</v>
      </c>
      <c r="B2550" s="145">
        <v>1221</v>
      </c>
      <c r="C2550" s="145" t="s">
        <v>4883</v>
      </c>
      <c r="D2550" s="146" t="s">
        <v>4884</v>
      </c>
      <c r="E2550" s="147" t="s">
        <v>178</v>
      </c>
      <c r="F2550" s="148"/>
      <c r="G2550" s="148"/>
      <c r="H2550" s="149"/>
      <c r="I2550" s="149"/>
      <c r="J2550" s="149"/>
      <c r="K2550" s="149"/>
      <c r="L2550" s="149"/>
      <c r="M2550" s="149">
        <f t="shared" si="821"/>
        <v>0</v>
      </c>
      <c r="N2550" s="149"/>
      <c r="O2550" s="149">
        <f t="shared" si="797"/>
        <v>0</v>
      </c>
      <c r="P2550" s="149"/>
      <c r="Q2550" s="149"/>
      <c r="R2550" s="149">
        <f t="shared" si="798"/>
        <v>0</v>
      </c>
      <c r="S2550" s="150" t="e">
        <f t="shared" si="799"/>
        <v>#DIV/0!</v>
      </c>
      <c r="T2550" s="151" t="e">
        <f t="shared" si="800"/>
        <v>#DIV/0!</v>
      </c>
      <c r="U2550" s="150" t="e">
        <f t="shared" si="801"/>
        <v>#NUM!</v>
      </c>
      <c r="V2550" s="150" t="e">
        <f t="shared" si="802"/>
        <v>#DIV/0!</v>
      </c>
      <c r="W2550" s="152"/>
      <c r="X2550" s="152"/>
      <c r="Y2550" s="152"/>
      <c r="Z2550" s="153">
        <f t="shared" si="827"/>
        <v>0</v>
      </c>
      <c r="AA2550" s="148">
        <f t="shared" si="815"/>
        <v>0</v>
      </c>
      <c r="AB2550" s="149"/>
      <c r="AC2550" s="149"/>
      <c r="AD2550" s="150" t="e">
        <f t="shared" si="807"/>
        <v>#DIV/0!</v>
      </c>
      <c r="AE2550" s="154" t="e">
        <f t="shared" si="808"/>
        <v>#DIV/0!</v>
      </c>
      <c r="AF2550" s="150" t="e">
        <f t="shared" si="809"/>
        <v>#DIV/0!</v>
      </c>
      <c r="AG2550" s="150" t="e">
        <f t="shared" si="810"/>
        <v>#DIV/0!</v>
      </c>
      <c r="AH2550" s="155" t="e">
        <f t="shared" si="811"/>
        <v>#DIV/0!</v>
      </c>
      <c r="AI2550" s="156" t="e">
        <f t="shared" si="804"/>
        <v>#DIV/0!</v>
      </c>
      <c r="AJ2550" s="149"/>
      <c r="AK2550" s="149"/>
      <c r="AL2550" s="157"/>
      <c r="AM2550" s="157"/>
      <c r="AN2550" s="157"/>
      <c r="AO2550" s="157"/>
      <c r="AP2550" s="157"/>
      <c r="AQ2550" s="157"/>
      <c r="AR2550" s="157"/>
    </row>
    <row r="2551" spans="1:44" ht="16.8">
      <c r="A2551" s="145">
        <v>434</v>
      </c>
      <c r="B2551" s="145">
        <v>1222</v>
      </c>
      <c r="C2551" s="145" t="s">
        <v>4885</v>
      </c>
      <c r="D2551" s="146" t="s">
        <v>4886</v>
      </c>
      <c r="E2551" s="147" t="s">
        <v>178</v>
      </c>
      <c r="F2551" s="148"/>
      <c r="G2551" s="148"/>
      <c r="H2551" s="149"/>
      <c r="I2551" s="149"/>
      <c r="J2551" s="149"/>
      <c r="K2551" s="149"/>
      <c r="L2551" s="149"/>
      <c r="M2551" s="149">
        <f t="shared" si="821"/>
        <v>0</v>
      </c>
      <c r="N2551" s="149"/>
      <c r="O2551" s="149">
        <f t="shared" si="797"/>
        <v>0</v>
      </c>
      <c r="P2551" s="149"/>
      <c r="Q2551" s="149"/>
      <c r="R2551" s="149">
        <f t="shared" si="798"/>
        <v>0</v>
      </c>
      <c r="S2551" s="150" t="e">
        <f t="shared" si="799"/>
        <v>#DIV/0!</v>
      </c>
      <c r="T2551" s="151" t="e">
        <f t="shared" si="800"/>
        <v>#DIV/0!</v>
      </c>
      <c r="U2551" s="150" t="e">
        <f t="shared" si="801"/>
        <v>#NUM!</v>
      </c>
      <c r="V2551" s="150" t="e">
        <f t="shared" si="802"/>
        <v>#DIV/0!</v>
      </c>
      <c r="W2551" s="152"/>
      <c r="X2551" s="152"/>
      <c r="Y2551" s="152"/>
      <c r="Z2551" s="153">
        <f t="shared" si="827"/>
        <v>0</v>
      </c>
      <c r="AA2551" s="148">
        <f t="shared" si="815"/>
        <v>0</v>
      </c>
      <c r="AB2551" s="149"/>
      <c r="AC2551" s="149"/>
      <c r="AD2551" s="150" t="e">
        <f t="shared" si="807"/>
        <v>#DIV/0!</v>
      </c>
      <c r="AE2551" s="154" t="e">
        <f t="shared" si="808"/>
        <v>#DIV/0!</v>
      </c>
      <c r="AF2551" s="150" t="e">
        <f t="shared" si="809"/>
        <v>#DIV/0!</v>
      </c>
      <c r="AG2551" s="150" t="e">
        <f t="shared" si="810"/>
        <v>#DIV/0!</v>
      </c>
      <c r="AH2551" s="155" t="e">
        <f t="shared" si="811"/>
        <v>#DIV/0!</v>
      </c>
      <c r="AI2551" s="156" t="e">
        <f t="shared" si="804"/>
        <v>#DIV/0!</v>
      </c>
      <c r="AJ2551" s="149"/>
      <c r="AK2551" s="149"/>
      <c r="AL2551" s="157"/>
      <c r="AM2551" s="157"/>
      <c r="AN2551" s="157"/>
      <c r="AO2551" s="157"/>
      <c r="AP2551" s="157"/>
      <c r="AQ2551" s="157"/>
      <c r="AR2551" s="157"/>
    </row>
    <row r="2552" spans="1:44" ht="16.8">
      <c r="A2552" s="145">
        <v>435</v>
      </c>
      <c r="B2552" s="145">
        <v>1223</v>
      </c>
      <c r="C2552" s="145" t="s">
        <v>4887</v>
      </c>
      <c r="D2552" s="146" t="s">
        <v>4888</v>
      </c>
      <c r="E2552" s="147" t="s">
        <v>178</v>
      </c>
      <c r="F2552" s="148"/>
      <c r="G2552" s="148"/>
      <c r="H2552" s="149"/>
      <c r="I2552" s="149"/>
      <c r="J2552" s="149"/>
      <c r="K2552" s="149"/>
      <c r="L2552" s="149"/>
      <c r="M2552" s="149">
        <f t="shared" si="821"/>
        <v>0</v>
      </c>
      <c r="N2552" s="149"/>
      <c r="O2552" s="149">
        <f t="shared" ref="O2552:O2643" si="828">H2552-L2552</f>
        <v>0</v>
      </c>
      <c r="P2552" s="149"/>
      <c r="Q2552" s="149"/>
      <c r="R2552" s="149">
        <f t="shared" ref="R2552:R2643" si="829">N2552-Q2552</f>
        <v>0</v>
      </c>
      <c r="S2552" s="150" t="e">
        <f t="shared" ref="S2552:S2643" si="830">J2552/I2552</f>
        <v>#DIV/0!</v>
      </c>
      <c r="T2552" s="151" t="e">
        <f t="shared" ref="T2552:T2643" si="831">H2552/L2552</f>
        <v>#DIV/0!</v>
      </c>
      <c r="U2552" s="150" t="e">
        <f t="shared" ref="U2552:U2643" si="832">LN(I2552)</f>
        <v>#NUM!</v>
      </c>
      <c r="V2552" s="150" t="e">
        <f t="shared" ref="V2552:V2643" si="833">N2552/K2552</f>
        <v>#DIV/0!</v>
      </c>
      <c r="W2552" s="152"/>
      <c r="X2552" s="152"/>
      <c r="Y2552" s="152"/>
      <c r="Z2552" s="153">
        <f t="shared" si="827"/>
        <v>0</v>
      </c>
      <c r="AA2552" s="148">
        <f t="shared" si="815"/>
        <v>0</v>
      </c>
      <c r="AB2552" s="149"/>
      <c r="AC2552" s="149"/>
      <c r="AD2552" s="150" t="e">
        <f t="shared" si="807"/>
        <v>#DIV/0!</v>
      </c>
      <c r="AE2552" s="154" t="e">
        <f t="shared" si="808"/>
        <v>#DIV/0!</v>
      </c>
      <c r="AF2552" s="150" t="e">
        <f t="shared" si="809"/>
        <v>#DIV/0!</v>
      </c>
      <c r="AG2552" s="150" t="e">
        <f t="shared" si="810"/>
        <v>#DIV/0!</v>
      </c>
      <c r="AH2552" s="155" t="e">
        <f t="shared" si="811"/>
        <v>#DIV/0!</v>
      </c>
      <c r="AI2552" s="156" t="e">
        <f t="shared" si="804"/>
        <v>#DIV/0!</v>
      </c>
      <c r="AJ2552" s="149"/>
      <c r="AK2552" s="149"/>
      <c r="AL2552" s="157"/>
      <c r="AM2552" s="157"/>
      <c r="AN2552" s="157"/>
      <c r="AO2552" s="157"/>
      <c r="AP2552" s="157"/>
      <c r="AQ2552" s="157"/>
      <c r="AR2552" s="157"/>
    </row>
    <row r="2553" spans="1:44" ht="16.8">
      <c r="A2553" s="145">
        <v>436</v>
      </c>
      <c r="B2553" s="145">
        <v>1224</v>
      </c>
      <c r="C2553" s="145" t="s">
        <v>4889</v>
      </c>
      <c r="D2553" s="146" t="s">
        <v>4890</v>
      </c>
      <c r="E2553" s="147" t="s">
        <v>178</v>
      </c>
      <c r="F2553" s="148"/>
      <c r="G2553" s="148"/>
      <c r="H2553" s="149"/>
      <c r="I2553" s="149"/>
      <c r="J2553" s="149"/>
      <c r="K2553" s="149"/>
      <c r="L2553" s="149"/>
      <c r="M2553" s="149">
        <f t="shared" si="821"/>
        <v>0</v>
      </c>
      <c r="N2553" s="149"/>
      <c r="O2553" s="149">
        <f t="shared" si="828"/>
        <v>0</v>
      </c>
      <c r="P2553" s="149"/>
      <c r="Q2553" s="149"/>
      <c r="R2553" s="149">
        <f t="shared" si="829"/>
        <v>0</v>
      </c>
      <c r="S2553" s="150" t="e">
        <f t="shared" si="830"/>
        <v>#DIV/0!</v>
      </c>
      <c r="T2553" s="151" t="e">
        <f t="shared" si="831"/>
        <v>#DIV/0!</v>
      </c>
      <c r="U2553" s="150" t="e">
        <f t="shared" si="832"/>
        <v>#NUM!</v>
      </c>
      <c r="V2553" s="150" t="e">
        <f t="shared" si="833"/>
        <v>#DIV/0!</v>
      </c>
      <c r="W2553" s="152"/>
      <c r="X2553" s="152"/>
      <c r="Y2553" s="152"/>
      <c r="Z2553" s="153">
        <f t="shared" si="827"/>
        <v>0</v>
      </c>
      <c r="AA2553" s="148">
        <f t="shared" si="815"/>
        <v>0</v>
      </c>
      <c r="AB2553" s="149"/>
      <c r="AC2553" s="149"/>
      <c r="AD2553" s="150" t="e">
        <f t="shared" si="807"/>
        <v>#DIV/0!</v>
      </c>
      <c r="AE2553" s="154" t="e">
        <f t="shared" si="808"/>
        <v>#DIV/0!</v>
      </c>
      <c r="AF2553" s="150" t="e">
        <f t="shared" si="809"/>
        <v>#DIV/0!</v>
      </c>
      <c r="AG2553" s="150" t="e">
        <f t="shared" si="810"/>
        <v>#DIV/0!</v>
      </c>
      <c r="AH2553" s="155" t="e">
        <f t="shared" si="811"/>
        <v>#DIV/0!</v>
      </c>
      <c r="AI2553" s="156" t="e">
        <f t="shared" si="804"/>
        <v>#DIV/0!</v>
      </c>
      <c r="AJ2553" s="149"/>
      <c r="AK2553" s="149"/>
      <c r="AL2553" s="157"/>
      <c r="AM2553" s="157"/>
      <c r="AN2553" s="157"/>
      <c r="AO2553" s="157"/>
      <c r="AP2553" s="157"/>
      <c r="AQ2553" s="157"/>
      <c r="AR2553" s="157"/>
    </row>
    <row r="2554" spans="1:44" ht="16.8">
      <c r="A2554" s="145">
        <v>437</v>
      </c>
      <c r="B2554" s="145">
        <v>1225</v>
      </c>
      <c r="C2554" s="145" t="s">
        <v>4891</v>
      </c>
      <c r="D2554" s="146" t="s">
        <v>4892</v>
      </c>
      <c r="E2554" s="147" t="s">
        <v>178</v>
      </c>
      <c r="F2554" s="148"/>
      <c r="G2554" s="148"/>
      <c r="H2554" s="149"/>
      <c r="I2554" s="149"/>
      <c r="J2554" s="149"/>
      <c r="K2554" s="149"/>
      <c r="L2554" s="149"/>
      <c r="M2554" s="149">
        <f t="shared" si="821"/>
        <v>0</v>
      </c>
      <c r="N2554" s="149"/>
      <c r="O2554" s="149">
        <f t="shared" si="828"/>
        <v>0</v>
      </c>
      <c r="P2554" s="149"/>
      <c r="Q2554" s="149"/>
      <c r="R2554" s="149">
        <f t="shared" si="829"/>
        <v>0</v>
      </c>
      <c r="S2554" s="150" t="e">
        <f t="shared" si="830"/>
        <v>#DIV/0!</v>
      </c>
      <c r="T2554" s="151" t="e">
        <f t="shared" si="831"/>
        <v>#DIV/0!</v>
      </c>
      <c r="U2554" s="150" t="e">
        <f t="shared" si="832"/>
        <v>#NUM!</v>
      </c>
      <c r="V2554" s="150" t="e">
        <f t="shared" si="833"/>
        <v>#DIV/0!</v>
      </c>
      <c r="W2554" s="152"/>
      <c r="X2554" s="152"/>
      <c r="Y2554" s="152"/>
      <c r="Z2554" s="153">
        <f t="shared" si="827"/>
        <v>0</v>
      </c>
      <c r="AA2554" s="148">
        <f t="shared" si="815"/>
        <v>0</v>
      </c>
      <c r="AB2554" s="149"/>
      <c r="AC2554" s="149"/>
      <c r="AD2554" s="150" t="e">
        <f t="shared" si="807"/>
        <v>#DIV/0!</v>
      </c>
      <c r="AE2554" s="154" t="e">
        <f t="shared" si="808"/>
        <v>#DIV/0!</v>
      </c>
      <c r="AF2554" s="150" t="e">
        <f t="shared" si="809"/>
        <v>#DIV/0!</v>
      </c>
      <c r="AG2554" s="150" t="e">
        <f t="shared" si="810"/>
        <v>#DIV/0!</v>
      </c>
      <c r="AH2554" s="155" t="e">
        <f t="shared" si="811"/>
        <v>#DIV/0!</v>
      </c>
      <c r="AI2554" s="156" t="e">
        <f t="shared" si="804"/>
        <v>#DIV/0!</v>
      </c>
      <c r="AJ2554" s="149"/>
      <c r="AK2554" s="149"/>
      <c r="AL2554" s="157"/>
      <c r="AM2554" s="157"/>
      <c r="AN2554" s="157"/>
      <c r="AO2554" s="157"/>
      <c r="AP2554" s="157"/>
      <c r="AQ2554" s="157"/>
      <c r="AR2554" s="157"/>
    </row>
    <row r="2555" spans="1:44" ht="16.8">
      <c r="A2555" s="145">
        <v>438</v>
      </c>
      <c r="B2555" s="145">
        <v>1226</v>
      </c>
      <c r="C2555" s="145" t="s">
        <v>4893</v>
      </c>
      <c r="D2555" s="146" t="s">
        <v>4894</v>
      </c>
      <c r="E2555" s="147" t="s">
        <v>178</v>
      </c>
      <c r="F2555" s="148"/>
      <c r="G2555" s="148"/>
      <c r="H2555" s="149"/>
      <c r="I2555" s="149"/>
      <c r="J2555" s="149"/>
      <c r="K2555" s="149"/>
      <c r="L2555" s="149"/>
      <c r="M2555" s="149">
        <f t="shared" si="821"/>
        <v>0</v>
      </c>
      <c r="N2555" s="149"/>
      <c r="O2555" s="149">
        <f t="shared" si="828"/>
        <v>0</v>
      </c>
      <c r="P2555" s="149"/>
      <c r="Q2555" s="149"/>
      <c r="R2555" s="149">
        <f t="shared" si="829"/>
        <v>0</v>
      </c>
      <c r="S2555" s="150" t="e">
        <f t="shared" si="830"/>
        <v>#DIV/0!</v>
      </c>
      <c r="T2555" s="151" t="e">
        <f t="shared" si="831"/>
        <v>#DIV/0!</v>
      </c>
      <c r="U2555" s="150" t="e">
        <f t="shared" si="832"/>
        <v>#NUM!</v>
      </c>
      <c r="V2555" s="150" t="e">
        <f t="shared" si="833"/>
        <v>#DIV/0!</v>
      </c>
      <c r="W2555" s="152"/>
      <c r="X2555" s="152"/>
      <c r="Y2555" s="152"/>
      <c r="Z2555" s="153">
        <f t="shared" si="827"/>
        <v>0</v>
      </c>
      <c r="AA2555" s="148">
        <f t="shared" si="815"/>
        <v>0</v>
      </c>
      <c r="AB2555" s="149"/>
      <c r="AC2555" s="149"/>
      <c r="AD2555" s="150" t="e">
        <f t="shared" si="807"/>
        <v>#DIV/0!</v>
      </c>
      <c r="AE2555" s="154" t="e">
        <f t="shared" si="808"/>
        <v>#DIV/0!</v>
      </c>
      <c r="AF2555" s="150" t="e">
        <f t="shared" si="809"/>
        <v>#DIV/0!</v>
      </c>
      <c r="AG2555" s="150" t="e">
        <f t="shared" si="810"/>
        <v>#DIV/0!</v>
      </c>
      <c r="AH2555" s="155" t="e">
        <f t="shared" si="811"/>
        <v>#DIV/0!</v>
      </c>
      <c r="AI2555" s="156" t="e">
        <f t="shared" si="804"/>
        <v>#DIV/0!</v>
      </c>
      <c r="AJ2555" s="149"/>
      <c r="AK2555" s="149"/>
      <c r="AL2555" s="157"/>
      <c r="AM2555" s="157"/>
      <c r="AN2555" s="157"/>
      <c r="AO2555" s="157"/>
      <c r="AP2555" s="157"/>
      <c r="AQ2555" s="157"/>
      <c r="AR2555" s="157"/>
    </row>
    <row r="2556" spans="1:44" ht="16.8">
      <c r="A2556" s="145">
        <v>439</v>
      </c>
      <c r="B2556" s="145">
        <v>1227</v>
      </c>
      <c r="C2556" s="145" t="s">
        <v>4895</v>
      </c>
      <c r="D2556" s="146" t="s">
        <v>4896</v>
      </c>
      <c r="E2556" s="147" t="s">
        <v>178</v>
      </c>
      <c r="F2556" s="148"/>
      <c r="G2556" s="148"/>
      <c r="H2556" s="149"/>
      <c r="I2556" s="149"/>
      <c r="J2556" s="149"/>
      <c r="K2556" s="149"/>
      <c r="L2556" s="149"/>
      <c r="M2556" s="149">
        <f t="shared" si="821"/>
        <v>0</v>
      </c>
      <c r="N2556" s="149"/>
      <c r="O2556" s="149">
        <f t="shared" si="828"/>
        <v>0</v>
      </c>
      <c r="P2556" s="149"/>
      <c r="Q2556" s="149"/>
      <c r="R2556" s="149">
        <f t="shared" si="829"/>
        <v>0</v>
      </c>
      <c r="S2556" s="150" t="e">
        <f t="shared" si="830"/>
        <v>#DIV/0!</v>
      </c>
      <c r="T2556" s="151" t="e">
        <f t="shared" si="831"/>
        <v>#DIV/0!</v>
      </c>
      <c r="U2556" s="150" t="e">
        <f t="shared" si="832"/>
        <v>#NUM!</v>
      </c>
      <c r="V2556" s="150" t="e">
        <f t="shared" si="833"/>
        <v>#DIV/0!</v>
      </c>
      <c r="W2556" s="152"/>
      <c r="X2556" s="152"/>
      <c r="Y2556" s="152"/>
      <c r="Z2556" s="153">
        <f t="shared" si="827"/>
        <v>0</v>
      </c>
      <c r="AA2556" s="148">
        <f t="shared" si="815"/>
        <v>0</v>
      </c>
      <c r="AB2556" s="149"/>
      <c r="AC2556" s="149"/>
      <c r="AD2556" s="150" t="e">
        <f t="shared" si="807"/>
        <v>#DIV/0!</v>
      </c>
      <c r="AE2556" s="154" t="e">
        <f t="shared" si="808"/>
        <v>#DIV/0!</v>
      </c>
      <c r="AF2556" s="150" t="e">
        <f t="shared" si="809"/>
        <v>#DIV/0!</v>
      </c>
      <c r="AG2556" s="150" t="e">
        <f t="shared" si="810"/>
        <v>#DIV/0!</v>
      </c>
      <c r="AH2556" s="155" t="e">
        <f t="shared" si="811"/>
        <v>#DIV/0!</v>
      </c>
      <c r="AI2556" s="156" t="e">
        <f t="shared" si="804"/>
        <v>#DIV/0!</v>
      </c>
      <c r="AJ2556" s="149"/>
      <c r="AK2556" s="149"/>
      <c r="AL2556" s="157"/>
      <c r="AM2556" s="157"/>
      <c r="AN2556" s="157"/>
      <c r="AO2556" s="157"/>
      <c r="AP2556" s="157"/>
      <c r="AQ2556" s="157"/>
      <c r="AR2556" s="157"/>
    </row>
    <row r="2557" spans="1:44" ht="16.8">
      <c r="A2557" s="145">
        <v>440</v>
      </c>
      <c r="B2557" s="145">
        <v>1228</v>
      </c>
      <c r="C2557" s="145" t="s">
        <v>4897</v>
      </c>
      <c r="D2557" s="146" t="s">
        <v>4898</v>
      </c>
      <c r="E2557" s="147" t="s">
        <v>178</v>
      </c>
      <c r="F2557" s="148"/>
      <c r="G2557" s="148"/>
      <c r="H2557" s="149"/>
      <c r="I2557" s="149"/>
      <c r="J2557" s="149"/>
      <c r="K2557" s="149"/>
      <c r="L2557" s="149"/>
      <c r="M2557" s="149">
        <f t="shared" si="821"/>
        <v>0</v>
      </c>
      <c r="N2557" s="149"/>
      <c r="O2557" s="149">
        <f t="shared" si="828"/>
        <v>0</v>
      </c>
      <c r="P2557" s="149"/>
      <c r="Q2557" s="149"/>
      <c r="R2557" s="149">
        <f t="shared" si="829"/>
        <v>0</v>
      </c>
      <c r="S2557" s="150" t="e">
        <f t="shared" si="830"/>
        <v>#DIV/0!</v>
      </c>
      <c r="T2557" s="151" t="e">
        <f t="shared" si="831"/>
        <v>#DIV/0!</v>
      </c>
      <c r="U2557" s="150" t="e">
        <f t="shared" si="832"/>
        <v>#NUM!</v>
      </c>
      <c r="V2557" s="150" t="e">
        <f t="shared" si="833"/>
        <v>#DIV/0!</v>
      </c>
      <c r="W2557" s="152"/>
      <c r="X2557" s="152"/>
      <c r="Y2557" s="152"/>
      <c r="Z2557" s="153">
        <f t="shared" si="827"/>
        <v>0</v>
      </c>
      <c r="AA2557" s="148">
        <f t="shared" si="815"/>
        <v>0</v>
      </c>
      <c r="AB2557" s="149"/>
      <c r="AC2557" s="149"/>
      <c r="AD2557" s="150" t="e">
        <f t="shared" si="807"/>
        <v>#DIV/0!</v>
      </c>
      <c r="AE2557" s="154" t="e">
        <f t="shared" si="808"/>
        <v>#DIV/0!</v>
      </c>
      <c r="AF2557" s="150" t="e">
        <f t="shared" si="809"/>
        <v>#DIV/0!</v>
      </c>
      <c r="AG2557" s="150" t="e">
        <f t="shared" si="810"/>
        <v>#DIV/0!</v>
      </c>
      <c r="AH2557" s="155" t="e">
        <f t="shared" si="811"/>
        <v>#DIV/0!</v>
      </c>
      <c r="AI2557" s="156" t="e">
        <f t="shared" si="804"/>
        <v>#DIV/0!</v>
      </c>
      <c r="AJ2557" s="149"/>
      <c r="AK2557" s="149"/>
      <c r="AL2557" s="157"/>
      <c r="AM2557" s="157"/>
      <c r="AN2557" s="157"/>
      <c r="AO2557" s="157"/>
      <c r="AP2557" s="157"/>
      <c r="AQ2557" s="157"/>
      <c r="AR2557" s="157"/>
    </row>
    <row r="2558" spans="1:44" ht="16.8">
      <c r="A2558" s="145">
        <v>441</v>
      </c>
      <c r="B2558" s="145">
        <v>1229</v>
      </c>
      <c r="C2558" s="145" t="s">
        <v>4899</v>
      </c>
      <c r="D2558" s="146" t="s">
        <v>4900</v>
      </c>
      <c r="E2558" s="147" t="s">
        <v>178</v>
      </c>
      <c r="F2558" s="148"/>
      <c r="G2558" s="148"/>
      <c r="H2558" s="149"/>
      <c r="I2558" s="149"/>
      <c r="J2558" s="149"/>
      <c r="K2558" s="149"/>
      <c r="L2558" s="149"/>
      <c r="M2558" s="149">
        <f t="shared" si="821"/>
        <v>0</v>
      </c>
      <c r="N2558" s="149"/>
      <c r="O2558" s="149">
        <f t="shared" si="828"/>
        <v>0</v>
      </c>
      <c r="P2558" s="149"/>
      <c r="Q2558" s="149"/>
      <c r="R2558" s="149">
        <f t="shared" si="829"/>
        <v>0</v>
      </c>
      <c r="S2558" s="150" t="e">
        <f t="shared" si="830"/>
        <v>#DIV/0!</v>
      </c>
      <c r="T2558" s="151" t="e">
        <f t="shared" si="831"/>
        <v>#DIV/0!</v>
      </c>
      <c r="U2558" s="150" t="e">
        <f t="shared" si="832"/>
        <v>#NUM!</v>
      </c>
      <c r="V2558" s="150" t="e">
        <f t="shared" si="833"/>
        <v>#DIV/0!</v>
      </c>
      <c r="W2558" s="152"/>
      <c r="X2558" s="152"/>
      <c r="Y2558" s="152"/>
      <c r="Z2558" s="153">
        <f t="shared" si="827"/>
        <v>0</v>
      </c>
      <c r="AA2558" s="148">
        <f t="shared" si="815"/>
        <v>0</v>
      </c>
      <c r="AB2558" s="149"/>
      <c r="AC2558" s="149"/>
      <c r="AD2558" s="150" t="e">
        <f t="shared" si="807"/>
        <v>#DIV/0!</v>
      </c>
      <c r="AE2558" s="154" t="e">
        <f t="shared" si="808"/>
        <v>#DIV/0!</v>
      </c>
      <c r="AF2558" s="150" t="e">
        <f t="shared" si="809"/>
        <v>#DIV/0!</v>
      </c>
      <c r="AG2558" s="150" t="e">
        <f t="shared" si="810"/>
        <v>#DIV/0!</v>
      </c>
      <c r="AH2558" s="155" t="e">
        <f t="shared" si="811"/>
        <v>#DIV/0!</v>
      </c>
      <c r="AI2558" s="156" t="e">
        <f t="shared" si="804"/>
        <v>#DIV/0!</v>
      </c>
      <c r="AJ2558" s="149"/>
      <c r="AK2558" s="149"/>
      <c r="AL2558" s="157"/>
      <c r="AM2558" s="157"/>
      <c r="AN2558" s="157"/>
      <c r="AO2558" s="157"/>
      <c r="AP2558" s="157"/>
      <c r="AQ2558" s="157"/>
      <c r="AR2558" s="157"/>
    </row>
    <row r="2559" spans="1:44" ht="16.8">
      <c r="A2559" s="78" t="s">
        <v>4901</v>
      </c>
      <c r="B2559" s="79">
        <v>1230</v>
      </c>
      <c r="C2559" s="79" t="s">
        <v>4902</v>
      </c>
      <c r="D2559" s="19" t="s">
        <v>4903</v>
      </c>
      <c r="E2559" s="20" t="s">
        <v>414</v>
      </c>
      <c r="F2559" s="21">
        <v>2006</v>
      </c>
      <c r="G2559" s="40">
        <v>2021</v>
      </c>
      <c r="H2559" s="23">
        <v>1790471371659</v>
      </c>
      <c r="I2559" s="23">
        <v>1805139783859</v>
      </c>
      <c r="J2559" s="23">
        <v>437270838842</v>
      </c>
      <c r="K2559" s="23">
        <f>(J2559+358251861759)/2</f>
        <v>397761350300.5</v>
      </c>
      <c r="L2559" s="23">
        <v>261868333280</v>
      </c>
      <c r="M2559" s="23">
        <f t="shared" si="821"/>
        <v>1367868945017</v>
      </c>
      <c r="N2559" s="23">
        <v>434289869927</v>
      </c>
      <c r="O2559" s="25">
        <f t="shared" si="828"/>
        <v>1528603038379</v>
      </c>
      <c r="P2559" s="23">
        <v>298726777100</v>
      </c>
      <c r="Q2559" s="23">
        <v>62277586624</v>
      </c>
      <c r="R2559" s="25">
        <f t="shared" si="829"/>
        <v>372012283303</v>
      </c>
      <c r="S2559" s="26">
        <f t="shared" si="830"/>
        <v>0.24223655295392646</v>
      </c>
      <c r="T2559" s="27">
        <f t="shared" si="831"/>
        <v>6.837296244386132</v>
      </c>
      <c r="U2559" s="26">
        <f t="shared" si="832"/>
        <v>28.221659147296034</v>
      </c>
      <c r="V2559" s="26">
        <f t="shared" si="833"/>
        <v>1.0918352665458912</v>
      </c>
      <c r="W2559" s="143"/>
      <c r="X2559" s="143"/>
      <c r="Y2559" s="143"/>
      <c r="Z2559" s="30">
        <f t="shared" ref="Z2559:Z2561" si="834">X2559*Y2559</f>
        <v>0</v>
      </c>
      <c r="AA2559" s="31">
        <f t="shared" si="815"/>
        <v>15</v>
      </c>
      <c r="AB2559" s="32">
        <v>1.84E-2</v>
      </c>
      <c r="AC2559" s="32">
        <v>2.58E-2</v>
      </c>
      <c r="AD2559" s="33">
        <f t="shared" si="807"/>
        <v>0.84680591057118915</v>
      </c>
      <c r="AE2559" s="34">
        <f t="shared" si="808"/>
        <v>0.16548678377770087</v>
      </c>
      <c r="AF2559" s="33">
        <f t="shared" si="809"/>
        <v>0.20608502822297667</v>
      </c>
      <c r="AG2559" s="33">
        <f t="shared" si="810"/>
        <v>0</v>
      </c>
      <c r="AH2559" s="35">
        <f t="shared" si="811"/>
        <v>0.99318278592989573</v>
      </c>
      <c r="AI2559" s="36">
        <f t="shared" si="804"/>
        <v>2.9211119690399268</v>
      </c>
      <c r="AJ2559" s="23"/>
      <c r="AK2559" s="120">
        <v>1277</v>
      </c>
      <c r="AL2559" s="44"/>
      <c r="AM2559" s="44"/>
      <c r="AN2559" s="44"/>
      <c r="AO2559" s="44"/>
      <c r="AP2559" s="44"/>
      <c r="AQ2559" s="44"/>
      <c r="AR2559" s="44"/>
    </row>
    <row r="2560" spans="1:44" ht="16.8">
      <c r="A2560" s="78" t="s">
        <v>4904</v>
      </c>
      <c r="B2560" s="79"/>
      <c r="C2560" s="79" t="s">
        <v>4902</v>
      </c>
      <c r="D2560" s="19" t="s">
        <v>4903</v>
      </c>
      <c r="E2560" s="20" t="s">
        <v>414</v>
      </c>
      <c r="F2560" s="21">
        <v>2006</v>
      </c>
      <c r="G2560" s="40">
        <v>2022</v>
      </c>
      <c r="H2560" s="23">
        <v>982449308789</v>
      </c>
      <c r="I2560" s="23">
        <v>999441049454</v>
      </c>
      <c r="J2560" s="23">
        <v>130483301041</v>
      </c>
      <c r="K2560" s="23">
        <f t="shared" ref="K2560:K2561" si="835">AVERAGE(J2559:J2560)</f>
        <v>283877069941.5</v>
      </c>
      <c r="L2560" s="23">
        <v>130483301041</v>
      </c>
      <c r="M2560" s="23">
        <f t="shared" si="821"/>
        <v>868957748413</v>
      </c>
      <c r="N2560" s="23">
        <v>153713864808</v>
      </c>
      <c r="O2560" s="25">
        <f t="shared" si="828"/>
        <v>851966007748</v>
      </c>
      <c r="P2560" s="23">
        <v>-317881948084</v>
      </c>
      <c r="Q2560" s="23">
        <v>409465592123</v>
      </c>
      <c r="R2560" s="25">
        <f t="shared" si="829"/>
        <v>-255751727315</v>
      </c>
      <c r="S2560" s="26">
        <f t="shared" si="830"/>
        <v>0.13055627554249821</v>
      </c>
      <c r="T2560" s="27">
        <f t="shared" si="831"/>
        <v>7.5293106547043767</v>
      </c>
      <c r="U2560" s="26">
        <f t="shared" si="832"/>
        <v>27.630462009111458</v>
      </c>
      <c r="V2560" s="26">
        <f t="shared" si="833"/>
        <v>0.54148038388474495</v>
      </c>
      <c r="W2560" s="143"/>
      <c r="X2560" s="143"/>
      <c r="Y2560" s="143"/>
      <c r="Z2560" s="30">
        <f t="shared" si="834"/>
        <v>0</v>
      </c>
      <c r="AA2560" s="31">
        <f t="shared" si="815"/>
        <v>16</v>
      </c>
      <c r="AB2560" s="32">
        <v>3.15E-2</v>
      </c>
      <c r="AC2560" s="32">
        <v>8.0199999999999994E-2</v>
      </c>
      <c r="AD2560" s="33">
        <f t="shared" si="807"/>
        <v>0.852442480938154</v>
      </c>
      <c r="AE2560" s="34">
        <f t="shared" si="808"/>
        <v>-0.31805972774248226</v>
      </c>
      <c r="AF2560" s="33">
        <f t="shared" si="809"/>
        <v>-0.2558947598307259</v>
      </c>
      <c r="AG2560" s="33">
        <f t="shared" si="810"/>
        <v>0</v>
      </c>
      <c r="AH2560" s="35">
        <f t="shared" si="811"/>
        <v>1.1780347644615503</v>
      </c>
      <c r="AI2560" s="36">
        <f t="shared" si="804"/>
        <v>0.91122941530646462</v>
      </c>
      <c r="AJ2560" s="23"/>
      <c r="AK2560" s="120">
        <v>1278</v>
      </c>
      <c r="AL2560" s="44"/>
      <c r="AM2560" s="44"/>
      <c r="AN2560" s="44"/>
      <c r="AO2560" s="44"/>
      <c r="AP2560" s="44"/>
      <c r="AQ2560" s="44"/>
      <c r="AR2560" s="44"/>
    </row>
    <row r="2561" spans="1:44" ht="16.8">
      <c r="A2561" s="78" t="s">
        <v>4905</v>
      </c>
      <c r="B2561" s="79"/>
      <c r="C2561" s="79" t="s">
        <v>4902</v>
      </c>
      <c r="D2561" s="19" t="s">
        <v>4903</v>
      </c>
      <c r="E2561" s="20" t="s">
        <v>414</v>
      </c>
      <c r="F2561" s="21">
        <v>2006</v>
      </c>
      <c r="G2561" s="40">
        <v>2023</v>
      </c>
      <c r="H2561" s="23">
        <v>990962010387</v>
      </c>
      <c r="I2561" s="23">
        <v>1006767027229</v>
      </c>
      <c r="J2561" s="23">
        <v>22315253474</v>
      </c>
      <c r="K2561" s="23">
        <f t="shared" si="835"/>
        <v>76399277257.5</v>
      </c>
      <c r="L2561" s="23">
        <v>9657552082</v>
      </c>
      <c r="M2561" s="23">
        <f t="shared" si="821"/>
        <v>984451773755</v>
      </c>
      <c r="N2561" s="23">
        <v>142330616942</v>
      </c>
      <c r="O2561" s="25">
        <f t="shared" si="828"/>
        <v>981304458305</v>
      </c>
      <c r="P2561" s="23">
        <v>63202184031</v>
      </c>
      <c r="Q2561" s="23">
        <v>30306713166</v>
      </c>
      <c r="R2561" s="25">
        <f t="shared" si="829"/>
        <v>112023903776</v>
      </c>
      <c r="S2561" s="26">
        <f t="shared" si="830"/>
        <v>2.2165260552304673E-2</v>
      </c>
      <c r="T2561" s="27">
        <f t="shared" si="831"/>
        <v>102.61006122182671</v>
      </c>
      <c r="U2561" s="26">
        <f t="shared" si="832"/>
        <v>27.637765349600755</v>
      </c>
      <c r="V2561" s="26">
        <f t="shared" si="833"/>
        <v>1.862983814130619</v>
      </c>
      <c r="W2561" s="143"/>
      <c r="X2561" s="143"/>
      <c r="Y2561" s="143"/>
      <c r="Z2561" s="30">
        <f t="shared" si="834"/>
        <v>0</v>
      </c>
      <c r="AA2561" s="31">
        <f t="shared" si="815"/>
        <v>17</v>
      </c>
      <c r="AB2561" s="32">
        <v>3.2500000000000001E-2</v>
      </c>
      <c r="AC2561" s="32">
        <v>5.0500000000000003E-2</v>
      </c>
      <c r="AD2561" s="33">
        <f t="shared" si="807"/>
        <v>0.97470857881184036</v>
      </c>
      <c r="AE2561" s="34">
        <f t="shared" si="808"/>
        <v>6.2777367873236858E-2</v>
      </c>
      <c r="AF2561" s="33">
        <f t="shared" si="809"/>
        <v>0.11127093036045464</v>
      </c>
      <c r="AG2561" s="33">
        <f t="shared" si="810"/>
        <v>0</v>
      </c>
      <c r="AH2561" s="35">
        <f t="shared" si="811"/>
        <v>6.3781761254844174</v>
      </c>
      <c r="AI2561" s="36">
        <f t="shared" si="804"/>
        <v>8.002908805270657</v>
      </c>
      <c r="AJ2561" s="23"/>
      <c r="AK2561" s="120">
        <v>1279</v>
      </c>
      <c r="AL2561" s="44"/>
      <c r="AM2561" s="44"/>
      <c r="AN2561" s="44"/>
      <c r="AO2561" s="44"/>
      <c r="AP2561" s="44"/>
      <c r="AQ2561" s="44"/>
      <c r="AR2561" s="44"/>
    </row>
    <row r="2562" spans="1:44" ht="16.8">
      <c r="A2562" s="145">
        <v>443</v>
      </c>
      <c r="B2562" s="145">
        <v>1231</v>
      </c>
      <c r="C2562" s="145" t="s">
        <v>4906</v>
      </c>
      <c r="D2562" s="146" t="s">
        <v>4907</v>
      </c>
      <c r="E2562" s="147" t="s">
        <v>178</v>
      </c>
      <c r="F2562" s="148"/>
      <c r="G2562" s="148"/>
      <c r="H2562" s="149"/>
      <c r="I2562" s="149"/>
      <c r="J2562" s="149"/>
      <c r="K2562" s="149"/>
      <c r="L2562" s="149"/>
      <c r="M2562" s="149">
        <f t="shared" si="821"/>
        <v>0</v>
      </c>
      <c r="N2562" s="149"/>
      <c r="O2562" s="149">
        <f t="shared" si="828"/>
        <v>0</v>
      </c>
      <c r="P2562" s="149"/>
      <c r="Q2562" s="149"/>
      <c r="R2562" s="149">
        <f t="shared" si="829"/>
        <v>0</v>
      </c>
      <c r="S2562" s="150" t="e">
        <f t="shared" si="830"/>
        <v>#DIV/0!</v>
      </c>
      <c r="T2562" s="151" t="e">
        <f t="shared" si="831"/>
        <v>#DIV/0!</v>
      </c>
      <c r="U2562" s="150" t="e">
        <f t="shared" si="832"/>
        <v>#NUM!</v>
      </c>
      <c r="V2562" s="150" t="e">
        <f t="shared" si="833"/>
        <v>#DIV/0!</v>
      </c>
      <c r="W2562" s="152"/>
      <c r="X2562" s="152"/>
      <c r="Y2562" s="152"/>
      <c r="Z2562" s="153">
        <f t="shared" ref="Z2562:Z2611" si="836">W2562*Y2562</f>
        <v>0</v>
      </c>
      <c r="AA2562" s="148">
        <f t="shared" si="815"/>
        <v>0</v>
      </c>
      <c r="AB2562" s="149"/>
      <c r="AC2562" s="149"/>
      <c r="AD2562" s="150" t="e">
        <f t="shared" si="807"/>
        <v>#DIV/0!</v>
      </c>
      <c r="AE2562" s="154" t="e">
        <f t="shared" si="808"/>
        <v>#DIV/0!</v>
      </c>
      <c r="AF2562" s="150" t="e">
        <f t="shared" si="809"/>
        <v>#DIV/0!</v>
      </c>
      <c r="AG2562" s="150" t="e">
        <f t="shared" si="810"/>
        <v>#DIV/0!</v>
      </c>
      <c r="AH2562" s="155" t="e">
        <f t="shared" si="811"/>
        <v>#DIV/0!</v>
      </c>
      <c r="AI2562" s="156" t="e">
        <f t="shared" si="804"/>
        <v>#DIV/0!</v>
      </c>
      <c r="AJ2562" s="149"/>
      <c r="AK2562" s="149"/>
      <c r="AL2562" s="157"/>
      <c r="AM2562" s="157"/>
      <c r="AN2562" s="157"/>
      <c r="AO2562" s="157"/>
      <c r="AP2562" s="157"/>
      <c r="AQ2562" s="157"/>
      <c r="AR2562" s="157"/>
    </row>
    <row r="2563" spans="1:44" ht="16.8">
      <c r="A2563" s="145">
        <v>444</v>
      </c>
      <c r="B2563" s="145">
        <v>1232</v>
      </c>
      <c r="C2563" s="145" t="s">
        <v>4908</v>
      </c>
      <c r="D2563" s="146" t="s">
        <v>4909</v>
      </c>
      <c r="E2563" s="147" t="s">
        <v>178</v>
      </c>
      <c r="F2563" s="148"/>
      <c r="G2563" s="148"/>
      <c r="H2563" s="149"/>
      <c r="I2563" s="149"/>
      <c r="J2563" s="149"/>
      <c r="K2563" s="149"/>
      <c r="L2563" s="149"/>
      <c r="M2563" s="149">
        <f t="shared" si="821"/>
        <v>0</v>
      </c>
      <c r="N2563" s="149"/>
      <c r="O2563" s="149">
        <f t="shared" si="828"/>
        <v>0</v>
      </c>
      <c r="P2563" s="149"/>
      <c r="Q2563" s="149"/>
      <c r="R2563" s="149">
        <f t="shared" si="829"/>
        <v>0</v>
      </c>
      <c r="S2563" s="150" t="e">
        <f t="shared" si="830"/>
        <v>#DIV/0!</v>
      </c>
      <c r="T2563" s="151" t="e">
        <f t="shared" si="831"/>
        <v>#DIV/0!</v>
      </c>
      <c r="U2563" s="150" t="e">
        <f t="shared" si="832"/>
        <v>#NUM!</v>
      </c>
      <c r="V2563" s="150" t="e">
        <f t="shared" si="833"/>
        <v>#DIV/0!</v>
      </c>
      <c r="W2563" s="152"/>
      <c r="X2563" s="152"/>
      <c r="Y2563" s="152"/>
      <c r="Z2563" s="153">
        <f t="shared" si="836"/>
        <v>0</v>
      </c>
      <c r="AA2563" s="148">
        <f t="shared" si="815"/>
        <v>0</v>
      </c>
      <c r="AB2563" s="149"/>
      <c r="AC2563" s="149"/>
      <c r="AD2563" s="150" t="e">
        <f t="shared" si="807"/>
        <v>#DIV/0!</v>
      </c>
      <c r="AE2563" s="154" t="e">
        <f t="shared" si="808"/>
        <v>#DIV/0!</v>
      </c>
      <c r="AF2563" s="150" t="e">
        <f t="shared" si="809"/>
        <v>#DIV/0!</v>
      </c>
      <c r="AG2563" s="150" t="e">
        <f t="shared" si="810"/>
        <v>#DIV/0!</v>
      </c>
      <c r="AH2563" s="155" t="e">
        <f t="shared" si="811"/>
        <v>#DIV/0!</v>
      </c>
      <c r="AI2563" s="156" t="e">
        <f t="shared" ref="AI2563:AI2643" si="837">1.2*AD2563+1.4*AE2563+3.3*AF2563+0.6*AG2563+1*AH2563</f>
        <v>#DIV/0!</v>
      </c>
      <c r="AJ2563" s="149"/>
      <c r="AK2563" s="149"/>
      <c r="AL2563" s="157"/>
      <c r="AM2563" s="157"/>
      <c r="AN2563" s="157"/>
      <c r="AO2563" s="157"/>
      <c r="AP2563" s="157"/>
      <c r="AQ2563" s="157"/>
      <c r="AR2563" s="157"/>
    </row>
    <row r="2564" spans="1:44" ht="16.8">
      <c r="A2564" s="145">
        <v>445</v>
      </c>
      <c r="B2564" s="145">
        <v>1233</v>
      </c>
      <c r="C2564" s="145" t="s">
        <v>4910</v>
      </c>
      <c r="D2564" s="146" t="s">
        <v>4911</v>
      </c>
      <c r="E2564" s="147" t="s">
        <v>178</v>
      </c>
      <c r="F2564" s="148"/>
      <c r="G2564" s="148"/>
      <c r="H2564" s="149"/>
      <c r="I2564" s="149"/>
      <c r="J2564" s="149"/>
      <c r="K2564" s="149"/>
      <c r="L2564" s="149"/>
      <c r="M2564" s="149">
        <f t="shared" si="821"/>
        <v>0</v>
      </c>
      <c r="N2564" s="149"/>
      <c r="O2564" s="149">
        <f t="shared" si="828"/>
        <v>0</v>
      </c>
      <c r="P2564" s="149"/>
      <c r="Q2564" s="149"/>
      <c r="R2564" s="149">
        <f t="shared" si="829"/>
        <v>0</v>
      </c>
      <c r="S2564" s="150" t="e">
        <f t="shared" si="830"/>
        <v>#DIV/0!</v>
      </c>
      <c r="T2564" s="151" t="e">
        <f t="shared" si="831"/>
        <v>#DIV/0!</v>
      </c>
      <c r="U2564" s="150" t="e">
        <f t="shared" si="832"/>
        <v>#NUM!</v>
      </c>
      <c r="V2564" s="150" t="e">
        <f t="shared" si="833"/>
        <v>#DIV/0!</v>
      </c>
      <c r="W2564" s="152"/>
      <c r="X2564" s="152"/>
      <c r="Y2564" s="152"/>
      <c r="Z2564" s="153">
        <f t="shared" si="836"/>
        <v>0</v>
      </c>
      <c r="AA2564" s="148">
        <f t="shared" si="815"/>
        <v>0</v>
      </c>
      <c r="AB2564" s="149"/>
      <c r="AC2564" s="149"/>
      <c r="AD2564" s="150" t="e">
        <f t="shared" si="807"/>
        <v>#DIV/0!</v>
      </c>
      <c r="AE2564" s="154" t="e">
        <f t="shared" si="808"/>
        <v>#DIV/0!</v>
      </c>
      <c r="AF2564" s="150" t="e">
        <f t="shared" si="809"/>
        <v>#DIV/0!</v>
      </c>
      <c r="AG2564" s="150" t="e">
        <f t="shared" si="810"/>
        <v>#DIV/0!</v>
      </c>
      <c r="AH2564" s="155" t="e">
        <f t="shared" si="811"/>
        <v>#DIV/0!</v>
      </c>
      <c r="AI2564" s="156" t="e">
        <f t="shared" si="837"/>
        <v>#DIV/0!</v>
      </c>
      <c r="AJ2564" s="149"/>
      <c r="AK2564" s="149"/>
      <c r="AL2564" s="157"/>
      <c r="AM2564" s="157"/>
      <c r="AN2564" s="157"/>
      <c r="AO2564" s="157"/>
      <c r="AP2564" s="157"/>
      <c r="AQ2564" s="157"/>
      <c r="AR2564" s="157"/>
    </row>
    <row r="2565" spans="1:44" ht="16.8">
      <c r="A2565" s="145">
        <v>446</v>
      </c>
      <c r="B2565" s="145">
        <v>1234</v>
      </c>
      <c r="C2565" s="145" t="s">
        <v>4912</v>
      </c>
      <c r="D2565" s="146" t="s">
        <v>4913</v>
      </c>
      <c r="E2565" s="147" t="s">
        <v>178</v>
      </c>
      <c r="F2565" s="148"/>
      <c r="G2565" s="148"/>
      <c r="H2565" s="149"/>
      <c r="I2565" s="149"/>
      <c r="J2565" s="149"/>
      <c r="K2565" s="149"/>
      <c r="L2565" s="149"/>
      <c r="M2565" s="149">
        <f t="shared" si="821"/>
        <v>0</v>
      </c>
      <c r="N2565" s="149"/>
      <c r="O2565" s="149">
        <f t="shared" si="828"/>
        <v>0</v>
      </c>
      <c r="P2565" s="149"/>
      <c r="Q2565" s="149"/>
      <c r="R2565" s="149">
        <f t="shared" si="829"/>
        <v>0</v>
      </c>
      <c r="S2565" s="150" t="e">
        <f t="shared" si="830"/>
        <v>#DIV/0!</v>
      </c>
      <c r="T2565" s="151" t="e">
        <f t="shared" si="831"/>
        <v>#DIV/0!</v>
      </c>
      <c r="U2565" s="150" t="e">
        <f t="shared" si="832"/>
        <v>#NUM!</v>
      </c>
      <c r="V2565" s="150" t="e">
        <f t="shared" si="833"/>
        <v>#DIV/0!</v>
      </c>
      <c r="W2565" s="152"/>
      <c r="X2565" s="152"/>
      <c r="Y2565" s="152"/>
      <c r="Z2565" s="153">
        <f t="shared" si="836"/>
        <v>0</v>
      </c>
      <c r="AA2565" s="148">
        <f t="shared" si="815"/>
        <v>0</v>
      </c>
      <c r="AB2565" s="149"/>
      <c r="AC2565" s="149"/>
      <c r="AD2565" s="150" t="e">
        <f t="shared" si="807"/>
        <v>#DIV/0!</v>
      </c>
      <c r="AE2565" s="154" t="e">
        <f t="shared" si="808"/>
        <v>#DIV/0!</v>
      </c>
      <c r="AF2565" s="150" t="e">
        <f t="shared" si="809"/>
        <v>#DIV/0!</v>
      </c>
      <c r="AG2565" s="150" t="e">
        <f t="shared" si="810"/>
        <v>#DIV/0!</v>
      </c>
      <c r="AH2565" s="155" t="e">
        <f t="shared" si="811"/>
        <v>#DIV/0!</v>
      </c>
      <c r="AI2565" s="156" t="e">
        <f t="shared" si="837"/>
        <v>#DIV/0!</v>
      </c>
      <c r="AJ2565" s="149"/>
      <c r="AK2565" s="149"/>
      <c r="AL2565" s="157"/>
      <c r="AM2565" s="157"/>
      <c r="AN2565" s="157"/>
      <c r="AO2565" s="157"/>
      <c r="AP2565" s="157"/>
      <c r="AQ2565" s="157"/>
      <c r="AR2565" s="157"/>
    </row>
    <row r="2566" spans="1:44" ht="16.8">
      <c r="A2566" s="145">
        <v>447</v>
      </c>
      <c r="B2566" s="145">
        <v>1235</v>
      </c>
      <c r="C2566" s="145" t="s">
        <v>4914</v>
      </c>
      <c r="D2566" s="146" t="s">
        <v>4915</v>
      </c>
      <c r="E2566" s="147" t="s">
        <v>178</v>
      </c>
      <c r="F2566" s="148"/>
      <c r="G2566" s="148"/>
      <c r="H2566" s="149"/>
      <c r="I2566" s="149"/>
      <c r="J2566" s="149"/>
      <c r="K2566" s="149"/>
      <c r="L2566" s="149"/>
      <c r="M2566" s="149">
        <f t="shared" si="821"/>
        <v>0</v>
      </c>
      <c r="N2566" s="149"/>
      <c r="O2566" s="149">
        <f t="shared" si="828"/>
        <v>0</v>
      </c>
      <c r="P2566" s="149"/>
      <c r="Q2566" s="149"/>
      <c r="R2566" s="149">
        <f t="shared" si="829"/>
        <v>0</v>
      </c>
      <c r="S2566" s="150" t="e">
        <f t="shared" si="830"/>
        <v>#DIV/0!</v>
      </c>
      <c r="T2566" s="151" t="e">
        <f t="shared" si="831"/>
        <v>#DIV/0!</v>
      </c>
      <c r="U2566" s="150" t="e">
        <f t="shared" si="832"/>
        <v>#NUM!</v>
      </c>
      <c r="V2566" s="150" t="e">
        <f t="shared" si="833"/>
        <v>#DIV/0!</v>
      </c>
      <c r="W2566" s="152"/>
      <c r="X2566" s="152"/>
      <c r="Y2566" s="152"/>
      <c r="Z2566" s="153">
        <f t="shared" si="836"/>
        <v>0</v>
      </c>
      <c r="AA2566" s="148">
        <f t="shared" si="815"/>
        <v>0</v>
      </c>
      <c r="AB2566" s="149"/>
      <c r="AC2566" s="149"/>
      <c r="AD2566" s="150" t="e">
        <f t="shared" si="807"/>
        <v>#DIV/0!</v>
      </c>
      <c r="AE2566" s="154" t="e">
        <f t="shared" si="808"/>
        <v>#DIV/0!</v>
      </c>
      <c r="AF2566" s="150" t="e">
        <f t="shared" si="809"/>
        <v>#DIV/0!</v>
      </c>
      <c r="AG2566" s="150" t="e">
        <f t="shared" si="810"/>
        <v>#DIV/0!</v>
      </c>
      <c r="AH2566" s="155" t="e">
        <f t="shared" si="811"/>
        <v>#DIV/0!</v>
      </c>
      <c r="AI2566" s="156" t="e">
        <f t="shared" si="837"/>
        <v>#DIV/0!</v>
      </c>
      <c r="AJ2566" s="149"/>
      <c r="AK2566" s="149"/>
      <c r="AL2566" s="157"/>
      <c r="AM2566" s="157"/>
      <c r="AN2566" s="157"/>
      <c r="AO2566" s="157"/>
      <c r="AP2566" s="157"/>
      <c r="AQ2566" s="157"/>
      <c r="AR2566" s="157"/>
    </row>
    <row r="2567" spans="1:44" ht="16.8">
      <c r="A2567" s="145">
        <v>448</v>
      </c>
      <c r="B2567" s="145">
        <v>1236</v>
      </c>
      <c r="C2567" s="145" t="s">
        <v>4916</v>
      </c>
      <c r="D2567" s="146" t="s">
        <v>4917</v>
      </c>
      <c r="E2567" s="147" t="s">
        <v>178</v>
      </c>
      <c r="F2567" s="148"/>
      <c r="G2567" s="148"/>
      <c r="H2567" s="149"/>
      <c r="I2567" s="149"/>
      <c r="J2567" s="149"/>
      <c r="K2567" s="149"/>
      <c r="L2567" s="149"/>
      <c r="M2567" s="149">
        <f t="shared" si="821"/>
        <v>0</v>
      </c>
      <c r="N2567" s="149"/>
      <c r="O2567" s="149">
        <f t="shared" si="828"/>
        <v>0</v>
      </c>
      <c r="P2567" s="149"/>
      <c r="Q2567" s="149"/>
      <c r="R2567" s="149">
        <f t="shared" si="829"/>
        <v>0</v>
      </c>
      <c r="S2567" s="150" t="e">
        <f t="shared" si="830"/>
        <v>#DIV/0!</v>
      </c>
      <c r="T2567" s="151" t="e">
        <f t="shared" si="831"/>
        <v>#DIV/0!</v>
      </c>
      <c r="U2567" s="150" t="e">
        <f t="shared" si="832"/>
        <v>#NUM!</v>
      </c>
      <c r="V2567" s="150" t="e">
        <f t="shared" si="833"/>
        <v>#DIV/0!</v>
      </c>
      <c r="W2567" s="152"/>
      <c r="X2567" s="152"/>
      <c r="Y2567" s="152"/>
      <c r="Z2567" s="153">
        <f t="shared" si="836"/>
        <v>0</v>
      </c>
      <c r="AA2567" s="148">
        <f t="shared" si="815"/>
        <v>0</v>
      </c>
      <c r="AB2567" s="149"/>
      <c r="AC2567" s="149"/>
      <c r="AD2567" s="150" t="e">
        <f t="shared" si="807"/>
        <v>#DIV/0!</v>
      </c>
      <c r="AE2567" s="154" t="e">
        <f t="shared" si="808"/>
        <v>#DIV/0!</v>
      </c>
      <c r="AF2567" s="150" t="e">
        <f t="shared" si="809"/>
        <v>#DIV/0!</v>
      </c>
      <c r="AG2567" s="150" t="e">
        <f t="shared" si="810"/>
        <v>#DIV/0!</v>
      </c>
      <c r="AH2567" s="155" t="e">
        <f t="shared" si="811"/>
        <v>#DIV/0!</v>
      </c>
      <c r="AI2567" s="156" t="e">
        <f t="shared" si="837"/>
        <v>#DIV/0!</v>
      </c>
      <c r="AJ2567" s="149"/>
      <c r="AK2567" s="149"/>
      <c r="AL2567" s="157"/>
      <c r="AM2567" s="157"/>
      <c r="AN2567" s="157"/>
      <c r="AO2567" s="157"/>
      <c r="AP2567" s="157"/>
      <c r="AQ2567" s="157"/>
      <c r="AR2567" s="157"/>
    </row>
    <row r="2568" spans="1:44" ht="16.8">
      <c r="A2568" s="145">
        <v>449</v>
      </c>
      <c r="B2568" s="145">
        <v>1237</v>
      </c>
      <c r="C2568" s="145" t="s">
        <v>4918</v>
      </c>
      <c r="D2568" s="146" t="s">
        <v>4919</v>
      </c>
      <c r="E2568" s="147" t="s">
        <v>178</v>
      </c>
      <c r="F2568" s="148"/>
      <c r="G2568" s="148"/>
      <c r="H2568" s="149"/>
      <c r="I2568" s="149"/>
      <c r="J2568" s="149"/>
      <c r="K2568" s="149"/>
      <c r="L2568" s="149"/>
      <c r="M2568" s="149">
        <f t="shared" si="821"/>
        <v>0</v>
      </c>
      <c r="N2568" s="149"/>
      <c r="O2568" s="149">
        <f t="shared" si="828"/>
        <v>0</v>
      </c>
      <c r="P2568" s="149"/>
      <c r="Q2568" s="149"/>
      <c r="R2568" s="149">
        <f t="shared" si="829"/>
        <v>0</v>
      </c>
      <c r="S2568" s="150" t="e">
        <f t="shared" si="830"/>
        <v>#DIV/0!</v>
      </c>
      <c r="T2568" s="151" t="e">
        <f t="shared" si="831"/>
        <v>#DIV/0!</v>
      </c>
      <c r="U2568" s="150" t="e">
        <f t="shared" si="832"/>
        <v>#NUM!</v>
      </c>
      <c r="V2568" s="150" t="e">
        <f t="shared" si="833"/>
        <v>#DIV/0!</v>
      </c>
      <c r="W2568" s="152"/>
      <c r="X2568" s="152"/>
      <c r="Y2568" s="152"/>
      <c r="Z2568" s="153">
        <f t="shared" si="836"/>
        <v>0</v>
      </c>
      <c r="AA2568" s="148">
        <f t="shared" si="815"/>
        <v>0</v>
      </c>
      <c r="AB2568" s="149"/>
      <c r="AC2568" s="149"/>
      <c r="AD2568" s="150" t="e">
        <f t="shared" si="807"/>
        <v>#DIV/0!</v>
      </c>
      <c r="AE2568" s="154" t="e">
        <f t="shared" si="808"/>
        <v>#DIV/0!</v>
      </c>
      <c r="AF2568" s="150" t="e">
        <f t="shared" si="809"/>
        <v>#DIV/0!</v>
      </c>
      <c r="AG2568" s="150" t="e">
        <f t="shared" si="810"/>
        <v>#DIV/0!</v>
      </c>
      <c r="AH2568" s="155" t="e">
        <f t="shared" si="811"/>
        <v>#DIV/0!</v>
      </c>
      <c r="AI2568" s="156" t="e">
        <f t="shared" si="837"/>
        <v>#DIV/0!</v>
      </c>
      <c r="AJ2568" s="149"/>
      <c r="AK2568" s="149"/>
      <c r="AL2568" s="157"/>
      <c r="AM2568" s="157"/>
      <c r="AN2568" s="157"/>
      <c r="AO2568" s="157"/>
      <c r="AP2568" s="157"/>
      <c r="AQ2568" s="157"/>
      <c r="AR2568" s="157"/>
    </row>
    <row r="2569" spans="1:44" ht="16.8">
      <c r="A2569" s="145">
        <v>450</v>
      </c>
      <c r="B2569" s="145">
        <v>1238</v>
      </c>
      <c r="C2569" s="145" t="s">
        <v>4920</v>
      </c>
      <c r="D2569" s="146" t="s">
        <v>4921</v>
      </c>
      <c r="E2569" s="147" t="s">
        <v>178</v>
      </c>
      <c r="F2569" s="148"/>
      <c r="G2569" s="148"/>
      <c r="H2569" s="149"/>
      <c r="I2569" s="149"/>
      <c r="J2569" s="149"/>
      <c r="K2569" s="149"/>
      <c r="L2569" s="149"/>
      <c r="M2569" s="149">
        <f t="shared" si="821"/>
        <v>0</v>
      </c>
      <c r="N2569" s="149"/>
      <c r="O2569" s="149">
        <f t="shared" si="828"/>
        <v>0</v>
      </c>
      <c r="P2569" s="149"/>
      <c r="Q2569" s="149"/>
      <c r="R2569" s="149">
        <f t="shared" si="829"/>
        <v>0</v>
      </c>
      <c r="S2569" s="150" t="e">
        <f t="shared" si="830"/>
        <v>#DIV/0!</v>
      </c>
      <c r="T2569" s="151" t="e">
        <f t="shared" si="831"/>
        <v>#DIV/0!</v>
      </c>
      <c r="U2569" s="150" t="e">
        <f t="shared" si="832"/>
        <v>#NUM!</v>
      </c>
      <c r="V2569" s="150" t="e">
        <f t="shared" si="833"/>
        <v>#DIV/0!</v>
      </c>
      <c r="W2569" s="152"/>
      <c r="X2569" s="152"/>
      <c r="Y2569" s="152"/>
      <c r="Z2569" s="153">
        <f t="shared" si="836"/>
        <v>0</v>
      </c>
      <c r="AA2569" s="148">
        <f t="shared" si="815"/>
        <v>0</v>
      </c>
      <c r="AB2569" s="149"/>
      <c r="AC2569" s="149"/>
      <c r="AD2569" s="150" t="e">
        <f t="shared" si="807"/>
        <v>#DIV/0!</v>
      </c>
      <c r="AE2569" s="154" t="e">
        <f t="shared" si="808"/>
        <v>#DIV/0!</v>
      </c>
      <c r="AF2569" s="150" t="e">
        <f t="shared" si="809"/>
        <v>#DIV/0!</v>
      </c>
      <c r="AG2569" s="150" t="e">
        <f t="shared" si="810"/>
        <v>#DIV/0!</v>
      </c>
      <c r="AH2569" s="155" t="e">
        <f t="shared" si="811"/>
        <v>#DIV/0!</v>
      </c>
      <c r="AI2569" s="156" t="e">
        <f t="shared" si="837"/>
        <v>#DIV/0!</v>
      </c>
      <c r="AJ2569" s="149"/>
      <c r="AK2569" s="149"/>
      <c r="AL2569" s="157"/>
      <c r="AM2569" s="157"/>
      <c r="AN2569" s="157"/>
      <c r="AO2569" s="157"/>
      <c r="AP2569" s="157"/>
      <c r="AQ2569" s="157"/>
      <c r="AR2569" s="157"/>
    </row>
    <row r="2570" spans="1:44" ht="16.8">
      <c r="A2570" s="145">
        <v>451</v>
      </c>
      <c r="B2570" s="145">
        <v>1239</v>
      </c>
      <c r="C2570" s="145" t="s">
        <v>4922</v>
      </c>
      <c r="D2570" s="146" t="s">
        <v>4923</v>
      </c>
      <c r="E2570" s="147" t="s">
        <v>178</v>
      </c>
      <c r="F2570" s="148"/>
      <c r="G2570" s="148"/>
      <c r="H2570" s="149"/>
      <c r="I2570" s="149"/>
      <c r="J2570" s="149"/>
      <c r="K2570" s="149"/>
      <c r="L2570" s="149"/>
      <c r="M2570" s="149">
        <f t="shared" si="821"/>
        <v>0</v>
      </c>
      <c r="N2570" s="149"/>
      <c r="O2570" s="149">
        <f t="shared" si="828"/>
        <v>0</v>
      </c>
      <c r="P2570" s="149"/>
      <c r="Q2570" s="149"/>
      <c r="R2570" s="149">
        <f t="shared" si="829"/>
        <v>0</v>
      </c>
      <c r="S2570" s="150" t="e">
        <f t="shared" si="830"/>
        <v>#DIV/0!</v>
      </c>
      <c r="T2570" s="151" t="e">
        <f t="shared" si="831"/>
        <v>#DIV/0!</v>
      </c>
      <c r="U2570" s="150" t="e">
        <f t="shared" si="832"/>
        <v>#NUM!</v>
      </c>
      <c r="V2570" s="150" t="e">
        <f t="shared" si="833"/>
        <v>#DIV/0!</v>
      </c>
      <c r="W2570" s="152"/>
      <c r="X2570" s="152"/>
      <c r="Y2570" s="152"/>
      <c r="Z2570" s="153">
        <f t="shared" si="836"/>
        <v>0</v>
      </c>
      <c r="AA2570" s="148">
        <f t="shared" si="815"/>
        <v>0</v>
      </c>
      <c r="AB2570" s="149"/>
      <c r="AC2570" s="149"/>
      <c r="AD2570" s="150" t="e">
        <f t="shared" si="807"/>
        <v>#DIV/0!</v>
      </c>
      <c r="AE2570" s="154" t="e">
        <f t="shared" si="808"/>
        <v>#DIV/0!</v>
      </c>
      <c r="AF2570" s="150" t="e">
        <f t="shared" si="809"/>
        <v>#DIV/0!</v>
      </c>
      <c r="AG2570" s="150" t="e">
        <f t="shared" si="810"/>
        <v>#DIV/0!</v>
      </c>
      <c r="AH2570" s="155" t="e">
        <f t="shared" si="811"/>
        <v>#DIV/0!</v>
      </c>
      <c r="AI2570" s="156" t="e">
        <f t="shared" si="837"/>
        <v>#DIV/0!</v>
      </c>
      <c r="AJ2570" s="149"/>
      <c r="AK2570" s="149"/>
      <c r="AL2570" s="157"/>
      <c r="AM2570" s="157"/>
      <c r="AN2570" s="157"/>
      <c r="AO2570" s="157"/>
      <c r="AP2570" s="157"/>
      <c r="AQ2570" s="157"/>
      <c r="AR2570" s="157"/>
    </row>
    <row r="2571" spans="1:44" ht="16.8">
      <c r="A2571" s="145">
        <v>452</v>
      </c>
      <c r="B2571" s="145">
        <v>1240</v>
      </c>
      <c r="C2571" s="145" t="s">
        <v>4924</v>
      </c>
      <c r="D2571" s="146" t="s">
        <v>4925</v>
      </c>
      <c r="E2571" s="147" t="s">
        <v>178</v>
      </c>
      <c r="F2571" s="148"/>
      <c r="G2571" s="148"/>
      <c r="H2571" s="149"/>
      <c r="I2571" s="149"/>
      <c r="J2571" s="149"/>
      <c r="K2571" s="149"/>
      <c r="L2571" s="149"/>
      <c r="M2571" s="149">
        <f t="shared" si="821"/>
        <v>0</v>
      </c>
      <c r="N2571" s="149"/>
      <c r="O2571" s="149">
        <f t="shared" si="828"/>
        <v>0</v>
      </c>
      <c r="P2571" s="149"/>
      <c r="Q2571" s="149"/>
      <c r="R2571" s="149">
        <f t="shared" si="829"/>
        <v>0</v>
      </c>
      <c r="S2571" s="150" t="e">
        <f t="shared" si="830"/>
        <v>#DIV/0!</v>
      </c>
      <c r="T2571" s="151" t="e">
        <f t="shared" si="831"/>
        <v>#DIV/0!</v>
      </c>
      <c r="U2571" s="150" t="e">
        <f t="shared" si="832"/>
        <v>#NUM!</v>
      </c>
      <c r="V2571" s="150" t="e">
        <f t="shared" si="833"/>
        <v>#DIV/0!</v>
      </c>
      <c r="W2571" s="152"/>
      <c r="X2571" s="152"/>
      <c r="Y2571" s="152"/>
      <c r="Z2571" s="153">
        <f t="shared" si="836"/>
        <v>0</v>
      </c>
      <c r="AA2571" s="148">
        <f t="shared" si="815"/>
        <v>0</v>
      </c>
      <c r="AB2571" s="149"/>
      <c r="AC2571" s="149"/>
      <c r="AD2571" s="150" t="e">
        <f t="shared" si="807"/>
        <v>#DIV/0!</v>
      </c>
      <c r="AE2571" s="154" t="e">
        <f t="shared" si="808"/>
        <v>#DIV/0!</v>
      </c>
      <c r="AF2571" s="150" t="e">
        <f t="shared" si="809"/>
        <v>#DIV/0!</v>
      </c>
      <c r="AG2571" s="150" t="e">
        <f t="shared" si="810"/>
        <v>#DIV/0!</v>
      </c>
      <c r="AH2571" s="155" t="e">
        <f t="shared" si="811"/>
        <v>#DIV/0!</v>
      </c>
      <c r="AI2571" s="156" t="e">
        <f t="shared" si="837"/>
        <v>#DIV/0!</v>
      </c>
      <c r="AJ2571" s="149"/>
      <c r="AK2571" s="149"/>
      <c r="AL2571" s="157"/>
      <c r="AM2571" s="157"/>
      <c r="AN2571" s="157"/>
      <c r="AO2571" s="157"/>
      <c r="AP2571" s="157"/>
      <c r="AQ2571" s="157"/>
      <c r="AR2571" s="157"/>
    </row>
    <row r="2572" spans="1:44" ht="16.8">
      <c r="A2572" s="145">
        <v>453</v>
      </c>
      <c r="B2572" s="145">
        <v>1241</v>
      </c>
      <c r="C2572" s="145" t="s">
        <v>4926</v>
      </c>
      <c r="D2572" s="146" t="s">
        <v>4927</v>
      </c>
      <c r="E2572" s="147" t="s">
        <v>178</v>
      </c>
      <c r="F2572" s="148"/>
      <c r="G2572" s="148"/>
      <c r="H2572" s="149"/>
      <c r="I2572" s="149"/>
      <c r="J2572" s="149"/>
      <c r="K2572" s="149"/>
      <c r="L2572" s="149"/>
      <c r="M2572" s="149">
        <f t="shared" si="821"/>
        <v>0</v>
      </c>
      <c r="N2572" s="149"/>
      <c r="O2572" s="149">
        <f t="shared" si="828"/>
        <v>0</v>
      </c>
      <c r="P2572" s="149"/>
      <c r="Q2572" s="149"/>
      <c r="R2572" s="149">
        <f t="shared" si="829"/>
        <v>0</v>
      </c>
      <c r="S2572" s="150" t="e">
        <f t="shared" si="830"/>
        <v>#DIV/0!</v>
      </c>
      <c r="T2572" s="151" t="e">
        <f t="shared" si="831"/>
        <v>#DIV/0!</v>
      </c>
      <c r="U2572" s="150" t="e">
        <f t="shared" si="832"/>
        <v>#NUM!</v>
      </c>
      <c r="V2572" s="150" t="e">
        <f t="shared" si="833"/>
        <v>#DIV/0!</v>
      </c>
      <c r="W2572" s="152"/>
      <c r="X2572" s="152"/>
      <c r="Y2572" s="152"/>
      <c r="Z2572" s="153">
        <f t="shared" si="836"/>
        <v>0</v>
      </c>
      <c r="AA2572" s="148">
        <f t="shared" si="815"/>
        <v>0</v>
      </c>
      <c r="AB2572" s="149"/>
      <c r="AC2572" s="149"/>
      <c r="AD2572" s="150" t="e">
        <f t="shared" si="807"/>
        <v>#DIV/0!</v>
      </c>
      <c r="AE2572" s="154" t="e">
        <f t="shared" si="808"/>
        <v>#DIV/0!</v>
      </c>
      <c r="AF2572" s="150" t="e">
        <f t="shared" si="809"/>
        <v>#DIV/0!</v>
      </c>
      <c r="AG2572" s="150" t="e">
        <f t="shared" si="810"/>
        <v>#DIV/0!</v>
      </c>
      <c r="AH2572" s="155" t="e">
        <f t="shared" si="811"/>
        <v>#DIV/0!</v>
      </c>
      <c r="AI2572" s="156" t="e">
        <f t="shared" si="837"/>
        <v>#DIV/0!</v>
      </c>
      <c r="AJ2572" s="149"/>
      <c r="AK2572" s="149"/>
      <c r="AL2572" s="157"/>
      <c r="AM2572" s="157"/>
      <c r="AN2572" s="157"/>
      <c r="AO2572" s="157"/>
      <c r="AP2572" s="157"/>
      <c r="AQ2572" s="157"/>
      <c r="AR2572" s="157"/>
    </row>
    <row r="2573" spans="1:44" ht="16.8">
      <c r="A2573" s="145">
        <v>454</v>
      </c>
      <c r="B2573" s="145">
        <v>1242</v>
      </c>
      <c r="C2573" s="145" t="s">
        <v>4928</v>
      </c>
      <c r="D2573" s="146" t="s">
        <v>4929</v>
      </c>
      <c r="E2573" s="147" t="s">
        <v>178</v>
      </c>
      <c r="F2573" s="148"/>
      <c r="G2573" s="148"/>
      <c r="H2573" s="149"/>
      <c r="I2573" s="149"/>
      <c r="J2573" s="149"/>
      <c r="K2573" s="149"/>
      <c r="L2573" s="149"/>
      <c r="M2573" s="149">
        <f t="shared" si="821"/>
        <v>0</v>
      </c>
      <c r="N2573" s="149"/>
      <c r="O2573" s="149">
        <f t="shared" si="828"/>
        <v>0</v>
      </c>
      <c r="P2573" s="149"/>
      <c r="Q2573" s="149"/>
      <c r="R2573" s="149">
        <f t="shared" si="829"/>
        <v>0</v>
      </c>
      <c r="S2573" s="150" t="e">
        <f t="shared" si="830"/>
        <v>#DIV/0!</v>
      </c>
      <c r="T2573" s="151" t="e">
        <f t="shared" si="831"/>
        <v>#DIV/0!</v>
      </c>
      <c r="U2573" s="150" t="e">
        <f t="shared" si="832"/>
        <v>#NUM!</v>
      </c>
      <c r="V2573" s="150" t="e">
        <f t="shared" si="833"/>
        <v>#DIV/0!</v>
      </c>
      <c r="W2573" s="152"/>
      <c r="X2573" s="152"/>
      <c r="Y2573" s="152"/>
      <c r="Z2573" s="153">
        <f t="shared" si="836"/>
        <v>0</v>
      </c>
      <c r="AA2573" s="148">
        <f t="shared" si="815"/>
        <v>0</v>
      </c>
      <c r="AB2573" s="149"/>
      <c r="AC2573" s="149"/>
      <c r="AD2573" s="150" t="e">
        <f t="shared" si="807"/>
        <v>#DIV/0!</v>
      </c>
      <c r="AE2573" s="154" t="e">
        <f t="shared" si="808"/>
        <v>#DIV/0!</v>
      </c>
      <c r="AF2573" s="150" t="e">
        <f t="shared" si="809"/>
        <v>#DIV/0!</v>
      </c>
      <c r="AG2573" s="150" t="e">
        <f t="shared" si="810"/>
        <v>#DIV/0!</v>
      </c>
      <c r="AH2573" s="155" t="e">
        <f t="shared" si="811"/>
        <v>#DIV/0!</v>
      </c>
      <c r="AI2573" s="156" t="e">
        <f t="shared" si="837"/>
        <v>#DIV/0!</v>
      </c>
      <c r="AJ2573" s="149"/>
      <c r="AK2573" s="149"/>
      <c r="AL2573" s="157"/>
      <c r="AM2573" s="157"/>
      <c r="AN2573" s="157"/>
      <c r="AO2573" s="157"/>
      <c r="AP2573" s="157"/>
      <c r="AQ2573" s="157"/>
      <c r="AR2573" s="157"/>
    </row>
    <row r="2574" spans="1:44" ht="16.8">
      <c r="A2574" s="145">
        <v>455</v>
      </c>
      <c r="B2574" s="145">
        <v>1243</v>
      </c>
      <c r="C2574" s="145" t="s">
        <v>4930</v>
      </c>
      <c r="D2574" s="146" t="s">
        <v>4931</v>
      </c>
      <c r="E2574" s="147" t="s">
        <v>178</v>
      </c>
      <c r="F2574" s="148"/>
      <c r="G2574" s="148"/>
      <c r="H2574" s="149"/>
      <c r="I2574" s="149"/>
      <c r="J2574" s="149"/>
      <c r="K2574" s="149"/>
      <c r="L2574" s="149"/>
      <c r="M2574" s="149">
        <f t="shared" si="821"/>
        <v>0</v>
      </c>
      <c r="N2574" s="149"/>
      <c r="O2574" s="149">
        <f t="shared" si="828"/>
        <v>0</v>
      </c>
      <c r="P2574" s="149"/>
      <c r="Q2574" s="149"/>
      <c r="R2574" s="149">
        <f t="shared" si="829"/>
        <v>0</v>
      </c>
      <c r="S2574" s="150" t="e">
        <f t="shared" si="830"/>
        <v>#DIV/0!</v>
      </c>
      <c r="T2574" s="151" t="e">
        <f t="shared" si="831"/>
        <v>#DIV/0!</v>
      </c>
      <c r="U2574" s="150" t="e">
        <f t="shared" si="832"/>
        <v>#NUM!</v>
      </c>
      <c r="V2574" s="150" t="e">
        <f t="shared" si="833"/>
        <v>#DIV/0!</v>
      </c>
      <c r="W2574" s="152"/>
      <c r="X2574" s="152"/>
      <c r="Y2574" s="152"/>
      <c r="Z2574" s="153">
        <f t="shared" si="836"/>
        <v>0</v>
      </c>
      <c r="AA2574" s="148">
        <f t="shared" si="815"/>
        <v>0</v>
      </c>
      <c r="AB2574" s="149"/>
      <c r="AC2574" s="149"/>
      <c r="AD2574" s="150" t="e">
        <f t="shared" si="807"/>
        <v>#DIV/0!</v>
      </c>
      <c r="AE2574" s="154" t="e">
        <f t="shared" si="808"/>
        <v>#DIV/0!</v>
      </c>
      <c r="AF2574" s="150" t="e">
        <f t="shared" si="809"/>
        <v>#DIV/0!</v>
      </c>
      <c r="AG2574" s="150" t="e">
        <f t="shared" si="810"/>
        <v>#DIV/0!</v>
      </c>
      <c r="AH2574" s="155" t="e">
        <f t="shared" si="811"/>
        <v>#DIV/0!</v>
      </c>
      <c r="AI2574" s="156" t="e">
        <f t="shared" si="837"/>
        <v>#DIV/0!</v>
      </c>
      <c r="AJ2574" s="149"/>
      <c r="AK2574" s="149"/>
      <c r="AL2574" s="157"/>
      <c r="AM2574" s="157"/>
      <c r="AN2574" s="157"/>
      <c r="AO2574" s="157"/>
      <c r="AP2574" s="157"/>
      <c r="AQ2574" s="157"/>
      <c r="AR2574" s="157"/>
    </row>
    <row r="2575" spans="1:44" ht="16.8">
      <c r="A2575" s="145">
        <v>456</v>
      </c>
      <c r="B2575" s="145">
        <v>1244</v>
      </c>
      <c r="C2575" s="145" t="s">
        <v>4932</v>
      </c>
      <c r="D2575" s="146" t="s">
        <v>3467</v>
      </c>
      <c r="E2575" s="147" t="s">
        <v>178</v>
      </c>
      <c r="F2575" s="148"/>
      <c r="G2575" s="148"/>
      <c r="H2575" s="149"/>
      <c r="I2575" s="149"/>
      <c r="J2575" s="149"/>
      <c r="K2575" s="149"/>
      <c r="L2575" s="149"/>
      <c r="M2575" s="149">
        <f t="shared" si="821"/>
        <v>0</v>
      </c>
      <c r="N2575" s="149"/>
      <c r="O2575" s="149">
        <f t="shared" si="828"/>
        <v>0</v>
      </c>
      <c r="P2575" s="149"/>
      <c r="Q2575" s="149"/>
      <c r="R2575" s="149">
        <f t="shared" si="829"/>
        <v>0</v>
      </c>
      <c r="S2575" s="150" t="e">
        <f t="shared" si="830"/>
        <v>#DIV/0!</v>
      </c>
      <c r="T2575" s="151" t="e">
        <f t="shared" si="831"/>
        <v>#DIV/0!</v>
      </c>
      <c r="U2575" s="150" t="e">
        <f t="shared" si="832"/>
        <v>#NUM!</v>
      </c>
      <c r="V2575" s="150" t="e">
        <f t="shared" si="833"/>
        <v>#DIV/0!</v>
      </c>
      <c r="W2575" s="152"/>
      <c r="X2575" s="152"/>
      <c r="Y2575" s="152"/>
      <c r="Z2575" s="153">
        <f t="shared" si="836"/>
        <v>0</v>
      </c>
      <c r="AA2575" s="148">
        <f t="shared" si="815"/>
        <v>0</v>
      </c>
      <c r="AB2575" s="149"/>
      <c r="AC2575" s="149"/>
      <c r="AD2575" s="150" t="e">
        <f t="shared" si="807"/>
        <v>#DIV/0!</v>
      </c>
      <c r="AE2575" s="154" t="e">
        <f t="shared" si="808"/>
        <v>#DIV/0!</v>
      </c>
      <c r="AF2575" s="150" t="e">
        <f t="shared" si="809"/>
        <v>#DIV/0!</v>
      </c>
      <c r="AG2575" s="150" t="e">
        <f t="shared" si="810"/>
        <v>#DIV/0!</v>
      </c>
      <c r="AH2575" s="155" t="e">
        <f t="shared" si="811"/>
        <v>#DIV/0!</v>
      </c>
      <c r="AI2575" s="156" t="e">
        <f t="shared" si="837"/>
        <v>#DIV/0!</v>
      </c>
      <c r="AJ2575" s="149"/>
      <c r="AK2575" s="149"/>
      <c r="AL2575" s="157"/>
      <c r="AM2575" s="157"/>
      <c r="AN2575" s="157"/>
      <c r="AO2575" s="157"/>
      <c r="AP2575" s="157"/>
      <c r="AQ2575" s="157"/>
      <c r="AR2575" s="157"/>
    </row>
    <row r="2576" spans="1:44" ht="16.8">
      <c r="A2576" s="145">
        <v>458</v>
      </c>
      <c r="B2576" s="145">
        <v>1246</v>
      </c>
      <c r="C2576" s="145" t="s">
        <v>4933</v>
      </c>
      <c r="D2576" s="146" t="s">
        <v>4934</v>
      </c>
      <c r="E2576" s="147" t="s">
        <v>178</v>
      </c>
      <c r="F2576" s="148"/>
      <c r="G2576" s="148"/>
      <c r="H2576" s="149"/>
      <c r="I2576" s="149"/>
      <c r="J2576" s="149"/>
      <c r="K2576" s="149"/>
      <c r="L2576" s="149"/>
      <c r="M2576" s="149">
        <f t="shared" si="821"/>
        <v>0</v>
      </c>
      <c r="N2576" s="149"/>
      <c r="O2576" s="149">
        <f t="shared" si="828"/>
        <v>0</v>
      </c>
      <c r="P2576" s="149"/>
      <c r="Q2576" s="149"/>
      <c r="R2576" s="149">
        <f t="shared" si="829"/>
        <v>0</v>
      </c>
      <c r="S2576" s="150" t="e">
        <f t="shared" si="830"/>
        <v>#DIV/0!</v>
      </c>
      <c r="T2576" s="151" t="e">
        <f t="shared" si="831"/>
        <v>#DIV/0!</v>
      </c>
      <c r="U2576" s="150" t="e">
        <f t="shared" si="832"/>
        <v>#NUM!</v>
      </c>
      <c r="V2576" s="150" t="e">
        <f t="shared" si="833"/>
        <v>#DIV/0!</v>
      </c>
      <c r="W2576" s="152"/>
      <c r="X2576" s="152"/>
      <c r="Y2576" s="152"/>
      <c r="Z2576" s="153">
        <f t="shared" si="836"/>
        <v>0</v>
      </c>
      <c r="AA2576" s="148">
        <f t="shared" si="815"/>
        <v>0</v>
      </c>
      <c r="AB2576" s="149"/>
      <c r="AC2576" s="149"/>
      <c r="AD2576" s="150" t="e">
        <f t="shared" si="807"/>
        <v>#DIV/0!</v>
      </c>
      <c r="AE2576" s="154" t="e">
        <f t="shared" si="808"/>
        <v>#DIV/0!</v>
      </c>
      <c r="AF2576" s="150" t="e">
        <f t="shared" si="809"/>
        <v>#DIV/0!</v>
      </c>
      <c r="AG2576" s="150" t="e">
        <f t="shared" si="810"/>
        <v>#DIV/0!</v>
      </c>
      <c r="AH2576" s="155" t="e">
        <f t="shared" si="811"/>
        <v>#DIV/0!</v>
      </c>
      <c r="AI2576" s="156" t="e">
        <f t="shared" si="837"/>
        <v>#DIV/0!</v>
      </c>
      <c r="AJ2576" s="149"/>
      <c r="AK2576" s="149"/>
      <c r="AL2576" s="157"/>
      <c r="AM2576" s="157"/>
      <c r="AN2576" s="157"/>
      <c r="AO2576" s="157"/>
      <c r="AP2576" s="157"/>
      <c r="AQ2576" s="157"/>
      <c r="AR2576" s="157"/>
    </row>
    <row r="2577" spans="1:44" ht="16.8">
      <c r="A2577" s="145">
        <v>459</v>
      </c>
      <c r="B2577" s="145">
        <v>1247</v>
      </c>
      <c r="C2577" s="145" t="s">
        <v>4935</v>
      </c>
      <c r="D2577" s="146" t="s">
        <v>4936</v>
      </c>
      <c r="E2577" s="147" t="s">
        <v>178</v>
      </c>
      <c r="F2577" s="148"/>
      <c r="G2577" s="148"/>
      <c r="H2577" s="149"/>
      <c r="I2577" s="149"/>
      <c r="J2577" s="149"/>
      <c r="K2577" s="149"/>
      <c r="L2577" s="149"/>
      <c r="M2577" s="149">
        <f t="shared" si="821"/>
        <v>0</v>
      </c>
      <c r="N2577" s="149"/>
      <c r="O2577" s="149">
        <f t="shared" si="828"/>
        <v>0</v>
      </c>
      <c r="P2577" s="149"/>
      <c r="Q2577" s="149"/>
      <c r="R2577" s="149">
        <f t="shared" si="829"/>
        <v>0</v>
      </c>
      <c r="S2577" s="150" t="e">
        <f t="shared" si="830"/>
        <v>#DIV/0!</v>
      </c>
      <c r="T2577" s="151" t="e">
        <f t="shared" si="831"/>
        <v>#DIV/0!</v>
      </c>
      <c r="U2577" s="150" t="e">
        <f t="shared" si="832"/>
        <v>#NUM!</v>
      </c>
      <c r="V2577" s="150" t="e">
        <f t="shared" si="833"/>
        <v>#DIV/0!</v>
      </c>
      <c r="W2577" s="152"/>
      <c r="X2577" s="152"/>
      <c r="Y2577" s="152"/>
      <c r="Z2577" s="153">
        <f t="shared" si="836"/>
        <v>0</v>
      </c>
      <c r="AA2577" s="148">
        <f t="shared" si="815"/>
        <v>0</v>
      </c>
      <c r="AB2577" s="149"/>
      <c r="AC2577" s="149"/>
      <c r="AD2577" s="150" t="e">
        <f t="shared" si="807"/>
        <v>#DIV/0!</v>
      </c>
      <c r="AE2577" s="154" t="e">
        <f t="shared" si="808"/>
        <v>#DIV/0!</v>
      </c>
      <c r="AF2577" s="150" t="e">
        <f t="shared" si="809"/>
        <v>#DIV/0!</v>
      </c>
      <c r="AG2577" s="150" t="e">
        <f t="shared" si="810"/>
        <v>#DIV/0!</v>
      </c>
      <c r="AH2577" s="155" t="e">
        <f t="shared" si="811"/>
        <v>#DIV/0!</v>
      </c>
      <c r="AI2577" s="156" t="e">
        <f t="shared" si="837"/>
        <v>#DIV/0!</v>
      </c>
      <c r="AJ2577" s="149"/>
      <c r="AK2577" s="149"/>
      <c r="AL2577" s="157"/>
      <c r="AM2577" s="157"/>
      <c r="AN2577" s="157"/>
      <c r="AO2577" s="157"/>
      <c r="AP2577" s="157"/>
      <c r="AQ2577" s="157"/>
      <c r="AR2577" s="157"/>
    </row>
    <row r="2578" spans="1:44" ht="16.8">
      <c r="A2578" s="145">
        <v>460</v>
      </c>
      <c r="B2578" s="145">
        <v>1248</v>
      </c>
      <c r="C2578" s="145" t="s">
        <v>4937</v>
      </c>
      <c r="D2578" s="146" t="s">
        <v>4938</v>
      </c>
      <c r="E2578" s="147" t="s">
        <v>178</v>
      </c>
      <c r="F2578" s="148"/>
      <c r="G2578" s="148"/>
      <c r="H2578" s="149"/>
      <c r="I2578" s="149"/>
      <c r="J2578" s="149"/>
      <c r="K2578" s="149"/>
      <c r="L2578" s="149"/>
      <c r="M2578" s="149">
        <f t="shared" si="821"/>
        <v>0</v>
      </c>
      <c r="N2578" s="149"/>
      <c r="O2578" s="149">
        <f t="shared" si="828"/>
        <v>0</v>
      </c>
      <c r="P2578" s="149"/>
      <c r="Q2578" s="149"/>
      <c r="R2578" s="149">
        <f t="shared" si="829"/>
        <v>0</v>
      </c>
      <c r="S2578" s="150" t="e">
        <f t="shared" si="830"/>
        <v>#DIV/0!</v>
      </c>
      <c r="T2578" s="151" t="e">
        <f t="shared" si="831"/>
        <v>#DIV/0!</v>
      </c>
      <c r="U2578" s="150" t="e">
        <f t="shared" si="832"/>
        <v>#NUM!</v>
      </c>
      <c r="V2578" s="150" t="e">
        <f t="shared" si="833"/>
        <v>#DIV/0!</v>
      </c>
      <c r="W2578" s="152"/>
      <c r="X2578" s="152"/>
      <c r="Y2578" s="152"/>
      <c r="Z2578" s="153">
        <f t="shared" si="836"/>
        <v>0</v>
      </c>
      <c r="AA2578" s="148">
        <f t="shared" si="815"/>
        <v>0</v>
      </c>
      <c r="AB2578" s="149"/>
      <c r="AC2578" s="149"/>
      <c r="AD2578" s="150" t="e">
        <f t="shared" si="807"/>
        <v>#DIV/0!</v>
      </c>
      <c r="AE2578" s="154" t="e">
        <f t="shared" si="808"/>
        <v>#DIV/0!</v>
      </c>
      <c r="AF2578" s="150" t="e">
        <f t="shared" si="809"/>
        <v>#DIV/0!</v>
      </c>
      <c r="AG2578" s="150" t="e">
        <f t="shared" si="810"/>
        <v>#DIV/0!</v>
      </c>
      <c r="AH2578" s="155" t="e">
        <f t="shared" si="811"/>
        <v>#DIV/0!</v>
      </c>
      <c r="AI2578" s="156" t="e">
        <f t="shared" si="837"/>
        <v>#DIV/0!</v>
      </c>
      <c r="AJ2578" s="149"/>
      <c r="AK2578" s="149"/>
      <c r="AL2578" s="157"/>
      <c r="AM2578" s="157"/>
      <c r="AN2578" s="157"/>
      <c r="AO2578" s="157"/>
      <c r="AP2578" s="157"/>
      <c r="AQ2578" s="157"/>
      <c r="AR2578" s="157"/>
    </row>
    <row r="2579" spans="1:44" ht="16.8">
      <c r="A2579" s="145">
        <v>461</v>
      </c>
      <c r="B2579" s="145">
        <v>1249</v>
      </c>
      <c r="C2579" s="145" t="s">
        <v>4939</v>
      </c>
      <c r="D2579" s="146" t="s">
        <v>4940</v>
      </c>
      <c r="E2579" s="147" t="s">
        <v>178</v>
      </c>
      <c r="F2579" s="148"/>
      <c r="G2579" s="148"/>
      <c r="H2579" s="149"/>
      <c r="I2579" s="149"/>
      <c r="J2579" s="149"/>
      <c r="K2579" s="149"/>
      <c r="L2579" s="149"/>
      <c r="M2579" s="149">
        <f t="shared" si="821"/>
        <v>0</v>
      </c>
      <c r="N2579" s="149"/>
      <c r="O2579" s="149">
        <f t="shared" si="828"/>
        <v>0</v>
      </c>
      <c r="P2579" s="149"/>
      <c r="Q2579" s="149"/>
      <c r="R2579" s="149">
        <f t="shared" si="829"/>
        <v>0</v>
      </c>
      <c r="S2579" s="150" t="e">
        <f t="shared" si="830"/>
        <v>#DIV/0!</v>
      </c>
      <c r="T2579" s="151" t="e">
        <f t="shared" si="831"/>
        <v>#DIV/0!</v>
      </c>
      <c r="U2579" s="150" t="e">
        <f t="shared" si="832"/>
        <v>#NUM!</v>
      </c>
      <c r="V2579" s="150" t="e">
        <f t="shared" si="833"/>
        <v>#DIV/0!</v>
      </c>
      <c r="W2579" s="152"/>
      <c r="X2579" s="152"/>
      <c r="Y2579" s="152"/>
      <c r="Z2579" s="153">
        <f t="shared" si="836"/>
        <v>0</v>
      </c>
      <c r="AA2579" s="148">
        <f t="shared" si="815"/>
        <v>0</v>
      </c>
      <c r="AB2579" s="149"/>
      <c r="AC2579" s="149"/>
      <c r="AD2579" s="150" t="e">
        <f t="shared" si="807"/>
        <v>#DIV/0!</v>
      </c>
      <c r="AE2579" s="154" t="e">
        <f t="shared" si="808"/>
        <v>#DIV/0!</v>
      </c>
      <c r="AF2579" s="150" t="e">
        <f t="shared" si="809"/>
        <v>#DIV/0!</v>
      </c>
      <c r="AG2579" s="150" t="e">
        <f t="shared" si="810"/>
        <v>#DIV/0!</v>
      </c>
      <c r="AH2579" s="155" t="e">
        <f t="shared" si="811"/>
        <v>#DIV/0!</v>
      </c>
      <c r="AI2579" s="156" t="e">
        <f t="shared" si="837"/>
        <v>#DIV/0!</v>
      </c>
      <c r="AJ2579" s="149"/>
      <c r="AK2579" s="149"/>
      <c r="AL2579" s="157"/>
      <c r="AM2579" s="157"/>
      <c r="AN2579" s="157"/>
      <c r="AO2579" s="157"/>
      <c r="AP2579" s="157"/>
      <c r="AQ2579" s="157"/>
      <c r="AR2579" s="157"/>
    </row>
    <row r="2580" spans="1:44" ht="16.8">
      <c r="A2580" s="145">
        <v>462</v>
      </c>
      <c r="B2580" s="145">
        <v>1250</v>
      </c>
      <c r="C2580" s="145" t="s">
        <v>4941</v>
      </c>
      <c r="D2580" s="146" t="s">
        <v>4942</v>
      </c>
      <c r="E2580" s="147" t="s">
        <v>178</v>
      </c>
      <c r="F2580" s="148"/>
      <c r="G2580" s="148"/>
      <c r="H2580" s="149"/>
      <c r="I2580" s="149"/>
      <c r="J2580" s="149"/>
      <c r="K2580" s="149"/>
      <c r="L2580" s="149"/>
      <c r="M2580" s="149">
        <f t="shared" si="821"/>
        <v>0</v>
      </c>
      <c r="N2580" s="149"/>
      <c r="O2580" s="149">
        <f t="shared" si="828"/>
        <v>0</v>
      </c>
      <c r="P2580" s="149"/>
      <c r="Q2580" s="149"/>
      <c r="R2580" s="149">
        <f t="shared" si="829"/>
        <v>0</v>
      </c>
      <c r="S2580" s="150" t="e">
        <f t="shared" si="830"/>
        <v>#DIV/0!</v>
      </c>
      <c r="T2580" s="151" t="e">
        <f t="shared" si="831"/>
        <v>#DIV/0!</v>
      </c>
      <c r="U2580" s="150" t="e">
        <f t="shared" si="832"/>
        <v>#NUM!</v>
      </c>
      <c r="V2580" s="150" t="e">
        <f t="shared" si="833"/>
        <v>#DIV/0!</v>
      </c>
      <c r="W2580" s="152"/>
      <c r="X2580" s="152"/>
      <c r="Y2580" s="152"/>
      <c r="Z2580" s="153">
        <f t="shared" si="836"/>
        <v>0</v>
      </c>
      <c r="AA2580" s="148">
        <f t="shared" si="815"/>
        <v>0</v>
      </c>
      <c r="AB2580" s="149"/>
      <c r="AC2580" s="149"/>
      <c r="AD2580" s="150" t="e">
        <f t="shared" si="807"/>
        <v>#DIV/0!</v>
      </c>
      <c r="AE2580" s="154" t="e">
        <f t="shared" si="808"/>
        <v>#DIV/0!</v>
      </c>
      <c r="AF2580" s="150" t="e">
        <f t="shared" si="809"/>
        <v>#DIV/0!</v>
      </c>
      <c r="AG2580" s="150" t="e">
        <f t="shared" si="810"/>
        <v>#DIV/0!</v>
      </c>
      <c r="AH2580" s="155" t="e">
        <f t="shared" si="811"/>
        <v>#DIV/0!</v>
      </c>
      <c r="AI2580" s="156" t="e">
        <f t="shared" si="837"/>
        <v>#DIV/0!</v>
      </c>
      <c r="AJ2580" s="149"/>
      <c r="AK2580" s="149"/>
      <c r="AL2580" s="157"/>
      <c r="AM2580" s="157"/>
      <c r="AN2580" s="157"/>
      <c r="AO2580" s="157"/>
      <c r="AP2580" s="157"/>
      <c r="AQ2580" s="157"/>
      <c r="AR2580" s="157"/>
    </row>
    <row r="2581" spans="1:44" ht="16.8">
      <c r="A2581" s="145">
        <v>463</v>
      </c>
      <c r="B2581" s="145">
        <v>1251</v>
      </c>
      <c r="C2581" s="145" t="s">
        <v>4943</v>
      </c>
      <c r="D2581" s="146" t="s">
        <v>4944</v>
      </c>
      <c r="E2581" s="147" t="s">
        <v>178</v>
      </c>
      <c r="F2581" s="148"/>
      <c r="G2581" s="148"/>
      <c r="H2581" s="149"/>
      <c r="I2581" s="149"/>
      <c r="J2581" s="149"/>
      <c r="K2581" s="149"/>
      <c r="L2581" s="149"/>
      <c r="M2581" s="149">
        <f t="shared" si="821"/>
        <v>0</v>
      </c>
      <c r="N2581" s="149"/>
      <c r="O2581" s="149">
        <f t="shared" si="828"/>
        <v>0</v>
      </c>
      <c r="P2581" s="149"/>
      <c r="Q2581" s="149"/>
      <c r="R2581" s="149">
        <f t="shared" si="829"/>
        <v>0</v>
      </c>
      <c r="S2581" s="150" t="e">
        <f t="shared" si="830"/>
        <v>#DIV/0!</v>
      </c>
      <c r="T2581" s="151" t="e">
        <f t="shared" si="831"/>
        <v>#DIV/0!</v>
      </c>
      <c r="U2581" s="150" t="e">
        <f t="shared" si="832"/>
        <v>#NUM!</v>
      </c>
      <c r="V2581" s="150" t="e">
        <f t="shared" si="833"/>
        <v>#DIV/0!</v>
      </c>
      <c r="W2581" s="152"/>
      <c r="X2581" s="152"/>
      <c r="Y2581" s="152"/>
      <c r="Z2581" s="153">
        <f t="shared" si="836"/>
        <v>0</v>
      </c>
      <c r="AA2581" s="148">
        <f t="shared" si="815"/>
        <v>0</v>
      </c>
      <c r="AB2581" s="149"/>
      <c r="AC2581" s="149"/>
      <c r="AD2581" s="150" t="e">
        <f t="shared" si="807"/>
        <v>#DIV/0!</v>
      </c>
      <c r="AE2581" s="154" t="e">
        <f t="shared" si="808"/>
        <v>#DIV/0!</v>
      </c>
      <c r="AF2581" s="150" t="e">
        <f t="shared" si="809"/>
        <v>#DIV/0!</v>
      </c>
      <c r="AG2581" s="150" t="e">
        <f t="shared" si="810"/>
        <v>#DIV/0!</v>
      </c>
      <c r="AH2581" s="155" t="e">
        <f t="shared" si="811"/>
        <v>#DIV/0!</v>
      </c>
      <c r="AI2581" s="156" t="e">
        <f t="shared" si="837"/>
        <v>#DIV/0!</v>
      </c>
      <c r="AJ2581" s="149"/>
      <c r="AK2581" s="149"/>
      <c r="AL2581" s="157"/>
      <c r="AM2581" s="157"/>
      <c r="AN2581" s="157"/>
      <c r="AO2581" s="157"/>
      <c r="AP2581" s="157"/>
      <c r="AQ2581" s="157"/>
      <c r="AR2581" s="157"/>
    </row>
    <row r="2582" spans="1:44" ht="16.8">
      <c r="A2582" s="145">
        <v>464</v>
      </c>
      <c r="B2582" s="145">
        <v>1252</v>
      </c>
      <c r="C2582" s="145" t="s">
        <v>4945</v>
      </c>
      <c r="D2582" s="146" t="s">
        <v>4946</v>
      </c>
      <c r="E2582" s="147" t="s">
        <v>178</v>
      </c>
      <c r="F2582" s="148"/>
      <c r="G2582" s="148"/>
      <c r="H2582" s="149"/>
      <c r="I2582" s="149"/>
      <c r="J2582" s="149"/>
      <c r="K2582" s="149"/>
      <c r="L2582" s="149"/>
      <c r="M2582" s="149">
        <f t="shared" si="821"/>
        <v>0</v>
      </c>
      <c r="N2582" s="149"/>
      <c r="O2582" s="149">
        <f t="shared" si="828"/>
        <v>0</v>
      </c>
      <c r="P2582" s="149"/>
      <c r="Q2582" s="149"/>
      <c r="R2582" s="149">
        <f t="shared" si="829"/>
        <v>0</v>
      </c>
      <c r="S2582" s="150" t="e">
        <f t="shared" si="830"/>
        <v>#DIV/0!</v>
      </c>
      <c r="T2582" s="151" t="e">
        <f t="shared" si="831"/>
        <v>#DIV/0!</v>
      </c>
      <c r="U2582" s="150" t="e">
        <f t="shared" si="832"/>
        <v>#NUM!</v>
      </c>
      <c r="V2582" s="150" t="e">
        <f t="shared" si="833"/>
        <v>#DIV/0!</v>
      </c>
      <c r="W2582" s="152"/>
      <c r="X2582" s="152"/>
      <c r="Y2582" s="152"/>
      <c r="Z2582" s="153">
        <f t="shared" si="836"/>
        <v>0</v>
      </c>
      <c r="AA2582" s="148">
        <f t="shared" si="815"/>
        <v>0</v>
      </c>
      <c r="AB2582" s="149"/>
      <c r="AC2582" s="149"/>
      <c r="AD2582" s="150" t="e">
        <f t="shared" si="807"/>
        <v>#DIV/0!</v>
      </c>
      <c r="AE2582" s="154" t="e">
        <f t="shared" si="808"/>
        <v>#DIV/0!</v>
      </c>
      <c r="AF2582" s="150" t="e">
        <f t="shared" si="809"/>
        <v>#DIV/0!</v>
      </c>
      <c r="AG2582" s="150" t="e">
        <f t="shared" si="810"/>
        <v>#DIV/0!</v>
      </c>
      <c r="AH2582" s="155" t="e">
        <f t="shared" si="811"/>
        <v>#DIV/0!</v>
      </c>
      <c r="AI2582" s="156" t="e">
        <f t="shared" si="837"/>
        <v>#DIV/0!</v>
      </c>
      <c r="AJ2582" s="149"/>
      <c r="AK2582" s="149"/>
      <c r="AL2582" s="157"/>
      <c r="AM2582" s="157"/>
      <c r="AN2582" s="157"/>
      <c r="AO2582" s="157"/>
      <c r="AP2582" s="157"/>
      <c r="AQ2582" s="157"/>
      <c r="AR2582" s="157"/>
    </row>
    <row r="2583" spans="1:44" ht="16.8">
      <c r="A2583" s="145">
        <v>465</v>
      </c>
      <c r="B2583" s="145">
        <v>1253</v>
      </c>
      <c r="C2583" s="145" t="s">
        <v>4947</v>
      </c>
      <c r="D2583" s="146" t="s">
        <v>4948</v>
      </c>
      <c r="E2583" s="147" t="s">
        <v>178</v>
      </c>
      <c r="F2583" s="148"/>
      <c r="G2583" s="148"/>
      <c r="H2583" s="149"/>
      <c r="I2583" s="149"/>
      <c r="J2583" s="149"/>
      <c r="K2583" s="149"/>
      <c r="L2583" s="149"/>
      <c r="M2583" s="149">
        <f t="shared" si="821"/>
        <v>0</v>
      </c>
      <c r="N2583" s="149"/>
      <c r="O2583" s="149">
        <f t="shared" si="828"/>
        <v>0</v>
      </c>
      <c r="P2583" s="149"/>
      <c r="Q2583" s="149"/>
      <c r="R2583" s="149">
        <f t="shared" si="829"/>
        <v>0</v>
      </c>
      <c r="S2583" s="150" t="e">
        <f t="shared" si="830"/>
        <v>#DIV/0!</v>
      </c>
      <c r="T2583" s="151" t="e">
        <f t="shared" si="831"/>
        <v>#DIV/0!</v>
      </c>
      <c r="U2583" s="150" t="e">
        <f t="shared" si="832"/>
        <v>#NUM!</v>
      </c>
      <c r="V2583" s="150" t="e">
        <f t="shared" si="833"/>
        <v>#DIV/0!</v>
      </c>
      <c r="W2583" s="152"/>
      <c r="X2583" s="152"/>
      <c r="Y2583" s="152"/>
      <c r="Z2583" s="153">
        <f t="shared" si="836"/>
        <v>0</v>
      </c>
      <c r="AA2583" s="148">
        <f t="shared" si="815"/>
        <v>0</v>
      </c>
      <c r="AB2583" s="149"/>
      <c r="AC2583" s="149"/>
      <c r="AD2583" s="150" t="e">
        <f t="shared" si="807"/>
        <v>#DIV/0!</v>
      </c>
      <c r="AE2583" s="154" t="e">
        <f t="shared" si="808"/>
        <v>#DIV/0!</v>
      </c>
      <c r="AF2583" s="150" t="e">
        <f t="shared" si="809"/>
        <v>#DIV/0!</v>
      </c>
      <c r="AG2583" s="150" t="e">
        <f t="shared" si="810"/>
        <v>#DIV/0!</v>
      </c>
      <c r="AH2583" s="155" t="e">
        <f t="shared" si="811"/>
        <v>#DIV/0!</v>
      </c>
      <c r="AI2583" s="156" t="e">
        <f t="shared" si="837"/>
        <v>#DIV/0!</v>
      </c>
      <c r="AJ2583" s="149"/>
      <c r="AK2583" s="149"/>
      <c r="AL2583" s="157"/>
      <c r="AM2583" s="157"/>
      <c r="AN2583" s="157"/>
      <c r="AO2583" s="157"/>
      <c r="AP2583" s="157"/>
      <c r="AQ2583" s="157"/>
      <c r="AR2583" s="157"/>
    </row>
    <row r="2584" spans="1:44" ht="16.8">
      <c r="A2584" s="145">
        <v>466</v>
      </c>
      <c r="B2584" s="145">
        <v>1254</v>
      </c>
      <c r="C2584" s="145" t="s">
        <v>4949</v>
      </c>
      <c r="D2584" s="146" t="s">
        <v>4950</v>
      </c>
      <c r="E2584" s="147" t="s">
        <v>178</v>
      </c>
      <c r="F2584" s="148"/>
      <c r="G2584" s="148"/>
      <c r="H2584" s="149"/>
      <c r="I2584" s="149"/>
      <c r="J2584" s="149"/>
      <c r="K2584" s="149"/>
      <c r="L2584" s="149"/>
      <c r="M2584" s="149">
        <f t="shared" si="821"/>
        <v>0</v>
      </c>
      <c r="N2584" s="149"/>
      <c r="O2584" s="149">
        <f t="shared" si="828"/>
        <v>0</v>
      </c>
      <c r="P2584" s="149"/>
      <c r="Q2584" s="149"/>
      <c r="R2584" s="149">
        <f t="shared" si="829"/>
        <v>0</v>
      </c>
      <c r="S2584" s="150" t="e">
        <f t="shared" si="830"/>
        <v>#DIV/0!</v>
      </c>
      <c r="T2584" s="151" t="e">
        <f t="shared" si="831"/>
        <v>#DIV/0!</v>
      </c>
      <c r="U2584" s="150" t="e">
        <f t="shared" si="832"/>
        <v>#NUM!</v>
      </c>
      <c r="V2584" s="150" t="e">
        <f t="shared" si="833"/>
        <v>#DIV/0!</v>
      </c>
      <c r="W2584" s="152"/>
      <c r="X2584" s="152"/>
      <c r="Y2584" s="152"/>
      <c r="Z2584" s="153">
        <f t="shared" si="836"/>
        <v>0</v>
      </c>
      <c r="AA2584" s="148">
        <f t="shared" si="815"/>
        <v>0</v>
      </c>
      <c r="AB2584" s="149"/>
      <c r="AC2584" s="149"/>
      <c r="AD2584" s="150" t="e">
        <f t="shared" si="807"/>
        <v>#DIV/0!</v>
      </c>
      <c r="AE2584" s="154" t="e">
        <f t="shared" si="808"/>
        <v>#DIV/0!</v>
      </c>
      <c r="AF2584" s="150" t="e">
        <f t="shared" si="809"/>
        <v>#DIV/0!</v>
      </c>
      <c r="AG2584" s="150" t="e">
        <f t="shared" si="810"/>
        <v>#DIV/0!</v>
      </c>
      <c r="AH2584" s="155" t="e">
        <f t="shared" si="811"/>
        <v>#DIV/0!</v>
      </c>
      <c r="AI2584" s="156" t="e">
        <f t="shared" si="837"/>
        <v>#DIV/0!</v>
      </c>
      <c r="AJ2584" s="149"/>
      <c r="AK2584" s="149"/>
      <c r="AL2584" s="157"/>
      <c r="AM2584" s="157"/>
      <c r="AN2584" s="157"/>
      <c r="AO2584" s="157"/>
      <c r="AP2584" s="157"/>
      <c r="AQ2584" s="157"/>
      <c r="AR2584" s="157"/>
    </row>
    <row r="2585" spans="1:44" ht="16.8">
      <c r="A2585" s="145">
        <v>467</v>
      </c>
      <c r="B2585" s="145">
        <v>1255</v>
      </c>
      <c r="C2585" s="145" t="s">
        <v>4951</v>
      </c>
      <c r="D2585" s="146" t="s">
        <v>4952</v>
      </c>
      <c r="E2585" s="147" t="s">
        <v>178</v>
      </c>
      <c r="F2585" s="148"/>
      <c r="G2585" s="148"/>
      <c r="H2585" s="149"/>
      <c r="I2585" s="149"/>
      <c r="J2585" s="149"/>
      <c r="K2585" s="149"/>
      <c r="L2585" s="149"/>
      <c r="M2585" s="149">
        <f t="shared" si="821"/>
        <v>0</v>
      </c>
      <c r="N2585" s="149"/>
      <c r="O2585" s="149">
        <f t="shared" si="828"/>
        <v>0</v>
      </c>
      <c r="P2585" s="149"/>
      <c r="Q2585" s="149"/>
      <c r="R2585" s="149">
        <f t="shared" si="829"/>
        <v>0</v>
      </c>
      <c r="S2585" s="150" t="e">
        <f t="shared" si="830"/>
        <v>#DIV/0!</v>
      </c>
      <c r="T2585" s="151" t="e">
        <f t="shared" si="831"/>
        <v>#DIV/0!</v>
      </c>
      <c r="U2585" s="150" t="e">
        <f t="shared" si="832"/>
        <v>#NUM!</v>
      </c>
      <c r="V2585" s="150" t="e">
        <f t="shared" si="833"/>
        <v>#DIV/0!</v>
      </c>
      <c r="W2585" s="152"/>
      <c r="X2585" s="152"/>
      <c r="Y2585" s="152"/>
      <c r="Z2585" s="153">
        <f t="shared" si="836"/>
        <v>0</v>
      </c>
      <c r="AA2585" s="148">
        <f t="shared" si="815"/>
        <v>0</v>
      </c>
      <c r="AB2585" s="149"/>
      <c r="AC2585" s="149"/>
      <c r="AD2585" s="150" t="e">
        <f t="shared" si="807"/>
        <v>#DIV/0!</v>
      </c>
      <c r="AE2585" s="154" t="e">
        <f t="shared" si="808"/>
        <v>#DIV/0!</v>
      </c>
      <c r="AF2585" s="150" t="e">
        <f t="shared" si="809"/>
        <v>#DIV/0!</v>
      </c>
      <c r="AG2585" s="150" t="e">
        <f t="shared" si="810"/>
        <v>#DIV/0!</v>
      </c>
      <c r="AH2585" s="155" t="e">
        <f t="shared" si="811"/>
        <v>#DIV/0!</v>
      </c>
      <c r="AI2585" s="156" t="e">
        <f t="shared" si="837"/>
        <v>#DIV/0!</v>
      </c>
      <c r="AJ2585" s="149"/>
      <c r="AK2585" s="149"/>
      <c r="AL2585" s="157"/>
      <c r="AM2585" s="157"/>
      <c r="AN2585" s="157"/>
      <c r="AO2585" s="157"/>
      <c r="AP2585" s="157"/>
      <c r="AQ2585" s="157"/>
      <c r="AR2585" s="157"/>
    </row>
    <row r="2586" spans="1:44" ht="16.8">
      <c r="A2586" s="145">
        <v>468</v>
      </c>
      <c r="B2586" s="145">
        <v>1256</v>
      </c>
      <c r="C2586" s="145" t="s">
        <v>4953</v>
      </c>
      <c r="D2586" s="146" t="s">
        <v>4954</v>
      </c>
      <c r="E2586" s="147" t="s">
        <v>178</v>
      </c>
      <c r="F2586" s="148"/>
      <c r="G2586" s="148"/>
      <c r="H2586" s="149"/>
      <c r="I2586" s="149"/>
      <c r="J2586" s="149"/>
      <c r="K2586" s="149"/>
      <c r="L2586" s="149"/>
      <c r="M2586" s="149">
        <f t="shared" si="821"/>
        <v>0</v>
      </c>
      <c r="N2586" s="149"/>
      <c r="O2586" s="149">
        <f t="shared" si="828"/>
        <v>0</v>
      </c>
      <c r="P2586" s="149"/>
      <c r="Q2586" s="149"/>
      <c r="R2586" s="149">
        <f t="shared" si="829"/>
        <v>0</v>
      </c>
      <c r="S2586" s="150" t="e">
        <f t="shared" si="830"/>
        <v>#DIV/0!</v>
      </c>
      <c r="T2586" s="151" t="e">
        <f t="shared" si="831"/>
        <v>#DIV/0!</v>
      </c>
      <c r="U2586" s="150" t="e">
        <f t="shared" si="832"/>
        <v>#NUM!</v>
      </c>
      <c r="V2586" s="150" t="e">
        <f t="shared" si="833"/>
        <v>#DIV/0!</v>
      </c>
      <c r="W2586" s="152"/>
      <c r="X2586" s="152"/>
      <c r="Y2586" s="152"/>
      <c r="Z2586" s="153">
        <f t="shared" si="836"/>
        <v>0</v>
      </c>
      <c r="AA2586" s="148">
        <f t="shared" si="815"/>
        <v>0</v>
      </c>
      <c r="AB2586" s="149"/>
      <c r="AC2586" s="149"/>
      <c r="AD2586" s="150" t="e">
        <f t="shared" si="807"/>
        <v>#DIV/0!</v>
      </c>
      <c r="AE2586" s="154" t="e">
        <f t="shared" si="808"/>
        <v>#DIV/0!</v>
      </c>
      <c r="AF2586" s="150" t="e">
        <f t="shared" si="809"/>
        <v>#DIV/0!</v>
      </c>
      <c r="AG2586" s="150" t="e">
        <f t="shared" si="810"/>
        <v>#DIV/0!</v>
      </c>
      <c r="AH2586" s="155" t="e">
        <f t="shared" si="811"/>
        <v>#DIV/0!</v>
      </c>
      <c r="AI2586" s="156" t="e">
        <f t="shared" si="837"/>
        <v>#DIV/0!</v>
      </c>
      <c r="AJ2586" s="149"/>
      <c r="AK2586" s="149"/>
      <c r="AL2586" s="157"/>
      <c r="AM2586" s="157"/>
      <c r="AN2586" s="157"/>
      <c r="AO2586" s="157"/>
      <c r="AP2586" s="157"/>
      <c r="AQ2586" s="157"/>
      <c r="AR2586" s="157"/>
    </row>
    <row r="2587" spans="1:44" ht="16.8">
      <c r="A2587" s="145">
        <v>469</v>
      </c>
      <c r="B2587" s="145">
        <v>1257</v>
      </c>
      <c r="C2587" s="145" t="s">
        <v>4955</v>
      </c>
      <c r="D2587" s="146" t="s">
        <v>4956</v>
      </c>
      <c r="E2587" s="147" t="s">
        <v>178</v>
      </c>
      <c r="F2587" s="148"/>
      <c r="G2587" s="148"/>
      <c r="H2587" s="149"/>
      <c r="I2587" s="149"/>
      <c r="J2587" s="149"/>
      <c r="K2587" s="149"/>
      <c r="L2587" s="149"/>
      <c r="M2587" s="149">
        <f t="shared" si="821"/>
        <v>0</v>
      </c>
      <c r="N2587" s="149"/>
      <c r="O2587" s="149">
        <f t="shared" si="828"/>
        <v>0</v>
      </c>
      <c r="P2587" s="149"/>
      <c r="Q2587" s="149"/>
      <c r="R2587" s="149">
        <f t="shared" si="829"/>
        <v>0</v>
      </c>
      <c r="S2587" s="150" t="e">
        <f t="shared" si="830"/>
        <v>#DIV/0!</v>
      </c>
      <c r="T2587" s="151" t="e">
        <f t="shared" si="831"/>
        <v>#DIV/0!</v>
      </c>
      <c r="U2587" s="150" t="e">
        <f t="shared" si="832"/>
        <v>#NUM!</v>
      </c>
      <c r="V2587" s="150" t="e">
        <f t="shared" si="833"/>
        <v>#DIV/0!</v>
      </c>
      <c r="W2587" s="152"/>
      <c r="X2587" s="152"/>
      <c r="Y2587" s="152"/>
      <c r="Z2587" s="153">
        <f t="shared" si="836"/>
        <v>0</v>
      </c>
      <c r="AA2587" s="148">
        <f t="shared" si="815"/>
        <v>0</v>
      </c>
      <c r="AB2587" s="149"/>
      <c r="AC2587" s="149"/>
      <c r="AD2587" s="150" t="e">
        <f t="shared" si="807"/>
        <v>#DIV/0!</v>
      </c>
      <c r="AE2587" s="154" t="e">
        <f t="shared" si="808"/>
        <v>#DIV/0!</v>
      </c>
      <c r="AF2587" s="150" t="e">
        <f t="shared" si="809"/>
        <v>#DIV/0!</v>
      </c>
      <c r="AG2587" s="150" t="e">
        <f t="shared" si="810"/>
        <v>#DIV/0!</v>
      </c>
      <c r="AH2587" s="155" t="e">
        <f t="shared" si="811"/>
        <v>#DIV/0!</v>
      </c>
      <c r="AI2587" s="156" t="e">
        <f t="shared" si="837"/>
        <v>#DIV/0!</v>
      </c>
      <c r="AJ2587" s="149"/>
      <c r="AK2587" s="149"/>
      <c r="AL2587" s="157"/>
      <c r="AM2587" s="157"/>
      <c r="AN2587" s="157"/>
      <c r="AO2587" s="157"/>
      <c r="AP2587" s="157"/>
      <c r="AQ2587" s="157"/>
      <c r="AR2587" s="157"/>
    </row>
    <row r="2588" spans="1:44" ht="16.8">
      <c r="A2588" s="145">
        <v>470</v>
      </c>
      <c r="B2588" s="145">
        <v>1258</v>
      </c>
      <c r="C2588" s="145" t="s">
        <v>4957</v>
      </c>
      <c r="D2588" s="146" t="s">
        <v>4958</v>
      </c>
      <c r="E2588" s="147" t="s">
        <v>178</v>
      </c>
      <c r="F2588" s="148"/>
      <c r="G2588" s="148"/>
      <c r="H2588" s="149"/>
      <c r="I2588" s="149"/>
      <c r="J2588" s="149"/>
      <c r="K2588" s="149"/>
      <c r="L2588" s="149"/>
      <c r="M2588" s="149">
        <f t="shared" si="821"/>
        <v>0</v>
      </c>
      <c r="N2588" s="149"/>
      <c r="O2588" s="149">
        <f t="shared" si="828"/>
        <v>0</v>
      </c>
      <c r="P2588" s="149"/>
      <c r="Q2588" s="149"/>
      <c r="R2588" s="149">
        <f t="shared" si="829"/>
        <v>0</v>
      </c>
      <c r="S2588" s="150" t="e">
        <f t="shared" si="830"/>
        <v>#DIV/0!</v>
      </c>
      <c r="T2588" s="151" t="e">
        <f t="shared" si="831"/>
        <v>#DIV/0!</v>
      </c>
      <c r="U2588" s="150" t="e">
        <f t="shared" si="832"/>
        <v>#NUM!</v>
      </c>
      <c r="V2588" s="150" t="e">
        <f t="shared" si="833"/>
        <v>#DIV/0!</v>
      </c>
      <c r="W2588" s="152"/>
      <c r="X2588" s="152"/>
      <c r="Y2588" s="152"/>
      <c r="Z2588" s="153">
        <f t="shared" si="836"/>
        <v>0</v>
      </c>
      <c r="AA2588" s="148">
        <f t="shared" si="815"/>
        <v>0</v>
      </c>
      <c r="AB2588" s="149"/>
      <c r="AC2588" s="149"/>
      <c r="AD2588" s="150" t="e">
        <f t="shared" si="807"/>
        <v>#DIV/0!</v>
      </c>
      <c r="AE2588" s="154" t="e">
        <f t="shared" si="808"/>
        <v>#DIV/0!</v>
      </c>
      <c r="AF2588" s="150" t="e">
        <f t="shared" si="809"/>
        <v>#DIV/0!</v>
      </c>
      <c r="AG2588" s="150" t="e">
        <f t="shared" si="810"/>
        <v>#DIV/0!</v>
      </c>
      <c r="AH2588" s="155" t="e">
        <f t="shared" si="811"/>
        <v>#DIV/0!</v>
      </c>
      <c r="AI2588" s="156" t="e">
        <f t="shared" si="837"/>
        <v>#DIV/0!</v>
      </c>
      <c r="AJ2588" s="149"/>
      <c r="AK2588" s="149"/>
      <c r="AL2588" s="157"/>
      <c r="AM2588" s="157"/>
      <c r="AN2588" s="157"/>
      <c r="AO2588" s="157"/>
      <c r="AP2588" s="157"/>
      <c r="AQ2588" s="157"/>
      <c r="AR2588" s="157"/>
    </row>
    <row r="2589" spans="1:44" ht="16.8">
      <c r="A2589" s="145">
        <v>471</v>
      </c>
      <c r="B2589" s="145">
        <v>1259</v>
      </c>
      <c r="C2589" s="145" t="s">
        <v>4959</v>
      </c>
      <c r="D2589" s="146" t="s">
        <v>4960</v>
      </c>
      <c r="E2589" s="147" t="s">
        <v>178</v>
      </c>
      <c r="F2589" s="148"/>
      <c r="G2589" s="148"/>
      <c r="H2589" s="149"/>
      <c r="I2589" s="149"/>
      <c r="J2589" s="149"/>
      <c r="K2589" s="149"/>
      <c r="L2589" s="149"/>
      <c r="M2589" s="149">
        <f t="shared" si="821"/>
        <v>0</v>
      </c>
      <c r="N2589" s="149"/>
      <c r="O2589" s="149">
        <f t="shared" si="828"/>
        <v>0</v>
      </c>
      <c r="P2589" s="149"/>
      <c r="Q2589" s="149"/>
      <c r="R2589" s="149">
        <f t="shared" si="829"/>
        <v>0</v>
      </c>
      <c r="S2589" s="150" t="e">
        <f t="shared" si="830"/>
        <v>#DIV/0!</v>
      </c>
      <c r="T2589" s="151" t="e">
        <f t="shared" si="831"/>
        <v>#DIV/0!</v>
      </c>
      <c r="U2589" s="150" t="e">
        <f t="shared" si="832"/>
        <v>#NUM!</v>
      </c>
      <c r="V2589" s="150" t="e">
        <f t="shared" si="833"/>
        <v>#DIV/0!</v>
      </c>
      <c r="W2589" s="152"/>
      <c r="X2589" s="152"/>
      <c r="Y2589" s="152"/>
      <c r="Z2589" s="153">
        <f t="shared" si="836"/>
        <v>0</v>
      </c>
      <c r="AA2589" s="148">
        <f t="shared" si="815"/>
        <v>0</v>
      </c>
      <c r="AB2589" s="149"/>
      <c r="AC2589" s="149"/>
      <c r="AD2589" s="150" t="e">
        <f t="shared" si="807"/>
        <v>#DIV/0!</v>
      </c>
      <c r="AE2589" s="154" t="e">
        <f t="shared" si="808"/>
        <v>#DIV/0!</v>
      </c>
      <c r="AF2589" s="150" t="e">
        <f t="shared" si="809"/>
        <v>#DIV/0!</v>
      </c>
      <c r="AG2589" s="150" t="e">
        <f t="shared" si="810"/>
        <v>#DIV/0!</v>
      </c>
      <c r="AH2589" s="155" t="e">
        <f t="shared" si="811"/>
        <v>#DIV/0!</v>
      </c>
      <c r="AI2589" s="156" t="e">
        <f t="shared" si="837"/>
        <v>#DIV/0!</v>
      </c>
      <c r="AJ2589" s="149"/>
      <c r="AK2589" s="149"/>
      <c r="AL2589" s="157"/>
      <c r="AM2589" s="157"/>
      <c r="AN2589" s="157"/>
      <c r="AO2589" s="157"/>
      <c r="AP2589" s="157"/>
      <c r="AQ2589" s="157"/>
      <c r="AR2589" s="157"/>
    </row>
    <row r="2590" spans="1:44" ht="16.8">
      <c r="A2590" s="145">
        <v>472</v>
      </c>
      <c r="B2590" s="145">
        <v>1260</v>
      </c>
      <c r="C2590" s="145" t="s">
        <v>4961</v>
      </c>
      <c r="D2590" s="146" t="s">
        <v>4962</v>
      </c>
      <c r="E2590" s="147" t="s">
        <v>178</v>
      </c>
      <c r="F2590" s="148"/>
      <c r="G2590" s="148"/>
      <c r="H2590" s="149"/>
      <c r="I2590" s="149"/>
      <c r="J2590" s="149"/>
      <c r="K2590" s="149"/>
      <c r="L2590" s="149"/>
      <c r="M2590" s="149">
        <f t="shared" si="821"/>
        <v>0</v>
      </c>
      <c r="N2590" s="149"/>
      <c r="O2590" s="149">
        <f t="shared" si="828"/>
        <v>0</v>
      </c>
      <c r="P2590" s="149"/>
      <c r="Q2590" s="149"/>
      <c r="R2590" s="149">
        <f t="shared" si="829"/>
        <v>0</v>
      </c>
      <c r="S2590" s="150" t="e">
        <f t="shared" si="830"/>
        <v>#DIV/0!</v>
      </c>
      <c r="T2590" s="151" t="e">
        <f t="shared" si="831"/>
        <v>#DIV/0!</v>
      </c>
      <c r="U2590" s="150" t="e">
        <f t="shared" si="832"/>
        <v>#NUM!</v>
      </c>
      <c r="V2590" s="150" t="e">
        <f t="shared" si="833"/>
        <v>#DIV/0!</v>
      </c>
      <c r="W2590" s="152"/>
      <c r="X2590" s="152"/>
      <c r="Y2590" s="152"/>
      <c r="Z2590" s="153">
        <f t="shared" si="836"/>
        <v>0</v>
      </c>
      <c r="AA2590" s="148">
        <f t="shared" si="815"/>
        <v>0</v>
      </c>
      <c r="AB2590" s="149"/>
      <c r="AC2590" s="149"/>
      <c r="AD2590" s="150" t="e">
        <f t="shared" si="807"/>
        <v>#DIV/0!</v>
      </c>
      <c r="AE2590" s="154" t="e">
        <f t="shared" si="808"/>
        <v>#DIV/0!</v>
      </c>
      <c r="AF2590" s="150" t="e">
        <f t="shared" si="809"/>
        <v>#DIV/0!</v>
      </c>
      <c r="AG2590" s="150" t="e">
        <f t="shared" si="810"/>
        <v>#DIV/0!</v>
      </c>
      <c r="AH2590" s="155" t="e">
        <f t="shared" si="811"/>
        <v>#DIV/0!</v>
      </c>
      <c r="AI2590" s="156" t="e">
        <f t="shared" si="837"/>
        <v>#DIV/0!</v>
      </c>
      <c r="AJ2590" s="149"/>
      <c r="AK2590" s="149"/>
      <c r="AL2590" s="157"/>
      <c r="AM2590" s="157"/>
      <c r="AN2590" s="157"/>
      <c r="AO2590" s="157"/>
      <c r="AP2590" s="157"/>
      <c r="AQ2590" s="157"/>
      <c r="AR2590" s="157"/>
    </row>
    <row r="2591" spans="1:44" ht="16.8">
      <c r="A2591" s="145">
        <v>473</v>
      </c>
      <c r="B2591" s="145">
        <v>1261</v>
      </c>
      <c r="C2591" s="145" t="s">
        <v>4963</v>
      </c>
      <c r="D2591" s="146" t="s">
        <v>4964</v>
      </c>
      <c r="E2591" s="147" t="s">
        <v>178</v>
      </c>
      <c r="F2591" s="148"/>
      <c r="G2591" s="148"/>
      <c r="H2591" s="149"/>
      <c r="I2591" s="149"/>
      <c r="J2591" s="149"/>
      <c r="K2591" s="149"/>
      <c r="L2591" s="149"/>
      <c r="M2591" s="149">
        <f t="shared" si="821"/>
        <v>0</v>
      </c>
      <c r="N2591" s="149"/>
      <c r="O2591" s="149">
        <f t="shared" si="828"/>
        <v>0</v>
      </c>
      <c r="P2591" s="149"/>
      <c r="Q2591" s="149"/>
      <c r="R2591" s="149">
        <f t="shared" si="829"/>
        <v>0</v>
      </c>
      <c r="S2591" s="150" t="e">
        <f t="shared" si="830"/>
        <v>#DIV/0!</v>
      </c>
      <c r="T2591" s="151" t="e">
        <f t="shared" si="831"/>
        <v>#DIV/0!</v>
      </c>
      <c r="U2591" s="150" t="e">
        <f t="shared" si="832"/>
        <v>#NUM!</v>
      </c>
      <c r="V2591" s="150" t="e">
        <f t="shared" si="833"/>
        <v>#DIV/0!</v>
      </c>
      <c r="W2591" s="152"/>
      <c r="X2591" s="152"/>
      <c r="Y2591" s="152"/>
      <c r="Z2591" s="153">
        <f t="shared" si="836"/>
        <v>0</v>
      </c>
      <c r="AA2591" s="148">
        <f t="shared" si="815"/>
        <v>0</v>
      </c>
      <c r="AB2591" s="149"/>
      <c r="AC2591" s="149"/>
      <c r="AD2591" s="150" t="e">
        <f t="shared" si="807"/>
        <v>#DIV/0!</v>
      </c>
      <c r="AE2591" s="154" t="e">
        <f t="shared" si="808"/>
        <v>#DIV/0!</v>
      </c>
      <c r="AF2591" s="150" t="e">
        <f t="shared" si="809"/>
        <v>#DIV/0!</v>
      </c>
      <c r="AG2591" s="150" t="e">
        <f t="shared" si="810"/>
        <v>#DIV/0!</v>
      </c>
      <c r="AH2591" s="155" t="e">
        <f t="shared" si="811"/>
        <v>#DIV/0!</v>
      </c>
      <c r="AI2591" s="156" t="e">
        <f t="shared" si="837"/>
        <v>#DIV/0!</v>
      </c>
      <c r="AJ2591" s="149"/>
      <c r="AK2591" s="149"/>
      <c r="AL2591" s="157"/>
      <c r="AM2591" s="157"/>
      <c r="AN2591" s="157"/>
      <c r="AO2591" s="157"/>
      <c r="AP2591" s="157"/>
      <c r="AQ2591" s="157"/>
      <c r="AR2591" s="157"/>
    </row>
    <row r="2592" spans="1:44" ht="16.8">
      <c r="A2592" s="145">
        <v>474</v>
      </c>
      <c r="B2592" s="145">
        <v>1262</v>
      </c>
      <c r="C2592" s="145" t="s">
        <v>4965</v>
      </c>
      <c r="D2592" s="146" t="s">
        <v>4966</v>
      </c>
      <c r="E2592" s="147" t="s">
        <v>178</v>
      </c>
      <c r="F2592" s="148"/>
      <c r="G2592" s="148"/>
      <c r="H2592" s="149"/>
      <c r="I2592" s="149"/>
      <c r="J2592" s="149"/>
      <c r="K2592" s="149"/>
      <c r="L2592" s="149"/>
      <c r="M2592" s="149">
        <f t="shared" si="821"/>
        <v>0</v>
      </c>
      <c r="N2592" s="149"/>
      <c r="O2592" s="149">
        <f t="shared" si="828"/>
        <v>0</v>
      </c>
      <c r="P2592" s="149"/>
      <c r="Q2592" s="149"/>
      <c r="R2592" s="149">
        <f t="shared" si="829"/>
        <v>0</v>
      </c>
      <c r="S2592" s="150" t="e">
        <f t="shared" si="830"/>
        <v>#DIV/0!</v>
      </c>
      <c r="T2592" s="151" t="e">
        <f t="shared" si="831"/>
        <v>#DIV/0!</v>
      </c>
      <c r="U2592" s="150" t="e">
        <f t="shared" si="832"/>
        <v>#NUM!</v>
      </c>
      <c r="V2592" s="150" t="e">
        <f t="shared" si="833"/>
        <v>#DIV/0!</v>
      </c>
      <c r="W2592" s="152"/>
      <c r="X2592" s="152"/>
      <c r="Y2592" s="152"/>
      <c r="Z2592" s="153">
        <f t="shared" si="836"/>
        <v>0</v>
      </c>
      <c r="AA2592" s="148">
        <f t="shared" si="815"/>
        <v>0</v>
      </c>
      <c r="AB2592" s="149"/>
      <c r="AC2592" s="149"/>
      <c r="AD2592" s="150" t="e">
        <f t="shared" si="807"/>
        <v>#DIV/0!</v>
      </c>
      <c r="AE2592" s="154" t="e">
        <f t="shared" si="808"/>
        <v>#DIV/0!</v>
      </c>
      <c r="AF2592" s="150" t="e">
        <f t="shared" si="809"/>
        <v>#DIV/0!</v>
      </c>
      <c r="AG2592" s="150" t="e">
        <f t="shared" si="810"/>
        <v>#DIV/0!</v>
      </c>
      <c r="AH2592" s="155" t="e">
        <f t="shared" si="811"/>
        <v>#DIV/0!</v>
      </c>
      <c r="AI2592" s="156" t="e">
        <f t="shared" si="837"/>
        <v>#DIV/0!</v>
      </c>
      <c r="AJ2592" s="149"/>
      <c r="AK2592" s="149"/>
      <c r="AL2592" s="157"/>
      <c r="AM2592" s="157"/>
      <c r="AN2592" s="157"/>
      <c r="AO2592" s="157"/>
      <c r="AP2592" s="157"/>
      <c r="AQ2592" s="157"/>
      <c r="AR2592" s="157"/>
    </row>
    <row r="2593" spans="1:44" ht="16.8">
      <c r="A2593" s="145">
        <v>477</v>
      </c>
      <c r="B2593" s="145">
        <v>1265</v>
      </c>
      <c r="C2593" s="145" t="s">
        <v>4967</v>
      </c>
      <c r="D2593" s="146" t="s">
        <v>4968</v>
      </c>
      <c r="E2593" s="147" t="s">
        <v>178</v>
      </c>
      <c r="F2593" s="148"/>
      <c r="G2593" s="148"/>
      <c r="H2593" s="149"/>
      <c r="I2593" s="149"/>
      <c r="J2593" s="149"/>
      <c r="K2593" s="149"/>
      <c r="L2593" s="149"/>
      <c r="M2593" s="149">
        <f t="shared" si="821"/>
        <v>0</v>
      </c>
      <c r="N2593" s="149"/>
      <c r="O2593" s="149">
        <f t="shared" si="828"/>
        <v>0</v>
      </c>
      <c r="P2593" s="149"/>
      <c r="Q2593" s="149"/>
      <c r="R2593" s="149">
        <f t="shared" si="829"/>
        <v>0</v>
      </c>
      <c r="S2593" s="150" t="e">
        <f t="shared" si="830"/>
        <v>#DIV/0!</v>
      </c>
      <c r="T2593" s="151" t="e">
        <f t="shared" si="831"/>
        <v>#DIV/0!</v>
      </c>
      <c r="U2593" s="150" t="e">
        <f t="shared" si="832"/>
        <v>#NUM!</v>
      </c>
      <c r="V2593" s="150" t="e">
        <f t="shared" si="833"/>
        <v>#DIV/0!</v>
      </c>
      <c r="W2593" s="152"/>
      <c r="X2593" s="152"/>
      <c r="Y2593" s="152"/>
      <c r="Z2593" s="153">
        <f t="shared" si="836"/>
        <v>0</v>
      </c>
      <c r="AA2593" s="148">
        <f t="shared" si="815"/>
        <v>0</v>
      </c>
      <c r="AB2593" s="149"/>
      <c r="AC2593" s="149"/>
      <c r="AD2593" s="150" t="e">
        <f t="shared" si="807"/>
        <v>#DIV/0!</v>
      </c>
      <c r="AE2593" s="154" t="e">
        <f t="shared" si="808"/>
        <v>#DIV/0!</v>
      </c>
      <c r="AF2593" s="150" t="e">
        <f t="shared" si="809"/>
        <v>#DIV/0!</v>
      </c>
      <c r="AG2593" s="150" t="e">
        <f t="shared" si="810"/>
        <v>#DIV/0!</v>
      </c>
      <c r="AH2593" s="155" t="e">
        <f t="shared" si="811"/>
        <v>#DIV/0!</v>
      </c>
      <c r="AI2593" s="156" t="e">
        <f t="shared" si="837"/>
        <v>#DIV/0!</v>
      </c>
      <c r="AJ2593" s="149"/>
      <c r="AK2593" s="149"/>
      <c r="AL2593" s="157"/>
      <c r="AM2593" s="157"/>
      <c r="AN2593" s="157"/>
      <c r="AO2593" s="157"/>
      <c r="AP2593" s="157"/>
      <c r="AQ2593" s="157"/>
      <c r="AR2593" s="157"/>
    </row>
    <row r="2594" spans="1:44" ht="16.8">
      <c r="A2594" s="145">
        <v>478</v>
      </c>
      <c r="B2594" s="145">
        <v>1266</v>
      </c>
      <c r="C2594" s="145" t="s">
        <v>4969</v>
      </c>
      <c r="D2594" s="146" t="s">
        <v>4970</v>
      </c>
      <c r="E2594" s="147" t="s">
        <v>178</v>
      </c>
      <c r="F2594" s="148"/>
      <c r="G2594" s="148"/>
      <c r="H2594" s="149"/>
      <c r="I2594" s="149"/>
      <c r="J2594" s="149"/>
      <c r="K2594" s="149"/>
      <c r="L2594" s="149"/>
      <c r="M2594" s="149">
        <f t="shared" si="821"/>
        <v>0</v>
      </c>
      <c r="N2594" s="149"/>
      <c r="O2594" s="149">
        <f t="shared" si="828"/>
        <v>0</v>
      </c>
      <c r="P2594" s="149"/>
      <c r="Q2594" s="149"/>
      <c r="R2594" s="149">
        <f t="shared" si="829"/>
        <v>0</v>
      </c>
      <c r="S2594" s="150" t="e">
        <f t="shared" si="830"/>
        <v>#DIV/0!</v>
      </c>
      <c r="T2594" s="151" t="e">
        <f t="shared" si="831"/>
        <v>#DIV/0!</v>
      </c>
      <c r="U2594" s="150" t="e">
        <f t="shared" si="832"/>
        <v>#NUM!</v>
      </c>
      <c r="V2594" s="150" t="e">
        <f t="shared" si="833"/>
        <v>#DIV/0!</v>
      </c>
      <c r="W2594" s="152"/>
      <c r="X2594" s="152"/>
      <c r="Y2594" s="152"/>
      <c r="Z2594" s="153">
        <f t="shared" si="836"/>
        <v>0</v>
      </c>
      <c r="AA2594" s="148">
        <f t="shared" si="815"/>
        <v>0</v>
      </c>
      <c r="AB2594" s="149"/>
      <c r="AC2594" s="149"/>
      <c r="AD2594" s="150" t="e">
        <f t="shared" si="807"/>
        <v>#DIV/0!</v>
      </c>
      <c r="AE2594" s="154" t="e">
        <f t="shared" si="808"/>
        <v>#DIV/0!</v>
      </c>
      <c r="AF2594" s="150" t="e">
        <f t="shared" si="809"/>
        <v>#DIV/0!</v>
      </c>
      <c r="AG2594" s="150" t="e">
        <f t="shared" si="810"/>
        <v>#DIV/0!</v>
      </c>
      <c r="AH2594" s="155" t="e">
        <f t="shared" si="811"/>
        <v>#DIV/0!</v>
      </c>
      <c r="AI2594" s="156" t="e">
        <f t="shared" si="837"/>
        <v>#DIV/0!</v>
      </c>
      <c r="AJ2594" s="149"/>
      <c r="AK2594" s="149"/>
      <c r="AL2594" s="157"/>
      <c r="AM2594" s="157"/>
      <c r="AN2594" s="157"/>
      <c r="AO2594" s="157"/>
      <c r="AP2594" s="157"/>
      <c r="AQ2594" s="157"/>
      <c r="AR2594" s="157"/>
    </row>
    <row r="2595" spans="1:44" ht="16.8">
      <c r="A2595" s="145">
        <v>479</v>
      </c>
      <c r="B2595" s="145">
        <v>1267</v>
      </c>
      <c r="C2595" s="145" t="s">
        <v>4971</v>
      </c>
      <c r="D2595" s="146" t="s">
        <v>4972</v>
      </c>
      <c r="E2595" s="147" t="s">
        <v>178</v>
      </c>
      <c r="F2595" s="148"/>
      <c r="G2595" s="148"/>
      <c r="H2595" s="149"/>
      <c r="I2595" s="149"/>
      <c r="J2595" s="149"/>
      <c r="K2595" s="149"/>
      <c r="L2595" s="149"/>
      <c r="M2595" s="149">
        <f t="shared" si="821"/>
        <v>0</v>
      </c>
      <c r="N2595" s="149"/>
      <c r="O2595" s="149">
        <f t="shared" si="828"/>
        <v>0</v>
      </c>
      <c r="P2595" s="149"/>
      <c r="Q2595" s="149"/>
      <c r="R2595" s="149">
        <f t="shared" si="829"/>
        <v>0</v>
      </c>
      <c r="S2595" s="150" t="e">
        <f t="shared" si="830"/>
        <v>#DIV/0!</v>
      </c>
      <c r="T2595" s="151" t="e">
        <f t="shared" si="831"/>
        <v>#DIV/0!</v>
      </c>
      <c r="U2595" s="150" t="e">
        <f t="shared" si="832"/>
        <v>#NUM!</v>
      </c>
      <c r="V2595" s="150" t="e">
        <f t="shared" si="833"/>
        <v>#DIV/0!</v>
      </c>
      <c r="W2595" s="152"/>
      <c r="X2595" s="152"/>
      <c r="Y2595" s="152"/>
      <c r="Z2595" s="153">
        <f t="shared" si="836"/>
        <v>0</v>
      </c>
      <c r="AA2595" s="148">
        <f t="shared" si="815"/>
        <v>0</v>
      </c>
      <c r="AB2595" s="149"/>
      <c r="AC2595" s="149"/>
      <c r="AD2595" s="150" t="e">
        <f t="shared" si="807"/>
        <v>#DIV/0!</v>
      </c>
      <c r="AE2595" s="154" t="e">
        <f t="shared" si="808"/>
        <v>#DIV/0!</v>
      </c>
      <c r="AF2595" s="150" t="e">
        <f t="shared" si="809"/>
        <v>#DIV/0!</v>
      </c>
      <c r="AG2595" s="150" t="e">
        <f t="shared" si="810"/>
        <v>#DIV/0!</v>
      </c>
      <c r="AH2595" s="155" t="e">
        <f t="shared" si="811"/>
        <v>#DIV/0!</v>
      </c>
      <c r="AI2595" s="156" t="e">
        <f t="shared" si="837"/>
        <v>#DIV/0!</v>
      </c>
      <c r="AJ2595" s="149"/>
      <c r="AK2595" s="149"/>
      <c r="AL2595" s="157"/>
      <c r="AM2595" s="157"/>
      <c r="AN2595" s="157"/>
      <c r="AO2595" s="157"/>
      <c r="AP2595" s="157"/>
      <c r="AQ2595" s="157"/>
      <c r="AR2595" s="157"/>
    </row>
    <row r="2596" spans="1:44" ht="16.8">
      <c r="A2596" s="145">
        <v>480</v>
      </c>
      <c r="B2596" s="145">
        <v>1268</v>
      </c>
      <c r="C2596" s="145" t="s">
        <v>4973</v>
      </c>
      <c r="D2596" s="146" t="s">
        <v>4974</v>
      </c>
      <c r="E2596" s="147" t="s">
        <v>178</v>
      </c>
      <c r="F2596" s="148"/>
      <c r="G2596" s="148"/>
      <c r="H2596" s="149"/>
      <c r="I2596" s="149"/>
      <c r="J2596" s="149"/>
      <c r="K2596" s="149"/>
      <c r="L2596" s="149"/>
      <c r="M2596" s="149">
        <f t="shared" si="821"/>
        <v>0</v>
      </c>
      <c r="N2596" s="149"/>
      <c r="O2596" s="149">
        <f t="shared" si="828"/>
        <v>0</v>
      </c>
      <c r="P2596" s="149"/>
      <c r="Q2596" s="149"/>
      <c r="R2596" s="149">
        <f t="shared" si="829"/>
        <v>0</v>
      </c>
      <c r="S2596" s="150" t="e">
        <f t="shared" si="830"/>
        <v>#DIV/0!</v>
      </c>
      <c r="T2596" s="151" t="e">
        <f t="shared" si="831"/>
        <v>#DIV/0!</v>
      </c>
      <c r="U2596" s="150" t="e">
        <f t="shared" si="832"/>
        <v>#NUM!</v>
      </c>
      <c r="V2596" s="150" t="e">
        <f t="shared" si="833"/>
        <v>#DIV/0!</v>
      </c>
      <c r="W2596" s="152"/>
      <c r="X2596" s="152"/>
      <c r="Y2596" s="152"/>
      <c r="Z2596" s="153">
        <f t="shared" si="836"/>
        <v>0</v>
      </c>
      <c r="AA2596" s="148">
        <f t="shared" si="815"/>
        <v>0</v>
      </c>
      <c r="AB2596" s="149"/>
      <c r="AC2596" s="149"/>
      <c r="AD2596" s="150" t="e">
        <f t="shared" si="807"/>
        <v>#DIV/0!</v>
      </c>
      <c r="AE2596" s="154" t="e">
        <f t="shared" si="808"/>
        <v>#DIV/0!</v>
      </c>
      <c r="AF2596" s="150" t="e">
        <f t="shared" si="809"/>
        <v>#DIV/0!</v>
      </c>
      <c r="AG2596" s="150" t="e">
        <f t="shared" si="810"/>
        <v>#DIV/0!</v>
      </c>
      <c r="AH2596" s="155" t="e">
        <f t="shared" si="811"/>
        <v>#DIV/0!</v>
      </c>
      <c r="AI2596" s="156" t="e">
        <f t="shared" si="837"/>
        <v>#DIV/0!</v>
      </c>
      <c r="AJ2596" s="149"/>
      <c r="AK2596" s="149"/>
      <c r="AL2596" s="157"/>
      <c r="AM2596" s="157"/>
      <c r="AN2596" s="157"/>
      <c r="AO2596" s="157"/>
      <c r="AP2596" s="157"/>
      <c r="AQ2596" s="157"/>
      <c r="AR2596" s="157"/>
    </row>
    <row r="2597" spans="1:44" ht="16.8">
      <c r="A2597" s="145">
        <v>481</v>
      </c>
      <c r="B2597" s="145">
        <v>1269</v>
      </c>
      <c r="C2597" s="145" t="s">
        <v>4975</v>
      </c>
      <c r="D2597" s="146" t="s">
        <v>4976</v>
      </c>
      <c r="E2597" s="147" t="s">
        <v>178</v>
      </c>
      <c r="F2597" s="148"/>
      <c r="G2597" s="148"/>
      <c r="H2597" s="149"/>
      <c r="I2597" s="149"/>
      <c r="J2597" s="149"/>
      <c r="K2597" s="149"/>
      <c r="L2597" s="149"/>
      <c r="M2597" s="149">
        <f t="shared" si="821"/>
        <v>0</v>
      </c>
      <c r="N2597" s="149"/>
      <c r="O2597" s="149">
        <f t="shared" si="828"/>
        <v>0</v>
      </c>
      <c r="P2597" s="149"/>
      <c r="Q2597" s="149"/>
      <c r="R2597" s="149">
        <f t="shared" si="829"/>
        <v>0</v>
      </c>
      <c r="S2597" s="150" t="e">
        <f t="shared" si="830"/>
        <v>#DIV/0!</v>
      </c>
      <c r="T2597" s="151" t="e">
        <f t="shared" si="831"/>
        <v>#DIV/0!</v>
      </c>
      <c r="U2597" s="150" t="e">
        <f t="shared" si="832"/>
        <v>#NUM!</v>
      </c>
      <c r="V2597" s="150" t="e">
        <f t="shared" si="833"/>
        <v>#DIV/0!</v>
      </c>
      <c r="W2597" s="152"/>
      <c r="X2597" s="152"/>
      <c r="Y2597" s="152"/>
      <c r="Z2597" s="153">
        <f t="shared" si="836"/>
        <v>0</v>
      </c>
      <c r="AA2597" s="148">
        <f t="shared" si="815"/>
        <v>0</v>
      </c>
      <c r="AB2597" s="149"/>
      <c r="AC2597" s="149"/>
      <c r="AD2597" s="150" t="e">
        <f t="shared" si="807"/>
        <v>#DIV/0!</v>
      </c>
      <c r="AE2597" s="154" t="e">
        <f t="shared" si="808"/>
        <v>#DIV/0!</v>
      </c>
      <c r="AF2597" s="150" t="e">
        <f t="shared" si="809"/>
        <v>#DIV/0!</v>
      </c>
      <c r="AG2597" s="150" t="e">
        <f t="shared" si="810"/>
        <v>#DIV/0!</v>
      </c>
      <c r="AH2597" s="155" t="e">
        <f t="shared" si="811"/>
        <v>#DIV/0!</v>
      </c>
      <c r="AI2597" s="156" t="e">
        <f t="shared" si="837"/>
        <v>#DIV/0!</v>
      </c>
      <c r="AJ2597" s="149"/>
      <c r="AK2597" s="149"/>
      <c r="AL2597" s="157"/>
      <c r="AM2597" s="157"/>
      <c r="AN2597" s="157"/>
      <c r="AO2597" s="157"/>
      <c r="AP2597" s="157"/>
      <c r="AQ2597" s="157"/>
      <c r="AR2597" s="157"/>
    </row>
    <row r="2598" spans="1:44" ht="16.8">
      <c r="A2598" s="145">
        <v>482</v>
      </c>
      <c r="B2598" s="145">
        <v>1270</v>
      </c>
      <c r="C2598" s="145" t="s">
        <v>4977</v>
      </c>
      <c r="D2598" s="146" t="s">
        <v>4978</v>
      </c>
      <c r="E2598" s="147" t="s">
        <v>178</v>
      </c>
      <c r="F2598" s="148"/>
      <c r="G2598" s="148"/>
      <c r="H2598" s="149"/>
      <c r="I2598" s="149"/>
      <c r="J2598" s="149"/>
      <c r="K2598" s="149"/>
      <c r="L2598" s="149"/>
      <c r="M2598" s="149">
        <f t="shared" si="821"/>
        <v>0</v>
      </c>
      <c r="N2598" s="149"/>
      <c r="O2598" s="149">
        <f t="shared" si="828"/>
        <v>0</v>
      </c>
      <c r="P2598" s="149"/>
      <c r="Q2598" s="149"/>
      <c r="R2598" s="149">
        <f t="shared" si="829"/>
        <v>0</v>
      </c>
      <c r="S2598" s="150" t="e">
        <f t="shared" si="830"/>
        <v>#DIV/0!</v>
      </c>
      <c r="T2598" s="151" t="e">
        <f t="shared" si="831"/>
        <v>#DIV/0!</v>
      </c>
      <c r="U2598" s="150" t="e">
        <f t="shared" si="832"/>
        <v>#NUM!</v>
      </c>
      <c r="V2598" s="150" t="e">
        <f t="shared" si="833"/>
        <v>#DIV/0!</v>
      </c>
      <c r="W2598" s="152"/>
      <c r="X2598" s="152"/>
      <c r="Y2598" s="152"/>
      <c r="Z2598" s="153">
        <f t="shared" si="836"/>
        <v>0</v>
      </c>
      <c r="AA2598" s="148">
        <f t="shared" si="815"/>
        <v>0</v>
      </c>
      <c r="AB2598" s="149"/>
      <c r="AC2598" s="149"/>
      <c r="AD2598" s="150" t="e">
        <f t="shared" si="807"/>
        <v>#DIV/0!</v>
      </c>
      <c r="AE2598" s="154" t="e">
        <f t="shared" si="808"/>
        <v>#DIV/0!</v>
      </c>
      <c r="AF2598" s="150" t="e">
        <f t="shared" si="809"/>
        <v>#DIV/0!</v>
      </c>
      <c r="AG2598" s="150" t="e">
        <f t="shared" si="810"/>
        <v>#DIV/0!</v>
      </c>
      <c r="AH2598" s="155" t="e">
        <f t="shared" si="811"/>
        <v>#DIV/0!</v>
      </c>
      <c r="AI2598" s="156" t="e">
        <f t="shared" si="837"/>
        <v>#DIV/0!</v>
      </c>
      <c r="AJ2598" s="149"/>
      <c r="AK2598" s="149"/>
      <c r="AL2598" s="157"/>
      <c r="AM2598" s="157"/>
      <c r="AN2598" s="157"/>
      <c r="AO2598" s="157"/>
      <c r="AP2598" s="157"/>
      <c r="AQ2598" s="157"/>
      <c r="AR2598" s="157"/>
    </row>
    <row r="2599" spans="1:44" ht="16.8">
      <c r="A2599" s="145">
        <v>483</v>
      </c>
      <c r="B2599" s="145">
        <v>1271</v>
      </c>
      <c r="C2599" s="145" t="s">
        <v>4979</v>
      </c>
      <c r="D2599" s="146" t="s">
        <v>4980</v>
      </c>
      <c r="E2599" s="147" t="s">
        <v>178</v>
      </c>
      <c r="F2599" s="148"/>
      <c r="G2599" s="148"/>
      <c r="H2599" s="149"/>
      <c r="I2599" s="149"/>
      <c r="J2599" s="149"/>
      <c r="K2599" s="149"/>
      <c r="L2599" s="149"/>
      <c r="M2599" s="149">
        <f t="shared" si="821"/>
        <v>0</v>
      </c>
      <c r="N2599" s="149"/>
      <c r="O2599" s="149">
        <f t="shared" si="828"/>
        <v>0</v>
      </c>
      <c r="P2599" s="149"/>
      <c r="Q2599" s="149"/>
      <c r="R2599" s="149">
        <f t="shared" si="829"/>
        <v>0</v>
      </c>
      <c r="S2599" s="150" t="e">
        <f t="shared" si="830"/>
        <v>#DIV/0!</v>
      </c>
      <c r="T2599" s="151" t="e">
        <f t="shared" si="831"/>
        <v>#DIV/0!</v>
      </c>
      <c r="U2599" s="150" t="e">
        <f t="shared" si="832"/>
        <v>#NUM!</v>
      </c>
      <c r="V2599" s="150" t="e">
        <f t="shared" si="833"/>
        <v>#DIV/0!</v>
      </c>
      <c r="W2599" s="152"/>
      <c r="X2599" s="152"/>
      <c r="Y2599" s="152"/>
      <c r="Z2599" s="153">
        <f t="shared" si="836"/>
        <v>0</v>
      </c>
      <c r="AA2599" s="148">
        <f t="shared" si="815"/>
        <v>0</v>
      </c>
      <c r="AB2599" s="149"/>
      <c r="AC2599" s="149"/>
      <c r="AD2599" s="150" t="e">
        <f t="shared" si="807"/>
        <v>#DIV/0!</v>
      </c>
      <c r="AE2599" s="154" t="e">
        <f t="shared" si="808"/>
        <v>#DIV/0!</v>
      </c>
      <c r="AF2599" s="150" t="e">
        <f t="shared" si="809"/>
        <v>#DIV/0!</v>
      </c>
      <c r="AG2599" s="150" t="e">
        <f t="shared" si="810"/>
        <v>#DIV/0!</v>
      </c>
      <c r="AH2599" s="155" t="e">
        <f t="shared" si="811"/>
        <v>#DIV/0!</v>
      </c>
      <c r="AI2599" s="156" t="e">
        <f t="shared" si="837"/>
        <v>#DIV/0!</v>
      </c>
      <c r="AJ2599" s="149"/>
      <c r="AK2599" s="149"/>
      <c r="AL2599" s="157"/>
      <c r="AM2599" s="157"/>
      <c r="AN2599" s="157"/>
      <c r="AO2599" s="157"/>
      <c r="AP2599" s="157"/>
      <c r="AQ2599" s="157"/>
      <c r="AR2599" s="157"/>
    </row>
    <row r="2600" spans="1:44" ht="16.8">
      <c r="A2600" s="145">
        <v>484</v>
      </c>
      <c r="B2600" s="145">
        <v>1272</v>
      </c>
      <c r="C2600" s="145" t="s">
        <v>4981</v>
      </c>
      <c r="D2600" s="146" t="s">
        <v>4982</v>
      </c>
      <c r="E2600" s="147" t="s">
        <v>178</v>
      </c>
      <c r="F2600" s="148"/>
      <c r="G2600" s="148"/>
      <c r="H2600" s="149"/>
      <c r="I2600" s="149"/>
      <c r="J2600" s="149"/>
      <c r="K2600" s="149"/>
      <c r="L2600" s="149"/>
      <c r="M2600" s="149">
        <f t="shared" si="821"/>
        <v>0</v>
      </c>
      <c r="N2600" s="149"/>
      <c r="O2600" s="149">
        <f t="shared" si="828"/>
        <v>0</v>
      </c>
      <c r="P2600" s="149"/>
      <c r="Q2600" s="149"/>
      <c r="R2600" s="149">
        <f t="shared" si="829"/>
        <v>0</v>
      </c>
      <c r="S2600" s="150" t="e">
        <f t="shared" si="830"/>
        <v>#DIV/0!</v>
      </c>
      <c r="T2600" s="151" t="e">
        <f t="shared" si="831"/>
        <v>#DIV/0!</v>
      </c>
      <c r="U2600" s="150" t="e">
        <f t="shared" si="832"/>
        <v>#NUM!</v>
      </c>
      <c r="V2600" s="150" t="e">
        <f t="shared" si="833"/>
        <v>#DIV/0!</v>
      </c>
      <c r="W2600" s="152"/>
      <c r="X2600" s="152"/>
      <c r="Y2600" s="152"/>
      <c r="Z2600" s="153">
        <f t="shared" si="836"/>
        <v>0</v>
      </c>
      <c r="AA2600" s="148">
        <f t="shared" si="815"/>
        <v>0</v>
      </c>
      <c r="AB2600" s="149"/>
      <c r="AC2600" s="149"/>
      <c r="AD2600" s="150" t="e">
        <f t="shared" si="807"/>
        <v>#DIV/0!</v>
      </c>
      <c r="AE2600" s="154" t="e">
        <f t="shared" si="808"/>
        <v>#DIV/0!</v>
      </c>
      <c r="AF2600" s="150" t="e">
        <f t="shared" si="809"/>
        <v>#DIV/0!</v>
      </c>
      <c r="AG2600" s="150" t="e">
        <f t="shared" si="810"/>
        <v>#DIV/0!</v>
      </c>
      <c r="AH2600" s="155" t="e">
        <f t="shared" si="811"/>
        <v>#DIV/0!</v>
      </c>
      <c r="AI2600" s="156" t="e">
        <f t="shared" si="837"/>
        <v>#DIV/0!</v>
      </c>
      <c r="AJ2600" s="149"/>
      <c r="AK2600" s="149"/>
      <c r="AL2600" s="157"/>
      <c r="AM2600" s="157"/>
      <c r="AN2600" s="157"/>
      <c r="AO2600" s="157"/>
      <c r="AP2600" s="157"/>
      <c r="AQ2600" s="157"/>
      <c r="AR2600" s="157"/>
    </row>
    <row r="2601" spans="1:44" ht="16.8">
      <c r="A2601" s="145">
        <v>485</v>
      </c>
      <c r="B2601" s="145">
        <v>1273</v>
      </c>
      <c r="C2601" s="145" t="s">
        <v>4983</v>
      </c>
      <c r="D2601" s="146" t="s">
        <v>4984</v>
      </c>
      <c r="E2601" s="147" t="s">
        <v>178</v>
      </c>
      <c r="F2601" s="148"/>
      <c r="G2601" s="148"/>
      <c r="H2601" s="149"/>
      <c r="I2601" s="149"/>
      <c r="J2601" s="149"/>
      <c r="K2601" s="149"/>
      <c r="L2601" s="149"/>
      <c r="M2601" s="149">
        <f t="shared" si="821"/>
        <v>0</v>
      </c>
      <c r="N2601" s="149"/>
      <c r="O2601" s="149">
        <f t="shared" si="828"/>
        <v>0</v>
      </c>
      <c r="P2601" s="149"/>
      <c r="Q2601" s="149"/>
      <c r="R2601" s="149">
        <f t="shared" si="829"/>
        <v>0</v>
      </c>
      <c r="S2601" s="150" t="e">
        <f t="shared" si="830"/>
        <v>#DIV/0!</v>
      </c>
      <c r="T2601" s="151" t="e">
        <f t="shared" si="831"/>
        <v>#DIV/0!</v>
      </c>
      <c r="U2601" s="150" t="e">
        <f t="shared" si="832"/>
        <v>#NUM!</v>
      </c>
      <c r="V2601" s="150" t="e">
        <f t="shared" si="833"/>
        <v>#DIV/0!</v>
      </c>
      <c r="W2601" s="152"/>
      <c r="X2601" s="152"/>
      <c r="Y2601" s="152"/>
      <c r="Z2601" s="153">
        <f t="shared" si="836"/>
        <v>0</v>
      </c>
      <c r="AA2601" s="148">
        <f t="shared" si="815"/>
        <v>0</v>
      </c>
      <c r="AB2601" s="149"/>
      <c r="AC2601" s="149"/>
      <c r="AD2601" s="150" t="e">
        <f t="shared" si="807"/>
        <v>#DIV/0!</v>
      </c>
      <c r="AE2601" s="154" t="e">
        <f t="shared" si="808"/>
        <v>#DIV/0!</v>
      </c>
      <c r="AF2601" s="150" t="e">
        <f t="shared" si="809"/>
        <v>#DIV/0!</v>
      </c>
      <c r="AG2601" s="150" t="e">
        <f t="shared" si="810"/>
        <v>#DIV/0!</v>
      </c>
      <c r="AH2601" s="155" t="e">
        <f t="shared" si="811"/>
        <v>#DIV/0!</v>
      </c>
      <c r="AI2601" s="156" t="e">
        <f t="shared" si="837"/>
        <v>#DIV/0!</v>
      </c>
      <c r="AJ2601" s="149"/>
      <c r="AK2601" s="149"/>
      <c r="AL2601" s="157"/>
      <c r="AM2601" s="157"/>
      <c r="AN2601" s="157"/>
      <c r="AO2601" s="157"/>
      <c r="AP2601" s="157"/>
      <c r="AQ2601" s="157"/>
      <c r="AR2601" s="157"/>
    </row>
    <row r="2602" spans="1:44" ht="16.8">
      <c r="A2602" s="145">
        <v>486</v>
      </c>
      <c r="B2602" s="145">
        <v>1274</v>
      </c>
      <c r="C2602" s="145" t="s">
        <v>4985</v>
      </c>
      <c r="D2602" s="146" t="s">
        <v>4986</v>
      </c>
      <c r="E2602" s="147" t="s">
        <v>178</v>
      </c>
      <c r="F2602" s="148"/>
      <c r="G2602" s="148"/>
      <c r="H2602" s="149"/>
      <c r="I2602" s="149"/>
      <c r="J2602" s="149"/>
      <c r="K2602" s="149"/>
      <c r="L2602" s="149"/>
      <c r="M2602" s="149">
        <f t="shared" si="821"/>
        <v>0</v>
      </c>
      <c r="N2602" s="149"/>
      <c r="O2602" s="149">
        <f t="shared" si="828"/>
        <v>0</v>
      </c>
      <c r="P2602" s="149"/>
      <c r="Q2602" s="149"/>
      <c r="R2602" s="149">
        <f t="shared" si="829"/>
        <v>0</v>
      </c>
      <c r="S2602" s="150" t="e">
        <f t="shared" si="830"/>
        <v>#DIV/0!</v>
      </c>
      <c r="T2602" s="151" t="e">
        <f t="shared" si="831"/>
        <v>#DIV/0!</v>
      </c>
      <c r="U2602" s="150" t="e">
        <f t="shared" si="832"/>
        <v>#NUM!</v>
      </c>
      <c r="V2602" s="150" t="e">
        <f t="shared" si="833"/>
        <v>#DIV/0!</v>
      </c>
      <c r="W2602" s="152"/>
      <c r="X2602" s="152"/>
      <c r="Y2602" s="152"/>
      <c r="Z2602" s="153">
        <f t="shared" si="836"/>
        <v>0</v>
      </c>
      <c r="AA2602" s="148">
        <f t="shared" si="815"/>
        <v>0</v>
      </c>
      <c r="AB2602" s="149"/>
      <c r="AC2602" s="149"/>
      <c r="AD2602" s="150" t="e">
        <f t="shared" si="807"/>
        <v>#DIV/0!</v>
      </c>
      <c r="AE2602" s="154" t="e">
        <f t="shared" si="808"/>
        <v>#DIV/0!</v>
      </c>
      <c r="AF2602" s="150" t="e">
        <f t="shared" si="809"/>
        <v>#DIV/0!</v>
      </c>
      <c r="AG2602" s="150" t="e">
        <f t="shared" si="810"/>
        <v>#DIV/0!</v>
      </c>
      <c r="AH2602" s="155" t="e">
        <f t="shared" si="811"/>
        <v>#DIV/0!</v>
      </c>
      <c r="AI2602" s="156" t="e">
        <f t="shared" si="837"/>
        <v>#DIV/0!</v>
      </c>
      <c r="AJ2602" s="149"/>
      <c r="AK2602" s="149"/>
      <c r="AL2602" s="157"/>
      <c r="AM2602" s="157"/>
      <c r="AN2602" s="157"/>
      <c r="AO2602" s="157"/>
      <c r="AP2602" s="157"/>
      <c r="AQ2602" s="157"/>
      <c r="AR2602" s="157"/>
    </row>
    <row r="2603" spans="1:44" ht="16.8">
      <c r="A2603" s="145">
        <v>487</v>
      </c>
      <c r="B2603" s="145">
        <v>1275</v>
      </c>
      <c r="C2603" s="145" t="s">
        <v>4987</v>
      </c>
      <c r="D2603" s="146" t="s">
        <v>4988</v>
      </c>
      <c r="E2603" s="147" t="s">
        <v>178</v>
      </c>
      <c r="F2603" s="148"/>
      <c r="G2603" s="148"/>
      <c r="H2603" s="149"/>
      <c r="I2603" s="149"/>
      <c r="J2603" s="149"/>
      <c r="K2603" s="149"/>
      <c r="L2603" s="149"/>
      <c r="M2603" s="149">
        <f t="shared" si="821"/>
        <v>0</v>
      </c>
      <c r="N2603" s="149"/>
      <c r="O2603" s="149">
        <f t="shared" si="828"/>
        <v>0</v>
      </c>
      <c r="P2603" s="149"/>
      <c r="Q2603" s="149"/>
      <c r="R2603" s="149">
        <f t="shared" si="829"/>
        <v>0</v>
      </c>
      <c r="S2603" s="150" t="e">
        <f t="shared" si="830"/>
        <v>#DIV/0!</v>
      </c>
      <c r="T2603" s="151" t="e">
        <f t="shared" si="831"/>
        <v>#DIV/0!</v>
      </c>
      <c r="U2603" s="150" t="e">
        <f t="shared" si="832"/>
        <v>#NUM!</v>
      </c>
      <c r="V2603" s="150" t="e">
        <f t="shared" si="833"/>
        <v>#DIV/0!</v>
      </c>
      <c r="W2603" s="152"/>
      <c r="X2603" s="152"/>
      <c r="Y2603" s="152"/>
      <c r="Z2603" s="153">
        <f t="shared" si="836"/>
        <v>0</v>
      </c>
      <c r="AA2603" s="148">
        <f t="shared" si="815"/>
        <v>0</v>
      </c>
      <c r="AB2603" s="149"/>
      <c r="AC2603" s="149"/>
      <c r="AD2603" s="150" t="e">
        <f t="shared" si="807"/>
        <v>#DIV/0!</v>
      </c>
      <c r="AE2603" s="154" t="e">
        <f t="shared" si="808"/>
        <v>#DIV/0!</v>
      </c>
      <c r="AF2603" s="150" t="e">
        <f t="shared" si="809"/>
        <v>#DIV/0!</v>
      </c>
      <c r="AG2603" s="150" t="e">
        <f t="shared" si="810"/>
        <v>#DIV/0!</v>
      </c>
      <c r="AH2603" s="155" t="e">
        <f t="shared" si="811"/>
        <v>#DIV/0!</v>
      </c>
      <c r="AI2603" s="156" t="e">
        <f t="shared" si="837"/>
        <v>#DIV/0!</v>
      </c>
      <c r="AJ2603" s="149"/>
      <c r="AK2603" s="149"/>
      <c r="AL2603" s="157"/>
      <c r="AM2603" s="157"/>
      <c r="AN2603" s="157"/>
      <c r="AO2603" s="157"/>
      <c r="AP2603" s="157"/>
      <c r="AQ2603" s="157"/>
      <c r="AR2603" s="157"/>
    </row>
    <row r="2604" spans="1:44" ht="16.8">
      <c r="A2604" s="145">
        <v>488</v>
      </c>
      <c r="B2604" s="145">
        <v>1276</v>
      </c>
      <c r="C2604" s="145" t="s">
        <v>4989</v>
      </c>
      <c r="D2604" s="146" t="s">
        <v>4990</v>
      </c>
      <c r="E2604" s="147" t="s">
        <v>178</v>
      </c>
      <c r="F2604" s="148"/>
      <c r="G2604" s="148"/>
      <c r="H2604" s="149"/>
      <c r="I2604" s="149"/>
      <c r="J2604" s="149"/>
      <c r="K2604" s="149"/>
      <c r="L2604" s="149"/>
      <c r="M2604" s="149">
        <f t="shared" si="821"/>
        <v>0</v>
      </c>
      <c r="N2604" s="149"/>
      <c r="O2604" s="149">
        <f t="shared" si="828"/>
        <v>0</v>
      </c>
      <c r="P2604" s="149"/>
      <c r="Q2604" s="149"/>
      <c r="R2604" s="149">
        <f t="shared" si="829"/>
        <v>0</v>
      </c>
      <c r="S2604" s="150" t="e">
        <f t="shared" si="830"/>
        <v>#DIV/0!</v>
      </c>
      <c r="T2604" s="151" t="e">
        <f t="shared" si="831"/>
        <v>#DIV/0!</v>
      </c>
      <c r="U2604" s="150" t="e">
        <f t="shared" si="832"/>
        <v>#NUM!</v>
      </c>
      <c r="V2604" s="150" t="e">
        <f t="shared" si="833"/>
        <v>#DIV/0!</v>
      </c>
      <c r="W2604" s="152"/>
      <c r="X2604" s="152"/>
      <c r="Y2604" s="152"/>
      <c r="Z2604" s="153">
        <f t="shared" si="836"/>
        <v>0</v>
      </c>
      <c r="AA2604" s="148">
        <f t="shared" si="815"/>
        <v>0</v>
      </c>
      <c r="AB2604" s="149"/>
      <c r="AC2604" s="149"/>
      <c r="AD2604" s="150" t="e">
        <f t="shared" si="807"/>
        <v>#DIV/0!</v>
      </c>
      <c r="AE2604" s="154" t="e">
        <f t="shared" si="808"/>
        <v>#DIV/0!</v>
      </c>
      <c r="AF2604" s="150" t="e">
        <f t="shared" si="809"/>
        <v>#DIV/0!</v>
      </c>
      <c r="AG2604" s="150" t="e">
        <f t="shared" si="810"/>
        <v>#DIV/0!</v>
      </c>
      <c r="AH2604" s="155" t="e">
        <f t="shared" si="811"/>
        <v>#DIV/0!</v>
      </c>
      <c r="AI2604" s="156" t="e">
        <f t="shared" si="837"/>
        <v>#DIV/0!</v>
      </c>
      <c r="AJ2604" s="149"/>
      <c r="AK2604" s="149"/>
      <c r="AL2604" s="157"/>
      <c r="AM2604" s="157"/>
      <c r="AN2604" s="157"/>
      <c r="AO2604" s="157"/>
      <c r="AP2604" s="157"/>
      <c r="AQ2604" s="157"/>
      <c r="AR2604" s="157"/>
    </row>
    <row r="2605" spans="1:44" ht="16.8">
      <c r="A2605" s="145">
        <v>489</v>
      </c>
      <c r="B2605" s="145">
        <v>1277</v>
      </c>
      <c r="C2605" s="145" t="s">
        <v>4991</v>
      </c>
      <c r="D2605" s="146" t="s">
        <v>4992</v>
      </c>
      <c r="E2605" s="147" t="s">
        <v>178</v>
      </c>
      <c r="F2605" s="148"/>
      <c r="G2605" s="148"/>
      <c r="H2605" s="149"/>
      <c r="I2605" s="149"/>
      <c r="J2605" s="149"/>
      <c r="K2605" s="149"/>
      <c r="L2605" s="149"/>
      <c r="M2605" s="149">
        <f t="shared" si="821"/>
        <v>0</v>
      </c>
      <c r="N2605" s="149"/>
      <c r="O2605" s="149">
        <f t="shared" si="828"/>
        <v>0</v>
      </c>
      <c r="P2605" s="149"/>
      <c r="Q2605" s="149"/>
      <c r="R2605" s="149">
        <f t="shared" si="829"/>
        <v>0</v>
      </c>
      <c r="S2605" s="150" t="e">
        <f t="shared" si="830"/>
        <v>#DIV/0!</v>
      </c>
      <c r="T2605" s="151" t="e">
        <f t="shared" si="831"/>
        <v>#DIV/0!</v>
      </c>
      <c r="U2605" s="150" t="e">
        <f t="shared" si="832"/>
        <v>#NUM!</v>
      </c>
      <c r="V2605" s="150" t="e">
        <f t="shared" si="833"/>
        <v>#DIV/0!</v>
      </c>
      <c r="W2605" s="152"/>
      <c r="X2605" s="152"/>
      <c r="Y2605" s="152"/>
      <c r="Z2605" s="153">
        <f t="shared" si="836"/>
        <v>0</v>
      </c>
      <c r="AA2605" s="148">
        <f t="shared" si="815"/>
        <v>0</v>
      </c>
      <c r="AB2605" s="149"/>
      <c r="AC2605" s="149"/>
      <c r="AD2605" s="150" t="e">
        <f t="shared" si="807"/>
        <v>#DIV/0!</v>
      </c>
      <c r="AE2605" s="154" t="e">
        <f t="shared" si="808"/>
        <v>#DIV/0!</v>
      </c>
      <c r="AF2605" s="150" t="e">
        <f t="shared" si="809"/>
        <v>#DIV/0!</v>
      </c>
      <c r="AG2605" s="150" t="e">
        <f t="shared" si="810"/>
        <v>#DIV/0!</v>
      </c>
      <c r="AH2605" s="155" t="e">
        <f t="shared" si="811"/>
        <v>#DIV/0!</v>
      </c>
      <c r="AI2605" s="156" t="e">
        <f t="shared" si="837"/>
        <v>#DIV/0!</v>
      </c>
      <c r="AJ2605" s="149"/>
      <c r="AK2605" s="149"/>
      <c r="AL2605" s="157"/>
      <c r="AM2605" s="157"/>
      <c r="AN2605" s="157"/>
      <c r="AO2605" s="157"/>
      <c r="AP2605" s="157"/>
      <c r="AQ2605" s="157"/>
      <c r="AR2605" s="157"/>
    </row>
    <row r="2606" spans="1:44" ht="16.8">
      <c r="A2606" s="145">
        <v>490</v>
      </c>
      <c r="B2606" s="145">
        <v>1278</v>
      </c>
      <c r="C2606" s="145" t="s">
        <v>4993</v>
      </c>
      <c r="D2606" s="146" t="s">
        <v>4994</v>
      </c>
      <c r="E2606" s="147" t="s">
        <v>178</v>
      </c>
      <c r="F2606" s="148"/>
      <c r="G2606" s="148"/>
      <c r="H2606" s="149"/>
      <c r="I2606" s="149"/>
      <c r="J2606" s="149"/>
      <c r="K2606" s="149"/>
      <c r="L2606" s="149"/>
      <c r="M2606" s="149">
        <f t="shared" si="821"/>
        <v>0</v>
      </c>
      <c r="N2606" s="149"/>
      <c r="O2606" s="149">
        <f t="shared" si="828"/>
        <v>0</v>
      </c>
      <c r="P2606" s="149"/>
      <c r="Q2606" s="149"/>
      <c r="R2606" s="149">
        <f t="shared" si="829"/>
        <v>0</v>
      </c>
      <c r="S2606" s="150" t="e">
        <f t="shared" si="830"/>
        <v>#DIV/0!</v>
      </c>
      <c r="T2606" s="151" t="e">
        <f t="shared" si="831"/>
        <v>#DIV/0!</v>
      </c>
      <c r="U2606" s="150" t="e">
        <f t="shared" si="832"/>
        <v>#NUM!</v>
      </c>
      <c r="V2606" s="150" t="e">
        <f t="shared" si="833"/>
        <v>#DIV/0!</v>
      </c>
      <c r="W2606" s="152"/>
      <c r="X2606" s="152"/>
      <c r="Y2606" s="152"/>
      <c r="Z2606" s="153">
        <f t="shared" si="836"/>
        <v>0</v>
      </c>
      <c r="AA2606" s="148">
        <f t="shared" si="815"/>
        <v>0</v>
      </c>
      <c r="AB2606" s="149"/>
      <c r="AC2606" s="149"/>
      <c r="AD2606" s="150" t="e">
        <f t="shared" si="807"/>
        <v>#DIV/0!</v>
      </c>
      <c r="AE2606" s="154" t="e">
        <f t="shared" si="808"/>
        <v>#DIV/0!</v>
      </c>
      <c r="AF2606" s="150" t="e">
        <f t="shared" si="809"/>
        <v>#DIV/0!</v>
      </c>
      <c r="AG2606" s="150" t="e">
        <f t="shared" si="810"/>
        <v>#DIV/0!</v>
      </c>
      <c r="AH2606" s="155" t="e">
        <f t="shared" si="811"/>
        <v>#DIV/0!</v>
      </c>
      <c r="AI2606" s="156" t="e">
        <f t="shared" si="837"/>
        <v>#DIV/0!</v>
      </c>
      <c r="AJ2606" s="149"/>
      <c r="AK2606" s="149"/>
      <c r="AL2606" s="157"/>
      <c r="AM2606" s="157"/>
      <c r="AN2606" s="157"/>
      <c r="AO2606" s="157"/>
      <c r="AP2606" s="157"/>
      <c r="AQ2606" s="157"/>
      <c r="AR2606" s="157"/>
    </row>
    <row r="2607" spans="1:44" ht="16.8">
      <c r="A2607" s="145">
        <v>491</v>
      </c>
      <c r="B2607" s="145">
        <v>1279</v>
      </c>
      <c r="C2607" s="145" t="s">
        <v>4995</v>
      </c>
      <c r="D2607" s="146" t="s">
        <v>4996</v>
      </c>
      <c r="E2607" s="147" t="s">
        <v>178</v>
      </c>
      <c r="F2607" s="148"/>
      <c r="G2607" s="148"/>
      <c r="H2607" s="149"/>
      <c r="I2607" s="149"/>
      <c r="J2607" s="149"/>
      <c r="K2607" s="149"/>
      <c r="L2607" s="149"/>
      <c r="M2607" s="149">
        <f t="shared" si="821"/>
        <v>0</v>
      </c>
      <c r="N2607" s="149"/>
      <c r="O2607" s="149">
        <f t="shared" si="828"/>
        <v>0</v>
      </c>
      <c r="P2607" s="149"/>
      <c r="Q2607" s="149"/>
      <c r="R2607" s="149">
        <f t="shared" si="829"/>
        <v>0</v>
      </c>
      <c r="S2607" s="150" t="e">
        <f t="shared" si="830"/>
        <v>#DIV/0!</v>
      </c>
      <c r="T2607" s="151" t="e">
        <f t="shared" si="831"/>
        <v>#DIV/0!</v>
      </c>
      <c r="U2607" s="150" t="e">
        <f t="shared" si="832"/>
        <v>#NUM!</v>
      </c>
      <c r="V2607" s="150" t="e">
        <f t="shared" si="833"/>
        <v>#DIV/0!</v>
      </c>
      <c r="W2607" s="152"/>
      <c r="X2607" s="152"/>
      <c r="Y2607" s="152"/>
      <c r="Z2607" s="153">
        <f t="shared" si="836"/>
        <v>0</v>
      </c>
      <c r="AA2607" s="148">
        <f t="shared" si="815"/>
        <v>0</v>
      </c>
      <c r="AB2607" s="149"/>
      <c r="AC2607" s="149"/>
      <c r="AD2607" s="150" t="e">
        <f t="shared" si="807"/>
        <v>#DIV/0!</v>
      </c>
      <c r="AE2607" s="154" t="e">
        <f t="shared" si="808"/>
        <v>#DIV/0!</v>
      </c>
      <c r="AF2607" s="150" t="e">
        <f t="shared" si="809"/>
        <v>#DIV/0!</v>
      </c>
      <c r="AG2607" s="150" t="e">
        <f t="shared" si="810"/>
        <v>#DIV/0!</v>
      </c>
      <c r="AH2607" s="155" t="e">
        <f t="shared" si="811"/>
        <v>#DIV/0!</v>
      </c>
      <c r="AI2607" s="156" t="e">
        <f t="shared" si="837"/>
        <v>#DIV/0!</v>
      </c>
      <c r="AJ2607" s="149"/>
      <c r="AK2607" s="149"/>
      <c r="AL2607" s="157"/>
      <c r="AM2607" s="157"/>
      <c r="AN2607" s="157"/>
      <c r="AO2607" s="157"/>
      <c r="AP2607" s="157"/>
      <c r="AQ2607" s="157"/>
      <c r="AR2607" s="157"/>
    </row>
    <row r="2608" spans="1:44" ht="16.8">
      <c r="A2608" s="145">
        <v>492</v>
      </c>
      <c r="B2608" s="145">
        <v>1280</v>
      </c>
      <c r="C2608" s="145" t="s">
        <v>4997</v>
      </c>
      <c r="D2608" s="146" t="s">
        <v>4998</v>
      </c>
      <c r="E2608" s="147" t="s">
        <v>178</v>
      </c>
      <c r="F2608" s="148"/>
      <c r="G2608" s="148"/>
      <c r="H2608" s="149"/>
      <c r="I2608" s="149"/>
      <c r="J2608" s="149"/>
      <c r="K2608" s="149"/>
      <c r="L2608" s="149"/>
      <c r="M2608" s="149">
        <f t="shared" si="821"/>
        <v>0</v>
      </c>
      <c r="N2608" s="149"/>
      <c r="O2608" s="149">
        <f t="shared" si="828"/>
        <v>0</v>
      </c>
      <c r="P2608" s="149"/>
      <c r="Q2608" s="149"/>
      <c r="R2608" s="149">
        <f t="shared" si="829"/>
        <v>0</v>
      </c>
      <c r="S2608" s="150" t="e">
        <f t="shared" si="830"/>
        <v>#DIV/0!</v>
      </c>
      <c r="T2608" s="151" t="e">
        <f t="shared" si="831"/>
        <v>#DIV/0!</v>
      </c>
      <c r="U2608" s="150" t="e">
        <f t="shared" si="832"/>
        <v>#NUM!</v>
      </c>
      <c r="V2608" s="150" t="e">
        <f t="shared" si="833"/>
        <v>#DIV/0!</v>
      </c>
      <c r="W2608" s="152"/>
      <c r="X2608" s="152"/>
      <c r="Y2608" s="152"/>
      <c r="Z2608" s="153">
        <f t="shared" si="836"/>
        <v>0</v>
      </c>
      <c r="AA2608" s="148">
        <f t="shared" si="815"/>
        <v>0</v>
      </c>
      <c r="AB2608" s="149"/>
      <c r="AC2608" s="149"/>
      <c r="AD2608" s="150" t="e">
        <f t="shared" si="807"/>
        <v>#DIV/0!</v>
      </c>
      <c r="AE2608" s="154" t="e">
        <f t="shared" si="808"/>
        <v>#DIV/0!</v>
      </c>
      <c r="AF2608" s="150" t="e">
        <f t="shared" si="809"/>
        <v>#DIV/0!</v>
      </c>
      <c r="AG2608" s="150" t="e">
        <f t="shared" si="810"/>
        <v>#DIV/0!</v>
      </c>
      <c r="AH2608" s="155" t="e">
        <f t="shared" si="811"/>
        <v>#DIV/0!</v>
      </c>
      <c r="AI2608" s="156" t="e">
        <f t="shared" si="837"/>
        <v>#DIV/0!</v>
      </c>
      <c r="AJ2608" s="149"/>
      <c r="AK2608" s="149"/>
      <c r="AL2608" s="157"/>
      <c r="AM2608" s="157"/>
      <c r="AN2608" s="157"/>
      <c r="AO2608" s="157"/>
      <c r="AP2608" s="157"/>
      <c r="AQ2608" s="157"/>
      <c r="AR2608" s="157"/>
    </row>
    <row r="2609" spans="1:44" ht="16.8">
      <c r="A2609" s="145">
        <v>493</v>
      </c>
      <c r="B2609" s="145">
        <v>1281</v>
      </c>
      <c r="C2609" s="145" t="s">
        <v>4999</v>
      </c>
      <c r="D2609" s="146" t="s">
        <v>5000</v>
      </c>
      <c r="E2609" s="147" t="s">
        <v>178</v>
      </c>
      <c r="F2609" s="148"/>
      <c r="G2609" s="148"/>
      <c r="H2609" s="149"/>
      <c r="I2609" s="149"/>
      <c r="J2609" s="149"/>
      <c r="K2609" s="149"/>
      <c r="L2609" s="149"/>
      <c r="M2609" s="149">
        <f t="shared" si="821"/>
        <v>0</v>
      </c>
      <c r="N2609" s="149"/>
      <c r="O2609" s="149">
        <f t="shared" si="828"/>
        <v>0</v>
      </c>
      <c r="P2609" s="149"/>
      <c r="Q2609" s="149"/>
      <c r="R2609" s="149">
        <f t="shared" si="829"/>
        <v>0</v>
      </c>
      <c r="S2609" s="150" t="e">
        <f t="shared" si="830"/>
        <v>#DIV/0!</v>
      </c>
      <c r="T2609" s="151" t="e">
        <f t="shared" si="831"/>
        <v>#DIV/0!</v>
      </c>
      <c r="U2609" s="150" t="e">
        <f t="shared" si="832"/>
        <v>#NUM!</v>
      </c>
      <c r="V2609" s="150" t="e">
        <f t="shared" si="833"/>
        <v>#DIV/0!</v>
      </c>
      <c r="W2609" s="152"/>
      <c r="X2609" s="152"/>
      <c r="Y2609" s="152"/>
      <c r="Z2609" s="153">
        <f t="shared" si="836"/>
        <v>0</v>
      </c>
      <c r="AA2609" s="148">
        <f t="shared" si="815"/>
        <v>0</v>
      </c>
      <c r="AB2609" s="149"/>
      <c r="AC2609" s="149"/>
      <c r="AD2609" s="150" t="e">
        <f t="shared" si="807"/>
        <v>#DIV/0!</v>
      </c>
      <c r="AE2609" s="154" t="e">
        <f t="shared" si="808"/>
        <v>#DIV/0!</v>
      </c>
      <c r="AF2609" s="150" t="e">
        <f t="shared" si="809"/>
        <v>#DIV/0!</v>
      </c>
      <c r="AG2609" s="150" t="e">
        <f t="shared" si="810"/>
        <v>#DIV/0!</v>
      </c>
      <c r="AH2609" s="155" t="e">
        <f t="shared" si="811"/>
        <v>#DIV/0!</v>
      </c>
      <c r="AI2609" s="156" t="e">
        <f t="shared" si="837"/>
        <v>#DIV/0!</v>
      </c>
      <c r="AJ2609" s="149"/>
      <c r="AK2609" s="149"/>
      <c r="AL2609" s="157"/>
      <c r="AM2609" s="157"/>
      <c r="AN2609" s="157"/>
      <c r="AO2609" s="157"/>
      <c r="AP2609" s="157"/>
      <c r="AQ2609" s="157"/>
      <c r="AR2609" s="157"/>
    </row>
    <row r="2610" spans="1:44" ht="16.8">
      <c r="A2610" s="145">
        <v>494</v>
      </c>
      <c r="B2610" s="145">
        <v>1282</v>
      </c>
      <c r="C2610" s="145" t="s">
        <v>5001</v>
      </c>
      <c r="D2610" s="146" t="s">
        <v>5002</v>
      </c>
      <c r="E2610" s="147" t="s">
        <v>178</v>
      </c>
      <c r="F2610" s="148"/>
      <c r="G2610" s="148"/>
      <c r="H2610" s="149"/>
      <c r="I2610" s="149"/>
      <c r="J2610" s="149"/>
      <c r="K2610" s="149"/>
      <c r="L2610" s="149"/>
      <c r="M2610" s="149">
        <f t="shared" si="821"/>
        <v>0</v>
      </c>
      <c r="N2610" s="149"/>
      <c r="O2610" s="149">
        <f t="shared" si="828"/>
        <v>0</v>
      </c>
      <c r="P2610" s="149"/>
      <c r="Q2610" s="149"/>
      <c r="R2610" s="149">
        <f t="shared" si="829"/>
        <v>0</v>
      </c>
      <c r="S2610" s="150" t="e">
        <f t="shared" si="830"/>
        <v>#DIV/0!</v>
      </c>
      <c r="T2610" s="151" t="e">
        <f t="shared" si="831"/>
        <v>#DIV/0!</v>
      </c>
      <c r="U2610" s="150" t="e">
        <f t="shared" si="832"/>
        <v>#NUM!</v>
      </c>
      <c r="V2610" s="150" t="e">
        <f t="shared" si="833"/>
        <v>#DIV/0!</v>
      </c>
      <c r="W2610" s="152"/>
      <c r="X2610" s="152"/>
      <c r="Y2610" s="152"/>
      <c r="Z2610" s="153">
        <f t="shared" si="836"/>
        <v>0</v>
      </c>
      <c r="AA2610" s="148">
        <f t="shared" si="815"/>
        <v>0</v>
      </c>
      <c r="AB2610" s="149"/>
      <c r="AC2610" s="149"/>
      <c r="AD2610" s="150" t="e">
        <f t="shared" si="807"/>
        <v>#DIV/0!</v>
      </c>
      <c r="AE2610" s="154" t="e">
        <f t="shared" si="808"/>
        <v>#DIV/0!</v>
      </c>
      <c r="AF2610" s="150" t="e">
        <f t="shared" si="809"/>
        <v>#DIV/0!</v>
      </c>
      <c r="AG2610" s="150" t="e">
        <f t="shared" si="810"/>
        <v>#DIV/0!</v>
      </c>
      <c r="AH2610" s="155" t="e">
        <f t="shared" si="811"/>
        <v>#DIV/0!</v>
      </c>
      <c r="AI2610" s="156" t="e">
        <f t="shared" si="837"/>
        <v>#DIV/0!</v>
      </c>
      <c r="AJ2610" s="149"/>
      <c r="AK2610" s="149"/>
      <c r="AL2610" s="157"/>
      <c r="AM2610" s="157"/>
      <c r="AN2610" s="157"/>
      <c r="AO2610" s="157"/>
      <c r="AP2610" s="157"/>
      <c r="AQ2610" s="157"/>
      <c r="AR2610" s="157"/>
    </row>
    <row r="2611" spans="1:44" ht="16.8">
      <c r="A2611" s="145">
        <v>495</v>
      </c>
      <c r="B2611" s="145">
        <v>1283</v>
      </c>
      <c r="C2611" s="145" t="s">
        <v>5003</v>
      </c>
      <c r="D2611" s="146" t="s">
        <v>5004</v>
      </c>
      <c r="E2611" s="147" t="s">
        <v>178</v>
      </c>
      <c r="F2611" s="148"/>
      <c r="G2611" s="148"/>
      <c r="H2611" s="149"/>
      <c r="I2611" s="149"/>
      <c r="J2611" s="149"/>
      <c r="K2611" s="149"/>
      <c r="L2611" s="149"/>
      <c r="M2611" s="149">
        <f t="shared" si="821"/>
        <v>0</v>
      </c>
      <c r="N2611" s="149"/>
      <c r="O2611" s="149">
        <f t="shared" si="828"/>
        <v>0</v>
      </c>
      <c r="P2611" s="149"/>
      <c r="Q2611" s="149"/>
      <c r="R2611" s="149">
        <f t="shared" si="829"/>
        <v>0</v>
      </c>
      <c r="S2611" s="150" t="e">
        <f t="shared" si="830"/>
        <v>#DIV/0!</v>
      </c>
      <c r="T2611" s="151" t="e">
        <f t="shared" si="831"/>
        <v>#DIV/0!</v>
      </c>
      <c r="U2611" s="150" t="e">
        <f t="shared" si="832"/>
        <v>#NUM!</v>
      </c>
      <c r="V2611" s="150" t="e">
        <f t="shared" si="833"/>
        <v>#DIV/0!</v>
      </c>
      <c r="W2611" s="152"/>
      <c r="X2611" s="152"/>
      <c r="Y2611" s="152"/>
      <c r="Z2611" s="153">
        <f t="shared" si="836"/>
        <v>0</v>
      </c>
      <c r="AA2611" s="148">
        <f t="shared" si="815"/>
        <v>0</v>
      </c>
      <c r="AB2611" s="149"/>
      <c r="AC2611" s="149"/>
      <c r="AD2611" s="150" t="e">
        <f t="shared" si="807"/>
        <v>#DIV/0!</v>
      </c>
      <c r="AE2611" s="154" t="e">
        <f t="shared" si="808"/>
        <v>#DIV/0!</v>
      </c>
      <c r="AF2611" s="150" t="e">
        <f t="shared" si="809"/>
        <v>#DIV/0!</v>
      </c>
      <c r="AG2611" s="150" t="e">
        <f t="shared" si="810"/>
        <v>#DIV/0!</v>
      </c>
      <c r="AH2611" s="155" t="e">
        <f t="shared" si="811"/>
        <v>#DIV/0!</v>
      </c>
      <c r="AI2611" s="156" t="e">
        <f t="shared" si="837"/>
        <v>#DIV/0!</v>
      </c>
      <c r="AJ2611" s="149"/>
      <c r="AK2611" s="149"/>
      <c r="AL2611" s="157"/>
      <c r="AM2611" s="157"/>
      <c r="AN2611" s="157"/>
      <c r="AO2611" s="157"/>
      <c r="AP2611" s="157"/>
      <c r="AQ2611" s="157"/>
      <c r="AR2611" s="157"/>
    </row>
    <row r="2612" spans="1:44" ht="16.8">
      <c r="A2612" s="78" t="s">
        <v>5005</v>
      </c>
      <c r="B2612" s="79">
        <v>1284</v>
      </c>
      <c r="C2612" s="79" t="s">
        <v>5006</v>
      </c>
      <c r="D2612" s="19" t="s">
        <v>5007</v>
      </c>
      <c r="E2612" s="20" t="s">
        <v>414</v>
      </c>
      <c r="F2612" s="21">
        <v>2002</v>
      </c>
      <c r="G2612" s="40">
        <v>2021</v>
      </c>
      <c r="H2612" s="23">
        <v>203857723855</v>
      </c>
      <c r="I2612" s="23">
        <v>2069164244235</v>
      </c>
      <c r="J2612" s="23">
        <v>704808330929</v>
      </c>
      <c r="K2612" s="23">
        <f>(J2612+892780342821)/2</f>
        <v>798794336875</v>
      </c>
      <c r="L2612" s="23">
        <v>326160063167</v>
      </c>
      <c r="M2612" s="23">
        <f t="shared" si="821"/>
        <v>1364355913306</v>
      </c>
      <c r="N2612" s="23">
        <v>568568759932</v>
      </c>
      <c r="O2612" s="25">
        <f t="shared" si="828"/>
        <v>-122302339312</v>
      </c>
      <c r="P2612" s="23">
        <v>164086401390</v>
      </c>
      <c r="Q2612" s="23">
        <v>34611794407</v>
      </c>
      <c r="R2612" s="25">
        <f t="shared" si="829"/>
        <v>533956965525</v>
      </c>
      <c r="S2612" s="26">
        <f t="shared" si="830"/>
        <v>0.34062464248195912</v>
      </c>
      <c r="T2612" s="27">
        <f t="shared" si="831"/>
        <v>0.62502356013654892</v>
      </c>
      <c r="U2612" s="26">
        <f t="shared" si="832"/>
        <v>28.358165894931787</v>
      </c>
      <c r="V2612" s="26">
        <f t="shared" si="833"/>
        <v>0.71178366406091953</v>
      </c>
      <c r="W2612" s="143"/>
      <c r="X2612" s="143"/>
      <c r="Y2612" s="143"/>
      <c r="Z2612" s="30">
        <f t="shared" ref="Z2612:Z2614" si="838">X2612*Y2612</f>
        <v>0</v>
      </c>
      <c r="AA2612" s="31">
        <f t="shared" si="815"/>
        <v>19</v>
      </c>
      <c r="AB2612" s="32">
        <v>1.84E-2</v>
      </c>
      <c r="AC2612" s="32">
        <v>2.58E-2</v>
      </c>
      <c r="AD2612" s="33">
        <f t="shared" si="807"/>
        <v>-5.9107120013673416E-2</v>
      </c>
      <c r="AE2612" s="34">
        <f t="shared" si="808"/>
        <v>7.9300810386207468E-2</v>
      </c>
      <c r="AF2612" s="33">
        <f t="shared" si="809"/>
        <v>0.25805441352115172</v>
      </c>
      <c r="AG2612" s="33">
        <f t="shared" si="810"/>
        <v>0</v>
      </c>
      <c r="AH2612" s="35">
        <f t="shared" si="811"/>
        <v>0.80669982884932112</v>
      </c>
      <c r="AI2612" s="36">
        <f t="shared" si="837"/>
        <v>1.6983719839934042</v>
      </c>
      <c r="AJ2612" s="23"/>
      <c r="AK2612" s="120">
        <v>1280</v>
      </c>
      <c r="AL2612" s="44"/>
      <c r="AM2612" s="44"/>
      <c r="AN2612" s="44"/>
      <c r="AO2612" s="44"/>
      <c r="AP2612" s="44"/>
      <c r="AQ2612" s="44"/>
      <c r="AR2612" s="44"/>
    </row>
    <row r="2613" spans="1:44" ht="16.8">
      <c r="A2613" s="78" t="s">
        <v>5008</v>
      </c>
      <c r="B2613" s="79"/>
      <c r="C2613" s="79" t="s">
        <v>5006</v>
      </c>
      <c r="D2613" s="19" t="s">
        <v>5007</v>
      </c>
      <c r="E2613" s="20" t="s">
        <v>414</v>
      </c>
      <c r="F2613" s="21">
        <v>2002</v>
      </c>
      <c r="G2613" s="40">
        <v>2022</v>
      </c>
      <c r="H2613" s="23">
        <v>290070023007</v>
      </c>
      <c r="I2613" s="23">
        <v>2005785945796</v>
      </c>
      <c r="J2613" s="23">
        <v>472935086759</v>
      </c>
      <c r="K2613" s="23">
        <f t="shared" ref="K2613:K2614" si="839">AVERAGE(J2612:J2613)</f>
        <v>588871708844</v>
      </c>
      <c r="L2613" s="23">
        <v>313174699004</v>
      </c>
      <c r="M2613" s="23">
        <f t="shared" si="821"/>
        <v>1532850859037</v>
      </c>
      <c r="N2613" s="23">
        <v>681347518319</v>
      </c>
      <c r="O2613" s="25">
        <f t="shared" si="828"/>
        <v>-23104675997</v>
      </c>
      <c r="P2613" s="23">
        <v>284019227481</v>
      </c>
      <c r="Q2613" s="23">
        <v>34477231223</v>
      </c>
      <c r="R2613" s="25">
        <f t="shared" si="829"/>
        <v>646870287096</v>
      </c>
      <c r="S2613" s="26">
        <f t="shared" si="830"/>
        <v>0.23578542254234153</v>
      </c>
      <c r="T2613" s="27">
        <f t="shared" si="831"/>
        <v>0.92622432121598397</v>
      </c>
      <c r="U2613" s="26">
        <f t="shared" si="832"/>
        <v>28.327057092793641</v>
      </c>
      <c r="V2613" s="26">
        <f t="shared" si="833"/>
        <v>1.1570389748499501</v>
      </c>
      <c r="W2613" s="143"/>
      <c r="X2613" s="143"/>
      <c r="Y2613" s="143"/>
      <c r="Z2613" s="30">
        <f t="shared" si="838"/>
        <v>0</v>
      </c>
      <c r="AA2613" s="31">
        <f t="shared" si="815"/>
        <v>20</v>
      </c>
      <c r="AB2613" s="32">
        <v>3.15E-2</v>
      </c>
      <c r="AC2613" s="32">
        <v>8.0199999999999994E-2</v>
      </c>
      <c r="AD2613" s="33">
        <f t="shared" si="807"/>
        <v>-1.1519013803754051E-2</v>
      </c>
      <c r="AE2613" s="34">
        <f t="shared" si="808"/>
        <v>0.14159996886820664</v>
      </c>
      <c r="AF2613" s="33">
        <f t="shared" si="809"/>
        <v>0.32250215355820949</v>
      </c>
      <c r="AG2613" s="33">
        <f t="shared" si="810"/>
        <v>0</v>
      </c>
      <c r="AH2613" s="35">
        <f t="shared" si="811"/>
        <v>1.4406787260979932</v>
      </c>
      <c r="AI2613" s="36">
        <f t="shared" si="837"/>
        <v>2.6893529726910685</v>
      </c>
      <c r="AJ2613" s="23"/>
      <c r="AK2613" s="120">
        <v>1281</v>
      </c>
      <c r="AL2613" s="44"/>
      <c r="AM2613" s="44"/>
      <c r="AN2613" s="44"/>
      <c r="AO2613" s="44"/>
      <c r="AP2613" s="44"/>
      <c r="AQ2613" s="44"/>
      <c r="AR2613" s="44"/>
    </row>
    <row r="2614" spans="1:44" ht="16.8">
      <c r="A2614" s="78" t="s">
        <v>3992</v>
      </c>
      <c r="B2614" s="79"/>
      <c r="C2614" s="79" t="s">
        <v>5006</v>
      </c>
      <c r="D2614" s="19" t="s">
        <v>5007</v>
      </c>
      <c r="E2614" s="20" t="s">
        <v>414</v>
      </c>
      <c r="F2614" s="21">
        <v>2002</v>
      </c>
      <c r="G2614" s="40">
        <v>2023</v>
      </c>
      <c r="H2614" s="23">
        <v>253332124339</v>
      </c>
      <c r="I2614" s="23">
        <v>1816804995100</v>
      </c>
      <c r="J2614" s="23">
        <v>248536580901</v>
      </c>
      <c r="K2614" s="23">
        <f t="shared" si="839"/>
        <v>360735833830</v>
      </c>
      <c r="L2614" s="23">
        <v>169776580901</v>
      </c>
      <c r="M2614" s="23">
        <f t="shared" si="821"/>
        <v>1568268414199</v>
      </c>
      <c r="N2614" s="23">
        <v>541884685591</v>
      </c>
      <c r="O2614" s="25">
        <f t="shared" si="828"/>
        <v>83555543438</v>
      </c>
      <c r="P2614" s="23">
        <v>190499505385</v>
      </c>
      <c r="Q2614" s="23">
        <v>36756232193</v>
      </c>
      <c r="R2614" s="25">
        <f t="shared" si="829"/>
        <v>505128453398</v>
      </c>
      <c r="S2614" s="26">
        <f t="shared" si="830"/>
        <v>0.13679871068789093</v>
      </c>
      <c r="T2614" s="27">
        <f t="shared" si="831"/>
        <v>1.4921499949791242</v>
      </c>
      <c r="U2614" s="26">
        <f t="shared" si="832"/>
        <v>28.228100577128519</v>
      </c>
      <c r="V2614" s="26">
        <f t="shared" si="833"/>
        <v>1.5021648385681807</v>
      </c>
      <c r="W2614" s="143"/>
      <c r="X2614" s="143"/>
      <c r="Y2614" s="143"/>
      <c r="Z2614" s="30">
        <f t="shared" si="838"/>
        <v>0</v>
      </c>
      <c r="AA2614" s="31">
        <f t="shared" si="815"/>
        <v>21</v>
      </c>
      <c r="AB2614" s="32">
        <v>3.2500000000000001E-2</v>
      </c>
      <c r="AC2614" s="32">
        <v>5.0500000000000003E-2</v>
      </c>
      <c r="AD2614" s="33">
        <f t="shared" si="807"/>
        <v>4.5990375226484317E-2</v>
      </c>
      <c r="AE2614" s="34">
        <f t="shared" si="808"/>
        <v>0.10485412903354253</v>
      </c>
      <c r="AF2614" s="33">
        <f t="shared" si="809"/>
        <v>0.2780311892362432</v>
      </c>
      <c r="AG2614" s="33">
        <f t="shared" si="810"/>
        <v>0</v>
      </c>
      <c r="AH2614" s="35">
        <f t="shared" si="811"/>
        <v>2.18030152191902</v>
      </c>
      <c r="AI2614" s="36">
        <f t="shared" si="837"/>
        <v>3.2997886773173635</v>
      </c>
      <c r="AJ2614" s="23"/>
      <c r="AK2614" s="120">
        <v>1282</v>
      </c>
      <c r="AL2614" s="44"/>
      <c r="AM2614" s="44"/>
      <c r="AN2614" s="44"/>
      <c r="AO2614" s="44"/>
      <c r="AP2614" s="44"/>
      <c r="AQ2614" s="44"/>
      <c r="AR2614" s="44"/>
    </row>
    <row r="2615" spans="1:44" ht="16.8">
      <c r="A2615" s="145">
        <v>497</v>
      </c>
      <c r="B2615" s="145">
        <v>1285</v>
      </c>
      <c r="C2615" s="145" t="s">
        <v>5009</v>
      </c>
      <c r="D2615" s="146" t="s">
        <v>5010</v>
      </c>
      <c r="E2615" s="147" t="s">
        <v>178</v>
      </c>
      <c r="F2615" s="148"/>
      <c r="G2615" s="148"/>
      <c r="H2615" s="149"/>
      <c r="I2615" s="149"/>
      <c r="J2615" s="149"/>
      <c r="K2615" s="149"/>
      <c r="L2615" s="149"/>
      <c r="M2615" s="149">
        <f t="shared" si="821"/>
        <v>0</v>
      </c>
      <c r="N2615" s="149"/>
      <c r="O2615" s="149">
        <f t="shared" si="828"/>
        <v>0</v>
      </c>
      <c r="P2615" s="149"/>
      <c r="Q2615" s="149"/>
      <c r="R2615" s="149">
        <f t="shared" si="829"/>
        <v>0</v>
      </c>
      <c r="S2615" s="150" t="e">
        <f t="shared" si="830"/>
        <v>#DIV/0!</v>
      </c>
      <c r="T2615" s="151" t="e">
        <f t="shared" si="831"/>
        <v>#DIV/0!</v>
      </c>
      <c r="U2615" s="150" t="e">
        <f t="shared" si="832"/>
        <v>#NUM!</v>
      </c>
      <c r="V2615" s="150" t="e">
        <f t="shared" si="833"/>
        <v>#DIV/0!</v>
      </c>
      <c r="W2615" s="152"/>
      <c r="X2615" s="152"/>
      <c r="Y2615" s="152"/>
      <c r="Z2615" s="153">
        <f t="shared" ref="Z2615:Z2643" si="840">W2615*Y2615</f>
        <v>0</v>
      </c>
      <c r="AA2615" s="148">
        <f t="shared" si="815"/>
        <v>0</v>
      </c>
      <c r="AB2615" s="149"/>
      <c r="AC2615" s="149"/>
      <c r="AD2615" s="150" t="e">
        <f t="shared" si="807"/>
        <v>#DIV/0!</v>
      </c>
      <c r="AE2615" s="154" t="e">
        <f t="shared" si="808"/>
        <v>#DIV/0!</v>
      </c>
      <c r="AF2615" s="150" t="e">
        <f t="shared" si="809"/>
        <v>#DIV/0!</v>
      </c>
      <c r="AG2615" s="150" t="e">
        <f t="shared" si="810"/>
        <v>#DIV/0!</v>
      </c>
      <c r="AH2615" s="155" t="e">
        <f t="shared" si="811"/>
        <v>#DIV/0!</v>
      </c>
      <c r="AI2615" s="156" t="e">
        <f t="shared" si="837"/>
        <v>#DIV/0!</v>
      </c>
      <c r="AJ2615" s="149"/>
      <c r="AK2615" s="149"/>
      <c r="AL2615" s="157"/>
      <c r="AM2615" s="157"/>
      <c r="AN2615" s="157"/>
      <c r="AO2615" s="157"/>
      <c r="AP2615" s="157"/>
      <c r="AQ2615" s="157"/>
      <c r="AR2615" s="157"/>
    </row>
    <row r="2616" spans="1:44" ht="16.8">
      <c r="A2616" s="145">
        <v>498</v>
      </c>
      <c r="B2616" s="145">
        <v>1286</v>
      </c>
      <c r="C2616" s="145" t="s">
        <v>5011</v>
      </c>
      <c r="D2616" s="146" t="s">
        <v>5012</v>
      </c>
      <c r="E2616" s="147" t="s">
        <v>178</v>
      </c>
      <c r="F2616" s="148"/>
      <c r="G2616" s="148"/>
      <c r="H2616" s="149"/>
      <c r="I2616" s="149"/>
      <c r="J2616" s="149"/>
      <c r="K2616" s="149"/>
      <c r="L2616" s="149"/>
      <c r="M2616" s="149">
        <f t="shared" si="821"/>
        <v>0</v>
      </c>
      <c r="N2616" s="149"/>
      <c r="O2616" s="149">
        <f t="shared" si="828"/>
        <v>0</v>
      </c>
      <c r="P2616" s="149"/>
      <c r="Q2616" s="149"/>
      <c r="R2616" s="149">
        <f t="shared" si="829"/>
        <v>0</v>
      </c>
      <c r="S2616" s="150" t="e">
        <f t="shared" si="830"/>
        <v>#DIV/0!</v>
      </c>
      <c r="T2616" s="151" t="e">
        <f t="shared" si="831"/>
        <v>#DIV/0!</v>
      </c>
      <c r="U2616" s="150" t="e">
        <f t="shared" si="832"/>
        <v>#NUM!</v>
      </c>
      <c r="V2616" s="150" t="e">
        <f t="shared" si="833"/>
        <v>#DIV/0!</v>
      </c>
      <c r="W2616" s="152"/>
      <c r="X2616" s="152"/>
      <c r="Y2616" s="152"/>
      <c r="Z2616" s="153">
        <f t="shared" si="840"/>
        <v>0</v>
      </c>
      <c r="AA2616" s="148">
        <f t="shared" si="815"/>
        <v>0</v>
      </c>
      <c r="AB2616" s="149"/>
      <c r="AC2616" s="149"/>
      <c r="AD2616" s="150" t="e">
        <f t="shared" si="807"/>
        <v>#DIV/0!</v>
      </c>
      <c r="AE2616" s="154" t="e">
        <f t="shared" si="808"/>
        <v>#DIV/0!</v>
      </c>
      <c r="AF2616" s="150" t="e">
        <f t="shared" si="809"/>
        <v>#DIV/0!</v>
      </c>
      <c r="AG2616" s="150" t="e">
        <f t="shared" si="810"/>
        <v>#DIV/0!</v>
      </c>
      <c r="AH2616" s="155" t="e">
        <f t="shared" si="811"/>
        <v>#DIV/0!</v>
      </c>
      <c r="AI2616" s="156" t="e">
        <f t="shared" si="837"/>
        <v>#DIV/0!</v>
      </c>
      <c r="AJ2616" s="149"/>
      <c r="AK2616" s="149"/>
      <c r="AL2616" s="157"/>
      <c r="AM2616" s="157"/>
      <c r="AN2616" s="157"/>
      <c r="AO2616" s="157"/>
      <c r="AP2616" s="157"/>
      <c r="AQ2616" s="157"/>
      <c r="AR2616" s="157"/>
    </row>
    <row r="2617" spans="1:44" ht="16.8">
      <c r="A2617" s="145">
        <v>499</v>
      </c>
      <c r="B2617" s="145">
        <v>1287</v>
      </c>
      <c r="C2617" s="145" t="s">
        <v>5013</v>
      </c>
      <c r="D2617" s="146" t="s">
        <v>5014</v>
      </c>
      <c r="E2617" s="147" t="s">
        <v>178</v>
      </c>
      <c r="F2617" s="148"/>
      <c r="G2617" s="148"/>
      <c r="H2617" s="149"/>
      <c r="I2617" s="149"/>
      <c r="J2617" s="149"/>
      <c r="K2617" s="149"/>
      <c r="L2617" s="149"/>
      <c r="M2617" s="149">
        <f t="shared" si="821"/>
        <v>0</v>
      </c>
      <c r="N2617" s="149"/>
      <c r="O2617" s="149">
        <f t="shared" si="828"/>
        <v>0</v>
      </c>
      <c r="P2617" s="149"/>
      <c r="Q2617" s="149"/>
      <c r="R2617" s="149">
        <f t="shared" si="829"/>
        <v>0</v>
      </c>
      <c r="S2617" s="150" t="e">
        <f t="shared" si="830"/>
        <v>#DIV/0!</v>
      </c>
      <c r="T2617" s="151" t="e">
        <f t="shared" si="831"/>
        <v>#DIV/0!</v>
      </c>
      <c r="U2617" s="150" t="e">
        <f t="shared" si="832"/>
        <v>#NUM!</v>
      </c>
      <c r="V2617" s="150" t="e">
        <f t="shared" si="833"/>
        <v>#DIV/0!</v>
      </c>
      <c r="W2617" s="152"/>
      <c r="X2617" s="152"/>
      <c r="Y2617" s="152"/>
      <c r="Z2617" s="153">
        <f t="shared" si="840"/>
        <v>0</v>
      </c>
      <c r="AA2617" s="148">
        <f t="shared" si="815"/>
        <v>0</v>
      </c>
      <c r="AB2617" s="149"/>
      <c r="AC2617" s="149"/>
      <c r="AD2617" s="150" t="e">
        <f t="shared" si="807"/>
        <v>#DIV/0!</v>
      </c>
      <c r="AE2617" s="154" t="e">
        <f t="shared" si="808"/>
        <v>#DIV/0!</v>
      </c>
      <c r="AF2617" s="150" t="e">
        <f t="shared" si="809"/>
        <v>#DIV/0!</v>
      </c>
      <c r="AG2617" s="150" t="e">
        <f t="shared" si="810"/>
        <v>#DIV/0!</v>
      </c>
      <c r="AH2617" s="155" t="e">
        <f t="shared" si="811"/>
        <v>#DIV/0!</v>
      </c>
      <c r="AI2617" s="156" t="e">
        <f t="shared" si="837"/>
        <v>#DIV/0!</v>
      </c>
      <c r="AJ2617" s="149"/>
      <c r="AK2617" s="149"/>
      <c r="AL2617" s="157"/>
      <c r="AM2617" s="157"/>
      <c r="AN2617" s="157"/>
      <c r="AO2617" s="157"/>
      <c r="AP2617" s="157"/>
      <c r="AQ2617" s="157"/>
      <c r="AR2617" s="157"/>
    </row>
    <row r="2618" spans="1:44" ht="16.8">
      <c r="A2618" s="145">
        <v>500</v>
      </c>
      <c r="B2618" s="145">
        <v>1288</v>
      </c>
      <c r="C2618" s="145" t="s">
        <v>5015</v>
      </c>
      <c r="D2618" s="146" t="s">
        <v>5016</v>
      </c>
      <c r="E2618" s="147" t="s">
        <v>178</v>
      </c>
      <c r="F2618" s="148"/>
      <c r="G2618" s="148"/>
      <c r="H2618" s="149"/>
      <c r="I2618" s="149"/>
      <c r="J2618" s="149"/>
      <c r="K2618" s="149"/>
      <c r="L2618" s="149"/>
      <c r="M2618" s="149">
        <f t="shared" si="821"/>
        <v>0</v>
      </c>
      <c r="N2618" s="149"/>
      <c r="O2618" s="149">
        <f t="shared" si="828"/>
        <v>0</v>
      </c>
      <c r="P2618" s="149"/>
      <c r="Q2618" s="149"/>
      <c r="R2618" s="149">
        <f t="shared" si="829"/>
        <v>0</v>
      </c>
      <c r="S2618" s="150" t="e">
        <f t="shared" si="830"/>
        <v>#DIV/0!</v>
      </c>
      <c r="T2618" s="151" t="e">
        <f t="shared" si="831"/>
        <v>#DIV/0!</v>
      </c>
      <c r="U2618" s="150" t="e">
        <f t="shared" si="832"/>
        <v>#NUM!</v>
      </c>
      <c r="V2618" s="150" t="e">
        <f t="shared" si="833"/>
        <v>#DIV/0!</v>
      </c>
      <c r="W2618" s="152"/>
      <c r="X2618" s="152"/>
      <c r="Y2618" s="152"/>
      <c r="Z2618" s="153">
        <f t="shared" si="840"/>
        <v>0</v>
      </c>
      <c r="AA2618" s="148">
        <f t="shared" si="815"/>
        <v>0</v>
      </c>
      <c r="AB2618" s="149"/>
      <c r="AC2618" s="149"/>
      <c r="AD2618" s="150" t="e">
        <f t="shared" si="807"/>
        <v>#DIV/0!</v>
      </c>
      <c r="AE2618" s="154" t="e">
        <f t="shared" si="808"/>
        <v>#DIV/0!</v>
      </c>
      <c r="AF2618" s="150" t="e">
        <f t="shared" si="809"/>
        <v>#DIV/0!</v>
      </c>
      <c r="AG2618" s="150" t="e">
        <f t="shared" si="810"/>
        <v>#DIV/0!</v>
      </c>
      <c r="AH2618" s="155" t="e">
        <f t="shared" si="811"/>
        <v>#DIV/0!</v>
      </c>
      <c r="AI2618" s="156" t="e">
        <f t="shared" si="837"/>
        <v>#DIV/0!</v>
      </c>
      <c r="AJ2618" s="149"/>
      <c r="AK2618" s="149"/>
      <c r="AL2618" s="157"/>
      <c r="AM2618" s="157"/>
      <c r="AN2618" s="157"/>
      <c r="AO2618" s="157"/>
      <c r="AP2618" s="157"/>
      <c r="AQ2618" s="157"/>
      <c r="AR2618" s="157"/>
    </row>
    <row r="2619" spans="1:44" ht="16.8">
      <c r="A2619" s="145">
        <v>501</v>
      </c>
      <c r="B2619" s="145">
        <v>1289</v>
      </c>
      <c r="C2619" s="145" t="s">
        <v>5017</v>
      </c>
      <c r="D2619" s="146" t="s">
        <v>5018</v>
      </c>
      <c r="E2619" s="147" t="s">
        <v>178</v>
      </c>
      <c r="F2619" s="148"/>
      <c r="G2619" s="148"/>
      <c r="H2619" s="149"/>
      <c r="I2619" s="149"/>
      <c r="J2619" s="149"/>
      <c r="K2619" s="149"/>
      <c r="L2619" s="149"/>
      <c r="M2619" s="149">
        <f t="shared" si="821"/>
        <v>0</v>
      </c>
      <c r="N2619" s="149"/>
      <c r="O2619" s="149">
        <f t="shared" si="828"/>
        <v>0</v>
      </c>
      <c r="P2619" s="149"/>
      <c r="Q2619" s="149"/>
      <c r="R2619" s="149">
        <f t="shared" si="829"/>
        <v>0</v>
      </c>
      <c r="S2619" s="150" t="e">
        <f t="shared" si="830"/>
        <v>#DIV/0!</v>
      </c>
      <c r="T2619" s="151" t="e">
        <f t="shared" si="831"/>
        <v>#DIV/0!</v>
      </c>
      <c r="U2619" s="150" t="e">
        <f t="shared" si="832"/>
        <v>#NUM!</v>
      </c>
      <c r="V2619" s="150" t="e">
        <f t="shared" si="833"/>
        <v>#DIV/0!</v>
      </c>
      <c r="W2619" s="152"/>
      <c r="X2619" s="152"/>
      <c r="Y2619" s="152"/>
      <c r="Z2619" s="153">
        <f t="shared" si="840"/>
        <v>0</v>
      </c>
      <c r="AA2619" s="148">
        <f t="shared" si="815"/>
        <v>0</v>
      </c>
      <c r="AB2619" s="149"/>
      <c r="AC2619" s="149"/>
      <c r="AD2619" s="150" t="e">
        <f t="shared" si="807"/>
        <v>#DIV/0!</v>
      </c>
      <c r="AE2619" s="154" t="e">
        <f t="shared" si="808"/>
        <v>#DIV/0!</v>
      </c>
      <c r="AF2619" s="150" t="e">
        <f t="shared" si="809"/>
        <v>#DIV/0!</v>
      </c>
      <c r="AG2619" s="150" t="e">
        <f t="shared" si="810"/>
        <v>#DIV/0!</v>
      </c>
      <c r="AH2619" s="155" t="e">
        <f t="shared" si="811"/>
        <v>#DIV/0!</v>
      </c>
      <c r="AI2619" s="156" t="e">
        <f t="shared" si="837"/>
        <v>#DIV/0!</v>
      </c>
      <c r="AJ2619" s="149"/>
      <c r="AK2619" s="149"/>
      <c r="AL2619" s="157"/>
      <c r="AM2619" s="157"/>
      <c r="AN2619" s="157"/>
      <c r="AO2619" s="157"/>
      <c r="AP2619" s="157"/>
      <c r="AQ2619" s="157"/>
      <c r="AR2619" s="157"/>
    </row>
    <row r="2620" spans="1:44" ht="16.8">
      <c r="A2620" s="145">
        <v>502</v>
      </c>
      <c r="B2620" s="145">
        <v>1290</v>
      </c>
      <c r="C2620" s="145" t="s">
        <v>5017</v>
      </c>
      <c r="D2620" s="146" t="s">
        <v>5019</v>
      </c>
      <c r="E2620" s="147" t="s">
        <v>178</v>
      </c>
      <c r="F2620" s="148"/>
      <c r="G2620" s="148"/>
      <c r="H2620" s="149"/>
      <c r="I2620" s="149"/>
      <c r="J2620" s="149"/>
      <c r="K2620" s="149"/>
      <c r="L2620" s="149"/>
      <c r="M2620" s="149">
        <f t="shared" si="821"/>
        <v>0</v>
      </c>
      <c r="N2620" s="149"/>
      <c r="O2620" s="149">
        <f t="shared" si="828"/>
        <v>0</v>
      </c>
      <c r="P2620" s="149"/>
      <c r="Q2620" s="149"/>
      <c r="R2620" s="149">
        <f t="shared" si="829"/>
        <v>0</v>
      </c>
      <c r="S2620" s="150" t="e">
        <f t="shared" si="830"/>
        <v>#DIV/0!</v>
      </c>
      <c r="T2620" s="151" t="e">
        <f t="shared" si="831"/>
        <v>#DIV/0!</v>
      </c>
      <c r="U2620" s="150" t="e">
        <f t="shared" si="832"/>
        <v>#NUM!</v>
      </c>
      <c r="V2620" s="150" t="e">
        <f t="shared" si="833"/>
        <v>#DIV/0!</v>
      </c>
      <c r="W2620" s="152"/>
      <c r="X2620" s="152"/>
      <c r="Y2620" s="152"/>
      <c r="Z2620" s="153">
        <f t="shared" si="840"/>
        <v>0</v>
      </c>
      <c r="AA2620" s="148">
        <f t="shared" si="815"/>
        <v>0</v>
      </c>
      <c r="AB2620" s="149"/>
      <c r="AC2620" s="149"/>
      <c r="AD2620" s="150" t="e">
        <f t="shared" ref="AD2620:AD2643" si="841">O2620/I2620</f>
        <v>#DIV/0!</v>
      </c>
      <c r="AE2620" s="154" t="e">
        <f t="shared" ref="AE2620:AE2643" si="842">P2620/I2620</f>
        <v>#DIV/0!</v>
      </c>
      <c r="AF2620" s="150" t="e">
        <f t="shared" ref="AF2620:AF2643" si="843">R2620/I2620</f>
        <v>#DIV/0!</v>
      </c>
      <c r="AG2620" s="150" t="e">
        <f t="shared" ref="AG2620:AG2643" si="844">Z2620/J2620</f>
        <v>#DIV/0!</v>
      </c>
      <c r="AH2620" s="155" t="e">
        <f t="shared" ref="AH2620:AH2643" si="845">N2620/J2620</f>
        <v>#DIV/0!</v>
      </c>
      <c r="AI2620" s="156" t="e">
        <f t="shared" si="837"/>
        <v>#DIV/0!</v>
      </c>
      <c r="AJ2620" s="149"/>
      <c r="AK2620" s="149"/>
      <c r="AL2620" s="157"/>
      <c r="AM2620" s="157"/>
      <c r="AN2620" s="157"/>
      <c r="AO2620" s="157"/>
      <c r="AP2620" s="157"/>
      <c r="AQ2620" s="157"/>
      <c r="AR2620" s="157"/>
    </row>
    <row r="2621" spans="1:44" ht="16.8">
      <c r="A2621" s="145">
        <v>503</v>
      </c>
      <c r="B2621" s="145">
        <v>1291</v>
      </c>
      <c r="C2621" s="145" t="s">
        <v>5020</v>
      </c>
      <c r="D2621" s="146" t="s">
        <v>5021</v>
      </c>
      <c r="E2621" s="147" t="s">
        <v>178</v>
      </c>
      <c r="F2621" s="148"/>
      <c r="G2621" s="148"/>
      <c r="H2621" s="149"/>
      <c r="I2621" s="149"/>
      <c r="J2621" s="149"/>
      <c r="K2621" s="149"/>
      <c r="L2621" s="149"/>
      <c r="M2621" s="149">
        <f t="shared" si="821"/>
        <v>0</v>
      </c>
      <c r="N2621" s="149"/>
      <c r="O2621" s="149">
        <f t="shared" si="828"/>
        <v>0</v>
      </c>
      <c r="P2621" s="149"/>
      <c r="Q2621" s="149"/>
      <c r="R2621" s="149">
        <f t="shared" si="829"/>
        <v>0</v>
      </c>
      <c r="S2621" s="150" t="e">
        <f t="shared" si="830"/>
        <v>#DIV/0!</v>
      </c>
      <c r="T2621" s="151" t="e">
        <f t="shared" si="831"/>
        <v>#DIV/0!</v>
      </c>
      <c r="U2621" s="150" t="e">
        <f t="shared" si="832"/>
        <v>#NUM!</v>
      </c>
      <c r="V2621" s="150" t="e">
        <f t="shared" si="833"/>
        <v>#DIV/0!</v>
      </c>
      <c r="W2621" s="152"/>
      <c r="X2621" s="152"/>
      <c r="Y2621" s="152"/>
      <c r="Z2621" s="153">
        <f t="shared" si="840"/>
        <v>0</v>
      </c>
      <c r="AA2621" s="148">
        <f t="shared" si="815"/>
        <v>0</v>
      </c>
      <c r="AB2621" s="149"/>
      <c r="AC2621" s="149"/>
      <c r="AD2621" s="150" t="e">
        <f t="shared" si="841"/>
        <v>#DIV/0!</v>
      </c>
      <c r="AE2621" s="154" t="e">
        <f t="shared" si="842"/>
        <v>#DIV/0!</v>
      </c>
      <c r="AF2621" s="150" t="e">
        <f t="shared" si="843"/>
        <v>#DIV/0!</v>
      </c>
      <c r="AG2621" s="150" t="e">
        <f t="shared" si="844"/>
        <v>#DIV/0!</v>
      </c>
      <c r="AH2621" s="155" t="e">
        <f t="shared" si="845"/>
        <v>#DIV/0!</v>
      </c>
      <c r="AI2621" s="156" t="e">
        <f t="shared" si="837"/>
        <v>#DIV/0!</v>
      </c>
      <c r="AJ2621" s="149"/>
      <c r="AK2621" s="149"/>
      <c r="AL2621" s="157"/>
      <c r="AM2621" s="157"/>
      <c r="AN2621" s="157"/>
      <c r="AO2621" s="157"/>
      <c r="AP2621" s="157"/>
      <c r="AQ2621" s="157"/>
      <c r="AR2621" s="157"/>
    </row>
    <row r="2622" spans="1:44" ht="16.8">
      <c r="A2622" s="145">
        <v>504</v>
      </c>
      <c r="B2622" s="145">
        <v>1292</v>
      </c>
      <c r="C2622" s="145" t="s">
        <v>5022</v>
      </c>
      <c r="D2622" s="146" t="s">
        <v>5023</v>
      </c>
      <c r="E2622" s="147" t="s">
        <v>178</v>
      </c>
      <c r="F2622" s="148"/>
      <c r="G2622" s="148"/>
      <c r="H2622" s="149"/>
      <c r="I2622" s="149"/>
      <c r="J2622" s="149"/>
      <c r="K2622" s="149"/>
      <c r="L2622" s="149"/>
      <c r="M2622" s="149">
        <f t="shared" si="821"/>
        <v>0</v>
      </c>
      <c r="N2622" s="149"/>
      <c r="O2622" s="149">
        <f t="shared" si="828"/>
        <v>0</v>
      </c>
      <c r="P2622" s="149"/>
      <c r="Q2622" s="149"/>
      <c r="R2622" s="149">
        <f t="shared" si="829"/>
        <v>0</v>
      </c>
      <c r="S2622" s="150" t="e">
        <f t="shared" si="830"/>
        <v>#DIV/0!</v>
      </c>
      <c r="T2622" s="151" t="e">
        <f t="shared" si="831"/>
        <v>#DIV/0!</v>
      </c>
      <c r="U2622" s="150" t="e">
        <f t="shared" si="832"/>
        <v>#NUM!</v>
      </c>
      <c r="V2622" s="150" t="e">
        <f t="shared" si="833"/>
        <v>#DIV/0!</v>
      </c>
      <c r="W2622" s="152"/>
      <c r="X2622" s="152"/>
      <c r="Y2622" s="152"/>
      <c r="Z2622" s="153">
        <f t="shared" si="840"/>
        <v>0</v>
      </c>
      <c r="AA2622" s="148">
        <f t="shared" si="815"/>
        <v>0</v>
      </c>
      <c r="AB2622" s="149"/>
      <c r="AC2622" s="149"/>
      <c r="AD2622" s="150" t="e">
        <f t="shared" si="841"/>
        <v>#DIV/0!</v>
      </c>
      <c r="AE2622" s="154" t="e">
        <f t="shared" si="842"/>
        <v>#DIV/0!</v>
      </c>
      <c r="AF2622" s="150" t="e">
        <f t="shared" si="843"/>
        <v>#DIV/0!</v>
      </c>
      <c r="AG2622" s="150" t="e">
        <f t="shared" si="844"/>
        <v>#DIV/0!</v>
      </c>
      <c r="AH2622" s="155" t="e">
        <f t="shared" si="845"/>
        <v>#DIV/0!</v>
      </c>
      <c r="AI2622" s="156" t="e">
        <f t="shared" si="837"/>
        <v>#DIV/0!</v>
      </c>
      <c r="AJ2622" s="149"/>
      <c r="AK2622" s="149"/>
      <c r="AL2622" s="157"/>
      <c r="AM2622" s="157"/>
      <c r="AN2622" s="157"/>
      <c r="AO2622" s="157"/>
      <c r="AP2622" s="157"/>
      <c r="AQ2622" s="157"/>
      <c r="AR2622" s="157"/>
    </row>
    <row r="2623" spans="1:44" ht="16.8">
      <c r="A2623" s="145">
        <v>505</v>
      </c>
      <c r="B2623" s="145">
        <v>1293</v>
      </c>
      <c r="C2623" s="145" t="s">
        <v>5024</v>
      </c>
      <c r="D2623" s="146" t="s">
        <v>5025</v>
      </c>
      <c r="E2623" s="147" t="s">
        <v>178</v>
      </c>
      <c r="F2623" s="148"/>
      <c r="G2623" s="148"/>
      <c r="H2623" s="149"/>
      <c r="I2623" s="149"/>
      <c r="J2623" s="149"/>
      <c r="K2623" s="149"/>
      <c r="L2623" s="149"/>
      <c r="M2623" s="149">
        <f t="shared" si="821"/>
        <v>0</v>
      </c>
      <c r="N2623" s="149"/>
      <c r="O2623" s="149">
        <f t="shared" si="828"/>
        <v>0</v>
      </c>
      <c r="P2623" s="149"/>
      <c r="Q2623" s="149"/>
      <c r="R2623" s="149">
        <f t="shared" si="829"/>
        <v>0</v>
      </c>
      <c r="S2623" s="150" t="e">
        <f t="shared" si="830"/>
        <v>#DIV/0!</v>
      </c>
      <c r="T2623" s="151" t="e">
        <f t="shared" si="831"/>
        <v>#DIV/0!</v>
      </c>
      <c r="U2623" s="150" t="e">
        <f t="shared" si="832"/>
        <v>#NUM!</v>
      </c>
      <c r="V2623" s="150" t="e">
        <f t="shared" si="833"/>
        <v>#DIV/0!</v>
      </c>
      <c r="W2623" s="152"/>
      <c r="X2623" s="152"/>
      <c r="Y2623" s="152"/>
      <c r="Z2623" s="153">
        <f t="shared" si="840"/>
        <v>0</v>
      </c>
      <c r="AA2623" s="148">
        <f t="shared" si="815"/>
        <v>0</v>
      </c>
      <c r="AB2623" s="149"/>
      <c r="AC2623" s="149"/>
      <c r="AD2623" s="150" t="e">
        <f t="shared" si="841"/>
        <v>#DIV/0!</v>
      </c>
      <c r="AE2623" s="154" t="e">
        <f t="shared" si="842"/>
        <v>#DIV/0!</v>
      </c>
      <c r="AF2623" s="150" t="e">
        <f t="shared" si="843"/>
        <v>#DIV/0!</v>
      </c>
      <c r="AG2623" s="150" t="e">
        <f t="shared" si="844"/>
        <v>#DIV/0!</v>
      </c>
      <c r="AH2623" s="155" t="e">
        <f t="shared" si="845"/>
        <v>#DIV/0!</v>
      </c>
      <c r="AI2623" s="156" t="e">
        <f t="shared" si="837"/>
        <v>#DIV/0!</v>
      </c>
      <c r="AJ2623" s="149"/>
      <c r="AK2623" s="149"/>
      <c r="AL2623" s="157"/>
      <c r="AM2623" s="157"/>
      <c r="AN2623" s="157"/>
      <c r="AO2623" s="157"/>
      <c r="AP2623" s="157"/>
      <c r="AQ2623" s="157"/>
      <c r="AR2623" s="157"/>
    </row>
    <row r="2624" spans="1:44" ht="16.8">
      <c r="A2624" s="145">
        <v>506</v>
      </c>
      <c r="B2624" s="145">
        <v>1294</v>
      </c>
      <c r="C2624" s="145" t="s">
        <v>5026</v>
      </c>
      <c r="D2624" s="146" t="s">
        <v>5027</v>
      </c>
      <c r="E2624" s="147" t="s">
        <v>178</v>
      </c>
      <c r="F2624" s="148"/>
      <c r="G2624" s="148"/>
      <c r="H2624" s="149"/>
      <c r="I2624" s="149"/>
      <c r="J2624" s="149"/>
      <c r="K2624" s="149"/>
      <c r="L2624" s="149"/>
      <c r="M2624" s="149">
        <f t="shared" si="821"/>
        <v>0</v>
      </c>
      <c r="N2624" s="149"/>
      <c r="O2624" s="149">
        <f t="shared" si="828"/>
        <v>0</v>
      </c>
      <c r="P2624" s="149"/>
      <c r="Q2624" s="149"/>
      <c r="R2624" s="149">
        <f t="shared" si="829"/>
        <v>0</v>
      </c>
      <c r="S2624" s="150" t="e">
        <f t="shared" si="830"/>
        <v>#DIV/0!</v>
      </c>
      <c r="T2624" s="151" t="e">
        <f t="shared" si="831"/>
        <v>#DIV/0!</v>
      </c>
      <c r="U2624" s="150" t="e">
        <f t="shared" si="832"/>
        <v>#NUM!</v>
      </c>
      <c r="V2624" s="150" t="e">
        <f t="shared" si="833"/>
        <v>#DIV/0!</v>
      </c>
      <c r="W2624" s="152"/>
      <c r="X2624" s="152"/>
      <c r="Y2624" s="152"/>
      <c r="Z2624" s="153">
        <f t="shared" si="840"/>
        <v>0</v>
      </c>
      <c r="AA2624" s="148">
        <f t="shared" si="815"/>
        <v>0</v>
      </c>
      <c r="AB2624" s="149"/>
      <c r="AC2624" s="149"/>
      <c r="AD2624" s="150" t="e">
        <f t="shared" si="841"/>
        <v>#DIV/0!</v>
      </c>
      <c r="AE2624" s="154" t="e">
        <f t="shared" si="842"/>
        <v>#DIV/0!</v>
      </c>
      <c r="AF2624" s="150" t="e">
        <f t="shared" si="843"/>
        <v>#DIV/0!</v>
      </c>
      <c r="AG2624" s="150" t="e">
        <f t="shared" si="844"/>
        <v>#DIV/0!</v>
      </c>
      <c r="AH2624" s="155" t="e">
        <f t="shared" si="845"/>
        <v>#DIV/0!</v>
      </c>
      <c r="AI2624" s="156" t="e">
        <f t="shared" si="837"/>
        <v>#DIV/0!</v>
      </c>
      <c r="AJ2624" s="149"/>
      <c r="AK2624" s="149"/>
      <c r="AL2624" s="157"/>
      <c r="AM2624" s="157"/>
      <c r="AN2624" s="157"/>
      <c r="AO2624" s="157"/>
      <c r="AP2624" s="157"/>
      <c r="AQ2624" s="157"/>
      <c r="AR2624" s="157"/>
    </row>
    <row r="2625" spans="1:44" ht="16.8">
      <c r="A2625" s="145">
        <v>507</v>
      </c>
      <c r="B2625" s="145">
        <v>1295</v>
      </c>
      <c r="C2625" s="145" t="s">
        <v>5028</v>
      </c>
      <c r="D2625" s="146" t="s">
        <v>5029</v>
      </c>
      <c r="E2625" s="147" t="s">
        <v>178</v>
      </c>
      <c r="F2625" s="148"/>
      <c r="G2625" s="148"/>
      <c r="H2625" s="149"/>
      <c r="I2625" s="149"/>
      <c r="J2625" s="149"/>
      <c r="K2625" s="149"/>
      <c r="L2625" s="149"/>
      <c r="M2625" s="149">
        <f t="shared" si="821"/>
        <v>0</v>
      </c>
      <c r="N2625" s="149"/>
      <c r="O2625" s="149">
        <f t="shared" si="828"/>
        <v>0</v>
      </c>
      <c r="P2625" s="149"/>
      <c r="Q2625" s="149"/>
      <c r="R2625" s="149">
        <f t="shared" si="829"/>
        <v>0</v>
      </c>
      <c r="S2625" s="150" t="e">
        <f t="shared" si="830"/>
        <v>#DIV/0!</v>
      </c>
      <c r="T2625" s="151" t="e">
        <f t="shared" si="831"/>
        <v>#DIV/0!</v>
      </c>
      <c r="U2625" s="150" t="e">
        <f t="shared" si="832"/>
        <v>#NUM!</v>
      </c>
      <c r="V2625" s="150" t="e">
        <f t="shared" si="833"/>
        <v>#DIV/0!</v>
      </c>
      <c r="W2625" s="152"/>
      <c r="X2625" s="152"/>
      <c r="Y2625" s="152"/>
      <c r="Z2625" s="153">
        <f t="shared" si="840"/>
        <v>0</v>
      </c>
      <c r="AA2625" s="148">
        <f t="shared" si="815"/>
        <v>0</v>
      </c>
      <c r="AB2625" s="149"/>
      <c r="AC2625" s="149"/>
      <c r="AD2625" s="150" t="e">
        <f t="shared" si="841"/>
        <v>#DIV/0!</v>
      </c>
      <c r="AE2625" s="154" t="e">
        <f t="shared" si="842"/>
        <v>#DIV/0!</v>
      </c>
      <c r="AF2625" s="150" t="e">
        <f t="shared" si="843"/>
        <v>#DIV/0!</v>
      </c>
      <c r="AG2625" s="150" t="e">
        <f t="shared" si="844"/>
        <v>#DIV/0!</v>
      </c>
      <c r="AH2625" s="155" t="e">
        <f t="shared" si="845"/>
        <v>#DIV/0!</v>
      </c>
      <c r="AI2625" s="156" t="e">
        <f t="shared" si="837"/>
        <v>#DIV/0!</v>
      </c>
      <c r="AJ2625" s="149"/>
      <c r="AK2625" s="149"/>
      <c r="AL2625" s="157"/>
      <c r="AM2625" s="157"/>
      <c r="AN2625" s="157"/>
      <c r="AO2625" s="157"/>
      <c r="AP2625" s="157"/>
      <c r="AQ2625" s="157"/>
      <c r="AR2625" s="157"/>
    </row>
    <row r="2626" spans="1:44" ht="16.8">
      <c r="A2626" s="145">
        <v>508</v>
      </c>
      <c r="B2626" s="145">
        <v>1296</v>
      </c>
      <c r="C2626" s="145" t="s">
        <v>5030</v>
      </c>
      <c r="D2626" s="146" t="s">
        <v>5031</v>
      </c>
      <c r="E2626" s="147" t="s">
        <v>178</v>
      </c>
      <c r="F2626" s="148"/>
      <c r="G2626" s="148"/>
      <c r="H2626" s="149"/>
      <c r="I2626" s="149"/>
      <c r="J2626" s="149"/>
      <c r="K2626" s="149"/>
      <c r="L2626" s="149"/>
      <c r="M2626" s="149">
        <f t="shared" si="821"/>
        <v>0</v>
      </c>
      <c r="N2626" s="149"/>
      <c r="O2626" s="149">
        <f t="shared" si="828"/>
        <v>0</v>
      </c>
      <c r="P2626" s="149"/>
      <c r="Q2626" s="149"/>
      <c r="R2626" s="149">
        <f t="shared" si="829"/>
        <v>0</v>
      </c>
      <c r="S2626" s="150" t="e">
        <f t="shared" si="830"/>
        <v>#DIV/0!</v>
      </c>
      <c r="T2626" s="151" t="e">
        <f t="shared" si="831"/>
        <v>#DIV/0!</v>
      </c>
      <c r="U2626" s="150" t="e">
        <f t="shared" si="832"/>
        <v>#NUM!</v>
      </c>
      <c r="V2626" s="150" t="e">
        <f t="shared" si="833"/>
        <v>#DIV/0!</v>
      </c>
      <c r="W2626" s="152"/>
      <c r="X2626" s="152"/>
      <c r="Y2626" s="152"/>
      <c r="Z2626" s="153">
        <f t="shared" si="840"/>
        <v>0</v>
      </c>
      <c r="AA2626" s="148">
        <f t="shared" si="815"/>
        <v>0</v>
      </c>
      <c r="AB2626" s="149"/>
      <c r="AC2626" s="149"/>
      <c r="AD2626" s="150" t="e">
        <f t="shared" si="841"/>
        <v>#DIV/0!</v>
      </c>
      <c r="AE2626" s="154" t="e">
        <f t="shared" si="842"/>
        <v>#DIV/0!</v>
      </c>
      <c r="AF2626" s="150" t="e">
        <f t="shared" si="843"/>
        <v>#DIV/0!</v>
      </c>
      <c r="AG2626" s="150" t="e">
        <f t="shared" si="844"/>
        <v>#DIV/0!</v>
      </c>
      <c r="AH2626" s="155" t="e">
        <f t="shared" si="845"/>
        <v>#DIV/0!</v>
      </c>
      <c r="AI2626" s="156" t="e">
        <f t="shared" si="837"/>
        <v>#DIV/0!</v>
      </c>
      <c r="AJ2626" s="149"/>
      <c r="AK2626" s="149"/>
      <c r="AL2626" s="157"/>
      <c r="AM2626" s="157"/>
      <c r="AN2626" s="157"/>
      <c r="AO2626" s="157"/>
      <c r="AP2626" s="157"/>
      <c r="AQ2626" s="157"/>
      <c r="AR2626" s="157"/>
    </row>
    <row r="2627" spans="1:44" ht="16.8">
      <c r="A2627" s="145">
        <v>510</v>
      </c>
      <c r="B2627" s="145">
        <v>1298</v>
      </c>
      <c r="C2627" s="145" t="s">
        <v>5032</v>
      </c>
      <c r="D2627" s="146" t="s">
        <v>5033</v>
      </c>
      <c r="E2627" s="147" t="s">
        <v>178</v>
      </c>
      <c r="F2627" s="148"/>
      <c r="G2627" s="148"/>
      <c r="H2627" s="149"/>
      <c r="I2627" s="149"/>
      <c r="J2627" s="149"/>
      <c r="K2627" s="149"/>
      <c r="L2627" s="149"/>
      <c r="M2627" s="149">
        <f t="shared" si="821"/>
        <v>0</v>
      </c>
      <c r="N2627" s="149"/>
      <c r="O2627" s="149">
        <f t="shared" si="828"/>
        <v>0</v>
      </c>
      <c r="P2627" s="149"/>
      <c r="Q2627" s="149"/>
      <c r="R2627" s="149">
        <f t="shared" si="829"/>
        <v>0</v>
      </c>
      <c r="S2627" s="150" t="e">
        <f t="shared" si="830"/>
        <v>#DIV/0!</v>
      </c>
      <c r="T2627" s="151" t="e">
        <f t="shared" si="831"/>
        <v>#DIV/0!</v>
      </c>
      <c r="U2627" s="150" t="e">
        <f t="shared" si="832"/>
        <v>#NUM!</v>
      </c>
      <c r="V2627" s="150" t="e">
        <f t="shared" si="833"/>
        <v>#DIV/0!</v>
      </c>
      <c r="W2627" s="152"/>
      <c r="X2627" s="152"/>
      <c r="Y2627" s="152"/>
      <c r="Z2627" s="153">
        <f t="shared" si="840"/>
        <v>0</v>
      </c>
      <c r="AA2627" s="148">
        <f t="shared" si="815"/>
        <v>0</v>
      </c>
      <c r="AB2627" s="149"/>
      <c r="AC2627" s="149"/>
      <c r="AD2627" s="150" t="e">
        <f t="shared" si="841"/>
        <v>#DIV/0!</v>
      </c>
      <c r="AE2627" s="154" t="e">
        <f t="shared" si="842"/>
        <v>#DIV/0!</v>
      </c>
      <c r="AF2627" s="150" t="e">
        <f t="shared" si="843"/>
        <v>#DIV/0!</v>
      </c>
      <c r="AG2627" s="150" t="e">
        <f t="shared" si="844"/>
        <v>#DIV/0!</v>
      </c>
      <c r="AH2627" s="155" t="e">
        <f t="shared" si="845"/>
        <v>#DIV/0!</v>
      </c>
      <c r="AI2627" s="156" t="e">
        <f t="shared" si="837"/>
        <v>#DIV/0!</v>
      </c>
      <c r="AJ2627" s="149"/>
      <c r="AK2627" s="149"/>
      <c r="AL2627" s="157"/>
      <c r="AM2627" s="157"/>
      <c r="AN2627" s="157"/>
      <c r="AO2627" s="157"/>
      <c r="AP2627" s="157"/>
      <c r="AQ2627" s="157"/>
      <c r="AR2627" s="157"/>
    </row>
    <row r="2628" spans="1:44" ht="16.8">
      <c r="A2628" s="145">
        <v>511</v>
      </c>
      <c r="B2628" s="145">
        <v>1299</v>
      </c>
      <c r="C2628" s="145" t="s">
        <v>5034</v>
      </c>
      <c r="D2628" s="146" t="s">
        <v>5035</v>
      </c>
      <c r="E2628" s="147" t="s">
        <v>178</v>
      </c>
      <c r="F2628" s="148"/>
      <c r="G2628" s="148"/>
      <c r="H2628" s="149"/>
      <c r="I2628" s="149"/>
      <c r="J2628" s="149"/>
      <c r="K2628" s="149"/>
      <c r="L2628" s="149"/>
      <c r="M2628" s="149">
        <f t="shared" si="821"/>
        <v>0</v>
      </c>
      <c r="N2628" s="149"/>
      <c r="O2628" s="149">
        <f t="shared" si="828"/>
        <v>0</v>
      </c>
      <c r="P2628" s="149"/>
      <c r="Q2628" s="149"/>
      <c r="R2628" s="149">
        <f t="shared" si="829"/>
        <v>0</v>
      </c>
      <c r="S2628" s="150" t="e">
        <f t="shared" si="830"/>
        <v>#DIV/0!</v>
      </c>
      <c r="T2628" s="151" t="e">
        <f t="shared" si="831"/>
        <v>#DIV/0!</v>
      </c>
      <c r="U2628" s="150" t="e">
        <f t="shared" si="832"/>
        <v>#NUM!</v>
      </c>
      <c r="V2628" s="150" t="e">
        <f t="shared" si="833"/>
        <v>#DIV/0!</v>
      </c>
      <c r="W2628" s="152"/>
      <c r="X2628" s="152"/>
      <c r="Y2628" s="152"/>
      <c r="Z2628" s="153">
        <f t="shared" si="840"/>
        <v>0</v>
      </c>
      <c r="AA2628" s="148">
        <f t="shared" si="815"/>
        <v>0</v>
      </c>
      <c r="AB2628" s="149"/>
      <c r="AC2628" s="149"/>
      <c r="AD2628" s="150" t="e">
        <f t="shared" si="841"/>
        <v>#DIV/0!</v>
      </c>
      <c r="AE2628" s="154" t="e">
        <f t="shared" si="842"/>
        <v>#DIV/0!</v>
      </c>
      <c r="AF2628" s="150" t="e">
        <f t="shared" si="843"/>
        <v>#DIV/0!</v>
      </c>
      <c r="AG2628" s="150" t="e">
        <f t="shared" si="844"/>
        <v>#DIV/0!</v>
      </c>
      <c r="AH2628" s="155" t="e">
        <f t="shared" si="845"/>
        <v>#DIV/0!</v>
      </c>
      <c r="AI2628" s="156" t="e">
        <f t="shared" si="837"/>
        <v>#DIV/0!</v>
      </c>
      <c r="AJ2628" s="149"/>
      <c r="AK2628" s="149"/>
      <c r="AL2628" s="157"/>
      <c r="AM2628" s="157"/>
      <c r="AN2628" s="157"/>
      <c r="AO2628" s="157"/>
      <c r="AP2628" s="157"/>
      <c r="AQ2628" s="157"/>
      <c r="AR2628" s="157"/>
    </row>
    <row r="2629" spans="1:44" ht="16.8">
      <c r="A2629" s="145">
        <v>512</v>
      </c>
      <c r="B2629" s="145">
        <v>1300</v>
      </c>
      <c r="C2629" s="145" t="s">
        <v>5036</v>
      </c>
      <c r="D2629" s="146" t="s">
        <v>5037</v>
      </c>
      <c r="E2629" s="147" t="s">
        <v>178</v>
      </c>
      <c r="F2629" s="148"/>
      <c r="G2629" s="148"/>
      <c r="H2629" s="149"/>
      <c r="I2629" s="149"/>
      <c r="J2629" s="149"/>
      <c r="K2629" s="149"/>
      <c r="L2629" s="149"/>
      <c r="M2629" s="149">
        <f t="shared" si="821"/>
        <v>0</v>
      </c>
      <c r="N2629" s="149"/>
      <c r="O2629" s="149">
        <f t="shared" si="828"/>
        <v>0</v>
      </c>
      <c r="P2629" s="149"/>
      <c r="Q2629" s="149"/>
      <c r="R2629" s="149">
        <f t="shared" si="829"/>
        <v>0</v>
      </c>
      <c r="S2629" s="150" t="e">
        <f t="shared" si="830"/>
        <v>#DIV/0!</v>
      </c>
      <c r="T2629" s="151" t="e">
        <f t="shared" si="831"/>
        <v>#DIV/0!</v>
      </c>
      <c r="U2629" s="150" t="e">
        <f t="shared" si="832"/>
        <v>#NUM!</v>
      </c>
      <c r="V2629" s="150" t="e">
        <f t="shared" si="833"/>
        <v>#DIV/0!</v>
      </c>
      <c r="W2629" s="152"/>
      <c r="X2629" s="152"/>
      <c r="Y2629" s="152"/>
      <c r="Z2629" s="153">
        <f t="shared" si="840"/>
        <v>0</v>
      </c>
      <c r="AA2629" s="148">
        <f t="shared" si="815"/>
        <v>0</v>
      </c>
      <c r="AB2629" s="149"/>
      <c r="AC2629" s="149"/>
      <c r="AD2629" s="150" t="e">
        <f t="shared" si="841"/>
        <v>#DIV/0!</v>
      </c>
      <c r="AE2629" s="154" t="e">
        <f t="shared" si="842"/>
        <v>#DIV/0!</v>
      </c>
      <c r="AF2629" s="150" t="e">
        <f t="shared" si="843"/>
        <v>#DIV/0!</v>
      </c>
      <c r="AG2629" s="150" t="e">
        <f t="shared" si="844"/>
        <v>#DIV/0!</v>
      </c>
      <c r="AH2629" s="155" t="e">
        <f t="shared" si="845"/>
        <v>#DIV/0!</v>
      </c>
      <c r="AI2629" s="156" t="e">
        <f t="shared" si="837"/>
        <v>#DIV/0!</v>
      </c>
      <c r="AJ2629" s="149"/>
      <c r="AK2629" s="149"/>
      <c r="AL2629" s="157"/>
      <c r="AM2629" s="157"/>
      <c r="AN2629" s="157"/>
      <c r="AO2629" s="157"/>
      <c r="AP2629" s="157"/>
      <c r="AQ2629" s="157"/>
      <c r="AR2629" s="157"/>
    </row>
    <row r="2630" spans="1:44" ht="16.8">
      <c r="A2630" s="145">
        <v>513</v>
      </c>
      <c r="B2630" s="145">
        <v>1301</v>
      </c>
      <c r="C2630" s="145" t="s">
        <v>5038</v>
      </c>
      <c r="D2630" s="146" t="s">
        <v>5039</v>
      </c>
      <c r="E2630" s="147" t="s">
        <v>178</v>
      </c>
      <c r="F2630" s="148"/>
      <c r="G2630" s="148"/>
      <c r="H2630" s="149"/>
      <c r="I2630" s="149"/>
      <c r="J2630" s="149"/>
      <c r="K2630" s="149"/>
      <c r="L2630" s="149"/>
      <c r="M2630" s="149">
        <f t="shared" si="821"/>
        <v>0</v>
      </c>
      <c r="N2630" s="149"/>
      <c r="O2630" s="149">
        <f t="shared" si="828"/>
        <v>0</v>
      </c>
      <c r="P2630" s="149"/>
      <c r="Q2630" s="149"/>
      <c r="R2630" s="149">
        <f t="shared" si="829"/>
        <v>0</v>
      </c>
      <c r="S2630" s="150" t="e">
        <f t="shared" si="830"/>
        <v>#DIV/0!</v>
      </c>
      <c r="T2630" s="151" t="e">
        <f t="shared" si="831"/>
        <v>#DIV/0!</v>
      </c>
      <c r="U2630" s="150" t="e">
        <f t="shared" si="832"/>
        <v>#NUM!</v>
      </c>
      <c r="V2630" s="150" t="e">
        <f t="shared" si="833"/>
        <v>#DIV/0!</v>
      </c>
      <c r="W2630" s="152"/>
      <c r="X2630" s="152"/>
      <c r="Y2630" s="152"/>
      <c r="Z2630" s="153">
        <f t="shared" si="840"/>
        <v>0</v>
      </c>
      <c r="AA2630" s="148">
        <f t="shared" si="815"/>
        <v>0</v>
      </c>
      <c r="AB2630" s="149"/>
      <c r="AC2630" s="149"/>
      <c r="AD2630" s="150" t="e">
        <f t="shared" si="841"/>
        <v>#DIV/0!</v>
      </c>
      <c r="AE2630" s="154" t="e">
        <f t="shared" si="842"/>
        <v>#DIV/0!</v>
      </c>
      <c r="AF2630" s="150" t="e">
        <f t="shared" si="843"/>
        <v>#DIV/0!</v>
      </c>
      <c r="AG2630" s="150" t="e">
        <f t="shared" si="844"/>
        <v>#DIV/0!</v>
      </c>
      <c r="AH2630" s="155" t="e">
        <f t="shared" si="845"/>
        <v>#DIV/0!</v>
      </c>
      <c r="AI2630" s="156" t="e">
        <f t="shared" si="837"/>
        <v>#DIV/0!</v>
      </c>
      <c r="AJ2630" s="149"/>
      <c r="AK2630" s="149"/>
      <c r="AL2630" s="157"/>
      <c r="AM2630" s="157"/>
      <c r="AN2630" s="157"/>
      <c r="AO2630" s="157"/>
      <c r="AP2630" s="157"/>
      <c r="AQ2630" s="157"/>
      <c r="AR2630" s="157"/>
    </row>
    <row r="2631" spans="1:44" ht="16.8">
      <c r="A2631" s="145">
        <v>514</v>
      </c>
      <c r="B2631" s="145">
        <v>1302</v>
      </c>
      <c r="C2631" s="145" t="s">
        <v>5040</v>
      </c>
      <c r="D2631" s="146" t="s">
        <v>5041</v>
      </c>
      <c r="E2631" s="147" t="s">
        <v>178</v>
      </c>
      <c r="F2631" s="148"/>
      <c r="G2631" s="148"/>
      <c r="H2631" s="149"/>
      <c r="I2631" s="149"/>
      <c r="J2631" s="149"/>
      <c r="K2631" s="149"/>
      <c r="L2631" s="149"/>
      <c r="M2631" s="149">
        <f t="shared" si="821"/>
        <v>0</v>
      </c>
      <c r="N2631" s="149"/>
      <c r="O2631" s="149">
        <f t="shared" si="828"/>
        <v>0</v>
      </c>
      <c r="P2631" s="149"/>
      <c r="Q2631" s="149"/>
      <c r="R2631" s="149">
        <f t="shared" si="829"/>
        <v>0</v>
      </c>
      <c r="S2631" s="150" t="e">
        <f t="shared" si="830"/>
        <v>#DIV/0!</v>
      </c>
      <c r="T2631" s="151" t="e">
        <f t="shared" si="831"/>
        <v>#DIV/0!</v>
      </c>
      <c r="U2631" s="150" t="e">
        <f t="shared" si="832"/>
        <v>#NUM!</v>
      </c>
      <c r="V2631" s="150" t="e">
        <f t="shared" si="833"/>
        <v>#DIV/0!</v>
      </c>
      <c r="W2631" s="152"/>
      <c r="X2631" s="152"/>
      <c r="Y2631" s="152"/>
      <c r="Z2631" s="153">
        <f t="shared" si="840"/>
        <v>0</v>
      </c>
      <c r="AA2631" s="148">
        <f t="shared" si="815"/>
        <v>0</v>
      </c>
      <c r="AB2631" s="149"/>
      <c r="AC2631" s="149"/>
      <c r="AD2631" s="150" t="e">
        <f t="shared" si="841"/>
        <v>#DIV/0!</v>
      </c>
      <c r="AE2631" s="154" t="e">
        <f t="shared" si="842"/>
        <v>#DIV/0!</v>
      </c>
      <c r="AF2631" s="150" t="e">
        <f t="shared" si="843"/>
        <v>#DIV/0!</v>
      </c>
      <c r="AG2631" s="150" t="e">
        <f t="shared" si="844"/>
        <v>#DIV/0!</v>
      </c>
      <c r="AH2631" s="155" t="e">
        <f t="shared" si="845"/>
        <v>#DIV/0!</v>
      </c>
      <c r="AI2631" s="156" t="e">
        <f t="shared" si="837"/>
        <v>#DIV/0!</v>
      </c>
      <c r="AJ2631" s="149"/>
      <c r="AK2631" s="149"/>
      <c r="AL2631" s="157"/>
      <c r="AM2631" s="157"/>
      <c r="AN2631" s="157"/>
      <c r="AO2631" s="157"/>
      <c r="AP2631" s="157"/>
      <c r="AQ2631" s="157"/>
      <c r="AR2631" s="157"/>
    </row>
    <row r="2632" spans="1:44" ht="16.8">
      <c r="A2632" s="145">
        <v>515</v>
      </c>
      <c r="B2632" s="145">
        <v>1303</v>
      </c>
      <c r="C2632" s="145" t="s">
        <v>5042</v>
      </c>
      <c r="D2632" s="146" t="s">
        <v>5043</v>
      </c>
      <c r="E2632" s="147" t="s">
        <v>178</v>
      </c>
      <c r="F2632" s="148"/>
      <c r="G2632" s="148"/>
      <c r="H2632" s="149"/>
      <c r="I2632" s="149"/>
      <c r="J2632" s="149"/>
      <c r="K2632" s="149"/>
      <c r="L2632" s="149"/>
      <c r="M2632" s="149">
        <f t="shared" si="821"/>
        <v>0</v>
      </c>
      <c r="N2632" s="149"/>
      <c r="O2632" s="149">
        <f t="shared" si="828"/>
        <v>0</v>
      </c>
      <c r="P2632" s="149"/>
      <c r="Q2632" s="149"/>
      <c r="R2632" s="149">
        <f t="shared" si="829"/>
        <v>0</v>
      </c>
      <c r="S2632" s="150" t="e">
        <f t="shared" si="830"/>
        <v>#DIV/0!</v>
      </c>
      <c r="T2632" s="151" t="e">
        <f t="shared" si="831"/>
        <v>#DIV/0!</v>
      </c>
      <c r="U2632" s="150" t="e">
        <f t="shared" si="832"/>
        <v>#NUM!</v>
      </c>
      <c r="V2632" s="150" t="e">
        <f t="shared" si="833"/>
        <v>#DIV/0!</v>
      </c>
      <c r="W2632" s="152"/>
      <c r="X2632" s="152"/>
      <c r="Y2632" s="152"/>
      <c r="Z2632" s="153">
        <f t="shared" si="840"/>
        <v>0</v>
      </c>
      <c r="AA2632" s="148">
        <f t="shared" si="815"/>
        <v>0</v>
      </c>
      <c r="AB2632" s="149"/>
      <c r="AC2632" s="149"/>
      <c r="AD2632" s="150" t="e">
        <f t="shared" si="841"/>
        <v>#DIV/0!</v>
      </c>
      <c r="AE2632" s="154" t="e">
        <f t="shared" si="842"/>
        <v>#DIV/0!</v>
      </c>
      <c r="AF2632" s="150" t="e">
        <f t="shared" si="843"/>
        <v>#DIV/0!</v>
      </c>
      <c r="AG2632" s="150" t="e">
        <f t="shared" si="844"/>
        <v>#DIV/0!</v>
      </c>
      <c r="AH2632" s="155" t="e">
        <f t="shared" si="845"/>
        <v>#DIV/0!</v>
      </c>
      <c r="AI2632" s="156" t="e">
        <f t="shared" si="837"/>
        <v>#DIV/0!</v>
      </c>
      <c r="AJ2632" s="149"/>
      <c r="AK2632" s="149"/>
      <c r="AL2632" s="157"/>
      <c r="AM2632" s="157"/>
      <c r="AN2632" s="157"/>
      <c r="AO2632" s="157"/>
      <c r="AP2632" s="157"/>
      <c r="AQ2632" s="157"/>
      <c r="AR2632" s="157"/>
    </row>
    <row r="2633" spans="1:44" ht="16.8">
      <c r="A2633" s="145">
        <v>516</v>
      </c>
      <c r="B2633" s="145">
        <v>1304</v>
      </c>
      <c r="C2633" s="145" t="s">
        <v>5044</v>
      </c>
      <c r="D2633" s="146" t="s">
        <v>5045</v>
      </c>
      <c r="E2633" s="147" t="s">
        <v>178</v>
      </c>
      <c r="F2633" s="148"/>
      <c r="G2633" s="148"/>
      <c r="H2633" s="149"/>
      <c r="I2633" s="149"/>
      <c r="J2633" s="149"/>
      <c r="K2633" s="149"/>
      <c r="L2633" s="149"/>
      <c r="M2633" s="149">
        <f t="shared" si="821"/>
        <v>0</v>
      </c>
      <c r="N2633" s="149"/>
      <c r="O2633" s="149">
        <f t="shared" si="828"/>
        <v>0</v>
      </c>
      <c r="P2633" s="149"/>
      <c r="Q2633" s="149"/>
      <c r="R2633" s="149">
        <f t="shared" si="829"/>
        <v>0</v>
      </c>
      <c r="S2633" s="150" t="e">
        <f t="shared" si="830"/>
        <v>#DIV/0!</v>
      </c>
      <c r="T2633" s="151" t="e">
        <f t="shared" si="831"/>
        <v>#DIV/0!</v>
      </c>
      <c r="U2633" s="150" t="e">
        <f t="shared" si="832"/>
        <v>#NUM!</v>
      </c>
      <c r="V2633" s="150" t="e">
        <f t="shared" si="833"/>
        <v>#DIV/0!</v>
      </c>
      <c r="W2633" s="152"/>
      <c r="X2633" s="152"/>
      <c r="Y2633" s="152"/>
      <c r="Z2633" s="153">
        <f t="shared" si="840"/>
        <v>0</v>
      </c>
      <c r="AA2633" s="148">
        <f t="shared" si="815"/>
        <v>0</v>
      </c>
      <c r="AB2633" s="149"/>
      <c r="AC2633" s="149"/>
      <c r="AD2633" s="150" t="e">
        <f t="shared" si="841"/>
        <v>#DIV/0!</v>
      </c>
      <c r="AE2633" s="154" t="e">
        <f t="shared" si="842"/>
        <v>#DIV/0!</v>
      </c>
      <c r="AF2633" s="150" t="e">
        <f t="shared" si="843"/>
        <v>#DIV/0!</v>
      </c>
      <c r="AG2633" s="150" t="e">
        <f t="shared" si="844"/>
        <v>#DIV/0!</v>
      </c>
      <c r="AH2633" s="155" t="e">
        <f t="shared" si="845"/>
        <v>#DIV/0!</v>
      </c>
      <c r="AI2633" s="156" t="e">
        <f t="shared" si="837"/>
        <v>#DIV/0!</v>
      </c>
      <c r="AJ2633" s="149"/>
      <c r="AK2633" s="149"/>
      <c r="AL2633" s="157"/>
      <c r="AM2633" s="157"/>
      <c r="AN2633" s="157"/>
      <c r="AO2633" s="157"/>
      <c r="AP2633" s="157"/>
      <c r="AQ2633" s="157"/>
      <c r="AR2633" s="157"/>
    </row>
    <row r="2634" spans="1:44" ht="16.8">
      <c r="A2634" s="145">
        <v>517</v>
      </c>
      <c r="B2634" s="145">
        <v>1305</v>
      </c>
      <c r="C2634" s="145" t="s">
        <v>5046</v>
      </c>
      <c r="D2634" s="146" t="s">
        <v>5047</v>
      </c>
      <c r="E2634" s="147" t="s">
        <v>178</v>
      </c>
      <c r="F2634" s="148"/>
      <c r="G2634" s="148"/>
      <c r="H2634" s="149"/>
      <c r="I2634" s="149"/>
      <c r="J2634" s="149"/>
      <c r="K2634" s="149"/>
      <c r="L2634" s="149"/>
      <c r="M2634" s="149">
        <f t="shared" si="821"/>
        <v>0</v>
      </c>
      <c r="N2634" s="149"/>
      <c r="O2634" s="149">
        <f t="shared" si="828"/>
        <v>0</v>
      </c>
      <c r="P2634" s="149"/>
      <c r="Q2634" s="149"/>
      <c r="R2634" s="149">
        <f t="shared" si="829"/>
        <v>0</v>
      </c>
      <c r="S2634" s="150" t="e">
        <f t="shared" si="830"/>
        <v>#DIV/0!</v>
      </c>
      <c r="T2634" s="151" t="e">
        <f t="shared" si="831"/>
        <v>#DIV/0!</v>
      </c>
      <c r="U2634" s="150" t="e">
        <f t="shared" si="832"/>
        <v>#NUM!</v>
      </c>
      <c r="V2634" s="150" t="e">
        <f t="shared" si="833"/>
        <v>#DIV/0!</v>
      </c>
      <c r="W2634" s="152"/>
      <c r="X2634" s="152"/>
      <c r="Y2634" s="152"/>
      <c r="Z2634" s="153">
        <f t="shared" si="840"/>
        <v>0</v>
      </c>
      <c r="AA2634" s="148">
        <f t="shared" si="815"/>
        <v>0</v>
      </c>
      <c r="AB2634" s="149"/>
      <c r="AC2634" s="149"/>
      <c r="AD2634" s="150" t="e">
        <f t="shared" si="841"/>
        <v>#DIV/0!</v>
      </c>
      <c r="AE2634" s="154" t="e">
        <f t="shared" si="842"/>
        <v>#DIV/0!</v>
      </c>
      <c r="AF2634" s="150" t="e">
        <f t="shared" si="843"/>
        <v>#DIV/0!</v>
      </c>
      <c r="AG2634" s="150" t="e">
        <f t="shared" si="844"/>
        <v>#DIV/0!</v>
      </c>
      <c r="AH2634" s="155" t="e">
        <f t="shared" si="845"/>
        <v>#DIV/0!</v>
      </c>
      <c r="AI2634" s="156" t="e">
        <f t="shared" si="837"/>
        <v>#DIV/0!</v>
      </c>
      <c r="AJ2634" s="149"/>
      <c r="AK2634" s="149"/>
      <c r="AL2634" s="157"/>
      <c r="AM2634" s="157"/>
      <c r="AN2634" s="157"/>
      <c r="AO2634" s="157"/>
      <c r="AP2634" s="157"/>
      <c r="AQ2634" s="157"/>
      <c r="AR2634" s="157"/>
    </row>
    <row r="2635" spans="1:44" ht="16.8">
      <c r="A2635" s="145">
        <v>518</v>
      </c>
      <c r="B2635" s="145">
        <v>1306</v>
      </c>
      <c r="C2635" s="145" t="s">
        <v>5048</v>
      </c>
      <c r="D2635" s="185" t="s">
        <v>5049</v>
      </c>
      <c r="E2635" s="147" t="s">
        <v>178</v>
      </c>
      <c r="F2635" s="148"/>
      <c r="G2635" s="148"/>
      <c r="H2635" s="149"/>
      <c r="I2635" s="149"/>
      <c r="J2635" s="149"/>
      <c r="K2635" s="149"/>
      <c r="L2635" s="149"/>
      <c r="M2635" s="149">
        <f t="shared" si="821"/>
        <v>0</v>
      </c>
      <c r="N2635" s="149"/>
      <c r="O2635" s="149">
        <f t="shared" si="828"/>
        <v>0</v>
      </c>
      <c r="P2635" s="149"/>
      <c r="Q2635" s="149"/>
      <c r="R2635" s="149">
        <f t="shared" si="829"/>
        <v>0</v>
      </c>
      <c r="S2635" s="150" t="e">
        <f t="shared" si="830"/>
        <v>#DIV/0!</v>
      </c>
      <c r="T2635" s="151" t="e">
        <f t="shared" si="831"/>
        <v>#DIV/0!</v>
      </c>
      <c r="U2635" s="150" t="e">
        <f t="shared" si="832"/>
        <v>#NUM!</v>
      </c>
      <c r="V2635" s="150" t="e">
        <f t="shared" si="833"/>
        <v>#DIV/0!</v>
      </c>
      <c r="W2635" s="152"/>
      <c r="X2635" s="152"/>
      <c r="Y2635" s="152"/>
      <c r="Z2635" s="153">
        <f t="shared" si="840"/>
        <v>0</v>
      </c>
      <c r="AA2635" s="148">
        <f t="shared" si="815"/>
        <v>0</v>
      </c>
      <c r="AB2635" s="149"/>
      <c r="AC2635" s="149"/>
      <c r="AD2635" s="150" t="e">
        <f t="shared" si="841"/>
        <v>#DIV/0!</v>
      </c>
      <c r="AE2635" s="154" t="e">
        <f t="shared" si="842"/>
        <v>#DIV/0!</v>
      </c>
      <c r="AF2635" s="150" t="e">
        <f t="shared" si="843"/>
        <v>#DIV/0!</v>
      </c>
      <c r="AG2635" s="150" t="e">
        <f t="shared" si="844"/>
        <v>#DIV/0!</v>
      </c>
      <c r="AH2635" s="155" t="e">
        <f t="shared" si="845"/>
        <v>#DIV/0!</v>
      </c>
      <c r="AI2635" s="156" t="e">
        <f t="shared" si="837"/>
        <v>#DIV/0!</v>
      </c>
      <c r="AJ2635" s="149"/>
      <c r="AK2635" s="149"/>
      <c r="AL2635" s="157"/>
      <c r="AM2635" s="157"/>
      <c r="AN2635" s="157"/>
      <c r="AO2635" s="157"/>
      <c r="AP2635" s="157"/>
      <c r="AQ2635" s="157"/>
      <c r="AR2635" s="157"/>
    </row>
    <row r="2636" spans="1:44" ht="16.8">
      <c r="A2636" s="145">
        <v>519</v>
      </c>
      <c r="B2636" s="145">
        <v>1307</v>
      </c>
      <c r="C2636" s="145" t="s">
        <v>5050</v>
      </c>
      <c r="D2636" s="146" t="s">
        <v>5051</v>
      </c>
      <c r="E2636" s="147" t="s">
        <v>178</v>
      </c>
      <c r="F2636" s="148"/>
      <c r="G2636" s="148"/>
      <c r="H2636" s="149"/>
      <c r="I2636" s="149"/>
      <c r="J2636" s="149"/>
      <c r="K2636" s="149"/>
      <c r="L2636" s="149"/>
      <c r="M2636" s="149">
        <f t="shared" si="821"/>
        <v>0</v>
      </c>
      <c r="N2636" s="149"/>
      <c r="O2636" s="149">
        <f t="shared" si="828"/>
        <v>0</v>
      </c>
      <c r="P2636" s="149"/>
      <c r="Q2636" s="149"/>
      <c r="R2636" s="149">
        <f t="shared" si="829"/>
        <v>0</v>
      </c>
      <c r="S2636" s="150" t="e">
        <f t="shared" si="830"/>
        <v>#DIV/0!</v>
      </c>
      <c r="T2636" s="151" t="e">
        <f t="shared" si="831"/>
        <v>#DIV/0!</v>
      </c>
      <c r="U2636" s="150" t="e">
        <f t="shared" si="832"/>
        <v>#NUM!</v>
      </c>
      <c r="V2636" s="150" t="e">
        <f t="shared" si="833"/>
        <v>#DIV/0!</v>
      </c>
      <c r="W2636" s="152"/>
      <c r="X2636" s="152"/>
      <c r="Y2636" s="152"/>
      <c r="Z2636" s="153">
        <f t="shared" si="840"/>
        <v>0</v>
      </c>
      <c r="AA2636" s="148">
        <f t="shared" si="815"/>
        <v>0</v>
      </c>
      <c r="AB2636" s="149"/>
      <c r="AC2636" s="149"/>
      <c r="AD2636" s="150" t="e">
        <f t="shared" si="841"/>
        <v>#DIV/0!</v>
      </c>
      <c r="AE2636" s="154" t="e">
        <f t="shared" si="842"/>
        <v>#DIV/0!</v>
      </c>
      <c r="AF2636" s="150" t="e">
        <f t="shared" si="843"/>
        <v>#DIV/0!</v>
      </c>
      <c r="AG2636" s="150" t="e">
        <f t="shared" si="844"/>
        <v>#DIV/0!</v>
      </c>
      <c r="AH2636" s="155" t="e">
        <f t="shared" si="845"/>
        <v>#DIV/0!</v>
      </c>
      <c r="AI2636" s="156" t="e">
        <f t="shared" si="837"/>
        <v>#DIV/0!</v>
      </c>
      <c r="AJ2636" s="149"/>
      <c r="AK2636" s="149"/>
      <c r="AL2636" s="157"/>
      <c r="AM2636" s="157"/>
      <c r="AN2636" s="157"/>
      <c r="AO2636" s="157"/>
      <c r="AP2636" s="157"/>
      <c r="AQ2636" s="157"/>
      <c r="AR2636" s="157"/>
    </row>
    <row r="2637" spans="1:44" ht="16.8">
      <c r="A2637" s="145">
        <v>520</v>
      </c>
      <c r="B2637" s="145">
        <v>1308</v>
      </c>
      <c r="C2637" s="145" t="s">
        <v>5052</v>
      </c>
      <c r="D2637" s="146" t="s">
        <v>5053</v>
      </c>
      <c r="E2637" s="147" t="s">
        <v>178</v>
      </c>
      <c r="F2637" s="148"/>
      <c r="G2637" s="148"/>
      <c r="H2637" s="149"/>
      <c r="I2637" s="149"/>
      <c r="J2637" s="149"/>
      <c r="K2637" s="149"/>
      <c r="L2637" s="149"/>
      <c r="M2637" s="149">
        <f t="shared" si="821"/>
        <v>0</v>
      </c>
      <c r="N2637" s="149"/>
      <c r="O2637" s="149">
        <f t="shared" si="828"/>
        <v>0</v>
      </c>
      <c r="P2637" s="149"/>
      <c r="Q2637" s="149"/>
      <c r="R2637" s="149">
        <f t="shared" si="829"/>
        <v>0</v>
      </c>
      <c r="S2637" s="150" t="e">
        <f t="shared" si="830"/>
        <v>#DIV/0!</v>
      </c>
      <c r="T2637" s="151" t="e">
        <f t="shared" si="831"/>
        <v>#DIV/0!</v>
      </c>
      <c r="U2637" s="150" t="e">
        <f t="shared" si="832"/>
        <v>#NUM!</v>
      </c>
      <c r="V2637" s="150" t="e">
        <f t="shared" si="833"/>
        <v>#DIV/0!</v>
      </c>
      <c r="W2637" s="152"/>
      <c r="X2637" s="152"/>
      <c r="Y2637" s="152"/>
      <c r="Z2637" s="153">
        <f t="shared" si="840"/>
        <v>0</v>
      </c>
      <c r="AA2637" s="148">
        <f t="shared" si="815"/>
        <v>0</v>
      </c>
      <c r="AB2637" s="149"/>
      <c r="AC2637" s="149"/>
      <c r="AD2637" s="150" t="e">
        <f t="shared" si="841"/>
        <v>#DIV/0!</v>
      </c>
      <c r="AE2637" s="154" t="e">
        <f t="shared" si="842"/>
        <v>#DIV/0!</v>
      </c>
      <c r="AF2637" s="150" t="e">
        <f t="shared" si="843"/>
        <v>#DIV/0!</v>
      </c>
      <c r="AG2637" s="150" t="e">
        <f t="shared" si="844"/>
        <v>#DIV/0!</v>
      </c>
      <c r="AH2637" s="155" t="e">
        <f t="shared" si="845"/>
        <v>#DIV/0!</v>
      </c>
      <c r="AI2637" s="156" t="e">
        <f t="shared" si="837"/>
        <v>#DIV/0!</v>
      </c>
      <c r="AJ2637" s="149"/>
      <c r="AK2637" s="149"/>
      <c r="AL2637" s="157"/>
      <c r="AM2637" s="157"/>
      <c r="AN2637" s="157"/>
      <c r="AO2637" s="157"/>
      <c r="AP2637" s="157"/>
      <c r="AQ2637" s="157"/>
      <c r="AR2637" s="157"/>
    </row>
    <row r="2638" spans="1:44" ht="16.8">
      <c r="A2638" s="145">
        <v>521</v>
      </c>
      <c r="B2638" s="145">
        <v>1309</v>
      </c>
      <c r="C2638" s="186" t="s">
        <v>5054</v>
      </c>
      <c r="D2638" s="146" t="s">
        <v>5055</v>
      </c>
      <c r="E2638" s="147" t="s">
        <v>178</v>
      </c>
      <c r="F2638" s="148"/>
      <c r="G2638" s="148"/>
      <c r="H2638" s="149"/>
      <c r="I2638" s="149"/>
      <c r="J2638" s="149"/>
      <c r="K2638" s="149"/>
      <c r="L2638" s="149"/>
      <c r="M2638" s="149">
        <f t="shared" si="821"/>
        <v>0</v>
      </c>
      <c r="N2638" s="149"/>
      <c r="O2638" s="149">
        <f t="shared" si="828"/>
        <v>0</v>
      </c>
      <c r="P2638" s="149"/>
      <c r="Q2638" s="149"/>
      <c r="R2638" s="149">
        <f t="shared" si="829"/>
        <v>0</v>
      </c>
      <c r="S2638" s="150" t="e">
        <f t="shared" si="830"/>
        <v>#DIV/0!</v>
      </c>
      <c r="T2638" s="151" t="e">
        <f t="shared" si="831"/>
        <v>#DIV/0!</v>
      </c>
      <c r="U2638" s="150" t="e">
        <f t="shared" si="832"/>
        <v>#NUM!</v>
      </c>
      <c r="V2638" s="150" t="e">
        <f t="shared" si="833"/>
        <v>#DIV/0!</v>
      </c>
      <c r="W2638" s="152"/>
      <c r="X2638" s="152"/>
      <c r="Y2638" s="152"/>
      <c r="Z2638" s="153">
        <f t="shared" si="840"/>
        <v>0</v>
      </c>
      <c r="AA2638" s="148">
        <f t="shared" si="815"/>
        <v>0</v>
      </c>
      <c r="AB2638" s="149"/>
      <c r="AC2638" s="149"/>
      <c r="AD2638" s="150" t="e">
        <f t="shared" si="841"/>
        <v>#DIV/0!</v>
      </c>
      <c r="AE2638" s="154" t="e">
        <f t="shared" si="842"/>
        <v>#DIV/0!</v>
      </c>
      <c r="AF2638" s="150" t="e">
        <f t="shared" si="843"/>
        <v>#DIV/0!</v>
      </c>
      <c r="AG2638" s="150" t="e">
        <f t="shared" si="844"/>
        <v>#DIV/0!</v>
      </c>
      <c r="AH2638" s="155" t="e">
        <f t="shared" si="845"/>
        <v>#DIV/0!</v>
      </c>
      <c r="AI2638" s="156" t="e">
        <f t="shared" si="837"/>
        <v>#DIV/0!</v>
      </c>
      <c r="AJ2638" s="149"/>
      <c r="AK2638" s="149"/>
      <c r="AL2638" s="157"/>
      <c r="AM2638" s="157"/>
      <c r="AN2638" s="157"/>
      <c r="AO2638" s="157"/>
      <c r="AP2638" s="157"/>
      <c r="AQ2638" s="157"/>
      <c r="AR2638" s="157"/>
    </row>
    <row r="2639" spans="1:44" ht="16.8">
      <c r="A2639" s="145">
        <v>522</v>
      </c>
      <c r="B2639" s="145">
        <v>1310</v>
      </c>
      <c r="C2639" s="187" t="s">
        <v>5056</v>
      </c>
      <c r="D2639" s="188" t="s">
        <v>5057</v>
      </c>
      <c r="E2639" s="189" t="s">
        <v>5058</v>
      </c>
      <c r="F2639" s="148"/>
      <c r="G2639" s="190"/>
      <c r="H2639" s="149"/>
      <c r="I2639" s="149"/>
      <c r="J2639" s="149"/>
      <c r="K2639" s="149"/>
      <c r="L2639" s="149"/>
      <c r="M2639" s="149">
        <f t="shared" si="821"/>
        <v>0</v>
      </c>
      <c r="N2639" s="149"/>
      <c r="O2639" s="149">
        <f t="shared" si="828"/>
        <v>0</v>
      </c>
      <c r="P2639" s="149"/>
      <c r="Q2639" s="149"/>
      <c r="R2639" s="149">
        <f t="shared" si="829"/>
        <v>0</v>
      </c>
      <c r="S2639" s="150" t="e">
        <f t="shared" si="830"/>
        <v>#DIV/0!</v>
      </c>
      <c r="T2639" s="151" t="e">
        <f t="shared" si="831"/>
        <v>#DIV/0!</v>
      </c>
      <c r="U2639" s="150" t="e">
        <f t="shared" si="832"/>
        <v>#NUM!</v>
      </c>
      <c r="V2639" s="150" t="e">
        <f t="shared" si="833"/>
        <v>#DIV/0!</v>
      </c>
      <c r="W2639" s="152"/>
      <c r="X2639" s="152"/>
      <c r="Y2639" s="152"/>
      <c r="Z2639" s="153">
        <f t="shared" si="840"/>
        <v>0</v>
      </c>
      <c r="AA2639" s="148">
        <f t="shared" si="815"/>
        <v>0</v>
      </c>
      <c r="AB2639" s="149"/>
      <c r="AC2639" s="149"/>
      <c r="AD2639" s="150" t="e">
        <f t="shared" si="841"/>
        <v>#DIV/0!</v>
      </c>
      <c r="AE2639" s="154" t="e">
        <f t="shared" si="842"/>
        <v>#DIV/0!</v>
      </c>
      <c r="AF2639" s="150" t="e">
        <f t="shared" si="843"/>
        <v>#DIV/0!</v>
      </c>
      <c r="AG2639" s="150" t="e">
        <f t="shared" si="844"/>
        <v>#DIV/0!</v>
      </c>
      <c r="AH2639" s="155" t="e">
        <f t="shared" si="845"/>
        <v>#DIV/0!</v>
      </c>
      <c r="AI2639" s="156" t="e">
        <f t="shared" si="837"/>
        <v>#DIV/0!</v>
      </c>
      <c r="AJ2639" s="149"/>
      <c r="AK2639" s="149"/>
      <c r="AL2639" s="157"/>
      <c r="AM2639" s="157"/>
      <c r="AN2639" s="157"/>
      <c r="AO2639" s="157"/>
      <c r="AP2639" s="157"/>
      <c r="AQ2639" s="157"/>
      <c r="AR2639" s="157"/>
    </row>
    <row r="2640" spans="1:44" ht="16.8">
      <c r="A2640" s="145">
        <v>523</v>
      </c>
      <c r="B2640" s="145">
        <v>1316</v>
      </c>
      <c r="C2640" s="187" t="s">
        <v>5059</v>
      </c>
      <c r="D2640" s="188" t="s">
        <v>5060</v>
      </c>
      <c r="E2640" s="189" t="s">
        <v>5058</v>
      </c>
      <c r="F2640" s="148"/>
      <c r="G2640" s="190"/>
      <c r="H2640" s="149"/>
      <c r="I2640" s="149"/>
      <c r="J2640" s="149"/>
      <c r="K2640" s="149"/>
      <c r="L2640" s="149"/>
      <c r="M2640" s="149">
        <f t="shared" si="821"/>
        <v>0</v>
      </c>
      <c r="N2640" s="149"/>
      <c r="O2640" s="149">
        <f t="shared" si="828"/>
        <v>0</v>
      </c>
      <c r="P2640" s="149"/>
      <c r="Q2640" s="149"/>
      <c r="R2640" s="149">
        <f t="shared" si="829"/>
        <v>0</v>
      </c>
      <c r="S2640" s="150" t="e">
        <f t="shared" si="830"/>
        <v>#DIV/0!</v>
      </c>
      <c r="T2640" s="151" t="e">
        <f t="shared" si="831"/>
        <v>#DIV/0!</v>
      </c>
      <c r="U2640" s="150" t="e">
        <f t="shared" si="832"/>
        <v>#NUM!</v>
      </c>
      <c r="V2640" s="150" t="e">
        <f t="shared" si="833"/>
        <v>#DIV/0!</v>
      </c>
      <c r="W2640" s="152"/>
      <c r="X2640" s="152"/>
      <c r="Y2640" s="152"/>
      <c r="Z2640" s="153">
        <f t="shared" si="840"/>
        <v>0</v>
      </c>
      <c r="AA2640" s="148">
        <f t="shared" si="815"/>
        <v>0</v>
      </c>
      <c r="AB2640" s="149"/>
      <c r="AC2640" s="149"/>
      <c r="AD2640" s="150" t="e">
        <f t="shared" si="841"/>
        <v>#DIV/0!</v>
      </c>
      <c r="AE2640" s="154" t="e">
        <f t="shared" si="842"/>
        <v>#DIV/0!</v>
      </c>
      <c r="AF2640" s="150" t="e">
        <f t="shared" si="843"/>
        <v>#DIV/0!</v>
      </c>
      <c r="AG2640" s="150" t="e">
        <f t="shared" si="844"/>
        <v>#DIV/0!</v>
      </c>
      <c r="AH2640" s="155" t="e">
        <f t="shared" si="845"/>
        <v>#DIV/0!</v>
      </c>
      <c r="AI2640" s="156" t="e">
        <f t="shared" si="837"/>
        <v>#DIV/0!</v>
      </c>
      <c r="AJ2640" s="149"/>
      <c r="AK2640" s="149"/>
      <c r="AL2640" s="157"/>
      <c r="AM2640" s="157"/>
      <c r="AN2640" s="157"/>
      <c r="AO2640" s="157"/>
      <c r="AP2640" s="157"/>
      <c r="AQ2640" s="157"/>
      <c r="AR2640" s="157"/>
    </row>
    <row r="2641" spans="1:44" ht="16.8">
      <c r="A2641" s="145">
        <v>524</v>
      </c>
      <c r="B2641" s="145">
        <v>1313</v>
      </c>
      <c r="C2641" s="187" t="s">
        <v>5061</v>
      </c>
      <c r="D2641" s="188" t="s">
        <v>5062</v>
      </c>
      <c r="E2641" s="189" t="s">
        <v>5058</v>
      </c>
      <c r="F2641" s="148"/>
      <c r="G2641" s="190"/>
      <c r="H2641" s="149"/>
      <c r="I2641" s="149"/>
      <c r="J2641" s="149"/>
      <c r="K2641" s="149"/>
      <c r="L2641" s="149"/>
      <c r="M2641" s="149">
        <f t="shared" si="821"/>
        <v>0</v>
      </c>
      <c r="N2641" s="149"/>
      <c r="O2641" s="149">
        <f t="shared" si="828"/>
        <v>0</v>
      </c>
      <c r="P2641" s="149"/>
      <c r="Q2641" s="149"/>
      <c r="R2641" s="149">
        <f t="shared" si="829"/>
        <v>0</v>
      </c>
      <c r="S2641" s="150" t="e">
        <f t="shared" si="830"/>
        <v>#DIV/0!</v>
      </c>
      <c r="T2641" s="151" t="e">
        <f t="shared" si="831"/>
        <v>#DIV/0!</v>
      </c>
      <c r="U2641" s="150" t="e">
        <f t="shared" si="832"/>
        <v>#NUM!</v>
      </c>
      <c r="V2641" s="150" t="e">
        <f t="shared" si="833"/>
        <v>#DIV/0!</v>
      </c>
      <c r="W2641" s="152"/>
      <c r="X2641" s="152"/>
      <c r="Y2641" s="152"/>
      <c r="Z2641" s="153">
        <f t="shared" si="840"/>
        <v>0</v>
      </c>
      <c r="AA2641" s="148">
        <f t="shared" si="815"/>
        <v>0</v>
      </c>
      <c r="AB2641" s="149"/>
      <c r="AC2641" s="149"/>
      <c r="AD2641" s="150" t="e">
        <f t="shared" si="841"/>
        <v>#DIV/0!</v>
      </c>
      <c r="AE2641" s="154" t="e">
        <f t="shared" si="842"/>
        <v>#DIV/0!</v>
      </c>
      <c r="AF2641" s="150" t="e">
        <f t="shared" si="843"/>
        <v>#DIV/0!</v>
      </c>
      <c r="AG2641" s="150" t="e">
        <f t="shared" si="844"/>
        <v>#DIV/0!</v>
      </c>
      <c r="AH2641" s="155" t="e">
        <f t="shared" si="845"/>
        <v>#DIV/0!</v>
      </c>
      <c r="AI2641" s="156" t="e">
        <f t="shared" si="837"/>
        <v>#DIV/0!</v>
      </c>
      <c r="AJ2641" s="149"/>
      <c r="AK2641" s="149"/>
      <c r="AL2641" s="157"/>
      <c r="AM2641" s="157"/>
      <c r="AN2641" s="157"/>
      <c r="AO2641" s="157"/>
      <c r="AP2641" s="157"/>
      <c r="AQ2641" s="157"/>
      <c r="AR2641" s="157"/>
    </row>
    <row r="2642" spans="1:44" ht="16.8">
      <c r="A2642" s="145">
        <v>525</v>
      </c>
      <c r="B2642" s="145">
        <v>1311</v>
      </c>
      <c r="C2642" s="187" t="s">
        <v>5063</v>
      </c>
      <c r="D2642" s="188" t="s">
        <v>5064</v>
      </c>
      <c r="E2642" s="189" t="s">
        <v>5058</v>
      </c>
      <c r="F2642" s="148"/>
      <c r="G2642" s="190"/>
      <c r="H2642" s="149"/>
      <c r="I2642" s="149"/>
      <c r="J2642" s="149"/>
      <c r="K2642" s="149"/>
      <c r="L2642" s="149"/>
      <c r="M2642" s="149">
        <f t="shared" si="821"/>
        <v>0</v>
      </c>
      <c r="N2642" s="149"/>
      <c r="O2642" s="149">
        <f t="shared" si="828"/>
        <v>0</v>
      </c>
      <c r="P2642" s="149"/>
      <c r="Q2642" s="149"/>
      <c r="R2642" s="149">
        <f t="shared" si="829"/>
        <v>0</v>
      </c>
      <c r="S2642" s="150" t="e">
        <f t="shared" si="830"/>
        <v>#DIV/0!</v>
      </c>
      <c r="T2642" s="151" t="e">
        <f t="shared" si="831"/>
        <v>#DIV/0!</v>
      </c>
      <c r="U2642" s="150" t="e">
        <f t="shared" si="832"/>
        <v>#NUM!</v>
      </c>
      <c r="V2642" s="150" t="e">
        <f t="shared" si="833"/>
        <v>#DIV/0!</v>
      </c>
      <c r="W2642" s="152"/>
      <c r="X2642" s="152"/>
      <c r="Y2642" s="152"/>
      <c r="Z2642" s="153">
        <f t="shared" si="840"/>
        <v>0</v>
      </c>
      <c r="AA2642" s="148">
        <f t="shared" si="815"/>
        <v>0</v>
      </c>
      <c r="AB2642" s="149"/>
      <c r="AC2642" s="149"/>
      <c r="AD2642" s="150" t="e">
        <f t="shared" si="841"/>
        <v>#DIV/0!</v>
      </c>
      <c r="AE2642" s="154" t="e">
        <f t="shared" si="842"/>
        <v>#DIV/0!</v>
      </c>
      <c r="AF2642" s="150" t="e">
        <f t="shared" si="843"/>
        <v>#DIV/0!</v>
      </c>
      <c r="AG2642" s="150" t="e">
        <f t="shared" si="844"/>
        <v>#DIV/0!</v>
      </c>
      <c r="AH2642" s="155" t="e">
        <f t="shared" si="845"/>
        <v>#DIV/0!</v>
      </c>
      <c r="AI2642" s="156" t="e">
        <f t="shared" si="837"/>
        <v>#DIV/0!</v>
      </c>
      <c r="AJ2642" s="149"/>
      <c r="AK2642" s="149"/>
      <c r="AL2642" s="157"/>
      <c r="AM2642" s="157"/>
      <c r="AN2642" s="157"/>
      <c r="AO2642" s="157"/>
      <c r="AP2642" s="157"/>
      <c r="AQ2642" s="157"/>
      <c r="AR2642" s="157"/>
    </row>
    <row r="2643" spans="1:44" ht="16.8">
      <c r="A2643" s="191">
        <v>526</v>
      </c>
      <c r="B2643" s="1">
        <v>1312</v>
      </c>
      <c r="C2643" s="192" t="s">
        <v>5065</v>
      </c>
      <c r="D2643" s="183" t="s">
        <v>5066</v>
      </c>
      <c r="E2643" s="184" t="s">
        <v>39</v>
      </c>
      <c r="F2643" s="21"/>
      <c r="G2643" s="22"/>
      <c r="H2643" s="23"/>
      <c r="I2643" s="23"/>
      <c r="J2643" s="23"/>
      <c r="K2643" s="23"/>
      <c r="L2643" s="23"/>
      <c r="M2643" s="23">
        <f t="shared" si="821"/>
        <v>0</v>
      </c>
      <c r="N2643" s="23"/>
      <c r="O2643" s="25">
        <f t="shared" si="828"/>
        <v>0</v>
      </c>
      <c r="P2643" s="23"/>
      <c r="Q2643" s="23"/>
      <c r="R2643" s="25">
        <f t="shared" si="829"/>
        <v>0</v>
      </c>
      <c r="S2643" s="26" t="e">
        <f t="shared" si="830"/>
        <v>#DIV/0!</v>
      </c>
      <c r="T2643" s="27" t="e">
        <f t="shared" si="831"/>
        <v>#DIV/0!</v>
      </c>
      <c r="U2643" s="26" t="e">
        <f t="shared" si="832"/>
        <v>#NUM!</v>
      </c>
      <c r="V2643" s="26" t="e">
        <f t="shared" si="833"/>
        <v>#DIV/0!</v>
      </c>
      <c r="W2643" s="143"/>
      <c r="X2643" s="143"/>
      <c r="Y2643" s="143"/>
      <c r="Z2643" s="30">
        <f t="shared" si="840"/>
        <v>0</v>
      </c>
      <c r="AA2643" s="31">
        <f t="shared" si="815"/>
        <v>0</v>
      </c>
      <c r="AB2643" s="144"/>
      <c r="AC2643" s="144"/>
      <c r="AD2643" s="33" t="e">
        <f t="shared" si="841"/>
        <v>#DIV/0!</v>
      </c>
      <c r="AE2643" s="34" t="e">
        <f t="shared" si="842"/>
        <v>#DIV/0!</v>
      </c>
      <c r="AF2643" s="33" t="e">
        <f t="shared" si="843"/>
        <v>#DIV/0!</v>
      </c>
      <c r="AG2643" s="33" t="e">
        <f t="shared" si="844"/>
        <v>#DIV/0!</v>
      </c>
      <c r="AH2643" s="35" t="e">
        <f t="shared" si="845"/>
        <v>#DIV/0!</v>
      </c>
      <c r="AI2643" s="36" t="e">
        <f t="shared" si="837"/>
        <v>#DIV/0!</v>
      </c>
      <c r="AJ2643" s="23"/>
      <c r="AK2643" s="120">
        <v>1283</v>
      </c>
      <c r="AL2643" s="44"/>
      <c r="AM2643" s="44"/>
      <c r="AN2643" s="44"/>
      <c r="AO2643" s="44"/>
      <c r="AP2643" s="44"/>
      <c r="AQ2643" s="44"/>
      <c r="AR2643" s="44"/>
    </row>
    <row r="2644" spans="1:44" ht="16.8">
      <c r="A2644" s="191">
        <v>1</v>
      </c>
      <c r="B2644" s="1"/>
      <c r="C2644" s="192" t="s">
        <v>5067</v>
      </c>
      <c r="D2644" s="183" t="s">
        <v>5068</v>
      </c>
      <c r="E2644" s="184" t="s">
        <v>414</v>
      </c>
      <c r="F2644" s="21"/>
      <c r="G2644" s="22"/>
      <c r="H2644" s="23"/>
      <c r="I2644" s="23"/>
      <c r="J2644" s="23"/>
      <c r="K2644" s="23"/>
      <c r="L2644" s="23"/>
      <c r="M2644" s="23"/>
      <c r="N2644" s="23"/>
      <c r="O2644" s="25"/>
      <c r="P2644" s="23"/>
      <c r="Q2644" s="23"/>
      <c r="R2644" s="25"/>
      <c r="S2644" s="26"/>
      <c r="T2644" s="27"/>
      <c r="U2644" s="26"/>
      <c r="V2644" s="26"/>
      <c r="W2644" s="143"/>
      <c r="X2644" s="143"/>
      <c r="Y2644" s="143"/>
      <c r="Z2644" s="30"/>
      <c r="AA2644" s="31"/>
      <c r="AB2644" s="144"/>
      <c r="AC2644" s="144"/>
      <c r="AD2644" s="33"/>
      <c r="AE2644" s="34"/>
      <c r="AF2644" s="33"/>
      <c r="AG2644" s="33"/>
      <c r="AH2644" s="35"/>
      <c r="AI2644" s="36"/>
      <c r="AJ2644" s="23"/>
      <c r="AK2644" s="120"/>
      <c r="AL2644" s="44"/>
      <c r="AM2644" s="44"/>
      <c r="AN2644" s="44"/>
      <c r="AO2644" s="44"/>
      <c r="AP2644" s="44"/>
      <c r="AQ2644" s="44"/>
      <c r="AR2644" s="44"/>
    </row>
    <row r="2645" spans="1:44" ht="16.8">
      <c r="A2645" s="191">
        <v>2</v>
      </c>
      <c r="B2645" s="1"/>
      <c r="C2645" s="192" t="s">
        <v>5069</v>
      </c>
      <c r="D2645" s="183"/>
      <c r="E2645" s="184" t="s">
        <v>414</v>
      </c>
      <c r="F2645" s="21"/>
      <c r="G2645" s="22"/>
      <c r="H2645" s="23"/>
      <c r="I2645" s="23"/>
      <c r="J2645" s="23"/>
      <c r="K2645" s="23"/>
      <c r="L2645" s="23"/>
      <c r="M2645" s="23"/>
      <c r="N2645" s="23"/>
      <c r="O2645" s="25"/>
      <c r="P2645" s="23"/>
      <c r="Q2645" s="23"/>
      <c r="R2645" s="25"/>
      <c r="S2645" s="26"/>
      <c r="T2645" s="27"/>
      <c r="U2645" s="26"/>
      <c r="V2645" s="26"/>
      <c r="W2645" s="143"/>
      <c r="X2645" s="143"/>
      <c r="Y2645" s="143"/>
      <c r="Z2645" s="30"/>
      <c r="AA2645" s="31"/>
      <c r="AB2645" s="144"/>
      <c r="AC2645" s="144"/>
      <c r="AD2645" s="33"/>
      <c r="AE2645" s="34"/>
      <c r="AF2645" s="33"/>
      <c r="AG2645" s="33"/>
      <c r="AH2645" s="35"/>
      <c r="AI2645" s="36"/>
      <c r="AJ2645" s="23"/>
      <c r="AK2645" s="120"/>
      <c r="AL2645" s="44"/>
      <c r="AM2645" s="44"/>
      <c r="AN2645" s="44"/>
      <c r="AO2645" s="44"/>
      <c r="AP2645" s="44"/>
      <c r="AQ2645" s="44"/>
      <c r="AR2645" s="44"/>
    </row>
    <row r="2646" spans="1:44" ht="16.8">
      <c r="A2646" s="191">
        <v>3</v>
      </c>
      <c r="B2646" s="1"/>
      <c r="C2646" s="192" t="s">
        <v>5070</v>
      </c>
      <c r="D2646" s="183"/>
      <c r="E2646" s="184" t="s">
        <v>414</v>
      </c>
      <c r="F2646" s="21"/>
      <c r="G2646" s="22"/>
      <c r="H2646" s="23"/>
      <c r="I2646" s="23"/>
      <c r="J2646" s="23"/>
      <c r="K2646" s="23"/>
      <c r="L2646" s="23"/>
      <c r="M2646" s="23"/>
      <c r="N2646" s="23"/>
      <c r="O2646" s="25"/>
      <c r="P2646" s="23"/>
      <c r="Q2646" s="23"/>
      <c r="R2646" s="25"/>
      <c r="S2646" s="26"/>
      <c r="T2646" s="27"/>
      <c r="U2646" s="26"/>
      <c r="V2646" s="26"/>
      <c r="W2646" s="143"/>
      <c r="X2646" s="143"/>
      <c r="Y2646" s="143"/>
      <c r="Z2646" s="30"/>
      <c r="AA2646" s="31"/>
      <c r="AB2646" s="144"/>
      <c r="AC2646" s="144"/>
      <c r="AD2646" s="33"/>
      <c r="AE2646" s="34"/>
      <c r="AF2646" s="33"/>
      <c r="AG2646" s="33"/>
      <c r="AH2646" s="35"/>
      <c r="AI2646" s="36"/>
      <c r="AJ2646" s="23"/>
      <c r="AK2646" s="120"/>
      <c r="AL2646" s="44"/>
      <c r="AM2646" s="44"/>
      <c r="AN2646" s="44"/>
      <c r="AO2646" s="44"/>
      <c r="AP2646" s="44"/>
      <c r="AQ2646" s="44"/>
      <c r="AR2646" s="44"/>
    </row>
    <row r="2647" spans="1:44" ht="16.8">
      <c r="A2647" s="191">
        <v>4</v>
      </c>
      <c r="B2647" s="1"/>
      <c r="C2647" s="192" t="s">
        <v>5071</v>
      </c>
      <c r="D2647" s="183"/>
      <c r="E2647" s="184" t="s">
        <v>414</v>
      </c>
      <c r="F2647" s="21"/>
      <c r="G2647" s="22"/>
      <c r="H2647" s="23"/>
      <c r="I2647" s="23"/>
      <c r="J2647" s="23"/>
      <c r="K2647" s="23"/>
      <c r="L2647" s="23"/>
      <c r="M2647" s="23"/>
      <c r="N2647" s="23"/>
      <c r="O2647" s="25"/>
      <c r="P2647" s="23"/>
      <c r="Q2647" s="23"/>
      <c r="R2647" s="25"/>
      <c r="S2647" s="26"/>
      <c r="T2647" s="27"/>
      <c r="U2647" s="26"/>
      <c r="V2647" s="26"/>
      <c r="W2647" s="143"/>
      <c r="X2647" s="143"/>
      <c r="Y2647" s="143"/>
      <c r="Z2647" s="30"/>
      <c r="AA2647" s="31"/>
      <c r="AB2647" s="144"/>
      <c r="AC2647" s="144"/>
      <c r="AD2647" s="33"/>
      <c r="AE2647" s="34"/>
      <c r="AF2647" s="33"/>
      <c r="AG2647" s="33"/>
      <c r="AH2647" s="35"/>
      <c r="AI2647" s="36"/>
      <c r="AJ2647" s="23"/>
      <c r="AK2647" s="120"/>
      <c r="AL2647" s="44"/>
      <c r="AM2647" s="44"/>
      <c r="AN2647" s="44"/>
      <c r="AO2647" s="44"/>
      <c r="AP2647" s="44"/>
      <c r="AQ2647" s="44"/>
      <c r="AR2647" s="44"/>
    </row>
    <row r="2648" spans="1:44" ht="16.8">
      <c r="A2648" s="191">
        <v>5</v>
      </c>
      <c r="B2648" s="1"/>
      <c r="C2648" s="192" t="s">
        <v>5072</v>
      </c>
      <c r="D2648" s="183"/>
      <c r="E2648" s="184" t="s">
        <v>414</v>
      </c>
      <c r="F2648" s="21"/>
      <c r="G2648" s="22"/>
      <c r="H2648" s="23"/>
      <c r="I2648" s="23"/>
      <c r="J2648" s="23"/>
      <c r="K2648" s="23"/>
      <c r="L2648" s="23"/>
      <c r="M2648" s="23"/>
      <c r="N2648" s="23"/>
      <c r="O2648" s="25"/>
      <c r="P2648" s="23"/>
      <c r="Q2648" s="23"/>
      <c r="R2648" s="25"/>
      <c r="S2648" s="26"/>
      <c r="T2648" s="27"/>
      <c r="U2648" s="26"/>
      <c r="V2648" s="26"/>
      <c r="W2648" s="143"/>
      <c r="X2648" s="143"/>
      <c r="Y2648" s="143"/>
      <c r="Z2648" s="30"/>
      <c r="AA2648" s="31"/>
      <c r="AB2648" s="144"/>
      <c r="AC2648" s="144"/>
      <c r="AD2648" s="33"/>
      <c r="AE2648" s="34"/>
      <c r="AF2648" s="33"/>
      <c r="AG2648" s="33"/>
      <c r="AH2648" s="35"/>
      <c r="AI2648" s="36"/>
      <c r="AJ2648" s="23"/>
      <c r="AK2648" s="120"/>
      <c r="AL2648" s="44"/>
      <c r="AM2648" s="44"/>
      <c r="AN2648" s="44"/>
      <c r="AO2648" s="44"/>
      <c r="AP2648" s="44"/>
      <c r="AQ2648" s="44"/>
      <c r="AR2648" s="44"/>
    </row>
    <row r="2649" spans="1:44" ht="16.8">
      <c r="A2649" s="191">
        <v>6</v>
      </c>
      <c r="B2649" s="1"/>
      <c r="C2649" s="192" t="s">
        <v>5073</v>
      </c>
      <c r="D2649" s="183"/>
      <c r="E2649" s="184" t="s">
        <v>414</v>
      </c>
      <c r="F2649" s="21"/>
      <c r="G2649" s="22"/>
      <c r="H2649" s="23"/>
      <c r="I2649" s="23"/>
      <c r="J2649" s="23"/>
      <c r="K2649" s="23"/>
      <c r="L2649" s="23"/>
      <c r="M2649" s="23"/>
      <c r="N2649" s="23"/>
      <c r="O2649" s="25"/>
      <c r="P2649" s="23"/>
      <c r="Q2649" s="23"/>
      <c r="R2649" s="25"/>
      <c r="S2649" s="26"/>
      <c r="T2649" s="27"/>
      <c r="U2649" s="26"/>
      <c r="V2649" s="26"/>
      <c r="W2649" s="143"/>
      <c r="X2649" s="143"/>
      <c r="Y2649" s="143"/>
      <c r="Z2649" s="30"/>
      <c r="AA2649" s="31"/>
      <c r="AB2649" s="144"/>
      <c r="AC2649" s="144"/>
      <c r="AD2649" s="33"/>
      <c r="AE2649" s="34"/>
      <c r="AF2649" s="33"/>
      <c r="AG2649" s="33"/>
      <c r="AH2649" s="35"/>
      <c r="AI2649" s="36"/>
      <c r="AJ2649" s="23"/>
      <c r="AK2649" s="120"/>
      <c r="AL2649" s="44"/>
      <c r="AM2649" s="44"/>
      <c r="AN2649" s="44"/>
      <c r="AO2649" s="44"/>
      <c r="AP2649" s="44"/>
      <c r="AQ2649" s="44"/>
      <c r="AR2649" s="44"/>
    </row>
    <row r="2650" spans="1:44" ht="16.8">
      <c r="A2650" s="191">
        <v>7</v>
      </c>
      <c r="B2650" s="1"/>
      <c r="C2650" s="192" t="s">
        <v>5074</v>
      </c>
      <c r="D2650" s="183"/>
      <c r="E2650" s="184" t="s">
        <v>414</v>
      </c>
      <c r="F2650" s="21"/>
      <c r="G2650" s="22"/>
      <c r="H2650" s="23"/>
      <c r="I2650" s="23"/>
      <c r="J2650" s="23"/>
      <c r="K2650" s="23"/>
      <c r="L2650" s="23"/>
      <c r="M2650" s="23"/>
      <c r="N2650" s="23"/>
      <c r="O2650" s="25"/>
      <c r="P2650" s="23"/>
      <c r="Q2650" s="23"/>
      <c r="R2650" s="25"/>
      <c r="S2650" s="26"/>
      <c r="T2650" s="27"/>
      <c r="U2650" s="26"/>
      <c r="V2650" s="26"/>
      <c r="W2650" s="143"/>
      <c r="X2650" s="143"/>
      <c r="Y2650" s="143"/>
      <c r="Z2650" s="30"/>
      <c r="AA2650" s="31"/>
      <c r="AB2650" s="144"/>
      <c r="AC2650" s="144"/>
      <c r="AD2650" s="33"/>
      <c r="AE2650" s="34"/>
      <c r="AF2650" s="33"/>
      <c r="AG2650" s="33"/>
      <c r="AH2650" s="35"/>
      <c r="AI2650" s="36"/>
      <c r="AJ2650" s="23"/>
      <c r="AK2650" s="120"/>
      <c r="AL2650" s="44"/>
      <c r="AM2650" s="44"/>
      <c r="AN2650" s="44"/>
      <c r="AO2650" s="44"/>
      <c r="AP2650" s="44"/>
      <c r="AQ2650" s="44"/>
      <c r="AR2650" s="44"/>
    </row>
    <row r="2651" spans="1:44" ht="16.8">
      <c r="A2651" s="191">
        <v>8</v>
      </c>
      <c r="B2651" s="1"/>
      <c r="C2651" s="192" t="s">
        <v>5075</v>
      </c>
      <c r="D2651" s="183"/>
      <c r="E2651" s="184" t="s">
        <v>414</v>
      </c>
      <c r="F2651" s="21"/>
      <c r="G2651" s="22"/>
      <c r="H2651" s="23"/>
      <c r="I2651" s="23"/>
      <c r="J2651" s="23"/>
      <c r="K2651" s="23"/>
      <c r="L2651" s="23"/>
      <c r="M2651" s="23"/>
      <c r="N2651" s="23"/>
      <c r="O2651" s="25"/>
      <c r="P2651" s="23"/>
      <c r="Q2651" s="23"/>
      <c r="R2651" s="25"/>
      <c r="S2651" s="26"/>
      <c r="T2651" s="27"/>
      <c r="U2651" s="26"/>
      <c r="V2651" s="26"/>
      <c r="W2651" s="143"/>
      <c r="X2651" s="143"/>
      <c r="Y2651" s="143"/>
      <c r="Z2651" s="30"/>
      <c r="AA2651" s="31"/>
      <c r="AB2651" s="144"/>
      <c r="AC2651" s="144"/>
      <c r="AD2651" s="33"/>
      <c r="AE2651" s="34"/>
      <c r="AF2651" s="33"/>
      <c r="AG2651" s="33"/>
      <c r="AH2651" s="35"/>
      <c r="AI2651" s="36"/>
      <c r="AJ2651" s="23"/>
      <c r="AK2651" s="120"/>
      <c r="AL2651" s="44"/>
      <c r="AM2651" s="44"/>
      <c r="AN2651" s="44"/>
      <c r="AO2651" s="44"/>
      <c r="AP2651" s="44"/>
      <c r="AQ2651" s="44"/>
      <c r="AR2651" s="44"/>
    </row>
    <row r="2652" spans="1:44" ht="16.8">
      <c r="A2652" s="191">
        <v>9</v>
      </c>
      <c r="B2652" s="1"/>
      <c r="C2652" s="192" t="s">
        <v>5076</v>
      </c>
      <c r="D2652" s="183"/>
      <c r="E2652" s="184" t="s">
        <v>414</v>
      </c>
      <c r="F2652" s="21"/>
      <c r="G2652" s="22"/>
      <c r="H2652" s="23"/>
      <c r="I2652" s="23"/>
      <c r="J2652" s="23"/>
      <c r="K2652" s="23"/>
      <c r="L2652" s="23"/>
      <c r="M2652" s="23"/>
      <c r="N2652" s="23"/>
      <c r="O2652" s="25"/>
      <c r="P2652" s="23"/>
      <c r="Q2652" s="23"/>
      <c r="R2652" s="25"/>
      <c r="S2652" s="26"/>
      <c r="T2652" s="27"/>
      <c r="U2652" s="26"/>
      <c r="V2652" s="26"/>
      <c r="W2652" s="143"/>
      <c r="X2652" s="143"/>
      <c r="Y2652" s="143"/>
      <c r="Z2652" s="30"/>
      <c r="AA2652" s="31"/>
      <c r="AB2652" s="144"/>
      <c r="AC2652" s="144"/>
      <c r="AD2652" s="33"/>
      <c r="AE2652" s="34"/>
      <c r="AF2652" s="33"/>
      <c r="AG2652" s="33"/>
      <c r="AH2652" s="35"/>
      <c r="AI2652" s="36"/>
      <c r="AJ2652" s="23"/>
      <c r="AK2652" s="120"/>
      <c r="AL2652" s="44"/>
      <c r="AM2652" s="44"/>
      <c r="AN2652" s="44"/>
      <c r="AO2652" s="44"/>
      <c r="AP2652" s="44"/>
      <c r="AQ2652" s="44"/>
      <c r="AR2652" s="44"/>
    </row>
    <row r="2653" spans="1:44" ht="16.8">
      <c r="A2653" s="191">
        <v>10</v>
      </c>
      <c r="B2653" s="1"/>
      <c r="C2653" s="192" t="s">
        <v>5077</v>
      </c>
      <c r="D2653" s="183"/>
      <c r="E2653" s="184" t="s">
        <v>414</v>
      </c>
      <c r="F2653" s="21"/>
      <c r="G2653" s="22"/>
      <c r="H2653" s="23"/>
      <c r="I2653" s="23"/>
      <c r="J2653" s="23"/>
      <c r="K2653" s="23"/>
      <c r="L2653" s="23"/>
      <c r="M2653" s="23"/>
      <c r="N2653" s="23"/>
      <c r="O2653" s="25"/>
      <c r="P2653" s="23"/>
      <c r="Q2653" s="23"/>
      <c r="R2653" s="25"/>
      <c r="S2653" s="26"/>
      <c r="T2653" s="27"/>
      <c r="U2653" s="26"/>
      <c r="V2653" s="26"/>
      <c r="W2653" s="143"/>
      <c r="X2653" s="143"/>
      <c r="Y2653" s="143"/>
      <c r="Z2653" s="30"/>
      <c r="AA2653" s="31"/>
      <c r="AB2653" s="144"/>
      <c r="AC2653" s="144"/>
      <c r="AD2653" s="33"/>
      <c r="AE2653" s="34"/>
      <c r="AF2653" s="33"/>
      <c r="AG2653" s="33"/>
      <c r="AH2653" s="35"/>
      <c r="AI2653" s="36"/>
      <c r="AJ2653" s="23"/>
      <c r="AK2653" s="120"/>
      <c r="AL2653" s="44"/>
      <c r="AM2653" s="44"/>
      <c r="AN2653" s="44"/>
      <c r="AO2653" s="44"/>
      <c r="AP2653" s="44"/>
      <c r="AQ2653" s="44"/>
      <c r="AR2653" s="44"/>
    </row>
    <row r="2654" spans="1:44" ht="16.8">
      <c r="A2654" s="191">
        <v>11</v>
      </c>
      <c r="B2654" s="1"/>
      <c r="C2654" s="192" t="s">
        <v>5078</v>
      </c>
      <c r="D2654" s="183"/>
      <c r="E2654" s="184" t="s">
        <v>414</v>
      </c>
      <c r="F2654" s="21"/>
      <c r="G2654" s="22"/>
      <c r="H2654" s="23"/>
      <c r="I2654" s="23"/>
      <c r="J2654" s="23"/>
      <c r="K2654" s="23"/>
      <c r="L2654" s="23"/>
      <c r="M2654" s="23"/>
      <c r="N2654" s="23"/>
      <c r="O2654" s="25"/>
      <c r="P2654" s="23"/>
      <c r="Q2654" s="23"/>
      <c r="R2654" s="25"/>
      <c r="S2654" s="26"/>
      <c r="T2654" s="27"/>
      <c r="U2654" s="26"/>
      <c r="V2654" s="26"/>
      <c r="W2654" s="143"/>
      <c r="X2654" s="143"/>
      <c r="Y2654" s="143"/>
      <c r="Z2654" s="30"/>
      <c r="AA2654" s="31"/>
      <c r="AB2654" s="144"/>
      <c r="AC2654" s="144"/>
      <c r="AD2654" s="33"/>
      <c r="AE2654" s="34"/>
      <c r="AF2654" s="33"/>
      <c r="AG2654" s="33"/>
      <c r="AH2654" s="35"/>
      <c r="AI2654" s="36"/>
      <c r="AJ2654" s="23"/>
      <c r="AK2654" s="120"/>
      <c r="AL2654" s="44"/>
      <c r="AM2654" s="44"/>
      <c r="AN2654" s="44"/>
      <c r="AO2654" s="44"/>
      <c r="AP2654" s="44"/>
      <c r="AQ2654" s="44"/>
      <c r="AR2654" s="44"/>
    </row>
    <row r="2655" spans="1:44" ht="16.8">
      <c r="A2655" s="191">
        <v>12</v>
      </c>
      <c r="B2655" s="1"/>
      <c r="C2655" s="192" t="s">
        <v>5079</v>
      </c>
      <c r="D2655" s="183"/>
      <c r="E2655" s="184" t="s">
        <v>414</v>
      </c>
      <c r="F2655" s="21"/>
      <c r="G2655" s="22"/>
      <c r="H2655" s="23"/>
      <c r="I2655" s="23"/>
      <c r="J2655" s="23"/>
      <c r="K2655" s="23"/>
      <c r="L2655" s="23"/>
      <c r="M2655" s="23"/>
      <c r="N2655" s="23"/>
      <c r="O2655" s="25"/>
      <c r="P2655" s="23"/>
      <c r="Q2655" s="23"/>
      <c r="R2655" s="25"/>
      <c r="S2655" s="26"/>
      <c r="T2655" s="27"/>
      <c r="U2655" s="26"/>
      <c r="V2655" s="26"/>
      <c r="W2655" s="143"/>
      <c r="X2655" s="143"/>
      <c r="Y2655" s="143"/>
      <c r="Z2655" s="30"/>
      <c r="AA2655" s="31"/>
      <c r="AB2655" s="144"/>
      <c r="AC2655" s="144"/>
      <c r="AD2655" s="33"/>
      <c r="AE2655" s="34"/>
      <c r="AF2655" s="33"/>
      <c r="AG2655" s="33"/>
      <c r="AH2655" s="35"/>
      <c r="AI2655" s="36"/>
      <c r="AJ2655" s="23"/>
      <c r="AK2655" s="120"/>
      <c r="AL2655" s="44"/>
      <c r="AM2655" s="44"/>
      <c r="AN2655" s="44"/>
      <c r="AO2655" s="44"/>
      <c r="AP2655" s="44"/>
      <c r="AQ2655" s="44"/>
      <c r="AR2655" s="44"/>
    </row>
    <row r="2656" spans="1:44" ht="16.8">
      <c r="A2656" s="191">
        <v>13</v>
      </c>
      <c r="B2656" s="1"/>
      <c r="C2656" s="192" t="s">
        <v>5080</v>
      </c>
      <c r="D2656" s="183"/>
      <c r="E2656" s="184" t="s">
        <v>414</v>
      </c>
      <c r="F2656" s="21"/>
      <c r="G2656" s="22"/>
      <c r="H2656" s="23"/>
      <c r="I2656" s="23"/>
      <c r="J2656" s="23"/>
      <c r="K2656" s="23"/>
      <c r="L2656" s="23"/>
      <c r="M2656" s="23"/>
      <c r="N2656" s="23"/>
      <c r="O2656" s="25"/>
      <c r="P2656" s="23"/>
      <c r="Q2656" s="23"/>
      <c r="R2656" s="25"/>
      <c r="S2656" s="26"/>
      <c r="T2656" s="27"/>
      <c r="U2656" s="26"/>
      <c r="V2656" s="26"/>
      <c r="W2656" s="143"/>
      <c r="X2656" s="143"/>
      <c r="Y2656" s="143"/>
      <c r="Z2656" s="30"/>
      <c r="AA2656" s="31"/>
      <c r="AB2656" s="144"/>
      <c r="AC2656" s="144"/>
      <c r="AD2656" s="33"/>
      <c r="AE2656" s="34"/>
      <c r="AF2656" s="33"/>
      <c r="AG2656" s="33"/>
      <c r="AH2656" s="35"/>
      <c r="AI2656" s="36"/>
      <c r="AJ2656" s="23"/>
      <c r="AK2656" s="120"/>
      <c r="AL2656" s="44"/>
      <c r="AM2656" s="44"/>
      <c r="AN2656" s="44"/>
      <c r="AO2656" s="44"/>
      <c r="AP2656" s="44"/>
      <c r="AQ2656" s="44"/>
      <c r="AR2656" s="44"/>
    </row>
    <row r="2657" spans="1:44" ht="16.8">
      <c r="A2657" s="191">
        <v>14</v>
      </c>
      <c r="B2657" s="1"/>
      <c r="C2657" s="192" t="s">
        <v>5081</v>
      </c>
      <c r="D2657" s="183"/>
      <c r="E2657" s="184" t="s">
        <v>414</v>
      </c>
      <c r="F2657" s="21"/>
      <c r="G2657" s="22"/>
      <c r="H2657" s="23"/>
      <c r="I2657" s="23"/>
      <c r="J2657" s="23"/>
      <c r="K2657" s="23"/>
      <c r="L2657" s="23"/>
      <c r="M2657" s="23"/>
      <c r="N2657" s="23"/>
      <c r="O2657" s="25"/>
      <c r="P2657" s="23"/>
      <c r="Q2657" s="23"/>
      <c r="R2657" s="25"/>
      <c r="S2657" s="26"/>
      <c r="T2657" s="27"/>
      <c r="U2657" s="26"/>
      <c r="V2657" s="26"/>
      <c r="W2657" s="143"/>
      <c r="X2657" s="143"/>
      <c r="Y2657" s="143"/>
      <c r="Z2657" s="30"/>
      <c r="AA2657" s="31"/>
      <c r="AB2657" s="144"/>
      <c r="AC2657" s="144"/>
      <c r="AD2657" s="33"/>
      <c r="AE2657" s="34"/>
      <c r="AF2657" s="33"/>
      <c r="AG2657" s="33"/>
      <c r="AH2657" s="35"/>
      <c r="AI2657" s="36"/>
      <c r="AJ2657" s="23"/>
      <c r="AK2657" s="120"/>
      <c r="AL2657" s="44"/>
      <c r="AM2657" s="44"/>
      <c r="AN2657" s="44"/>
      <c r="AO2657" s="44"/>
      <c r="AP2657" s="44"/>
      <c r="AQ2657" s="44"/>
      <c r="AR2657" s="44"/>
    </row>
    <row r="2658" spans="1:44" ht="16.8">
      <c r="A2658" s="191">
        <v>15</v>
      </c>
      <c r="B2658" s="1"/>
      <c r="C2658" s="192" t="s">
        <v>5082</v>
      </c>
      <c r="D2658" s="183"/>
      <c r="E2658" s="184" t="s">
        <v>414</v>
      </c>
      <c r="F2658" s="21"/>
      <c r="G2658" s="22"/>
      <c r="H2658" s="23"/>
      <c r="I2658" s="23"/>
      <c r="J2658" s="23"/>
      <c r="K2658" s="23"/>
      <c r="L2658" s="23"/>
      <c r="M2658" s="23"/>
      <c r="N2658" s="23"/>
      <c r="O2658" s="25"/>
      <c r="P2658" s="23"/>
      <c r="Q2658" s="23"/>
      <c r="R2658" s="25"/>
      <c r="S2658" s="26"/>
      <c r="T2658" s="27"/>
      <c r="U2658" s="26"/>
      <c r="V2658" s="26"/>
      <c r="W2658" s="143"/>
      <c r="X2658" s="143"/>
      <c r="Y2658" s="143"/>
      <c r="Z2658" s="30"/>
      <c r="AA2658" s="31"/>
      <c r="AB2658" s="144"/>
      <c r="AC2658" s="144"/>
      <c r="AD2658" s="33"/>
      <c r="AE2658" s="34"/>
      <c r="AF2658" s="33"/>
      <c r="AG2658" s="33"/>
      <c r="AH2658" s="35"/>
      <c r="AI2658" s="36"/>
      <c r="AJ2658" s="23"/>
      <c r="AK2658" s="120"/>
      <c r="AL2658" s="44"/>
      <c r="AM2658" s="44"/>
      <c r="AN2658" s="44"/>
      <c r="AO2658" s="44"/>
      <c r="AP2658" s="44"/>
      <c r="AQ2658" s="44"/>
      <c r="AR2658" s="44"/>
    </row>
    <row r="2659" spans="1:44" ht="16.8">
      <c r="A2659" s="191">
        <v>16</v>
      </c>
      <c r="B2659" s="1"/>
      <c r="C2659" s="192" t="s">
        <v>5083</v>
      </c>
      <c r="D2659" s="183"/>
      <c r="E2659" s="184" t="s">
        <v>414</v>
      </c>
      <c r="F2659" s="21"/>
      <c r="G2659" s="22"/>
      <c r="H2659" s="23"/>
      <c r="I2659" s="23"/>
      <c r="J2659" s="23"/>
      <c r="K2659" s="23"/>
      <c r="L2659" s="23"/>
      <c r="M2659" s="23"/>
      <c r="N2659" s="23"/>
      <c r="O2659" s="25"/>
      <c r="P2659" s="23"/>
      <c r="Q2659" s="23"/>
      <c r="R2659" s="25"/>
      <c r="S2659" s="26"/>
      <c r="T2659" s="27"/>
      <c r="U2659" s="26"/>
      <c r="V2659" s="26"/>
      <c r="W2659" s="143"/>
      <c r="X2659" s="143"/>
      <c r="Y2659" s="143"/>
      <c r="Z2659" s="30"/>
      <c r="AA2659" s="31"/>
      <c r="AB2659" s="144"/>
      <c r="AC2659" s="144"/>
      <c r="AD2659" s="33"/>
      <c r="AE2659" s="34"/>
      <c r="AF2659" s="33"/>
      <c r="AG2659" s="33"/>
      <c r="AH2659" s="35"/>
      <c r="AI2659" s="36"/>
      <c r="AJ2659" s="23"/>
      <c r="AK2659" s="120"/>
      <c r="AL2659" s="44"/>
      <c r="AM2659" s="44"/>
      <c r="AN2659" s="44"/>
      <c r="AO2659" s="44"/>
      <c r="AP2659" s="44"/>
      <c r="AQ2659" s="44"/>
      <c r="AR2659" s="44"/>
    </row>
    <row r="2660" spans="1:44" ht="16.8">
      <c r="A2660" s="191">
        <v>17</v>
      </c>
      <c r="B2660" s="1"/>
      <c r="C2660" s="192" t="s">
        <v>5084</v>
      </c>
      <c r="D2660" s="183"/>
      <c r="E2660" s="184" t="s">
        <v>414</v>
      </c>
      <c r="F2660" s="21"/>
      <c r="G2660" s="22"/>
      <c r="H2660" s="23"/>
      <c r="I2660" s="23"/>
      <c r="J2660" s="23"/>
      <c r="K2660" s="23"/>
      <c r="L2660" s="23"/>
      <c r="M2660" s="23"/>
      <c r="N2660" s="23"/>
      <c r="O2660" s="25"/>
      <c r="P2660" s="23"/>
      <c r="Q2660" s="23"/>
      <c r="R2660" s="25"/>
      <c r="S2660" s="26"/>
      <c r="T2660" s="27"/>
      <c r="U2660" s="26"/>
      <c r="V2660" s="26"/>
      <c r="W2660" s="143"/>
      <c r="X2660" s="143"/>
      <c r="Y2660" s="143"/>
      <c r="Z2660" s="30"/>
      <c r="AA2660" s="31"/>
      <c r="AB2660" s="144"/>
      <c r="AC2660" s="144"/>
      <c r="AD2660" s="33"/>
      <c r="AE2660" s="34"/>
      <c r="AF2660" s="33"/>
      <c r="AG2660" s="33"/>
      <c r="AH2660" s="35"/>
      <c r="AI2660" s="36"/>
      <c r="AJ2660" s="23"/>
      <c r="AK2660" s="120"/>
      <c r="AL2660" s="44"/>
      <c r="AM2660" s="44"/>
      <c r="AN2660" s="44"/>
      <c r="AO2660" s="44"/>
      <c r="AP2660" s="44"/>
      <c r="AQ2660" s="44"/>
      <c r="AR2660" s="44"/>
    </row>
    <row r="2661" spans="1:44" ht="16.8">
      <c r="A2661" s="191">
        <v>18</v>
      </c>
      <c r="B2661" s="1"/>
      <c r="C2661" s="192" t="s">
        <v>5085</v>
      </c>
      <c r="D2661" s="183"/>
      <c r="E2661" s="184" t="s">
        <v>414</v>
      </c>
      <c r="F2661" s="21"/>
      <c r="G2661" s="22"/>
      <c r="H2661" s="23"/>
      <c r="I2661" s="23"/>
      <c r="J2661" s="23"/>
      <c r="K2661" s="23"/>
      <c r="L2661" s="23"/>
      <c r="M2661" s="23"/>
      <c r="N2661" s="23"/>
      <c r="O2661" s="25"/>
      <c r="P2661" s="23"/>
      <c r="Q2661" s="23"/>
      <c r="R2661" s="25"/>
      <c r="S2661" s="26"/>
      <c r="T2661" s="27"/>
      <c r="U2661" s="26"/>
      <c r="V2661" s="26"/>
      <c r="W2661" s="143"/>
      <c r="X2661" s="143"/>
      <c r="Y2661" s="143"/>
      <c r="Z2661" s="30"/>
      <c r="AA2661" s="31"/>
      <c r="AB2661" s="144"/>
      <c r="AC2661" s="144"/>
      <c r="AD2661" s="33"/>
      <c r="AE2661" s="34"/>
      <c r="AF2661" s="33"/>
      <c r="AG2661" s="33"/>
      <c r="AH2661" s="35"/>
      <c r="AI2661" s="36"/>
      <c r="AJ2661" s="23"/>
      <c r="AK2661" s="120"/>
      <c r="AL2661" s="44"/>
      <c r="AM2661" s="44"/>
      <c r="AN2661" s="44"/>
      <c r="AO2661" s="44"/>
      <c r="AP2661" s="44"/>
      <c r="AQ2661" s="44"/>
      <c r="AR2661" s="44"/>
    </row>
    <row r="2662" spans="1:44" ht="16.8">
      <c r="A2662" s="191">
        <v>19</v>
      </c>
      <c r="B2662" s="1"/>
      <c r="C2662" s="192" t="s">
        <v>5086</v>
      </c>
      <c r="D2662" s="183"/>
      <c r="E2662" s="184" t="s">
        <v>414</v>
      </c>
      <c r="F2662" s="21"/>
      <c r="G2662" s="22"/>
      <c r="H2662" s="23"/>
      <c r="I2662" s="23"/>
      <c r="J2662" s="23"/>
      <c r="K2662" s="23"/>
      <c r="L2662" s="23"/>
      <c r="M2662" s="23"/>
      <c r="N2662" s="23"/>
      <c r="O2662" s="25"/>
      <c r="P2662" s="23"/>
      <c r="Q2662" s="23"/>
      <c r="R2662" s="25"/>
      <c r="S2662" s="26"/>
      <c r="T2662" s="27"/>
      <c r="U2662" s="26"/>
      <c r="V2662" s="26"/>
      <c r="W2662" s="143"/>
      <c r="X2662" s="143"/>
      <c r="Y2662" s="143"/>
      <c r="Z2662" s="30"/>
      <c r="AA2662" s="31"/>
      <c r="AB2662" s="144"/>
      <c r="AC2662" s="144"/>
      <c r="AD2662" s="33"/>
      <c r="AE2662" s="34"/>
      <c r="AF2662" s="33"/>
      <c r="AG2662" s="33"/>
      <c r="AH2662" s="35"/>
      <c r="AI2662" s="36"/>
      <c r="AJ2662" s="23"/>
      <c r="AK2662" s="120"/>
      <c r="AL2662" s="44"/>
      <c r="AM2662" s="44"/>
      <c r="AN2662" s="44"/>
      <c r="AO2662" s="44"/>
      <c r="AP2662" s="44"/>
      <c r="AQ2662" s="44"/>
      <c r="AR2662" s="44"/>
    </row>
    <row r="2663" spans="1:44" ht="16.8">
      <c r="A2663" s="191">
        <v>20</v>
      </c>
      <c r="B2663" s="1"/>
      <c r="C2663" s="192" t="s">
        <v>5087</v>
      </c>
      <c r="D2663" s="183"/>
      <c r="E2663" s="184" t="s">
        <v>414</v>
      </c>
      <c r="F2663" s="21"/>
      <c r="G2663" s="22"/>
      <c r="H2663" s="23"/>
      <c r="I2663" s="23"/>
      <c r="J2663" s="23"/>
      <c r="K2663" s="23"/>
      <c r="L2663" s="23"/>
      <c r="M2663" s="23"/>
      <c r="N2663" s="23"/>
      <c r="O2663" s="25"/>
      <c r="P2663" s="23"/>
      <c r="Q2663" s="23"/>
      <c r="R2663" s="25"/>
      <c r="S2663" s="26"/>
      <c r="T2663" s="27"/>
      <c r="U2663" s="26"/>
      <c r="V2663" s="26"/>
      <c r="W2663" s="143"/>
      <c r="X2663" s="143"/>
      <c r="Y2663" s="143"/>
      <c r="Z2663" s="30"/>
      <c r="AA2663" s="31"/>
      <c r="AB2663" s="144"/>
      <c r="AC2663" s="144"/>
      <c r="AD2663" s="33"/>
      <c r="AE2663" s="34"/>
      <c r="AF2663" s="33"/>
      <c r="AG2663" s="33"/>
      <c r="AH2663" s="35"/>
      <c r="AI2663" s="36"/>
      <c r="AJ2663" s="23"/>
      <c r="AK2663" s="120"/>
      <c r="AL2663" s="44"/>
      <c r="AM2663" s="44"/>
      <c r="AN2663" s="44"/>
      <c r="AO2663" s="44"/>
      <c r="AP2663" s="44"/>
      <c r="AQ2663" s="44"/>
      <c r="AR2663" s="44"/>
    </row>
    <row r="2664" spans="1:44" ht="16.8">
      <c r="A2664" s="191">
        <v>21</v>
      </c>
      <c r="B2664" s="1"/>
      <c r="C2664" s="192" t="s">
        <v>5088</v>
      </c>
      <c r="D2664" s="183"/>
      <c r="E2664" s="184" t="s">
        <v>414</v>
      </c>
      <c r="F2664" s="21"/>
      <c r="G2664" s="22"/>
      <c r="H2664" s="23"/>
      <c r="I2664" s="23"/>
      <c r="J2664" s="23"/>
      <c r="K2664" s="23"/>
      <c r="L2664" s="23"/>
      <c r="M2664" s="23"/>
      <c r="N2664" s="23"/>
      <c r="O2664" s="25"/>
      <c r="P2664" s="23"/>
      <c r="Q2664" s="23"/>
      <c r="R2664" s="25"/>
      <c r="S2664" s="26"/>
      <c r="T2664" s="27"/>
      <c r="U2664" s="26"/>
      <c r="V2664" s="26"/>
      <c r="W2664" s="143"/>
      <c r="X2664" s="143"/>
      <c r="Y2664" s="143"/>
      <c r="Z2664" s="30"/>
      <c r="AA2664" s="31"/>
      <c r="AB2664" s="144"/>
      <c r="AC2664" s="144"/>
      <c r="AD2664" s="33"/>
      <c r="AE2664" s="34"/>
      <c r="AF2664" s="33"/>
      <c r="AG2664" s="33"/>
      <c r="AH2664" s="35"/>
      <c r="AI2664" s="36"/>
      <c r="AJ2664" s="23"/>
      <c r="AK2664" s="120"/>
      <c r="AL2664" s="44"/>
      <c r="AM2664" s="44"/>
      <c r="AN2664" s="44"/>
      <c r="AO2664" s="44"/>
      <c r="AP2664" s="44"/>
      <c r="AQ2664" s="44"/>
      <c r="AR2664" s="44"/>
    </row>
    <row r="2665" spans="1:44" ht="16.8">
      <c r="A2665" s="191">
        <v>22</v>
      </c>
      <c r="B2665" s="1"/>
      <c r="C2665" s="192" t="s">
        <v>5089</v>
      </c>
      <c r="D2665" s="183"/>
      <c r="E2665" s="184" t="s">
        <v>414</v>
      </c>
      <c r="F2665" s="21"/>
      <c r="G2665" s="22"/>
      <c r="H2665" s="23"/>
      <c r="I2665" s="23"/>
      <c r="J2665" s="23"/>
      <c r="K2665" s="23"/>
      <c r="L2665" s="23"/>
      <c r="M2665" s="23"/>
      <c r="N2665" s="23"/>
      <c r="O2665" s="25"/>
      <c r="P2665" s="23"/>
      <c r="Q2665" s="23"/>
      <c r="R2665" s="25"/>
      <c r="S2665" s="26"/>
      <c r="T2665" s="27"/>
      <c r="U2665" s="26"/>
      <c r="V2665" s="26"/>
      <c r="W2665" s="143"/>
      <c r="X2665" s="143"/>
      <c r="Y2665" s="143"/>
      <c r="Z2665" s="30"/>
      <c r="AA2665" s="31"/>
      <c r="AB2665" s="144"/>
      <c r="AC2665" s="144"/>
      <c r="AD2665" s="33"/>
      <c r="AE2665" s="34"/>
      <c r="AF2665" s="33"/>
      <c r="AG2665" s="33"/>
      <c r="AH2665" s="35"/>
      <c r="AI2665" s="36"/>
      <c r="AJ2665" s="23"/>
      <c r="AK2665" s="120"/>
      <c r="AL2665" s="44"/>
      <c r="AM2665" s="44"/>
      <c r="AN2665" s="44"/>
      <c r="AO2665" s="44"/>
      <c r="AP2665" s="44"/>
      <c r="AQ2665" s="44"/>
      <c r="AR2665" s="44"/>
    </row>
    <row r="2666" spans="1:44" ht="16.8">
      <c r="A2666" s="191">
        <v>23</v>
      </c>
      <c r="B2666" s="1"/>
      <c r="C2666" s="192" t="s">
        <v>5090</v>
      </c>
      <c r="D2666" s="183"/>
      <c r="E2666" s="184" t="s">
        <v>414</v>
      </c>
      <c r="F2666" s="21"/>
      <c r="G2666" s="22"/>
      <c r="H2666" s="23"/>
      <c r="I2666" s="23"/>
      <c r="J2666" s="23"/>
      <c r="K2666" s="23"/>
      <c r="L2666" s="23"/>
      <c r="M2666" s="23"/>
      <c r="N2666" s="23"/>
      <c r="O2666" s="25"/>
      <c r="P2666" s="23"/>
      <c r="Q2666" s="23"/>
      <c r="R2666" s="25"/>
      <c r="S2666" s="26"/>
      <c r="T2666" s="27"/>
      <c r="U2666" s="26"/>
      <c r="V2666" s="26"/>
      <c r="W2666" s="143"/>
      <c r="X2666" s="143"/>
      <c r="Y2666" s="143"/>
      <c r="Z2666" s="30"/>
      <c r="AA2666" s="31"/>
      <c r="AB2666" s="144"/>
      <c r="AC2666" s="144"/>
      <c r="AD2666" s="33"/>
      <c r="AE2666" s="34"/>
      <c r="AF2666" s="33"/>
      <c r="AG2666" s="33"/>
      <c r="AH2666" s="35"/>
      <c r="AI2666" s="36"/>
      <c r="AJ2666" s="23"/>
      <c r="AK2666" s="120"/>
      <c r="AL2666" s="44"/>
      <c r="AM2666" s="44"/>
      <c r="AN2666" s="44"/>
      <c r="AO2666" s="44"/>
      <c r="AP2666" s="44"/>
      <c r="AQ2666" s="44"/>
      <c r="AR2666" s="44"/>
    </row>
    <row r="2667" spans="1:44" ht="16.8">
      <c r="A2667" s="191">
        <v>24</v>
      </c>
      <c r="B2667" s="1"/>
      <c r="C2667" s="192" t="s">
        <v>5091</v>
      </c>
      <c r="D2667" s="183"/>
      <c r="E2667" s="184" t="s">
        <v>414</v>
      </c>
      <c r="F2667" s="21"/>
      <c r="G2667" s="22"/>
      <c r="H2667" s="23"/>
      <c r="I2667" s="23"/>
      <c r="J2667" s="23"/>
      <c r="K2667" s="23"/>
      <c r="L2667" s="23"/>
      <c r="M2667" s="23"/>
      <c r="N2667" s="23"/>
      <c r="O2667" s="25"/>
      <c r="P2667" s="23"/>
      <c r="Q2667" s="23"/>
      <c r="R2667" s="25"/>
      <c r="S2667" s="26"/>
      <c r="T2667" s="27"/>
      <c r="U2667" s="26"/>
      <c r="V2667" s="26"/>
      <c r="W2667" s="143"/>
      <c r="X2667" s="143"/>
      <c r="Y2667" s="143"/>
      <c r="Z2667" s="30"/>
      <c r="AA2667" s="31"/>
      <c r="AB2667" s="144"/>
      <c r="AC2667" s="144"/>
      <c r="AD2667" s="33"/>
      <c r="AE2667" s="34"/>
      <c r="AF2667" s="33"/>
      <c r="AG2667" s="33"/>
      <c r="AH2667" s="35"/>
      <c r="AI2667" s="36"/>
      <c r="AJ2667" s="23"/>
      <c r="AK2667" s="120"/>
      <c r="AL2667" s="44"/>
      <c r="AM2667" s="44"/>
      <c r="AN2667" s="44"/>
      <c r="AO2667" s="44"/>
      <c r="AP2667" s="44"/>
      <c r="AQ2667" s="44"/>
      <c r="AR2667" s="44"/>
    </row>
    <row r="2668" spans="1:44" ht="16.8">
      <c r="A2668" s="191">
        <v>25</v>
      </c>
      <c r="B2668" s="1"/>
      <c r="C2668" s="192" t="s">
        <v>5092</v>
      </c>
      <c r="D2668" s="183"/>
      <c r="E2668" s="184" t="s">
        <v>414</v>
      </c>
      <c r="F2668" s="21"/>
      <c r="G2668" s="22"/>
      <c r="H2668" s="23"/>
      <c r="I2668" s="23"/>
      <c r="J2668" s="23"/>
      <c r="K2668" s="23"/>
      <c r="L2668" s="23"/>
      <c r="M2668" s="23"/>
      <c r="N2668" s="23"/>
      <c r="O2668" s="25"/>
      <c r="P2668" s="23"/>
      <c r="Q2668" s="23"/>
      <c r="R2668" s="25"/>
      <c r="S2668" s="26"/>
      <c r="T2668" s="27"/>
      <c r="U2668" s="26"/>
      <c r="V2668" s="26"/>
      <c r="W2668" s="143"/>
      <c r="X2668" s="143"/>
      <c r="Y2668" s="143"/>
      <c r="Z2668" s="30"/>
      <c r="AA2668" s="31"/>
      <c r="AB2668" s="144"/>
      <c r="AC2668" s="144"/>
      <c r="AD2668" s="33"/>
      <c r="AE2668" s="34"/>
      <c r="AF2668" s="33"/>
      <c r="AG2668" s="33"/>
      <c r="AH2668" s="35"/>
      <c r="AI2668" s="36"/>
      <c r="AJ2668" s="23"/>
      <c r="AK2668" s="120"/>
      <c r="AL2668" s="44"/>
      <c r="AM2668" s="44"/>
      <c r="AN2668" s="44"/>
      <c r="AO2668" s="44"/>
      <c r="AP2668" s="44"/>
      <c r="AQ2668" s="44"/>
      <c r="AR2668" s="44"/>
    </row>
    <row r="2669" spans="1:44" ht="16.8">
      <c r="A2669" s="191">
        <v>26</v>
      </c>
      <c r="B2669" s="1"/>
      <c r="C2669" s="192" t="s">
        <v>5093</v>
      </c>
      <c r="D2669" s="183"/>
      <c r="E2669" s="184" t="s">
        <v>414</v>
      </c>
      <c r="F2669" s="21"/>
      <c r="G2669" s="22"/>
      <c r="H2669" s="23"/>
      <c r="I2669" s="23"/>
      <c r="J2669" s="23"/>
      <c r="K2669" s="23"/>
      <c r="L2669" s="23"/>
      <c r="M2669" s="23"/>
      <c r="N2669" s="23"/>
      <c r="O2669" s="25"/>
      <c r="P2669" s="23"/>
      <c r="Q2669" s="23"/>
      <c r="R2669" s="25"/>
      <c r="S2669" s="26"/>
      <c r="T2669" s="27"/>
      <c r="U2669" s="26"/>
      <c r="V2669" s="26"/>
      <c r="W2669" s="143"/>
      <c r="X2669" s="143"/>
      <c r="Y2669" s="143"/>
      <c r="Z2669" s="30"/>
      <c r="AA2669" s="31"/>
      <c r="AB2669" s="144"/>
      <c r="AC2669" s="144"/>
      <c r="AD2669" s="33"/>
      <c r="AE2669" s="34"/>
      <c r="AF2669" s="33"/>
      <c r="AG2669" s="33"/>
      <c r="AH2669" s="35"/>
      <c r="AI2669" s="36"/>
      <c r="AJ2669" s="23"/>
      <c r="AK2669" s="120"/>
      <c r="AL2669" s="44"/>
      <c r="AM2669" s="44"/>
      <c r="AN2669" s="44"/>
      <c r="AO2669" s="44"/>
      <c r="AP2669" s="44"/>
      <c r="AQ2669" s="44"/>
      <c r="AR2669" s="44"/>
    </row>
    <row r="2670" spans="1:44" ht="16.8">
      <c r="A2670" s="191">
        <v>27</v>
      </c>
      <c r="B2670" s="1"/>
      <c r="C2670" s="192" t="s">
        <v>5094</v>
      </c>
      <c r="D2670" s="183"/>
      <c r="E2670" s="184" t="s">
        <v>414</v>
      </c>
      <c r="F2670" s="21"/>
      <c r="G2670" s="22"/>
      <c r="H2670" s="23"/>
      <c r="I2670" s="23"/>
      <c r="J2670" s="23"/>
      <c r="K2670" s="23"/>
      <c r="L2670" s="23"/>
      <c r="M2670" s="23"/>
      <c r="N2670" s="23"/>
      <c r="O2670" s="25"/>
      <c r="P2670" s="23"/>
      <c r="Q2670" s="23"/>
      <c r="R2670" s="25"/>
      <c r="S2670" s="26"/>
      <c r="T2670" s="27"/>
      <c r="U2670" s="26"/>
      <c r="V2670" s="26"/>
      <c r="W2670" s="143"/>
      <c r="X2670" s="143"/>
      <c r="Y2670" s="143"/>
      <c r="Z2670" s="30"/>
      <c r="AA2670" s="31"/>
      <c r="AB2670" s="144"/>
      <c r="AC2670" s="144"/>
      <c r="AD2670" s="33"/>
      <c r="AE2670" s="34"/>
      <c r="AF2670" s="33"/>
      <c r="AG2670" s="33"/>
      <c r="AH2670" s="35"/>
      <c r="AI2670" s="36"/>
      <c r="AJ2670" s="23"/>
      <c r="AK2670" s="120"/>
      <c r="AL2670" s="44"/>
      <c r="AM2670" s="44"/>
      <c r="AN2670" s="44"/>
      <c r="AO2670" s="44"/>
      <c r="AP2670" s="44"/>
      <c r="AQ2670" s="44"/>
      <c r="AR2670" s="44"/>
    </row>
    <row r="2671" spans="1:44" ht="16.8">
      <c r="A2671" s="191">
        <v>28</v>
      </c>
      <c r="B2671" s="1"/>
      <c r="C2671" s="192" t="s">
        <v>5095</v>
      </c>
      <c r="D2671" s="183"/>
      <c r="E2671" s="184" t="s">
        <v>414</v>
      </c>
      <c r="F2671" s="21"/>
      <c r="G2671" s="22"/>
      <c r="H2671" s="23"/>
      <c r="I2671" s="23"/>
      <c r="J2671" s="23"/>
      <c r="K2671" s="23"/>
      <c r="L2671" s="23"/>
      <c r="M2671" s="23"/>
      <c r="N2671" s="23"/>
      <c r="O2671" s="25"/>
      <c r="P2671" s="23"/>
      <c r="Q2671" s="23"/>
      <c r="R2671" s="25"/>
      <c r="S2671" s="26"/>
      <c r="T2671" s="27"/>
      <c r="U2671" s="26"/>
      <c r="V2671" s="26"/>
      <c r="W2671" s="143"/>
      <c r="X2671" s="143"/>
      <c r="Y2671" s="143"/>
      <c r="Z2671" s="30"/>
      <c r="AA2671" s="31"/>
      <c r="AB2671" s="144"/>
      <c r="AC2671" s="144"/>
      <c r="AD2671" s="33"/>
      <c r="AE2671" s="34"/>
      <c r="AF2671" s="33"/>
      <c r="AG2671" s="33"/>
      <c r="AH2671" s="35"/>
      <c r="AI2671" s="36"/>
      <c r="AJ2671" s="23"/>
      <c r="AK2671" s="120"/>
      <c r="AL2671" s="44"/>
      <c r="AM2671" s="44"/>
      <c r="AN2671" s="44"/>
      <c r="AO2671" s="44"/>
      <c r="AP2671" s="44"/>
      <c r="AQ2671" s="44"/>
      <c r="AR2671" s="44"/>
    </row>
    <row r="2672" spans="1:44" ht="16.8">
      <c r="A2672" s="191">
        <v>29</v>
      </c>
      <c r="B2672" s="1"/>
      <c r="C2672" s="192" t="s">
        <v>5096</v>
      </c>
      <c r="D2672" s="183"/>
      <c r="E2672" s="184" t="s">
        <v>414</v>
      </c>
      <c r="F2672" s="21"/>
      <c r="G2672" s="22"/>
      <c r="H2672" s="23"/>
      <c r="I2672" s="23"/>
      <c r="J2672" s="23"/>
      <c r="K2672" s="23"/>
      <c r="L2672" s="23"/>
      <c r="M2672" s="23"/>
      <c r="N2672" s="23"/>
      <c r="O2672" s="25"/>
      <c r="P2672" s="23"/>
      <c r="Q2672" s="23"/>
      <c r="R2672" s="25"/>
      <c r="S2672" s="26"/>
      <c r="T2672" s="27"/>
      <c r="U2672" s="26"/>
      <c r="V2672" s="26"/>
      <c r="W2672" s="143"/>
      <c r="X2672" s="143"/>
      <c r="Y2672" s="143"/>
      <c r="Z2672" s="30"/>
      <c r="AA2672" s="31"/>
      <c r="AB2672" s="144"/>
      <c r="AC2672" s="144"/>
      <c r="AD2672" s="33"/>
      <c r="AE2672" s="34"/>
      <c r="AF2672" s="33"/>
      <c r="AG2672" s="33"/>
      <c r="AH2672" s="35"/>
      <c r="AI2672" s="36"/>
      <c r="AJ2672" s="23"/>
      <c r="AK2672" s="120"/>
      <c r="AL2672" s="44"/>
      <c r="AM2672" s="44"/>
      <c r="AN2672" s="44"/>
      <c r="AO2672" s="44"/>
      <c r="AP2672" s="44"/>
      <c r="AQ2672" s="44"/>
      <c r="AR2672" s="44"/>
    </row>
    <row r="2673" spans="1:44" ht="16.8">
      <c r="A2673" s="191">
        <v>30</v>
      </c>
      <c r="B2673" s="1"/>
      <c r="C2673" s="192" t="s">
        <v>5097</v>
      </c>
      <c r="D2673" s="183"/>
      <c r="E2673" s="184" t="s">
        <v>414</v>
      </c>
      <c r="F2673" s="21"/>
      <c r="G2673" s="22"/>
      <c r="H2673" s="23"/>
      <c r="I2673" s="23"/>
      <c r="J2673" s="23"/>
      <c r="K2673" s="23"/>
      <c r="L2673" s="23"/>
      <c r="M2673" s="23"/>
      <c r="N2673" s="23"/>
      <c r="O2673" s="25"/>
      <c r="P2673" s="23"/>
      <c r="Q2673" s="23"/>
      <c r="R2673" s="25"/>
      <c r="S2673" s="26"/>
      <c r="T2673" s="27"/>
      <c r="U2673" s="26"/>
      <c r="V2673" s="26"/>
      <c r="W2673" s="143"/>
      <c r="X2673" s="143"/>
      <c r="Y2673" s="143"/>
      <c r="Z2673" s="30"/>
      <c r="AA2673" s="31"/>
      <c r="AB2673" s="144"/>
      <c r="AC2673" s="144"/>
      <c r="AD2673" s="33"/>
      <c r="AE2673" s="34"/>
      <c r="AF2673" s="33"/>
      <c r="AG2673" s="33"/>
      <c r="AH2673" s="35"/>
      <c r="AI2673" s="36"/>
      <c r="AJ2673" s="23"/>
      <c r="AK2673" s="120"/>
      <c r="AL2673" s="44"/>
      <c r="AM2673" s="44"/>
      <c r="AN2673" s="44"/>
      <c r="AO2673" s="44"/>
      <c r="AP2673" s="44"/>
      <c r="AQ2673" s="44"/>
      <c r="AR2673" s="44"/>
    </row>
    <row r="2674" spans="1:44" ht="16.8">
      <c r="A2674" s="191">
        <v>31</v>
      </c>
      <c r="B2674" s="1"/>
      <c r="C2674" s="192" t="s">
        <v>5098</v>
      </c>
      <c r="D2674" s="183"/>
      <c r="E2674" s="184" t="s">
        <v>414</v>
      </c>
      <c r="F2674" s="21"/>
      <c r="G2674" s="22"/>
      <c r="H2674" s="23"/>
      <c r="I2674" s="23"/>
      <c r="J2674" s="23"/>
      <c r="K2674" s="23"/>
      <c r="L2674" s="23"/>
      <c r="M2674" s="23"/>
      <c r="N2674" s="23"/>
      <c r="O2674" s="25"/>
      <c r="P2674" s="23"/>
      <c r="Q2674" s="23"/>
      <c r="R2674" s="25"/>
      <c r="S2674" s="26"/>
      <c r="T2674" s="27"/>
      <c r="U2674" s="26"/>
      <c r="V2674" s="26"/>
      <c r="W2674" s="143"/>
      <c r="X2674" s="143"/>
      <c r="Y2674" s="143"/>
      <c r="Z2674" s="30"/>
      <c r="AA2674" s="31"/>
      <c r="AB2674" s="144"/>
      <c r="AC2674" s="144"/>
      <c r="AD2674" s="33"/>
      <c r="AE2674" s="34"/>
      <c r="AF2674" s="33"/>
      <c r="AG2674" s="33"/>
      <c r="AH2674" s="35"/>
      <c r="AI2674" s="36"/>
      <c r="AJ2674" s="23"/>
      <c r="AK2674" s="120"/>
      <c r="AL2674" s="44"/>
      <c r="AM2674" s="44"/>
      <c r="AN2674" s="44"/>
      <c r="AO2674" s="44"/>
      <c r="AP2674" s="44"/>
      <c r="AQ2674" s="44"/>
      <c r="AR2674" s="44"/>
    </row>
    <row r="2675" spans="1:44" ht="16.8">
      <c r="A2675" s="191">
        <v>32</v>
      </c>
      <c r="B2675" s="1"/>
      <c r="C2675" s="192" t="s">
        <v>5099</v>
      </c>
      <c r="D2675" s="183"/>
      <c r="E2675" s="184" t="s">
        <v>414</v>
      </c>
      <c r="F2675" s="21"/>
      <c r="G2675" s="22"/>
      <c r="H2675" s="23"/>
      <c r="I2675" s="23"/>
      <c r="J2675" s="23"/>
      <c r="K2675" s="23"/>
      <c r="L2675" s="23"/>
      <c r="M2675" s="23"/>
      <c r="N2675" s="23"/>
      <c r="O2675" s="25"/>
      <c r="P2675" s="23"/>
      <c r="Q2675" s="23"/>
      <c r="R2675" s="25"/>
      <c r="S2675" s="26"/>
      <c r="T2675" s="27"/>
      <c r="U2675" s="26"/>
      <c r="V2675" s="26"/>
      <c r="W2675" s="143"/>
      <c r="X2675" s="143"/>
      <c r="Y2675" s="143"/>
      <c r="Z2675" s="30"/>
      <c r="AA2675" s="31"/>
      <c r="AB2675" s="144"/>
      <c r="AC2675" s="144"/>
      <c r="AD2675" s="33"/>
      <c r="AE2675" s="34"/>
      <c r="AF2675" s="33"/>
      <c r="AG2675" s="33"/>
      <c r="AH2675" s="35"/>
      <c r="AI2675" s="36"/>
      <c r="AJ2675" s="23"/>
      <c r="AK2675" s="120"/>
      <c r="AL2675" s="44"/>
      <c r="AM2675" s="44"/>
      <c r="AN2675" s="44"/>
      <c r="AO2675" s="44"/>
      <c r="AP2675" s="44"/>
      <c r="AQ2675" s="44"/>
      <c r="AR2675" s="44"/>
    </row>
    <row r="2676" spans="1:44" ht="16.8">
      <c r="A2676" s="191">
        <v>33</v>
      </c>
      <c r="B2676" s="1"/>
      <c r="C2676" s="192" t="s">
        <v>5100</v>
      </c>
      <c r="D2676" s="183"/>
      <c r="E2676" s="184" t="s">
        <v>414</v>
      </c>
      <c r="F2676" s="21"/>
      <c r="G2676" s="22"/>
      <c r="H2676" s="23"/>
      <c r="I2676" s="23"/>
      <c r="J2676" s="23"/>
      <c r="K2676" s="23"/>
      <c r="L2676" s="23"/>
      <c r="M2676" s="23"/>
      <c r="N2676" s="23"/>
      <c r="O2676" s="25"/>
      <c r="P2676" s="23"/>
      <c r="Q2676" s="23"/>
      <c r="R2676" s="25"/>
      <c r="S2676" s="26"/>
      <c r="T2676" s="27"/>
      <c r="U2676" s="26"/>
      <c r="V2676" s="26"/>
      <c r="W2676" s="143"/>
      <c r="X2676" s="143"/>
      <c r="Y2676" s="143"/>
      <c r="Z2676" s="30"/>
      <c r="AA2676" s="31"/>
      <c r="AB2676" s="144"/>
      <c r="AC2676" s="144"/>
      <c r="AD2676" s="33"/>
      <c r="AE2676" s="34"/>
      <c r="AF2676" s="33"/>
      <c r="AG2676" s="33"/>
      <c r="AH2676" s="35"/>
      <c r="AI2676" s="36"/>
      <c r="AJ2676" s="23"/>
      <c r="AK2676" s="120"/>
      <c r="AL2676" s="44"/>
      <c r="AM2676" s="44"/>
      <c r="AN2676" s="44"/>
      <c r="AO2676" s="44"/>
      <c r="AP2676" s="44"/>
      <c r="AQ2676" s="44"/>
      <c r="AR2676" s="44"/>
    </row>
    <row r="2677" spans="1:44" ht="16.8">
      <c r="A2677" s="191">
        <v>34</v>
      </c>
      <c r="B2677" s="1"/>
      <c r="C2677" s="192" t="s">
        <v>5101</v>
      </c>
      <c r="D2677" s="183"/>
      <c r="E2677" s="184" t="s">
        <v>414</v>
      </c>
      <c r="F2677" s="21"/>
      <c r="G2677" s="22"/>
      <c r="H2677" s="23"/>
      <c r="I2677" s="23"/>
      <c r="J2677" s="23"/>
      <c r="K2677" s="23"/>
      <c r="L2677" s="23"/>
      <c r="M2677" s="23"/>
      <c r="N2677" s="23"/>
      <c r="O2677" s="25"/>
      <c r="P2677" s="23"/>
      <c r="Q2677" s="23"/>
      <c r="R2677" s="25"/>
      <c r="S2677" s="26"/>
      <c r="T2677" s="27"/>
      <c r="U2677" s="26"/>
      <c r="V2677" s="26"/>
      <c r="W2677" s="143"/>
      <c r="X2677" s="143"/>
      <c r="Y2677" s="143"/>
      <c r="Z2677" s="30"/>
      <c r="AA2677" s="31"/>
      <c r="AB2677" s="144"/>
      <c r="AC2677" s="144"/>
      <c r="AD2677" s="33"/>
      <c r="AE2677" s="34"/>
      <c r="AF2677" s="33"/>
      <c r="AG2677" s="33"/>
      <c r="AH2677" s="35"/>
      <c r="AI2677" s="36"/>
      <c r="AJ2677" s="23"/>
      <c r="AK2677" s="120"/>
      <c r="AL2677" s="44"/>
      <c r="AM2677" s="44"/>
      <c r="AN2677" s="44"/>
      <c r="AO2677" s="44"/>
      <c r="AP2677" s="44"/>
      <c r="AQ2677" s="44"/>
      <c r="AR2677" s="44"/>
    </row>
    <row r="2678" spans="1:44" ht="16.8">
      <c r="A2678" s="191">
        <v>35</v>
      </c>
      <c r="B2678" s="1"/>
      <c r="C2678" s="192" t="s">
        <v>5102</v>
      </c>
      <c r="D2678" s="183"/>
      <c r="E2678" s="184" t="s">
        <v>414</v>
      </c>
      <c r="F2678" s="21"/>
      <c r="G2678" s="22"/>
      <c r="H2678" s="23"/>
      <c r="I2678" s="23"/>
      <c r="J2678" s="23"/>
      <c r="K2678" s="23"/>
      <c r="L2678" s="23"/>
      <c r="M2678" s="23"/>
      <c r="N2678" s="23"/>
      <c r="O2678" s="25"/>
      <c r="P2678" s="23"/>
      <c r="Q2678" s="23"/>
      <c r="R2678" s="25"/>
      <c r="S2678" s="26"/>
      <c r="T2678" s="27"/>
      <c r="U2678" s="26"/>
      <c r="V2678" s="26"/>
      <c r="W2678" s="143"/>
      <c r="X2678" s="143"/>
      <c r="Y2678" s="143"/>
      <c r="Z2678" s="30"/>
      <c r="AA2678" s="31"/>
      <c r="AB2678" s="144"/>
      <c r="AC2678" s="144"/>
      <c r="AD2678" s="33"/>
      <c r="AE2678" s="34"/>
      <c r="AF2678" s="33"/>
      <c r="AG2678" s="33"/>
      <c r="AH2678" s="35"/>
      <c r="AI2678" s="36"/>
      <c r="AJ2678" s="23"/>
      <c r="AK2678" s="120"/>
      <c r="AL2678" s="44"/>
      <c r="AM2678" s="44"/>
      <c r="AN2678" s="44"/>
      <c r="AO2678" s="44"/>
      <c r="AP2678" s="44"/>
      <c r="AQ2678" s="44"/>
      <c r="AR2678" s="44"/>
    </row>
    <row r="2679" spans="1:44" ht="16.8">
      <c r="A2679" s="191">
        <v>36</v>
      </c>
      <c r="B2679" s="1"/>
      <c r="C2679" s="192" t="s">
        <v>5103</v>
      </c>
      <c r="D2679" s="183"/>
      <c r="E2679" s="184" t="s">
        <v>414</v>
      </c>
      <c r="F2679" s="21"/>
      <c r="G2679" s="22"/>
      <c r="H2679" s="23"/>
      <c r="I2679" s="23"/>
      <c r="J2679" s="23"/>
      <c r="K2679" s="23"/>
      <c r="L2679" s="23"/>
      <c r="M2679" s="23"/>
      <c r="N2679" s="23"/>
      <c r="O2679" s="25"/>
      <c r="P2679" s="23"/>
      <c r="Q2679" s="23"/>
      <c r="R2679" s="25"/>
      <c r="S2679" s="26"/>
      <c r="T2679" s="27"/>
      <c r="U2679" s="26"/>
      <c r="V2679" s="26"/>
      <c r="W2679" s="143"/>
      <c r="X2679" s="143"/>
      <c r="Y2679" s="143"/>
      <c r="Z2679" s="30"/>
      <c r="AA2679" s="31"/>
      <c r="AB2679" s="144"/>
      <c r="AC2679" s="144"/>
      <c r="AD2679" s="33"/>
      <c r="AE2679" s="34"/>
      <c r="AF2679" s="33"/>
      <c r="AG2679" s="33"/>
      <c r="AH2679" s="35"/>
      <c r="AI2679" s="36"/>
      <c r="AJ2679" s="23"/>
      <c r="AK2679" s="120"/>
      <c r="AL2679" s="44"/>
      <c r="AM2679" s="44"/>
      <c r="AN2679" s="44"/>
      <c r="AO2679" s="44"/>
      <c r="AP2679" s="44"/>
      <c r="AQ2679" s="44"/>
      <c r="AR2679" s="44"/>
    </row>
    <row r="2680" spans="1:44" ht="16.8">
      <c r="A2680" s="191">
        <v>37</v>
      </c>
      <c r="B2680" s="1"/>
      <c r="C2680" s="192" t="s">
        <v>5104</v>
      </c>
      <c r="D2680" s="183"/>
      <c r="E2680" s="184" t="s">
        <v>414</v>
      </c>
      <c r="F2680" s="21"/>
      <c r="G2680" s="22"/>
      <c r="H2680" s="23"/>
      <c r="I2680" s="23"/>
      <c r="J2680" s="23"/>
      <c r="K2680" s="23"/>
      <c r="L2680" s="23"/>
      <c r="M2680" s="23"/>
      <c r="N2680" s="23"/>
      <c r="O2680" s="25"/>
      <c r="P2680" s="23"/>
      <c r="Q2680" s="23"/>
      <c r="R2680" s="25"/>
      <c r="S2680" s="26"/>
      <c r="T2680" s="27"/>
      <c r="U2680" s="26"/>
      <c r="V2680" s="26"/>
      <c r="W2680" s="143"/>
      <c r="X2680" s="143"/>
      <c r="Y2680" s="143"/>
      <c r="Z2680" s="30"/>
      <c r="AA2680" s="31"/>
      <c r="AB2680" s="144"/>
      <c r="AC2680" s="144"/>
      <c r="AD2680" s="33"/>
      <c r="AE2680" s="34"/>
      <c r="AF2680" s="33"/>
      <c r="AG2680" s="33"/>
      <c r="AH2680" s="35"/>
      <c r="AI2680" s="36"/>
      <c r="AJ2680" s="23"/>
      <c r="AK2680" s="120"/>
      <c r="AL2680" s="44"/>
      <c r="AM2680" s="44"/>
      <c r="AN2680" s="44"/>
      <c r="AO2680" s="44"/>
      <c r="AP2680" s="44"/>
      <c r="AQ2680" s="44"/>
      <c r="AR2680" s="44"/>
    </row>
    <row r="2681" spans="1:44" ht="16.8">
      <c r="A2681" s="191">
        <v>38</v>
      </c>
      <c r="B2681" s="1"/>
      <c r="C2681" s="192" t="s">
        <v>5105</v>
      </c>
      <c r="D2681" s="183"/>
      <c r="E2681" s="184" t="s">
        <v>414</v>
      </c>
      <c r="F2681" s="21"/>
      <c r="G2681" s="22"/>
      <c r="H2681" s="23"/>
      <c r="I2681" s="23"/>
      <c r="J2681" s="23"/>
      <c r="K2681" s="23"/>
      <c r="L2681" s="23"/>
      <c r="M2681" s="23"/>
      <c r="N2681" s="23"/>
      <c r="O2681" s="25"/>
      <c r="P2681" s="23"/>
      <c r="Q2681" s="23"/>
      <c r="R2681" s="25"/>
      <c r="S2681" s="26"/>
      <c r="T2681" s="27"/>
      <c r="U2681" s="26"/>
      <c r="V2681" s="26"/>
      <c r="W2681" s="143"/>
      <c r="X2681" s="143"/>
      <c r="Y2681" s="143"/>
      <c r="Z2681" s="30"/>
      <c r="AA2681" s="31"/>
      <c r="AB2681" s="144"/>
      <c r="AC2681" s="144"/>
      <c r="AD2681" s="33"/>
      <c r="AE2681" s="34"/>
      <c r="AF2681" s="33"/>
      <c r="AG2681" s="33"/>
      <c r="AH2681" s="35"/>
      <c r="AI2681" s="36"/>
      <c r="AJ2681" s="23"/>
      <c r="AK2681" s="120"/>
      <c r="AL2681" s="44"/>
      <c r="AM2681" s="44"/>
      <c r="AN2681" s="44"/>
      <c r="AO2681" s="44"/>
      <c r="AP2681" s="44"/>
      <c r="AQ2681" s="44"/>
      <c r="AR2681" s="44"/>
    </row>
    <row r="2682" spans="1:44" ht="16.8">
      <c r="A2682" s="191">
        <v>39</v>
      </c>
      <c r="B2682" s="1"/>
      <c r="C2682" s="192" t="s">
        <v>5106</v>
      </c>
      <c r="D2682" s="183"/>
      <c r="E2682" s="184" t="s">
        <v>414</v>
      </c>
      <c r="F2682" s="21"/>
      <c r="G2682" s="22"/>
      <c r="H2682" s="23"/>
      <c r="I2682" s="23"/>
      <c r="J2682" s="23"/>
      <c r="K2682" s="23"/>
      <c r="L2682" s="23"/>
      <c r="M2682" s="23"/>
      <c r="N2682" s="23"/>
      <c r="O2682" s="25"/>
      <c r="P2682" s="23"/>
      <c r="Q2682" s="23"/>
      <c r="R2682" s="25"/>
      <c r="S2682" s="26"/>
      <c r="T2682" s="27"/>
      <c r="U2682" s="26"/>
      <c r="V2682" s="26"/>
      <c r="W2682" s="143"/>
      <c r="X2682" s="143"/>
      <c r="Y2682" s="143"/>
      <c r="Z2682" s="30"/>
      <c r="AA2682" s="31"/>
      <c r="AB2682" s="144"/>
      <c r="AC2682" s="144"/>
      <c r="AD2682" s="33"/>
      <c r="AE2682" s="34"/>
      <c r="AF2682" s="33"/>
      <c r="AG2682" s="33"/>
      <c r="AH2682" s="35"/>
      <c r="AI2682" s="36"/>
      <c r="AJ2682" s="23"/>
      <c r="AK2682" s="120"/>
      <c r="AL2682" s="44"/>
      <c r="AM2682" s="44"/>
      <c r="AN2682" s="44"/>
      <c r="AO2682" s="44"/>
      <c r="AP2682" s="44"/>
      <c r="AQ2682" s="44"/>
      <c r="AR2682" s="44"/>
    </row>
    <row r="2683" spans="1:44" ht="16.8">
      <c r="A2683" s="191">
        <v>40</v>
      </c>
      <c r="B2683" s="1"/>
      <c r="C2683" s="192" t="s">
        <v>5107</v>
      </c>
      <c r="D2683" s="183"/>
      <c r="E2683" s="184" t="s">
        <v>414</v>
      </c>
      <c r="F2683" s="21"/>
      <c r="G2683" s="22"/>
      <c r="H2683" s="23"/>
      <c r="I2683" s="23"/>
      <c r="J2683" s="23"/>
      <c r="K2683" s="23"/>
      <c r="L2683" s="23"/>
      <c r="M2683" s="23"/>
      <c r="N2683" s="23"/>
      <c r="O2683" s="25"/>
      <c r="P2683" s="23"/>
      <c r="Q2683" s="23"/>
      <c r="R2683" s="25"/>
      <c r="S2683" s="26"/>
      <c r="T2683" s="27"/>
      <c r="U2683" s="26"/>
      <c r="V2683" s="26"/>
      <c r="W2683" s="143"/>
      <c r="X2683" s="143"/>
      <c r="Y2683" s="143"/>
      <c r="Z2683" s="30"/>
      <c r="AA2683" s="31"/>
      <c r="AB2683" s="144"/>
      <c r="AC2683" s="144"/>
      <c r="AD2683" s="33"/>
      <c r="AE2683" s="34"/>
      <c r="AF2683" s="33"/>
      <c r="AG2683" s="33"/>
      <c r="AH2683" s="35"/>
      <c r="AI2683" s="36"/>
      <c r="AJ2683" s="23"/>
      <c r="AK2683" s="120"/>
      <c r="AL2683" s="44"/>
      <c r="AM2683" s="44"/>
      <c r="AN2683" s="44"/>
      <c r="AO2683" s="44"/>
      <c r="AP2683" s="44"/>
      <c r="AQ2683" s="44"/>
      <c r="AR2683" s="44"/>
    </row>
    <row r="2684" spans="1:44" ht="16.8">
      <c r="A2684" s="191">
        <v>42</v>
      </c>
      <c r="B2684" s="1"/>
      <c r="C2684" s="192" t="s">
        <v>5108</v>
      </c>
      <c r="D2684" s="183"/>
      <c r="E2684" s="184" t="s">
        <v>414</v>
      </c>
      <c r="F2684" s="21"/>
      <c r="G2684" s="22"/>
      <c r="H2684" s="23"/>
      <c r="I2684" s="23"/>
      <c r="J2684" s="23"/>
      <c r="K2684" s="23"/>
      <c r="L2684" s="23"/>
      <c r="M2684" s="23"/>
      <c r="N2684" s="23"/>
      <c r="O2684" s="25"/>
      <c r="P2684" s="23"/>
      <c r="Q2684" s="23"/>
      <c r="R2684" s="25"/>
      <c r="S2684" s="26"/>
      <c r="T2684" s="27"/>
      <c r="U2684" s="26"/>
      <c r="V2684" s="26"/>
      <c r="W2684" s="143"/>
      <c r="X2684" s="143"/>
      <c r="Y2684" s="143"/>
      <c r="Z2684" s="30"/>
      <c r="AA2684" s="31"/>
      <c r="AB2684" s="144"/>
      <c r="AC2684" s="144"/>
      <c r="AD2684" s="33"/>
      <c r="AE2684" s="34"/>
      <c r="AF2684" s="33"/>
      <c r="AG2684" s="33"/>
      <c r="AH2684" s="35"/>
      <c r="AI2684" s="36"/>
      <c r="AJ2684" s="23"/>
      <c r="AK2684" s="120"/>
      <c r="AL2684" s="44"/>
      <c r="AM2684" s="44"/>
      <c r="AN2684" s="44"/>
      <c r="AO2684" s="44"/>
      <c r="AP2684" s="44"/>
      <c r="AQ2684" s="44"/>
      <c r="AR2684" s="44"/>
    </row>
    <row r="2685" spans="1:44" ht="16.8">
      <c r="A2685" s="191">
        <v>43</v>
      </c>
      <c r="B2685" s="1"/>
      <c r="C2685" s="192" t="s">
        <v>5109</v>
      </c>
      <c r="D2685" s="183"/>
      <c r="E2685" s="184" t="s">
        <v>414</v>
      </c>
      <c r="F2685" s="21"/>
      <c r="G2685" s="22"/>
      <c r="H2685" s="23"/>
      <c r="I2685" s="23"/>
      <c r="J2685" s="23"/>
      <c r="K2685" s="23"/>
      <c r="L2685" s="23"/>
      <c r="M2685" s="23"/>
      <c r="N2685" s="23"/>
      <c r="O2685" s="25"/>
      <c r="P2685" s="23"/>
      <c r="Q2685" s="23"/>
      <c r="R2685" s="25"/>
      <c r="S2685" s="26"/>
      <c r="T2685" s="27"/>
      <c r="U2685" s="26"/>
      <c r="V2685" s="26"/>
      <c r="W2685" s="143"/>
      <c r="X2685" s="143"/>
      <c r="Y2685" s="143"/>
      <c r="Z2685" s="30"/>
      <c r="AA2685" s="31"/>
      <c r="AB2685" s="144"/>
      <c r="AC2685" s="144"/>
      <c r="AD2685" s="33"/>
      <c r="AE2685" s="34"/>
      <c r="AF2685" s="33"/>
      <c r="AG2685" s="33"/>
      <c r="AH2685" s="35"/>
      <c r="AI2685" s="36"/>
      <c r="AJ2685" s="23"/>
      <c r="AK2685" s="120"/>
      <c r="AL2685" s="44"/>
      <c r="AM2685" s="44"/>
      <c r="AN2685" s="44"/>
      <c r="AO2685" s="44"/>
      <c r="AP2685" s="44"/>
      <c r="AQ2685" s="44"/>
      <c r="AR2685" s="44"/>
    </row>
    <row r="2686" spans="1:44" ht="16.8">
      <c r="A2686" s="191">
        <v>44</v>
      </c>
      <c r="B2686" s="1"/>
      <c r="C2686" s="192" t="s">
        <v>5110</v>
      </c>
      <c r="D2686" s="183"/>
      <c r="E2686" s="184" t="s">
        <v>414</v>
      </c>
      <c r="F2686" s="21"/>
      <c r="G2686" s="22"/>
      <c r="H2686" s="23"/>
      <c r="I2686" s="23"/>
      <c r="J2686" s="23"/>
      <c r="K2686" s="23"/>
      <c r="L2686" s="23"/>
      <c r="M2686" s="23"/>
      <c r="N2686" s="23"/>
      <c r="O2686" s="25"/>
      <c r="P2686" s="23"/>
      <c r="Q2686" s="23"/>
      <c r="R2686" s="25"/>
      <c r="S2686" s="26"/>
      <c r="T2686" s="27"/>
      <c r="U2686" s="26"/>
      <c r="V2686" s="26"/>
      <c r="W2686" s="143"/>
      <c r="X2686" s="143"/>
      <c r="Y2686" s="143"/>
      <c r="Z2686" s="30"/>
      <c r="AA2686" s="31"/>
      <c r="AB2686" s="144"/>
      <c r="AC2686" s="144"/>
      <c r="AD2686" s="33"/>
      <c r="AE2686" s="34"/>
      <c r="AF2686" s="33"/>
      <c r="AG2686" s="33"/>
      <c r="AH2686" s="35"/>
      <c r="AI2686" s="36"/>
      <c r="AJ2686" s="23"/>
      <c r="AK2686" s="120"/>
      <c r="AL2686" s="44"/>
      <c r="AM2686" s="44"/>
      <c r="AN2686" s="44"/>
      <c r="AO2686" s="44"/>
      <c r="AP2686" s="44"/>
      <c r="AQ2686" s="44"/>
      <c r="AR2686" s="44"/>
    </row>
    <row r="2687" spans="1:44" ht="16.8">
      <c r="A2687" s="191">
        <v>45</v>
      </c>
      <c r="B2687" s="1"/>
      <c r="C2687" s="192" t="s">
        <v>5111</v>
      </c>
      <c r="D2687" s="183"/>
      <c r="E2687" s="184" t="s">
        <v>414</v>
      </c>
      <c r="F2687" s="21"/>
      <c r="G2687" s="22"/>
      <c r="H2687" s="23"/>
      <c r="I2687" s="23"/>
      <c r="J2687" s="23"/>
      <c r="K2687" s="23"/>
      <c r="L2687" s="23"/>
      <c r="M2687" s="23"/>
      <c r="N2687" s="23"/>
      <c r="O2687" s="25"/>
      <c r="P2687" s="23"/>
      <c r="Q2687" s="23"/>
      <c r="R2687" s="25"/>
      <c r="S2687" s="26"/>
      <c r="T2687" s="27"/>
      <c r="U2687" s="26"/>
      <c r="V2687" s="26"/>
      <c r="W2687" s="143"/>
      <c r="X2687" s="143"/>
      <c r="Y2687" s="143"/>
      <c r="Z2687" s="30"/>
      <c r="AA2687" s="31"/>
      <c r="AB2687" s="144"/>
      <c r="AC2687" s="144"/>
      <c r="AD2687" s="33"/>
      <c r="AE2687" s="34"/>
      <c r="AF2687" s="33"/>
      <c r="AG2687" s="33"/>
      <c r="AH2687" s="35"/>
      <c r="AI2687" s="36"/>
      <c r="AJ2687" s="23"/>
      <c r="AK2687" s="120"/>
      <c r="AL2687" s="44"/>
      <c r="AM2687" s="44"/>
      <c r="AN2687" s="44"/>
      <c r="AO2687" s="44"/>
      <c r="AP2687" s="44"/>
      <c r="AQ2687" s="44"/>
      <c r="AR2687" s="44"/>
    </row>
    <row r="2688" spans="1:44" ht="16.8">
      <c r="A2688" s="191">
        <v>46</v>
      </c>
      <c r="B2688" s="1"/>
      <c r="C2688" s="192" t="s">
        <v>5112</v>
      </c>
      <c r="D2688" s="183"/>
      <c r="E2688" s="184" t="s">
        <v>414</v>
      </c>
      <c r="F2688" s="21"/>
      <c r="G2688" s="22"/>
      <c r="H2688" s="23"/>
      <c r="I2688" s="23"/>
      <c r="J2688" s="23"/>
      <c r="K2688" s="23"/>
      <c r="L2688" s="23"/>
      <c r="M2688" s="23"/>
      <c r="N2688" s="23"/>
      <c r="O2688" s="25"/>
      <c r="P2688" s="23"/>
      <c r="Q2688" s="23"/>
      <c r="R2688" s="25"/>
      <c r="S2688" s="26"/>
      <c r="T2688" s="27"/>
      <c r="U2688" s="26"/>
      <c r="V2688" s="26"/>
      <c r="W2688" s="143"/>
      <c r="X2688" s="143"/>
      <c r="Y2688" s="143"/>
      <c r="Z2688" s="30"/>
      <c r="AA2688" s="31"/>
      <c r="AB2688" s="144"/>
      <c r="AC2688" s="144"/>
      <c r="AD2688" s="33"/>
      <c r="AE2688" s="34"/>
      <c r="AF2688" s="33"/>
      <c r="AG2688" s="33"/>
      <c r="AH2688" s="35"/>
      <c r="AI2688" s="36"/>
      <c r="AJ2688" s="23"/>
      <c r="AK2688" s="120"/>
      <c r="AL2688" s="44"/>
      <c r="AM2688" s="44"/>
      <c r="AN2688" s="44"/>
      <c r="AO2688" s="44"/>
      <c r="AP2688" s="44"/>
      <c r="AQ2688" s="44"/>
      <c r="AR2688" s="44"/>
    </row>
    <row r="2689" spans="1:44" ht="16.8">
      <c r="A2689" s="191">
        <v>47</v>
      </c>
      <c r="B2689" s="1"/>
      <c r="C2689" s="192" t="s">
        <v>5113</v>
      </c>
      <c r="D2689" s="183"/>
      <c r="E2689" s="184" t="s">
        <v>414</v>
      </c>
      <c r="F2689" s="21"/>
      <c r="G2689" s="22"/>
      <c r="H2689" s="23"/>
      <c r="I2689" s="23"/>
      <c r="J2689" s="23"/>
      <c r="K2689" s="23"/>
      <c r="L2689" s="23"/>
      <c r="M2689" s="23"/>
      <c r="N2689" s="23"/>
      <c r="O2689" s="25"/>
      <c r="P2689" s="23"/>
      <c r="Q2689" s="23"/>
      <c r="R2689" s="25"/>
      <c r="S2689" s="26"/>
      <c r="T2689" s="27"/>
      <c r="U2689" s="26"/>
      <c r="V2689" s="26"/>
      <c r="W2689" s="143"/>
      <c r="X2689" s="143"/>
      <c r="Y2689" s="143"/>
      <c r="Z2689" s="30"/>
      <c r="AA2689" s="31"/>
      <c r="AB2689" s="144"/>
      <c r="AC2689" s="144"/>
      <c r="AD2689" s="33"/>
      <c r="AE2689" s="34"/>
      <c r="AF2689" s="33"/>
      <c r="AG2689" s="33"/>
      <c r="AH2689" s="35"/>
      <c r="AI2689" s="36"/>
      <c r="AJ2689" s="23"/>
      <c r="AK2689" s="120"/>
      <c r="AL2689" s="44"/>
      <c r="AM2689" s="44"/>
      <c r="AN2689" s="44"/>
      <c r="AO2689" s="44"/>
      <c r="AP2689" s="44"/>
      <c r="AQ2689" s="44"/>
      <c r="AR2689" s="44"/>
    </row>
    <row r="2690" spans="1:44" ht="16.8">
      <c r="A2690" s="191">
        <v>48</v>
      </c>
      <c r="B2690" s="1"/>
      <c r="C2690" s="192" t="s">
        <v>3261</v>
      </c>
      <c r="D2690" s="183"/>
      <c r="E2690" s="184" t="s">
        <v>414</v>
      </c>
      <c r="F2690" s="21"/>
      <c r="G2690" s="22"/>
      <c r="H2690" s="23"/>
      <c r="I2690" s="23"/>
      <c r="J2690" s="23"/>
      <c r="K2690" s="23"/>
      <c r="L2690" s="23"/>
      <c r="M2690" s="23"/>
      <c r="N2690" s="23"/>
      <c r="O2690" s="25"/>
      <c r="P2690" s="23"/>
      <c r="Q2690" s="23"/>
      <c r="R2690" s="25"/>
      <c r="S2690" s="26"/>
      <c r="T2690" s="27"/>
      <c r="U2690" s="26"/>
      <c r="V2690" s="26"/>
      <c r="W2690" s="143"/>
      <c r="X2690" s="143"/>
      <c r="Y2690" s="143"/>
      <c r="Z2690" s="30"/>
      <c r="AA2690" s="31"/>
      <c r="AB2690" s="144"/>
      <c r="AC2690" s="144"/>
      <c r="AD2690" s="33"/>
      <c r="AE2690" s="34"/>
      <c r="AF2690" s="33"/>
      <c r="AG2690" s="33"/>
      <c r="AH2690" s="35"/>
      <c r="AI2690" s="36"/>
      <c r="AJ2690" s="23"/>
      <c r="AK2690" s="120"/>
      <c r="AL2690" s="44"/>
      <c r="AM2690" s="44"/>
      <c r="AN2690" s="44"/>
      <c r="AO2690" s="44"/>
      <c r="AP2690" s="44"/>
      <c r="AQ2690" s="44"/>
      <c r="AR2690" s="44"/>
    </row>
    <row r="2691" spans="1:44" ht="16.8">
      <c r="A2691" s="191">
        <v>49</v>
      </c>
      <c r="B2691" s="1"/>
      <c r="C2691" s="192" t="s">
        <v>5114</v>
      </c>
      <c r="D2691" s="183"/>
      <c r="E2691" s="184" t="s">
        <v>414</v>
      </c>
      <c r="F2691" s="21"/>
      <c r="G2691" s="22"/>
      <c r="H2691" s="23"/>
      <c r="I2691" s="23"/>
      <c r="J2691" s="23"/>
      <c r="K2691" s="23"/>
      <c r="L2691" s="23"/>
      <c r="M2691" s="23"/>
      <c r="N2691" s="23"/>
      <c r="O2691" s="25"/>
      <c r="P2691" s="23"/>
      <c r="Q2691" s="23"/>
      <c r="R2691" s="25"/>
      <c r="S2691" s="26"/>
      <c r="T2691" s="27"/>
      <c r="U2691" s="26"/>
      <c r="V2691" s="26"/>
      <c r="W2691" s="143"/>
      <c r="X2691" s="143"/>
      <c r="Y2691" s="143"/>
      <c r="Z2691" s="30"/>
      <c r="AA2691" s="31"/>
      <c r="AB2691" s="144"/>
      <c r="AC2691" s="144"/>
      <c r="AD2691" s="33"/>
      <c r="AE2691" s="34"/>
      <c r="AF2691" s="33"/>
      <c r="AG2691" s="33"/>
      <c r="AH2691" s="35"/>
      <c r="AI2691" s="36"/>
      <c r="AJ2691" s="23"/>
      <c r="AK2691" s="120"/>
      <c r="AL2691" s="44"/>
      <c r="AM2691" s="44"/>
      <c r="AN2691" s="44"/>
      <c r="AO2691" s="44"/>
      <c r="AP2691" s="44"/>
      <c r="AQ2691" s="44"/>
      <c r="AR2691" s="44"/>
    </row>
    <row r="2692" spans="1:44" ht="16.8">
      <c r="A2692" s="191">
        <v>50</v>
      </c>
      <c r="B2692" s="1"/>
      <c r="C2692" s="192" t="s">
        <v>5115</v>
      </c>
      <c r="D2692" s="183"/>
      <c r="E2692" s="184" t="s">
        <v>414</v>
      </c>
      <c r="F2692" s="21"/>
      <c r="G2692" s="22"/>
      <c r="H2692" s="23"/>
      <c r="I2692" s="23"/>
      <c r="J2692" s="23"/>
      <c r="K2692" s="23"/>
      <c r="L2692" s="23"/>
      <c r="M2692" s="23"/>
      <c r="N2692" s="23"/>
      <c r="O2692" s="25"/>
      <c r="P2692" s="23"/>
      <c r="Q2692" s="23"/>
      <c r="R2692" s="25"/>
      <c r="S2692" s="26"/>
      <c r="T2692" s="27"/>
      <c r="U2692" s="26"/>
      <c r="V2692" s="26"/>
      <c r="W2692" s="143"/>
      <c r="X2692" s="143"/>
      <c r="Y2692" s="143"/>
      <c r="Z2692" s="30"/>
      <c r="AA2692" s="31"/>
      <c r="AB2692" s="144"/>
      <c r="AC2692" s="144"/>
      <c r="AD2692" s="33"/>
      <c r="AE2692" s="34"/>
      <c r="AF2692" s="33"/>
      <c r="AG2692" s="33"/>
      <c r="AH2692" s="35"/>
      <c r="AI2692" s="36"/>
      <c r="AJ2692" s="23"/>
      <c r="AK2692" s="120"/>
      <c r="AL2692" s="44"/>
      <c r="AM2692" s="44"/>
      <c r="AN2692" s="44"/>
      <c r="AO2692" s="44"/>
      <c r="AP2692" s="44"/>
      <c r="AQ2692" s="44"/>
      <c r="AR2692" s="44"/>
    </row>
    <row r="2693" spans="1:44" ht="16.8">
      <c r="A2693" s="191">
        <v>51</v>
      </c>
      <c r="B2693" s="1"/>
      <c r="C2693" s="192" t="s">
        <v>5116</v>
      </c>
      <c r="D2693" s="183"/>
      <c r="E2693" s="184" t="s">
        <v>414</v>
      </c>
      <c r="F2693" s="21"/>
      <c r="G2693" s="22"/>
      <c r="H2693" s="23"/>
      <c r="I2693" s="23"/>
      <c r="J2693" s="23"/>
      <c r="K2693" s="23"/>
      <c r="L2693" s="23"/>
      <c r="M2693" s="23"/>
      <c r="N2693" s="23"/>
      <c r="O2693" s="25"/>
      <c r="P2693" s="23"/>
      <c r="Q2693" s="23"/>
      <c r="R2693" s="25"/>
      <c r="S2693" s="26"/>
      <c r="T2693" s="27"/>
      <c r="U2693" s="26"/>
      <c r="V2693" s="26"/>
      <c r="W2693" s="143"/>
      <c r="X2693" s="143"/>
      <c r="Y2693" s="143"/>
      <c r="Z2693" s="30"/>
      <c r="AA2693" s="31"/>
      <c r="AB2693" s="144"/>
      <c r="AC2693" s="144"/>
      <c r="AD2693" s="33"/>
      <c r="AE2693" s="34"/>
      <c r="AF2693" s="33"/>
      <c r="AG2693" s="33"/>
      <c r="AH2693" s="35"/>
      <c r="AI2693" s="36"/>
      <c r="AJ2693" s="23"/>
      <c r="AK2693" s="120"/>
      <c r="AL2693" s="44"/>
      <c r="AM2693" s="44"/>
      <c r="AN2693" s="44"/>
      <c r="AO2693" s="44"/>
      <c r="AP2693" s="44"/>
      <c r="AQ2693" s="44"/>
      <c r="AR2693" s="44"/>
    </row>
    <row r="2694" spans="1:44" ht="16.8">
      <c r="A2694" s="191">
        <v>52</v>
      </c>
      <c r="B2694" s="1"/>
      <c r="C2694" s="192" t="s">
        <v>5117</v>
      </c>
      <c r="D2694" s="183"/>
      <c r="E2694" s="184" t="s">
        <v>414</v>
      </c>
      <c r="F2694" s="21"/>
      <c r="G2694" s="22"/>
      <c r="H2694" s="23"/>
      <c r="I2694" s="23"/>
      <c r="J2694" s="23"/>
      <c r="K2694" s="23"/>
      <c r="L2694" s="23"/>
      <c r="M2694" s="23"/>
      <c r="N2694" s="23"/>
      <c r="O2694" s="25"/>
      <c r="P2694" s="23"/>
      <c r="Q2694" s="23"/>
      <c r="R2694" s="25"/>
      <c r="S2694" s="26"/>
      <c r="T2694" s="27"/>
      <c r="U2694" s="26"/>
      <c r="V2694" s="26"/>
      <c r="W2694" s="143"/>
      <c r="X2694" s="143"/>
      <c r="Y2694" s="143"/>
      <c r="Z2694" s="30"/>
      <c r="AA2694" s="31"/>
      <c r="AB2694" s="144"/>
      <c r="AC2694" s="144"/>
      <c r="AD2694" s="33"/>
      <c r="AE2694" s="34"/>
      <c r="AF2694" s="33"/>
      <c r="AG2694" s="33"/>
      <c r="AH2694" s="35"/>
      <c r="AI2694" s="36"/>
      <c r="AJ2694" s="23"/>
      <c r="AK2694" s="120"/>
      <c r="AL2694" s="44"/>
      <c r="AM2694" s="44"/>
      <c r="AN2694" s="44"/>
      <c r="AO2694" s="44"/>
      <c r="AP2694" s="44"/>
      <c r="AQ2694" s="44"/>
      <c r="AR2694" s="44"/>
    </row>
    <row r="2695" spans="1:44" ht="16.8">
      <c r="A2695" s="191">
        <v>53</v>
      </c>
      <c r="B2695" s="1"/>
      <c r="C2695" s="192" t="s">
        <v>5118</v>
      </c>
      <c r="D2695" s="183"/>
      <c r="E2695" s="184" t="s">
        <v>414</v>
      </c>
      <c r="F2695" s="21"/>
      <c r="G2695" s="22"/>
      <c r="H2695" s="23"/>
      <c r="I2695" s="23"/>
      <c r="J2695" s="23"/>
      <c r="K2695" s="23"/>
      <c r="L2695" s="23"/>
      <c r="M2695" s="23"/>
      <c r="N2695" s="23"/>
      <c r="O2695" s="25"/>
      <c r="P2695" s="23"/>
      <c r="Q2695" s="23"/>
      <c r="R2695" s="25"/>
      <c r="S2695" s="26"/>
      <c r="T2695" s="27"/>
      <c r="U2695" s="26"/>
      <c r="V2695" s="26"/>
      <c r="W2695" s="143"/>
      <c r="X2695" s="143"/>
      <c r="Y2695" s="143"/>
      <c r="Z2695" s="30"/>
      <c r="AA2695" s="31"/>
      <c r="AB2695" s="144"/>
      <c r="AC2695" s="144"/>
      <c r="AD2695" s="33"/>
      <c r="AE2695" s="34"/>
      <c r="AF2695" s="33"/>
      <c r="AG2695" s="33"/>
      <c r="AH2695" s="35"/>
      <c r="AI2695" s="36"/>
      <c r="AJ2695" s="23"/>
      <c r="AK2695" s="120"/>
      <c r="AL2695" s="44"/>
      <c r="AM2695" s="44"/>
      <c r="AN2695" s="44"/>
      <c r="AO2695" s="44"/>
      <c r="AP2695" s="44"/>
      <c r="AQ2695" s="44"/>
      <c r="AR2695" s="44"/>
    </row>
    <row r="2696" spans="1:44" ht="16.8">
      <c r="A2696" s="191">
        <v>54</v>
      </c>
      <c r="B2696" s="1"/>
      <c r="C2696" s="192" t="s">
        <v>5119</v>
      </c>
      <c r="D2696" s="183"/>
      <c r="E2696" s="184" t="s">
        <v>414</v>
      </c>
      <c r="F2696" s="21"/>
      <c r="G2696" s="22"/>
      <c r="H2696" s="23"/>
      <c r="I2696" s="23"/>
      <c r="J2696" s="23"/>
      <c r="K2696" s="23"/>
      <c r="L2696" s="23"/>
      <c r="M2696" s="23"/>
      <c r="N2696" s="23"/>
      <c r="O2696" s="25"/>
      <c r="P2696" s="23"/>
      <c r="Q2696" s="23"/>
      <c r="R2696" s="25"/>
      <c r="S2696" s="26"/>
      <c r="T2696" s="27"/>
      <c r="U2696" s="26"/>
      <c r="V2696" s="26"/>
      <c r="W2696" s="143"/>
      <c r="X2696" s="143"/>
      <c r="Y2696" s="143"/>
      <c r="Z2696" s="30"/>
      <c r="AA2696" s="31"/>
      <c r="AB2696" s="144"/>
      <c r="AC2696" s="144"/>
      <c r="AD2696" s="33"/>
      <c r="AE2696" s="34"/>
      <c r="AF2696" s="33"/>
      <c r="AG2696" s="33"/>
      <c r="AH2696" s="35"/>
      <c r="AI2696" s="36"/>
      <c r="AJ2696" s="23"/>
      <c r="AK2696" s="120"/>
      <c r="AL2696" s="44"/>
      <c r="AM2696" s="44"/>
      <c r="AN2696" s="44"/>
      <c r="AO2696" s="44"/>
      <c r="AP2696" s="44"/>
      <c r="AQ2696" s="44"/>
      <c r="AR2696" s="44"/>
    </row>
    <row r="2697" spans="1:44" ht="16.8">
      <c r="A2697" s="191">
        <v>55</v>
      </c>
      <c r="B2697" s="1"/>
      <c r="C2697" s="192" t="s">
        <v>5120</v>
      </c>
      <c r="D2697" s="183"/>
      <c r="E2697" s="184" t="s">
        <v>414</v>
      </c>
      <c r="F2697" s="21"/>
      <c r="G2697" s="22"/>
      <c r="H2697" s="23"/>
      <c r="I2697" s="23"/>
      <c r="J2697" s="23"/>
      <c r="K2697" s="23"/>
      <c r="L2697" s="23"/>
      <c r="M2697" s="23"/>
      <c r="N2697" s="23"/>
      <c r="O2697" s="25"/>
      <c r="P2697" s="23"/>
      <c r="Q2697" s="23"/>
      <c r="R2697" s="25"/>
      <c r="S2697" s="26"/>
      <c r="T2697" s="27"/>
      <c r="U2697" s="26"/>
      <c r="V2697" s="26"/>
      <c r="W2697" s="143"/>
      <c r="X2697" s="143"/>
      <c r="Y2697" s="143"/>
      <c r="Z2697" s="30"/>
      <c r="AA2697" s="31"/>
      <c r="AB2697" s="144"/>
      <c r="AC2697" s="144"/>
      <c r="AD2697" s="33"/>
      <c r="AE2697" s="34"/>
      <c r="AF2697" s="33"/>
      <c r="AG2697" s="33"/>
      <c r="AH2697" s="35"/>
      <c r="AI2697" s="36"/>
      <c r="AJ2697" s="23"/>
      <c r="AK2697" s="120"/>
      <c r="AL2697" s="44"/>
      <c r="AM2697" s="44"/>
      <c r="AN2697" s="44"/>
      <c r="AO2697" s="44"/>
      <c r="AP2697" s="44"/>
      <c r="AQ2697" s="44"/>
      <c r="AR2697" s="44"/>
    </row>
    <row r="2698" spans="1:44" ht="16.8">
      <c r="A2698" s="191">
        <v>56</v>
      </c>
      <c r="B2698" s="1"/>
      <c r="C2698" s="192" t="s">
        <v>5121</v>
      </c>
      <c r="D2698" s="183"/>
      <c r="E2698" s="184" t="s">
        <v>414</v>
      </c>
      <c r="F2698" s="21"/>
      <c r="G2698" s="22"/>
      <c r="H2698" s="23"/>
      <c r="I2698" s="23"/>
      <c r="J2698" s="23"/>
      <c r="K2698" s="23"/>
      <c r="L2698" s="23"/>
      <c r="M2698" s="23"/>
      <c r="N2698" s="23"/>
      <c r="O2698" s="25"/>
      <c r="P2698" s="23"/>
      <c r="Q2698" s="23"/>
      <c r="R2698" s="25"/>
      <c r="S2698" s="26"/>
      <c r="T2698" s="27"/>
      <c r="U2698" s="26"/>
      <c r="V2698" s="26"/>
      <c r="W2698" s="143"/>
      <c r="X2698" s="143"/>
      <c r="Y2698" s="143"/>
      <c r="Z2698" s="30"/>
      <c r="AA2698" s="31"/>
      <c r="AB2698" s="144"/>
      <c r="AC2698" s="144"/>
      <c r="AD2698" s="33"/>
      <c r="AE2698" s="34"/>
      <c r="AF2698" s="33"/>
      <c r="AG2698" s="33"/>
      <c r="AH2698" s="35"/>
      <c r="AI2698" s="36"/>
      <c r="AJ2698" s="23"/>
      <c r="AK2698" s="120"/>
      <c r="AL2698" s="44"/>
      <c r="AM2698" s="44"/>
      <c r="AN2698" s="44"/>
      <c r="AO2698" s="44"/>
      <c r="AP2698" s="44"/>
      <c r="AQ2698" s="44"/>
      <c r="AR2698" s="44"/>
    </row>
    <row r="2699" spans="1:44" ht="16.8">
      <c r="A2699" s="191">
        <v>57</v>
      </c>
      <c r="B2699" s="1"/>
      <c r="C2699" s="192" t="s">
        <v>5122</v>
      </c>
      <c r="D2699" s="183"/>
      <c r="E2699" s="184" t="s">
        <v>414</v>
      </c>
      <c r="F2699" s="21"/>
      <c r="G2699" s="22"/>
      <c r="H2699" s="23"/>
      <c r="I2699" s="23"/>
      <c r="J2699" s="23"/>
      <c r="K2699" s="23"/>
      <c r="L2699" s="23"/>
      <c r="M2699" s="23"/>
      <c r="N2699" s="23"/>
      <c r="O2699" s="25"/>
      <c r="P2699" s="23"/>
      <c r="Q2699" s="23"/>
      <c r="R2699" s="25"/>
      <c r="S2699" s="26"/>
      <c r="T2699" s="27"/>
      <c r="U2699" s="26"/>
      <c r="V2699" s="26"/>
      <c r="W2699" s="143"/>
      <c r="X2699" s="143"/>
      <c r="Y2699" s="143"/>
      <c r="Z2699" s="30"/>
      <c r="AA2699" s="31"/>
      <c r="AB2699" s="144"/>
      <c r="AC2699" s="144"/>
      <c r="AD2699" s="33"/>
      <c r="AE2699" s="34"/>
      <c r="AF2699" s="33"/>
      <c r="AG2699" s="33"/>
      <c r="AH2699" s="35"/>
      <c r="AI2699" s="36"/>
      <c r="AJ2699" s="23"/>
      <c r="AK2699" s="120"/>
      <c r="AL2699" s="44"/>
      <c r="AM2699" s="44"/>
      <c r="AN2699" s="44"/>
      <c r="AO2699" s="44"/>
      <c r="AP2699" s="44"/>
      <c r="AQ2699" s="44"/>
      <c r="AR2699" s="44"/>
    </row>
    <row r="2700" spans="1:44" ht="16.8">
      <c r="A2700" s="191">
        <v>58</v>
      </c>
      <c r="B2700" s="1"/>
      <c r="C2700" s="192" t="s">
        <v>5123</v>
      </c>
      <c r="D2700" s="183"/>
      <c r="E2700" s="184" t="s">
        <v>414</v>
      </c>
      <c r="F2700" s="21"/>
      <c r="G2700" s="22"/>
      <c r="H2700" s="23"/>
      <c r="I2700" s="23"/>
      <c r="J2700" s="23"/>
      <c r="K2700" s="23"/>
      <c r="L2700" s="23"/>
      <c r="M2700" s="23"/>
      <c r="N2700" s="23"/>
      <c r="O2700" s="25"/>
      <c r="P2700" s="23"/>
      <c r="Q2700" s="23"/>
      <c r="R2700" s="25"/>
      <c r="S2700" s="26"/>
      <c r="T2700" s="27"/>
      <c r="U2700" s="26"/>
      <c r="V2700" s="26"/>
      <c r="W2700" s="143"/>
      <c r="X2700" s="143"/>
      <c r="Y2700" s="143"/>
      <c r="Z2700" s="30"/>
      <c r="AA2700" s="31"/>
      <c r="AB2700" s="144"/>
      <c r="AC2700" s="144"/>
      <c r="AD2700" s="33"/>
      <c r="AE2700" s="34"/>
      <c r="AF2700" s="33"/>
      <c r="AG2700" s="33"/>
      <c r="AH2700" s="35"/>
      <c r="AI2700" s="36"/>
      <c r="AJ2700" s="23"/>
      <c r="AK2700" s="120"/>
      <c r="AL2700" s="44"/>
      <c r="AM2700" s="44"/>
      <c r="AN2700" s="44"/>
      <c r="AO2700" s="44"/>
      <c r="AP2700" s="44"/>
      <c r="AQ2700" s="44"/>
      <c r="AR2700" s="44"/>
    </row>
    <row r="2701" spans="1:44" ht="16.8">
      <c r="A2701" s="191">
        <v>59</v>
      </c>
      <c r="B2701" s="1"/>
      <c r="C2701" s="192" t="s">
        <v>5124</v>
      </c>
      <c r="D2701" s="183"/>
      <c r="E2701" s="184" t="s">
        <v>414</v>
      </c>
      <c r="F2701" s="21"/>
      <c r="G2701" s="22"/>
      <c r="H2701" s="23"/>
      <c r="I2701" s="23"/>
      <c r="J2701" s="23"/>
      <c r="K2701" s="23"/>
      <c r="L2701" s="23"/>
      <c r="M2701" s="23"/>
      <c r="N2701" s="23"/>
      <c r="O2701" s="25"/>
      <c r="P2701" s="23"/>
      <c r="Q2701" s="23"/>
      <c r="R2701" s="25"/>
      <c r="S2701" s="26"/>
      <c r="T2701" s="27"/>
      <c r="U2701" s="26"/>
      <c r="V2701" s="26"/>
      <c r="W2701" s="143"/>
      <c r="X2701" s="143"/>
      <c r="Y2701" s="143"/>
      <c r="Z2701" s="30"/>
      <c r="AA2701" s="31"/>
      <c r="AB2701" s="144"/>
      <c r="AC2701" s="144"/>
      <c r="AD2701" s="33"/>
      <c r="AE2701" s="34"/>
      <c r="AF2701" s="33"/>
      <c r="AG2701" s="33"/>
      <c r="AH2701" s="35"/>
      <c r="AI2701" s="36"/>
      <c r="AJ2701" s="23"/>
      <c r="AK2701" s="120"/>
      <c r="AL2701" s="44"/>
      <c r="AM2701" s="44"/>
      <c r="AN2701" s="44"/>
      <c r="AO2701" s="44"/>
      <c r="AP2701" s="44"/>
      <c r="AQ2701" s="44"/>
      <c r="AR2701" s="44"/>
    </row>
    <row r="2702" spans="1:44" ht="16.8">
      <c r="A2702" s="191">
        <v>60</v>
      </c>
      <c r="B2702" s="1"/>
      <c r="C2702" s="192" t="s">
        <v>5125</v>
      </c>
      <c r="D2702" s="183"/>
      <c r="E2702" s="184" t="s">
        <v>414</v>
      </c>
      <c r="F2702" s="21"/>
      <c r="G2702" s="22"/>
      <c r="H2702" s="23"/>
      <c r="I2702" s="23"/>
      <c r="J2702" s="23"/>
      <c r="K2702" s="23"/>
      <c r="L2702" s="23"/>
      <c r="M2702" s="23"/>
      <c r="N2702" s="23"/>
      <c r="O2702" s="25"/>
      <c r="P2702" s="23"/>
      <c r="Q2702" s="23"/>
      <c r="R2702" s="25"/>
      <c r="S2702" s="26"/>
      <c r="T2702" s="27"/>
      <c r="U2702" s="26"/>
      <c r="V2702" s="26"/>
      <c r="W2702" s="143"/>
      <c r="X2702" s="143"/>
      <c r="Y2702" s="143"/>
      <c r="Z2702" s="30"/>
      <c r="AA2702" s="31"/>
      <c r="AB2702" s="144"/>
      <c r="AC2702" s="144"/>
      <c r="AD2702" s="33"/>
      <c r="AE2702" s="34"/>
      <c r="AF2702" s="33"/>
      <c r="AG2702" s="33"/>
      <c r="AH2702" s="35"/>
      <c r="AI2702" s="36"/>
      <c r="AJ2702" s="23"/>
      <c r="AK2702" s="120"/>
      <c r="AL2702" s="44"/>
      <c r="AM2702" s="44"/>
      <c r="AN2702" s="44"/>
      <c r="AO2702" s="44"/>
      <c r="AP2702" s="44"/>
      <c r="AQ2702" s="44"/>
      <c r="AR2702" s="44"/>
    </row>
    <row r="2703" spans="1:44" ht="16.8">
      <c r="A2703" s="191">
        <v>61</v>
      </c>
      <c r="B2703" s="1"/>
      <c r="C2703" s="192" t="s">
        <v>5126</v>
      </c>
      <c r="D2703" s="183"/>
      <c r="E2703" s="184" t="s">
        <v>414</v>
      </c>
      <c r="F2703" s="21"/>
      <c r="G2703" s="22"/>
      <c r="H2703" s="23"/>
      <c r="I2703" s="23"/>
      <c r="J2703" s="23"/>
      <c r="K2703" s="23"/>
      <c r="L2703" s="23"/>
      <c r="M2703" s="23"/>
      <c r="N2703" s="23"/>
      <c r="O2703" s="25"/>
      <c r="P2703" s="23"/>
      <c r="Q2703" s="23"/>
      <c r="R2703" s="25"/>
      <c r="S2703" s="26"/>
      <c r="T2703" s="27"/>
      <c r="U2703" s="26"/>
      <c r="V2703" s="26"/>
      <c r="W2703" s="143"/>
      <c r="X2703" s="143"/>
      <c r="Y2703" s="143"/>
      <c r="Z2703" s="30"/>
      <c r="AA2703" s="31"/>
      <c r="AB2703" s="144"/>
      <c r="AC2703" s="144"/>
      <c r="AD2703" s="33"/>
      <c r="AE2703" s="34"/>
      <c r="AF2703" s="33"/>
      <c r="AG2703" s="33"/>
      <c r="AH2703" s="35"/>
      <c r="AI2703" s="36"/>
      <c r="AJ2703" s="23"/>
      <c r="AK2703" s="120"/>
      <c r="AL2703" s="44"/>
      <c r="AM2703" s="44"/>
      <c r="AN2703" s="44"/>
      <c r="AO2703" s="44"/>
      <c r="AP2703" s="44"/>
      <c r="AQ2703" s="44"/>
      <c r="AR2703" s="44"/>
    </row>
    <row r="2704" spans="1:44" ht="16.8">
      <c r="A2704" s="191">
        <v>62</v>
      </c>
      <c r="B2704" s="1"/>
      <c r="C2704" s="192" t="s">
        <v>5127</v>
      </c>
      <c r="D2704" s="183"/>
      <c r="E2704" s="184" t="s">
        <v>414</v>
      </c>
      <c r="F2704" s="21"/>
      <c r="G2704" s="22"/>
      <c r="H2704" s="23"/>
      <c r="I2704" s="23"/>
      <c r="J2704" s="23"/>
      <c r="K2704" s="23"/>
      <c r="L2704" s="23"/>
      <c r="M2704" s="23"/>
      <c r="N2704" s="23"/>
      <c r="O2704" s="25"/>
      <c r="P2704" s="23"/>
      <c r="Q2704" s="23"/>
      <c r="R2704" s="25"/>
      <c r="S2704" s="26"/>
      <c r="T2704" s="27"/>
      <c r="U2704" s="26"/>
      <c r="V2704" s="26"/>
      <c r="W2704" s="143"/>
      <c r="X2704" s="143"/>
      <c r="Y2704" s="143"/>
      <c r="Z2704" s="30"/>
      <c r="AA2704" s="31"/>
      <c r="AB2704" s="144"/>
      <c r="AC2704" s="144"/>
      <c r="AD2704" s="33"/>
      <c r="AE2704" s="34"/>
      <c r="AF2704" s="33"/>
      <c r="AG2704" s="33"/>
      <c r="AH2704" s="35"/>
      <c r="AI2704" s="36"/>
      <c r="AJ2704" s="23"/>
      <c r="AK2704" s="120"/>
      <c r="AL2704" s="44"/>
      <c r="AM2704" s="44"/>
      <c r="AN2704" s="44"/>
      <c r="AO2704" s="44"/>
      <c r="AP2704" s="44"/>
      <c r="AQ2704" s="44"/>
      <c r="AR2704" s="44"/>
    </row>
    <row r="2705" spans="1:44" ht="16.8">
      <c r="A2705" s="191"/>
      <c r="B2705" s="1"/>
      <c r="C2705" s="192" t="s">
        <v>5128</v>
      </c>
      <c r="D2705" s="183"/>
      <c r="E2705" s="184" t="s">
        <v>414</v>
      </c>
      <c r="F2705" s="21"/>
      <c r="G2705" s="22"/>
      <c r="H2705" s="23"/>
      <c r="I2705" s="23"/>
      <c r="J2705" s="23"/>
      <c r="K2705" s="23"/>
      <c r="L2705" s="23"/>
      <c r="M2705" s="23"/>
      <c r="N2705" s="23"/>
      <c r="O2705" s="25"/>
      <c r="P2705" s="23"/>
      <c r="Q2705" s="23"/>
      <c r="R2705" s="25"/>
      <c r="S2705" s="26"/>
      <c r="T2705" s="27"/>
      <c r="U2705" s="26"/>
      <c r="V2705" s="26"/>
      <c r="W2705" s="143"/>
      <c r="X2705" s="143"/>
      <c r="Y2705" s="143"/>
      <c r="Z2705" s="30"/>
      <c r="AA2705" s="31"/>
      <c r="AB2705" s="144"/>
      <c r="AC2705" s="144"/>
      <c r="AD2705" s="33"/>
      <c r="AE2705" s="34"/>
      <c r="AF2705" s="33"/>
      <c r="AG2705" s="33"/>
      <c r="AH2705" s="35"/>
      <c r="AI2705" s="36"/>
      <c r="AJ2705" s="23"/>
      <c r="AK2705" s="120"/>
      <c r="AL2705" s="44"/>
      <c r="AM2705" s="44"/>
      <c r="AN2705" s="44"/>
      <c r="AO2705" s="44"/>
      <c r="AP2705" s="44"/>
      <c r="AQ2705" s="44"/>
      <c r="AR2705" s="44"/>
    </row>
    <row r="2706" spans="1:44" ht="16.8">
      <c r="A2706" s="191">
        <v>63</v>
      </c>
      <c r="B2706" s="1"/>
      <c r="C2706" s="192" t="s">
        <v>5129</v>
      </c>
      <c r="D2706" s="183"/>
      <c r="E2706" s="184" t="s">
        <v>414</v>
      </c>
      <c r="F2706" s="21"/>
      <c r="G2706" s="22"/>
      <c r="H2706" s="23"/>
      <c r="I2706" s="23"/>
      <c r="J2706" s="23"/>
      <c r="K2706" s="23"/>
      <c r="L2706" s="23"/>
      <c r="M2706" s="23"/>
      <c r="N2706" s="23"/>
      <c r="O2706" s="25"/>
      <c r="P2706" s="23"/>
      <c r="Q2706" s="23"/>
      <c r="R2706" s="25"/>
      <c r="S2706" s="26"/>
      <c r="T2706" s="27"/>
      <c r="U2706" s="26"/>
      <c r="V2706" s="26"/>
      <c r="W2706" s="143"/>
      <c r="X2706" s="143"/>
      <c r="Y2706" s="143"/>
      <c r="Z2706" s="30"/>
      <c r="AA2706" s="31"/>
      <c r="AB2706" s="144"/>
      <c r="AC2706" s="144"/>
      <c r="AD2706" s="33"/>
      <c r="AE2706" s="34"/>
      <c r="AF2706" s="33"/>
      <c r="AG2706" s="33"/>
      <c r="AH2706" s="35"/>
      <c r="AI2706" s="36"/>
      <c r="AJ2706" s="23"/>
      <c r="AK2706" s="120"/>
      <c r="AL2706" s="44"/>
      <c r="AM2706" s="44"/>
      <c r="AN2706" s="44"/>
      <c r="AO2706" s="44"/>
      <c r="AP2706" s="44"/>
      <c r="AQ2706" s="44"/>
      <c r="AR2706" s="44"/>
    </row>
    <row r="2707" spans="1:44" ht="16.8">
      <c r="A2707" s="191">
        <v>64</v>
      </c>
      <c r="B2707" s="1"/>
      <c r="C2707" s="192" t="s">
        <v>5130</v>
      </c>
      <c r="D2707" s="183"/>
      <c r="E2707" s="184" t="s">
        <v>414</v>
      </c>
      <c r="F2707" s="21"/>
      <c r="G2707" s="22"/>
      <c r="H2707" s="23"/>
      <c r="I2707" s="23"/>
      <c r="J2707" s="23"/>
      <c r="K2707" s="23"/>
      <c r="L2707" s="23"/>
      <c r="M2707" s="23"/>
      <c r="N2707" s="23"/>
      <c r="O2707" s="25"/>
      <c r="P2707" s="23"/>
      <c r="Q2707" s="23"/>
      <c r="R2707" s="25"/>
      <c r="S2707" s="26"/>
      <c r="T2707" s="27"/>
      <c r="U2707" s="26"/>
      <c r="V2707" s="26"/>
      <c r="W2707" s="143"/>
      <c r="X2707" s="143"/>
      <c r="Y2707" s="143"/>
      <c r="Z2707" s="30"/>
      <c r="AA2707" s="31"/>
      <c r="AB2707" s="144"/>
      <c r="AC2707" s="144"/>
      <c r="AD2707" s="33"/>
      <c r="AE2707" s="34"/>
      <c r="AF2707" s="33"/>
      <c r="AG2707" s="33"/>
      <c r="AH2707" s="35"/>
      <c r="AI2707" s="36"/>
      <c r="AJ2707" s="23"/>
      <c r="AK2707" s="120"/>
      <c r="AL2707" s="44"/>
      <c r="AM2707" s="44"/>
      <c r="AN2707" s="44"/>
      <c r="AO2707" s="44"/>
      <c r="AP2707" s="44"/>
      <c r="AQ2707" s="44"/>
      <c r="AR2707" s="44"/>
    </row>
    <row r="2708" spans="1:44" ht="16.8">
      <c r="A2708" s="191">
        <v>65</v>
      </c>
      <c r="B2708" s="1"/>
      <c r="C2708" s="192" t="s">
        <v>5131</v>
      </c>
      <c r="D2708" s="183"/>
      <c r="E2708" s="184" t="s">
        <v>414</v>
      </c>
      <c r="F2708" s="21"/>
      <c r="G2708" s="22"/>
      <c r="H2708" s="23"/>
      <c r="I2708" s="23"/>
      <c r="J2708" s="23"/>
      <c r="K2708" s="23"/>
      <c r="L2708" s="23"/>
      <c r="M2708" s="23"/>
      <c r="N2708" s="23"/>
      <c r="O2708" s="25"/>
      <c r="P2708" s="23"/>
      <c r="Q2708" s="23"/>
      <c r="R2708" s="25"/>
      <c r="S2708" s="26"/>
      <c r="T2708" s="27"/>
      <c r="U2708" s="26"/>
      <c r="V2708" s="26"/>
      <c r="W2708" s="143"/>
      <c r="X2708" s="143"/>
      <c r="Y2708" s="143"/>
      <c r="Z2708" s="30"/>
      <c r="AA2708" s="31"/>
      <c r="AB2708" s="144"/>
      <c r="AC2708" s="144"/>
      <c r="AD2708" s="33"/>
      <c r="AE2708" s="34"/>
      <c r="AF2708" s="33"/>
      <c r="AG2708" s="33"/>
      <c r="AH2708" s="35"/>
      <c r="AI2708" s="36"/>
      <c r="AJ2708" s="23"/>
      <c r="AK2708" s="120"/>
      <c r="AL2708" s="44"/>
      <c r="AM2708" s="44"/>
      <c r="AN2708" s="44"/>
      <c r="AO2708" s="44"/>
      <c r="AP2708" s="44"/>
      <c r="AQ2708" s="44"/>
      <c r="AR2708" s="44"/>
    </row>
    <row r="2709" spans="1:44" ht="16.8">
      <c r="A2709" s="191">
        <v>66</v>
      </c>
      <c r="B2709" s="1"/>
      <c r="C2709" s="192" t="s">
        <v>5132</v>
      </c>
      <c r="D2709" s="183"/>
      <c r="E2709" s="184" t="s">
        <v>414</v>
      </c>
      <c r="F2709" s="21"/>
      <c r="G2709" s="22"/>
      <c r="H2709" s="23"/>
      <c r="I2709" s="23"/>
      <c r="J2709" s="23"/>
      <c r="K2709" s="23"/>
      <c r="L2709" s="23"/>
      <c r="M2709" s="23"/>
      <c r="N2709" s="23"/>
      <c r="O2709" s="25"/>
      <c r="P2709" s="23"/>
      <c r="Q2709" s="23"/>
      <c r="R2709" s="25"/>
      <c r="S2709" s="26"/>
      <c r="T2709" s="27"/>
      <c r="U2709" s="26"/>
      <c r="V2709" s="26"/>
      <c r="W2709" s="143"/>
      <c r="X2709" s="143"/>
      <c r="Y2709" s="143"/>
      <c r="Z2709" s="30"/>
      <c r="AA2709" s="31"/>
      <c r="AB2709" s="144"/>
      <c r="AC2709" s="144"/>
      <c r="AD2709" s="33"/>
      <c r="AE2709" s="34"/>
      <c r="AF2709" s="33"/>
      <c r="AG2709" s="33"/>
      <c r="AH2709" s="35"/>
      <c r="AI2709" s="36"/>
      <c r="AJ2709" s="23"/>
      <c r="AK2709" s="120"/>
      <c r="AL2709" s="44"/>
      <c r="AM2709" s="44"/>
      <c r="AN2709" s="44"/>
      <c r="AO2709" s="44"/>
      <c r="AP2709" s="44"/>
      <c r="AQ2709" s="44"/>
      <c r="AR2709" s="44"/>
    </row>
    <row r="2710" spans="1:44" ht="16.8">
      <c r="A2710" s="191">
        <v>67</v>
      </c>
      <c r="B2710" s="1"/>
      <c r="C2710" s="192" t="s">
        <v>5133</v>
      </c>
      <c r="D2710" s="183"/>
      <c r="E2710" s="184" t="s">
        <v>414</v>
      </c>
      <c r="F2710" s="21"/>
      <c r="G2710" s="22"/>
      <c r="H2710" s="23"/>
      <c r="I2710" s="23"/>
      <c r="J2710" s="23"/>
      <c r="K2710" s="23"/>
      <c r="L2710" s="23"/>
      <c r="M2710" s="23"/>
      <c r="N2710" s="23"/>
      <c r="O2710" s="25"/>
      <c r="P2710" s="23"/>
      <c r="Q2710" s="23"/>
      <c r="R2710" s="25"/>
      <c r="S2710" s="26"/>
      <c r="T2710" s="27"/>
      <c r="U2710" s="26"/>
      <c r="V2710" s="26"/>
      <c r="W2710" s="143"/>
      <c r="X2710" s="143"/>
      <c r="Y2710" s="143"/>
      <c r="Z2710" s="30"/>
      <c r="AA2710" s="31"/>
      <c r="AB2710" s="144"/>
      <c r="AC2710" s="144"/>
      <c r="AD2710" s="33"/>
      <c r="AE2710" s="34"/>
      <c r="AF2710" s="33"/>
      <c r="AG2710" s="33"/>
      <c r="AH2710" s="35"/>
      <c r="AI2710" s="36"/>
      <c r="AJ2710" s="23"/>
      <c r="AK2710" s="120"/>
      <c r="AL2710" s="44"/>
      <c r="AM2710" s="44"/>
      <c r="AN2710" s="44"/>
      <c r="AO2710" s="44"/>
      <c r="AP2710" s="44"/>
      <c r="AQ2710" s="44"/>
      <c r="AR2710" s="44"/>
    </row>
    <row r="2711" spans="1:44" ht="16.8">
      <c r="A2711" s="191">
        <v>68</v>
      </c>
      <c r="B2711" s="1"/>
      <c r="C2711" s="192" t="s">
        <v>5134</v>
      </c>
      <c r="D2711" s="183"/>
      <c r="E2711" s="184" t="s">
        <v>414</v>
      </c>
      <c r="F2711" s="21"/>
      <c r="G2711" s="22"/>
      <c r="H2711" s="23"/>
      <c r="I2711" s="23"/>
      <c r="J2711" s="23"/>
      <c r="K2711" s="23"/>
      <c r="L2711" s="23"/>
      <c r="M2711" s="23"/>
      <c r="N2711" s="23"/>
      <c r="O2711" s="25"/>
      <c r="P2711" s="23"/>
      <c r="Q2711" s="23"/>
      <c r="R2711" s="25"/>
      <c r="S2711" s="26"/>
      <c r="T2711" s="27"/>
      <c r="U2711" s="26"/>
      <c r="V2711" s="26"/>
      <c r="W2711" s="143"/>
      <c r="X2711" s="143"/>
      <c r="Y2711" s="143"/>
      <c r="Z2711" s="30"/>
      <c r="AA2711" s="31"/>
      <c r="AB2711" s="144"/>
      <c r="AC2711" s="144"/>
      <c r="AD2711" s="33"/>
      <c r="AE2711" s="34"/>
      <c r="AF2711" s="33"/>
      <c r="AG2711" s="33"/>
      <c r="AH2711" s="35"/>
      <c r="AI2711" s="36"/>
      <c r="AJ2711" s="23"/>
      <c r="AK2711" s="120"/>
      <c r="AL2711" s="44"/>
      <c r="AM2711" s="44"/>
      <c r="AN2711" s="44"/>
      <c r="AO2711" s="44"/>
      <c r="AP2711" s="44"/>
      <c r="AQ2711" s="44"/>
      <c r="AR2711" s="44"/>
    </row>
    <row r="2712" spans="1:44" ht="16.8">
      <c r="A2712" s="191">
        <v>69</v>
      </c>
      <c r="B2712" s="1"/>
      <c r="C2712" s="192" t="s">
        <v>5135</v>
      </c>
      <c r="D2712" s="183"/>
      <c r="E2712" s="184" t="s">
        <v>414</v>
      </c>
      <c r="F2712" s="21"/>
      <c r="G2712" s="22"/>
      <c r="H2712" s="23"/>
      <c r="I2712" s="23"/>
      <c r="J2712" s="23"/>
      <c r="K2712" s="23"/>
      <c r="L2712" s="23"/>
      <c r="M2712" s="23"/>
      <c r="N2712" s="23"/>
      <c r="O2712" s="25"/>
      <c r="P2712" s="23"/>
      <c r="Q2712" s="23"/>
      <c r="R2712" s="25"/>
      <c r="S2712" s="26"/>
      <c r="T2712" s="27"/>
      <c r="U2712" s="26"/>
      <c r="V2712" s="26"/>
      <c r="W2712" s="143"/>
      <c r="X2712" s="143"/>
      <c r="Y2712" s="143"/>
      <c r="Z2712" s="30"/>
      <c r="AA2712" s="31"/>
      <c r="AB2712" s="144"/>
      <c r="AC2712" s="144"/>
      <c r="AD2712" s="33"/>
      <c r="AE2712" s="34"/>
      <c r="AF2712" s="33"/>
      <c r="AG2712" s="33"/>
      <c r="AH2712" s="35"/>
      <c r="AI2712" s="36"/>
      <c r="AJ2712" s="23"/>
      <c r="AK2712" s="120"/>
      <c r="AL2712" s="44"/>
      <c r="AM2712" s="44"/>
      <c r="AN2712" s="44"/>
      <c r="AO2712" s="44"/>
      <c r="AP2712" s="44"/>
      <c r="AQ2712" s="44"/>
      <c r="AR2712" s="44"/>
    </row>
    <row r="2713" spans="1:44" ht="16.8">
      <c r="A2713" s="191">
        <v>70</v>
      </c>
      <c r="B2713" s="1"/>
      <c r="C2713" s="192" t="s">
        <v>5136</v>
      </c>
      <c r="D2713" s="183"/>
      <c r="E2713" s="184" t="s">
        <v>414</v>
      </c>
      <c r="F2713" s="21"/>
      <c r="G2713" s="22"/>
      <c r="H2713" s="23"/>
      <c r="I2713" s="23"/>
      <c r="J2713" s="23"/>
      <c r="K2713" s="23"/>
      <c r="L2713" s="23"/>
      <c r="M2713" s="23"/>
      <c r="N2713" s="23"/>
      <c r="O2713" s="25"/>
      <c r="P2713" s="23"/>
      <c r="Q2713" s="23"/>
      <c r="R2713" s="25"/>
      <c r="S2713" s="26"/>
      <c r="T2713" s="27"/>
      <c r="U2713" s="26"/>
      <c r="V2713" s="26"/>
      <c r="W2713" s="143"/>
      <c r="X2713" s="143"/>
      <c r="Y2713" s="143"/>
      <c r="Z2713" s="30"/>
      <c r="AA2713" s="31"/>
      <c r="AB2713" s="144"/>
      <c r="AC2713" s="144"/>
      <c r="AD2713" s="33"/>
      <c r="AE2713" s="34"/>
      <c r="AF2713" s="33"/>
      <c r="AG2713" s="33"/>
      <c r="AH2713" s="35"/>
      <c r="AI2713" s="36"/>
      <c r="AJ2713" s="23"/>
      <c r="AK2713" s="120"/>
      <c r="AL2713" s="44"/>
      <c r="AM2713" s="44"/>
      <c r="AN2713" s="44"/>
      <c r="AO2713" s="44"/>
      <c r="AP2713" s="44"/>
      <c r="AQ2713" s="44"/>
      <c r="AR2713" s="44"/>
    </row>
    <row r="2714" spans="1:44" ht="16.8">
      <c r="A2714" s="191">
        <v>71</v>
      </c>
      <c r="B2714" s="1"/>
      <c r="C2714" s="192" t="s">
        <v>5137</v>
      </c>
      <c r="D2714" s="183"/>
      <c r="E2714" s="184" t="s">
        <v>414</v>
      </c>
      <c r="F2714" s="21"/>
      <c r="G2714" s="22"/>
      <c r="H2714" s="23"/>
      <c r="I2714" s="23"/>
      <c r="J2714" s="23"/>
      <c r="K2714" s="23"/>
      <c r="L2714" s="23"/>
      <c r="M2714" s="23"/>
      <c r="N2714" s="23"/>
      <c r="O2714" s="25"/>
      <c r="P2714" s="23"/>
      <c r="Q2714" s="23"/>
      <c r="R2714" s="25"/>
      <c r="S2714" s="26"/>
      <c r="T2714" s="27"/>
      <c r="U2714" s="26"/>
      <c r="V2714" s="26"/>
      <c r="W2714" s="143"/>
      <c r="X2714" s="143"/>
      <c r="Y2714" s="143"/>
      <c r="Z2714" s="30"/>
      <c r="AA2714" s="31"/>
      <c r="AB2714" s="144"/>
      <c r="AC2714" s="144"/>
      <c r="AD2714" s="33"/>
      <c r="AE2714" s="34"/>
      <c r="AF2714" s="33"/>
      <c r="AG2714" s="33"/>
      <c r="AH2714" s="35"/>
      <c r="AI2714" s="36"/>
      <c r="AJ2714" s="23"/>
      <c r="AK2714" s="120"/>
      <c r="AL2714" s="44"/>
      <c r="AM2714" s="44"/>
      <c r="AN2714" s="44"/>
      <c r="AO2714" s="44"/>
      <c r="AP2714" s="44"/>
      <c r="AQ2714" s="44"/>
      <c r="AR2714" s="44"/>
    </row>
    <row r="2715" spans="1:44" ht="16.8">
      <c r="A2715" s="191">
        <v>72</v>
      </c>
      <c r="B2715" s="1"/>
      <c r="C2715" s="192" t="s">
        <v>5138</v>
      </c>
      <c r="D2715" s="183"/>
      <c r="E2715" s="184" t="s">
        <v>414</v>
      </c>
      <c r="F2715" s="21"/>
      <c r="G2715" s="22"/>
      <c r="H2715" s="23"/>
      <c r="I2715" s="23"/>
      <c r="J2715" s="23"/>
      <c r="K2715" s="23"/>
      <c r="L2715" s="23"/>
      <c r="M2715" s="23"/>
      <c r="N2715" s="23"/>
      <c r="O2715" s="25"/>
      <c r="P2715" s="23"/>
      <c r="Q2715" s="23"/>
      <c r="R2715" s="25"/>
      <c r="S2715" s="26"/>
      <c r="T2715" s="27"/>
      <c r="U2715" s="26"/>
      <c r="V2715" s="26"/>
      <c r="W2715" s="143"/>
      <c r="X2715" s="143"/>
      <c r="Y2715" s="143"/>
      <c r="Z2715" s="30"/>
      <c r="AA2715" s="31"/>
      <c r="AB2715" s="144"/>
      <c r="AC2715" s="144"/>
      <c r="AD2715" s="33"/>
      <c r="AE2715" s="34"/>
      <c r="AF2715" s="33"/>
      <c r="AG2715" s="33"/>
      <c r="AH2715" s="35"/>
      <c r="AI2715" s="36"/>
      <c r="AJ2715" s="23"/>
      <c r="AK2715" s="120"/>
      <c r="AL2715" s="44"/>
      <c r="AM2715" s="44"/>
      <c r="AN2715" s="44"/>
      <c r="AO2715" s="44"/>
      <c r="AP2715" s="44"/>
      <c r="AQ2715" s="44"/>
      <c r="AR2715" s="44"/>
    </row>
    <row r="2716" spans="1:44" ht="16.8">
      <c r="A2716" s="191">
        <v>73</v>
      </c>
      <c r="B2716" s="1"/>
      <c r="C2716" s="192" t="s">
        <v>5139</v>
      </c>
      <c r="D2716" s="183"/>
      <c r="E2716" s="184" t="s">
        <v>414</v>
      </c>
      <c r="F2716" s="21"/>
      <c r="G2716" s="22"/>
      <c r="H2716" s="23"/>
      <c r="I2716" s="23"/>
      <c r="J2716" s="23"/>
      <c r="K2716" s="23"/>
      <c r="L2716" s="23"/>
      <c r="M2716" s="23"/>
      <c r="N2716" s="23"/>
      <c r="O2716" s="25"/>
      <c r="P2716" s="23"/>
      <c r="Q2716" s="23"/>
      <c r="R2716" s="25"/>
      <c r="S2716" s="26"/>
      <c r="T2716" s="27"/>
      <c r="U2716" s="26"/>
      <c r="V2716" s="26"/>
      <c r="W2716" s="143"/>
      <c r="X2716" s="143"/>
      <c r="Y2716" s="143"/>
      <c r="Z2716" s="30"/>
      <c r="AA2716" s="31"/>
      <c r="AB2716" s="144"/>
      <c r="AC2716" s="144"/>
      <c r="AD2716" s="33"/>
      <c r="AE2716" s="34"/>
      <c r="AF2716" s="33"/>
      <c r="AG2716" s="33"/>
      <c r="AH2716" s="35"/>
      <c r="AI2716" s="36"/>
      <c r="AJ2716" s="23"/>
      <c r="AK2716" s="120"/>
      <c r="AL2716" s="44"/>
      <c r="AM2716" s="44"/>
      <c r="AN2716" s="44"/>
      <c r="AO2716" s="44"/>
      <c r="AP2716" s="44"/>
      <c r="AQ2716" s="44"/>
      <c r="AR2716" s="44"/>
    </row>
    <row r="2717" spans="1:44" ht="16.8">
      <c r="A2717" s="191">
        <v>74</v>
      </c>
      <c r="B2717" s="1"/>
      <c r="C2717" s="192" t="s">
        <v>5140</v>
      </c>
      <c r="D2717" s="183"/>
      <c r="E2717" s="184" t="s">
        <v>414</v>
      </c>
      <c r="F2717" s="21"/>
      <c r="G2717" s="22"/>
      <c r="H2717" s="23"/>
      <c r="I2717" s="23"/>
      <c r="J2717" s="23"/>
      <c r="K2717" s="23"/>
      <c r="L2717" s="23"/>
      <c r="M2717" s="23"/>
      <c r="N2717" s="23"/>
      <c r="O2717" s="25"/>
      <c r="P2717" s="23"/>
      <c r="Q2717" s="23"/>
      <c r="R2717" s="25"/>
      <c r="S2717" s="26"/>
      <c r="T2717" s="27"/>
      <c r="U2717" s="26"/>
      <c r="V2717" s="26"/>
      <c r="W2717" s="143"/>
      <c r="X2717" s="143"/>
      <c r="Y2717" s="143"/>
      <c r="Z2717" s="30"/>
      <c r="AA2717" s="31"/>
      <c r="AB2717" s="144"/>
      <c r="AC2717" s="144"/>
      <c r="AD2717" s="33"/>
      <c r="AE2717" s="34"/>
      <c r="AF2717" s="33"/>
      <c r="AG2717" s="33"/>
      <c r="AH2717" s="35"/>
      <c r="AI2717" s="36"/>
      <c r="AJ2717" s="23"/>
      <c r="AK2717" s="120"/>
      <c r="AL2717" s="44"/>
      <c r="AM2717" s="44"/>
      <c r="AN2717" s="44"/>
      <c r="AO2717" s="44"/>
      <c r="AP2717" s="44"/>
      <c r="AQ2717" s="44"/>
      <c r="AR2717" s="44"/>
    </row>
    <row r="2718" spans="1:44" ht="16.8">
      <c r="A2718" s="191">
        <v>75</v>
      </c>
      <c r="B2718" s="1"/>
      <c r="C2718" s="192" t="s">
        <v>5141</v>
      </c>
      <c r="D2718" s="183"/>
      <c r="E2718" s="184" t="s">
        <v>414</v>
      </c>
      <c r="F2718" s="21"/>
      <c r="G2718" s="22"/>
      <c r="H2718" s="23"/>
      <c r="I2718" s="23"/>
      <c r="J2718" s="23"/>
      <c r="K2718" s="23"/>
      <c r="L2718" s="23"/>
      <c r="M2718" s="23"/>
      <c r="N2718" s="23"/>
      <c r="O2718" s="25"/>
      <c r="P2718" s="23"/>
      <c r="Q2718" s="23"/>
      <c r="R2718" s="25"/>
      <c r="S2718" s="26"/>
      <c r="T2718" s="27"/>
      <c r="U2718" s="26"/>
      <c r="V2718" s="26"/>
      <c r="W2718" s="143"/>
      <c r="X2718" s="143"/>
      <c r="Y2718" s="143"/>
      <c r="Z2718" s="30"/>
      <c r="AA2718" s="31"/>
      <c r="AB2718" s="144"/>
      <c r="AC2718" s="144"/>
      <c r="AD2718" s="33"/>
      <c r="AE2718" s="34"/>
      <c r="AF2718" s="33"/>
      <c r="AG2718" s="33"/>
      <c r="AH2718" s="35"/>
      <c r="AI2718" s="36"/>
      <c r="AJ2718" s="23"/>
      <c r="AK2718" s="120"/>
      <c r="AL2718" s="44"/>
      <c r="AM2718" s="44"/>
      <c r="AN2718" s="44"/>
      <c r="AO2718" s="44"/>
      <c r="AP2718" s="44"/>
      <c r="AQ2718" s="44"/>
      <c r="AR2718" s="44"/>
    </row>
    <row r="2719" spans="1:44" ht="16.8">
      <c r="A2719" s="191">
        <v>76</v>
      </c>
      <c r="B2719" s="1"/>
      <c r="C2719" s="192" t="s">
        <v>5142</v>
      </c>
      <c r="D2719" s="183"/>
      <c r="E2719" s="184" t="s">
        <v>414</v>
      </c>
      <c r="F2719" s="21"/>
      <c r="G2719" s="22"/>
      <c r="H2719" s="23"/>
      <c r="I2719" s="23"/>
      <c r="J2719" s="23"/>
      <c r="K2719" s="23"/>
      <c r="L2719" s="23"/>
      <c r="M2719" s="23"/>
      <c r="N2719" s="23"/>
      <c r="O2719" s="25"/>
      <c r="P2719" s="23"/>
      <c r="Q2719" s="23"/>
      <c r="R2719" s="25"/>
      <c r="S2719" s="26"/>
      <c r="T2719" s="27"/>
      <c r="U2719" s="26"/>
      <c r="V2719" s="26"/>
      <c r="W2719" s="143"/>
      <c r="X2719" s="143"/>
      <c r="Y2719" s="143"/>
      <c r="Z2719" s="30"/>
      <c r="AA2719" s="31"/>
      <c r="AB2719" s="144"/>
      <c r="AC2719" s="144"/>
      <c r="AD2719" s="33"/>
      <c r="AE2719" s="34"/>
      <c r="AF2719" s="33"/>
      <c r="AG2719" s="33"/>
      <c r="AH2719" s="35"/>
      <c r="AI2719" s="36"/>
      <c r="AJ2719" s="23"/>
      <c r="AK2719" s="120"/>
      <c r="AL2719" s="44"/>
      <c r="AM2719" s="44"/>
      <c r="AN2719" s="44"/>
      <c r="AO2719" s="44"/>
      <c r="AP2719" s="44"/>
      <c r="AQ2719" s="44"/>
      <c r="AR2719" s="44"/>
    </row>
    <row r="2720" spans="1:44" ht="16.8">
      <c r="A2720" s="191">
        <v>77</v>
      </c>
      <c r="B2720" s="1"/>
      <c r="C2720" s="192" t="s">
        <v>5143</v>
      </c>
      <c r="D2720" s="183"/>
      <c r="E2720" s="184" t="s">
        <v>414</v>
      </c>
      <c r="F2720" s="21"/>
      <c r="G2720" s="22"/>
      <c r="H2720" s="23"/>
      <c r="I2720" s="23"/>
      <c r="J2720" s="23"/>
      <c r="K2720" s="23"/>
      <c r="L2720" s="23"/>
      <c r="M2720" s="23"/>
      <c r="N2720" s="23"/>
      <c r="O2720" s="25"/>
      <c r="P2720" s="23"/>
      <c r="Q2720" s="23"/>
      <c r="R2720" s="25"/>
      <c r="S2720" s="26"/>
      <c r="T2720" s="27"/>
      <c r="U2720" s="26"/>
      <c r="V2720" s="26"/>
      <c r="W2720" s="143"/>
      <c r="X2720" s="143"/>
      <c r="Y2720" s="143"/>
      <c r="Z2720" s="30"/>
      <c r="AA2720" s="31"/>
      <c r="AB2720" s="144"/>
      <c r="AC2720" s="144"/>
      <c r="AD2720" s="33"/>
      <c r="AE2720" s="34"/>
      <c r="AF2720" s="33"/>
      <c r="AG2720" s="33"/>
      <c r="AH2720" s="35"/>
      <c r="AI2720" s="36"/>
      <c r="AJ2720" s="23"/>
      <c r="AK2720" s="120"/>
      <c r="AL2720" s="44"/>
      <c r="AM2720" s="44"/>
      <c r="AN2720" s="44"/>
      <c r="AO2720" s="44"/>
      <c r="AP2720" s="44"/>
      <c r="AQ2720" s="44"/>
      <c r="AR2720" s="44"/>
    </row>
    <row r="2721" spans="1:44" ht="16.8">
      <c r="A2721" s="191">
        <v>78</v>
      </c>
      <c r="B2721" s="1"/>
      <c r="C2721" s="192" t="s">
        <v>5144</v>
      </c>
      <c r="D2721" s="183"/>
      <c r="E2721" s="184" t="s">
        <v>414</v>
      </c>
      <c r="F2721" s="21"/>
      <c r="G2721" s="22"/>
      <c r="H2721" s="23"/>
      <c r="I2721" s="23"/>
      <c r="J2721" s="23"/>
      <c r="K2721" s="23"/>
      <c r="L2721" s="23"/>
      <c r="M2721" s="23"/>
      <c r="N2721" s="23"/>
      <c r="O2721" s="25"/>
      <c r="P2721" s="23"/>
      <c r="Q2721" s="23"/>
      <c r="R2721" s="25"/>
      <c r="S2721" s="26"/>
      <c r="T2721" s="27"/>
      <c r="U2721" s="26"/>
      <c r="V2721" s="26"/>
      <c r="W2721" s="143"/>
      <c r="X2721" s="143"/>
      <c r="Y2721" s="143"/>
      <c r="Z2721" s="30"/>
      <c r="AA2721" s="31"/>
      <c r="AB2721" s="144"/>
      <c r="AC2721" s="144"/>
      <c r="AD2721" s="33"/>
      <c r="AE2721" s="34"/>
      <c r="AF2721" s="33"/>
      <c r="AG2721" s="33"/>
      <c r="AH2721" s="35"/>
      <c r="AI2721" s="36"/>
      <c r="AJ2721" s="23"/>
      <c r="AK2721" s="120"/>
      <c r="AL2721" s="44"/>
      <c r="AM2721" s="44"/>
      <c r="AN2721" s="44"/>
      <c r="AO2721" s="44"/>
      <c r="AP2721" s="44"/>
      <c r="AQ2721" s="44"/>
      <c r="AR2721" s="44"/>
    </row>
    <row r="2722" spans="1:44" ht="16.8">
      <c r="A2722" s="191">
        <v>79</v>
      </c>
      <c r="B2722" s="1"/>
      <c r="C2722" s="192" t="s">
        <v>5145</v>
      </c>
      <c r="D2722" s="183"/>
      <c r="E2722" s="184" t="s">
        <v>414</v>
      </c>
      <c r="F2722" s="21"/>
      <c r="G2722" s="22"/>
      <c r="H2722" s="23"/>
      <c r="I2722" s="23"/>
      <c r="J2722" s="23"/>
      <c r="K2722" s="23"/>
      <c r="L2722" s="23"/>
      <c r="M2722" s="23"/>
      <c r="N2722" s="23"/>
      <c r="O2722" s="25"/>
      <c r="P2722" s="23"/>
      <c r="Q2722" s="23"/>
      <c r="R2722" s="25"/>
      <c r="S2722" s="26"/>
      <c r="T2722" s="27"/>
      <c r="U2722" s="26"/>
      <c r="V2722" s="26"/>
      <c r="W2722" s="143"/>
      <c r="X2722" s="143"/>
      <c r="Y2722" s="143"/>
      <c r="Z2722" s="30"/>
      <c r="AA2722" s="31"/>
      <c r="AB2722" s="144"/>
      <c r="AC2722" s="144"/>
      <c r="AD2722" s="33"/>
      <c r="AE2722" s="34"/>
      <c r="AF2722" s="33"/>
      <c r="AG2722" s="33"/>
      <c r="AH2722" s="35"/>
      <c r="AI2722" s="36"/>
      <c r="AJ2722" s="23"/>
      <c r="AK2722" s="120"/>
      <c r="AL2722" s="44"/>
      <c r="AM2722" s="44"/>
      <c r="AN2722" s="44"/>
      <c r="AO2722" s="44"/>
      <c r="AP2722" s="44"/>
      <c r="AQ2722" s="44"/>
      <c r="AR2722" s="44"/>
    </row>
    <row r="2723" spans="1:44" ht="16.8">
      <c r="A2723" s="191">
        <v>80</v>
      </c>
      <c r="B2723" s="1"/>
      <c r="C2723" s="192" t="s">
        <v>5146</v>
      </c>
      <c r="D2723" s="183"/>
      <c r="E2723" s="184" t="s">
        <v>414</v>
      </c>
      <c r="F2723" s="21"/>
      <c r="G2723" s="22"/>
      <c r="H2723" s="23"/>
      <c r="I2723" s="23"/>
      <c r="J2723" s="23"/>
      <c r="K2723" s="23"/>
      <c r="L2723" s="23"/>
      <c r="M2723" s="23"/>
      <c r="N2723" s="23"/>
      <c r="O2723" s="25"/>
      <c r="P2723" s="23"/>
      <c r="Q2723" s="23"/>
      <c r="R2723" s="25"/>
      <c r="S2723" s="26"/>
      <c r="T2723" s="27"/>
      <c r="U2723" s="26"/>
      <c r="V2723" s="26"/>
      <c r="W2723" s="143"/>
      <c r="X2723" s="143"/>
      <c r="Y2723" s="143"/>
      <c r="Z2723" s="30"/>
      <c r="AA2723" s="31"/>
      <c r="AB2723" s="144"/>
      <c r="AC2723" s="144"/>
      <c r="AD2723" s="33"/>
      <c r="AE2723" s="34"/>
      <c r="AF2723" s="33"/>
      <c r="AG2723" s="33"/>
      <c r="AH2723" s="35"/>
      <c r="AI2723" s="36"/>
      <c r="AJ2723" s="23"/>
      <c r="AK2723" s="120"/>
      <c r="AL2723" s="44"/>
      <c r="AM2723" s="44"/>
      <c r="AN2723" s="44"/>
      <c r="AO2723" s="44"/>
      <c r="AP2723" s="44"/>
      <c r="AQ2723" s="44"/>
      <c r="AR2723" s="44"/>
    </row>
    <row r="2724" spans="1:44" ht="16.8">
      <c r="A2724" s="191">
        <v>81</v>
      </c>
      <c r="B2724" s="1"/>
      <c r="C2724" s="192" t="s">
        <v>5147</v>
      </c>
      <c r="D2724" s="183"/>
      <c r="E2724" s="184" t="s">
        <v>414</v>
      </c>
      <c r="F2724" s="21"/>
      <c r="G2724" s="22"/>
      <c r="H2724" s="23"/>
      <c r="I2724" s="23"/>
      <c r="J2724" s="23"/>
      <c r="K2724" s="23"/>
      <c r="L2724" s="23"/>
      <c r="M2724" s="23"/>
      <c r="N2724" s="23"/>
      <c r="O2724" s="25"/>
      <c r="P2724" s="23"/>
      <c r="Q2724" s="23"/>
      <c r="R2724" s="25"/>
      <c r="S2724" s="26"/>
      <c r="T2724" s="27"/>
      <c r="U2724" s="26"/>
      <c r="V2724" s="26"/>
      <c r="W2724" s="143"/>
      <c r="X2724" s="143"/>
      <c r="Y2724" s="143"/>
      <c r="Z2724" s="30"/>
      <c r="AA2724" s="31"/>
      <c r="AB2724" s="144"/>
      <c r="AC2724" s="144"/>
      <c r="AD2724" s="33"/>
      <c r="AE2724" s="34"/>
      <c r="AF2724" s="33"/>
      <c r="AG2724" s="33"/>
      <c r="AH2724" s="35"/>
      <c r="AI2724" s="36"/>
      <c r="AJ2724" s="23"/>
      <c r="AK2724" s="120"/>
      <c r="AL2724" s="44"/>
      <c r="AM2724" s="44"/>
      <c r="AN2724" s="44"/>
      <c r="AO2724" s="44"/>
      <c r="AP2724" s="44"/>
      <c r="AQ2724" s="44"/>
      <c r="AR2724" s="44"/>
    </row>
    <row r="2725" spans="1:44" ht="16.8">
      <c r="A2725" s="191">
        <v>82</v>
      </c>
      <c r="B2725" s="1"/>
      <c r="C2725" s="192" t="s">
        <v>5148</v>
      </c>
      <c r="D2725" s="183"/>
      <c r="E2725" s="184" t="s">
        <v>414</v>
      </c>
      <c r="F2725" s="21"/>
      <c r="G2725" s="22"/>
      <c r="H2725" s="23"/>
      <c r="I2725" s="23"/>
      <c r="J2725" s="23"/>
      <c r="K2725" s="23"/>
      <c r="L2725" s="23"/>
      <c r="M2725" s="23"/>
      <c r="N2725" s="23"/>
      <c r="O2725" s="25"/>
      <c r="P2725" s="23"/>
      <c r="Q2725" s="23"/>
      <c r="R2725" s="25"/>
      <c r="S2725" s="26"/>
      <c r="T2725" s="27"/>
      <c r="U2725" s="26"/>
      <c r="V2725" s="26"/>
      <c r="W2725" s="143"/>
      <c r="X2725" s="143"/>
      <c r="Y2725" s="143"/>
      <c r="Z2725" s="30"/>
      <c r="AA2725" s="31"/>
      <c r="AB2725" s="144"/>
      <c r="AC2725" s="144"/>
      <c r="AD2725" s="33"/>
      <c r="AE2725" s="34"/>
      <c r="AF2725" s="33"/>
      <c r="AG2725" s="33"/>
      <c r="AH2725" s="35"/>
      <c r="AI2725" s="36"/>
      <c r="AJ2725" s="23"/>
      <c r="AK2725" s="120"/>
      <c r="AL2725" s="44"/>
      <c r="AM2725" s="44"/>
      <c r="AN2725" s="44"/>
      <c r="AO2725" s="44"/>
      <c r="AP2725" s="44"/>
      <c r="AQ2725" s="44"/>
      <c r="AR2725" s="44"/>
    </row>
    <row r="2726" spans="1:44" ht="16.8">
      <c r="A2726" s="191"/>
      <c r="B2726" s="1"/>
      <c r="C2726" s="192" t="s">
        <v>5149</v>
      </c>
      <c r="D2726" s="183"/>
      <c r="E2726" s="184" t="s">
        <v>39</v>
      </c>
      <c r="F2726" s="21"/>
      <c r="G2726" s="22"/>
      <c r="H2726" s="23"/>
      <c r="I2726" s="23"/>
      <c r="J2726" s="23"/>
      <c r="K2726" s="23"/>
      <c r="L2726" s="23"/>
      <c r="M2726" s="23"/>
      <c r="N2726" s="23"/>
      <c r="O2726" s="25"/>
      <c r="P2726" s="23"/>
      <c r="Q2726" s="23"/>
      <c r="R2726" s="25"/>
      <c r="S2726" s="26"/>
      <c r="T2726" s="27"/>
      <c r="U2726" s="26"/>
      <c r="V2726" s="26"/>
      <c r="W2726" s="143"/>
      <c r="X2726" s="143"/>
      <c r="Y2726" s="143"/>
      <c r="Z2726" s="30"/>
      <c r="AA2726" s="31"/>
      <c r="AB2726" s="144"/>
      <c r="AC2726" s="144"/>
      <c r="AD2726" s="33"/>
      <c r="AE2726" s="34"/>
      <c r="AF2726" s="33"/>
      <c r="AG2726" s="33"/>
      <c r="AH2726" s="35"/>
      <c r="AI2726" s="36"/>
      <c r="AJ2726" s="23"/>
      <c r="AK2726" s="120"/>
      <c r="AL2726" s="44"/>
      <c r="AM2726" s="44"/>
      <c r="AN2726" s="44"/>
      <c r="AO2726" s="44"/>
      <c r="AP2726" s="44"/>
      <c r="AQ2726" s="44"/>
      <c r="AR2726" s="44"/>
    </row>
    <row r="2727" spans="1:44" ht="16.8">
      <c r="A2727" s="191"/>
      <c r="B2727" s="1"/>
      <c r="C2727" s="192" t="s">
        <v>5150</v>
      </c>
      <c r="D2727" s="183"/>
      <c r="E2727" s="184" t="s">
        <v>39</v>
      </c>
      <c r="F2727" s="21"/>
      <c r="G2727" s="22"/>
      <c r="H2727" s="23"/>
      <c r="I2727" s="23"/>
      <c r="J2727" s="23"/>
      <c r="K2727" s="23"/>
      <c r="L2727" s="23"/>
      <c r="M2727" s="23"/>
      <c r="N2727" s="23"/>
      <c r="O2727" s="25"/>
      <c r="P2727" s="23"/>
      <c r="Q2727" s="23"/>
      <c r="R2727" s="25"/>
      <c r="S2727" s="26"/>
      <c r="T2727" s="27"/>
      <c r="U2727" s="26"/>
      <c r="V2727" s="26"/>
      <c r="W2727" s="143"/>
      <c r="X2727" s="143"/>
      <c r="Y2727" s="143"/>
      <c r="Z2727" s="30"/>
      <c r="AA2727" s="31"/>
      <c r="AB2727" s="144"/>
      <c r="AC2727" s="144"/>
      <c r="AD2727" s="33"/>
      <c r="AE2727" s="34"/>
      <c r="AF2727" s="33"/>
      <c r="AG2727" s="33"/>
      <c r="AH2727" s="35"/>
      <c r="AI2727" s="36"/>
      <c r="AJ2727" s="23"/>
      <c r="AK2727" s="120"/>
      <c r="AL2727" s="44"/>
      <c r="AM2727" s="44"/>
      <c r="AN2727" s="44"/>
      <c r="AO2727" s="44"/>
      <c r="AP2727" s="44"/>
      <c r="AQ2727" s="44"/>
      <c r="AR2727" s="44"/>
    </row>
    <row r="2728" spans="1:44" ht="16.8">
      <c r="A2728" s="191"/>
      <c r="B2728" s="1"/>
      <c r="C2728" s="192" t="s">
        <v>5151</v>
      </c>
      <c r="D2728" s="183"/>
      <c r="E2728" s="184" t="s">
        <v>39</v>
      </c>
      <c r="F2728" s="21"/>
      <c r="G2728" s="22"/>
      <c r="H2728" s="23"/>
      <c r="I2728" s="23"/>
      <c r="J2728" s="23"/>
      <c r="K2728" s="23"/>
      <c r="L2728" s="23"/>
      <c r="M2728" s="23"/>
      <c r="N2728" s="23"/>
      <c r="O2728" s="25"/>
      <c r="P2728" s="23"/>
      <c r="Q2728" s="23"/>
      <c r="R2728" s="25"/>
      <c r="S2728" s="26"/>
      <c r="T2728" s="27"/>
      <c r="U2728" s="26"/>
      <c r="V2728" s="26"/>
      <c r="W2728" s="143"/>
      <c r="X2728" s="143"/>
      <c r="Y2728" s="143"/>
      <c r="Z2728" s="30"/>
      <c r="AA2728" s="31"/>
      <c r="AB2728" s="144"/>
      <c r="AC2728" s="144"/>
      <c r="AD2728" s="33"/>
      <c r="AE2728" s="34"/>
      <c r="AF2728" s="33"/>
      <c r="AG2728" s="33"/>
      <c r="AH2728" s="35"/>
      <c r="AI2728" s="36"/>
      <c r="AJ2728" s="23"/>
      <c r="AK2728" s="120"/>
      <c r="AL2728" s="44"/>
      <c r="AM2728" s="44"/>
      <c r="AN2728" s="44"/>
      <c r="AO2728" s="44"/>
      <c r="AP2728" s="44"/>
      <c r="AQ2728" s="44"/>
      <c r="AR2728" s="44"/>
    </row>
    <row r="2729" spans="1:44" ht="16.8">
      <c r="A2729" s="191"/>
      <c r="B2729" s="1"/>
      <c r="C2729" s="192" t="s">
        <v>5152</v>
      </c>
      <c r="D2729" s="183"/>
      <c r="E2729" s="184" t="s">
        <v>39</v>
      </c>
      <c r="F2729" s="21"/>
      <c r="G2729" s="22"/>
      <c r="H2729" s="23"/>
      <c r="I2729" s="23"/>
      <c r="J2729" s="23"/>
      <c r="K2729" s="23"/>
      <c r="L2729" s="23"/>
      <c r="M2729" s="23"/>
      <c r="N2729" s="23"/>
      <c r="O2729" s="25"/>
      <c r="P2729" s="23"/>
      <c r="Q2729" s="23"/>
      <c r="R2729" s="25"/>
      <c r="S2729" s="26"/>
      <c r="T2729" s="27"/>
      <c r="U2729" s="26"/>
      <c r="V2729" s="26"/>
      <c r="W2729" s="143"/>
      <c r="X2729" s="143"/>
      <c r="Y2729" s="143"/>
      <c r="Z2729" s="30"/>
      <c r="AA2729" s="31"/>
      <c r="AB2729" s="144"/>
      <c r="AC2729" s="144"/>
      <c r="AD2729" s="33"/>
      <c r="AE2729" s="34"/>
      <c r="AF2729" s="33"/>
      <c r="AG2729" s="33"/>
      <c r="AH2729" s="35"/>
      <c r="AI2729" s="36"/>
      <c r="AJ2729" s="23"/>
      <c r="AK2729" s="120"/>
      <c r="AL2729" s="44"/>
      <c r="AM2729" s="44"/>
      <c r="AN2729" s="44"/>
      <c r="AO2729" s="44"/>
      <c r="AP2729" s="44"/>
      <c r="AQ2729" s="44"/>
      <c r="AR2729" s="44"/>
    </row>
    <row r="2730" spans="1:44" ht="16.8">
      <c r="A2730" s="191"/>
      <c r="B2730" s="1"/>
      <c r="C2730" s="192" t="s">
        <v>5153</v>
      </c>
      <c r="D2730" s="192"/>
      <c r="E2730" s="184" t="s">
        <v>39</v>
      </c>
      <c r="F2730" s="21"/>
      <c r="G2730" s="22"/>
      <c r="H2730" s="23"/>
      <c r="I2730" s="23"/>
      <c r="J2730" s="23"/>
      <c r="K2730" s="23"/>
      <c r="L2730" s="23"/>
      <c r="M2730" s="23"/>
      <c r="N2730" s="23"/>
      <c r="O2730" s="25"/>
      <c r="P2730" s="23"/>
      <c r="Q2730" s="23"/>
      <c r="R2730" s="25"/>
      <c r="S2730" s="26"/>
      <c r="T2730" s="27"/>
      <c r="U2730" s="26"/>
      <c r="V2730" s="26"/>
      <c r="W2730" s="143"/>
      <c r="X2730" s="143"/>
      <c r="Y2730" s="143"/>
      <c r="Z2730" s="30"/>
      <c r="AA2730" s="31"/>
      <c r="AB2730" s="144"/>
      <c r="AC2730" s="144"/>
      <c r="AD2730" s="33"/>
      <c r="AE2730" s="34"/>
      <c r="AF2730" s="33"/>
      <c r="AG2730" s="33"/>
      <c r="AH2730" s="35"/>
      <c r="AI2730" s="36"/>
      <c r="AJ2730" s="23"/>
      <c r="AK2730" s="120"/>
      <c r="AL2730" s="44"/>
      <c r="AM2730" s="44"/>
      <c r="AN2730" s="44"/>
      <c r="AO2730" s="44"/>
      <c r="AP2730" s="44"/>
      <c r="AQ2730" s="44"/>
      <c r="AR2730" s="44"/>
    </row>
    <row r="2731" spans="1:44" ht="16.8">
      <c r="A2731" s="191"/>
      <c r="B2731" s="1"/>
      <c r="C2731" s="192" t="s">
        <v>5154</v>
      </c>
      <c r="D2731" s="183"/>
      <c r="E2731" s="184" t="s">
        <v>39</v>
      </c>
      <c r="F2731" s="21"/>
      <c r="G2731" s="22"/>
      <c r="H2731" s="23"/>
      <c r="I2731" s="23"/>
      <c r="J2731" s="23"/>
      <c r="K2731" s="23"/>
      <c r="L2731" s="23"/>
      <c r="M2731" s="23"/>
      <c r="N2731" s="23"/>
      <c r="O2731" s="25"/>
      <c r="P2731" s="23"/>
      <c r="Q2731" s="23"/>
      <c r="R2731" s="25"/>
      <c r="S2731" s="26"/>
      <c r="T2731" s="27"/>
      <c r="U2731" s="26"/>
      <c r="V2731" s="26"/>
      <c r="W2731" s="143"/>
      <c r="X2731" s="143"/>
      <c r="Y2731" s="143"/>
      <c r="Z2731" s="30"/>
      <c r="AA2731" s="31"/>
      <c r="AB2731" s="144"/>
      <c r="AC2731" s="144"/>
      <c r="AD2731" s="33"/>
      <c r="AE2731" s="34"/>
      <c r="AF2731" s="33"/>
      <c r="AG2731" s="33"/>
      <c r="AH2731" s="35"/>
      <c r="AI2731" s="36"/>
      <c r="AJ2731" s="23"/>
      <c r="AK2731" s="120"/>
      <c r="AL2731" s="44"/>
      <c r="AM2731" s="44"/>
      <c r="AN2731" s="44"/>
      <c r="AO2731" s="44"/>
      <c r="AP2731" s="44"/>
      <c r="AQ2731" s="44"/>
      <c r="AR2731" s="44"/>
    </row>
    <row r="2732" spans="1:44" ht="16.8">
      <c r="A2732" s="191"/>
      <c r="B2732" s="1"/>
      <c r="C2732" s="192" t="s">
        <v>5155</v>
      </c>
      <c r="D2732" s="183"/>
      <c r="E2732" s="184" t="s">
        <v>39</v>
      </c>
      <c r="F2732" s="21"/>
      <c r="G2732" s="22"/>
      <c r="H2732" s="23"/>
      <c r="I2732" s="23"/>
      <c r="J2732" s="23"/>
      <c r="K2732" s="23"/>
      <c r="L2732" s="23"/>
      <c r="M2732" s="23"/>
      <c r="N2732" s="23"/>
      <c r="O2732" s="25"/>
      <c r="P2732" s="23"/>
      <c r="Q2732" s="23"/>
      <c r="R2732" s="25"/>
      <c r="S2732" s="26"/>
      <c r="T2732" s="27"/>
      <c r="U2732" s="26"/>
      <c r="V2732" s="26"/>
      <c r="W2732" s="143"/>
      <c r="X2732" s="143"/>
      <c r="Y2732" s="143"/>
      <c r="Z2732" s="30"/>
      <c r="AA2732" s="31"/>
      <c r="AB2732" s="144"/>
      <c r="AC2732" s="144"/>
      <c r="AD2732" s="33"/>
      <c r="AE2732" s="34"/>
      <c r="AF2732" s="33"/>
      <c r="AG2732" s="33"/>
      <c r="AH2732" s="35"/>
      <c r="AI2732" s="36"/>
      <c r="AJ2732" s="23"/>
      <c r="AK2732" s="120"/>
      <c r="AL2732" s="44"/>
      <c r="AM2732" s="44"/>
      <c r="AN2732" s="44"/>
      <c r="AO2732" s="44"/>
      <c r="AP2732" s="44"/>
      <c r="AQ2732" s="44"/>
      <c r="AR2732" s="44"/>
    </row>
    <row r="2733" spans="1:44" ht="16.8">
      <c r="A2733" s="191"/>
      <c r="B2733" s="1"/>
      <c r="C2733" s="192" t="s">
        <v>5156</v>
      </c>
      <c r="D2733" s="183"/>
      <c r="E2733" s="184" t="s">
        <v>39</v>
      </c>
      <c r="F2733" s="21"/>
      <c r="G2733" s="22"/>
      <c r="H2733" s="23"/>
      <c r="I2733" s="23"/>
      <c r="J2733" s="23"/>
      <c r="K2733" s="23"/>
      <c r="L2733" s="23"/>
      <c r="M2733" s="23"/>
      <c r="N2733" s="23"/>
      <c r="O2733" s="25"/>
      <c r="P2733" s="23"/>
      <c r="Q2733" s="23"/>
      <c r="R2733" s="25"/>
      <c r="S2733" s="26"/>
      <c r="T2733" s="27"/>
      <c r="U2733" s="26"/>
      <c r="V2733" s="26"/>
      <c r="W2733" s="143"/>
      <c r="X2733" s="143"/>
      <c r="Y2733" s="143"/>
      <c r="Z2733" s="30"/>
      <c r="AA2733" s="31"/>
      <c r="AB2733" s="144"/>
      <c r="AC2733" s="144"/>
      <c r="AD2733" s="33"/>
      <c r="AE2733" s="34"/>
      <c r="AF2733" s="33"/>
      <c r="AG2733" s="33"/>
      <c r="AH2733" s="35"/>
      <c r="AI2733" s="36"/>
      <c r="AJ2733" s="23"/>
      <c r="AK2733" s="120"/>
      <c r="AL2733" s="44"/>
      <c r="AM2733" s="44"/>
      <c r="AN2733" s="44"/>
      <c r="AO2733" s="44"/>
      <c r="AP2733" s="44"/>
      <c r="AQ2733" s="44"/>
      <c r="AR2733" s="44"/>
    </row>
    <row r="2734" spans="1:44" ht="16.8">
      <c r="A2734" s="191"/>
      <c r="B2734" s="1"/>
      <c r="C2734" s="192" t="s">
        <v>5157</v>
      </c>
      <c r="D2734" s="183"/>
      <c r="E2734" s="184" t="s">
        <v>39</v>
      </c>
      <c r="F2734" s="21"/>
      <c r="G2734" s="22"/>
      <c r="H2734" s="23"/>
      <c r="I2734" s="23"/>
      <c r="J2734" s="23"/>
      <c r="K2734" s="23"/>
      <c r="L2734" s="23"/>
      <c r="M2734" s="23"/>
      <c r="N2734" s="23"/>
      <c r="O2734" s="25"/>
      <c r="P2734" s="23"/>
      <c r="Q2734" s="23"/>
      <c r="R2734" s="25"/>
      <c r="S2734" s="26"/>
      <c r="T2734" s="27"/>
      <c r="U2734" s="26"/>
      <c r="V2734" s="26"/>
      <c r="W2734" s="143"/>
      <c r="X2734" s="143"/>
      <c r="Y2734" s="143"/>
      <c r="Z2734" s="30"/>
      <c r="AA2734" s="31"/>
      <c r="AB2734" s="144"/>
      <c r="AC2734" s="144"/>
      <c r="AD2734" s="33"/>
      <c r="AE2734" s="34"/>
      <c r="AF2734" s="33"/>
      <c r="AG2734" s="33"/>
      <c r="AH2734" s="35"/>
      <c r="AI2734" s="36"/>
      <c r="AJ2734" s="23"/>
      <c r="AK2734" s="120"/>
      <c r="AL2734" s="44"/>
      <c r="AM2734" s="44"/>
      <c r="AN2734" s="44"/>
      <c r="AO2734" s="44"/>
      <c r="AP2734" s="44"/>
      <c r="AQ2734" s="44"/>
      <c r="AR2734" s="44"/>
    </row>
    <row r="2735" spans="1:44" ht="16.8">
      <c r="A2735" s="191"/>
      <c r="B2735" s="1"/>
      <c r="C2735" s="192" t="s">
        <v>5158</v>
      </c>
      <c r="D2735" s="183"/>
      <c r="E2735" s="184" t="s">
        <v>39</v>
      </c>
      <c r="F2735" s="21"/>
      <c r="G2735" s="22"/>
      <c r="H2735" s="23"/>
      <c r="I2735" s="23"/>
      <c r="J2735" s="23"/>
      <c r="K2735" s="23"/>
      <c r="L2735" s="23"/>
      <c r="M2735" s="23"/>
      <c r="N2735" s="23"/>
      <c r="O2735" s="25"/>
      <c r="P2735" s="23"/>
      <c r="Q2735" s="23"/>
      <c r="R2735" s="25"/>
      <c r="S2735" s="26"/>
      <c r="T2735" s="27"/>
      <c r="U2735" s="26"/>
      <c r="V2735" s="26"/>
      <c r="W2735" s="143"/>
      <c r="X2735" s="143"/>
      <c r="Y2735" s="143"/>
      <c r="Z2735" s="30"/>
      <c r="AA2735" s="31"/>
      <c r="AB2735" s="144"/>
      <c r="AC2735" s="144"/>
      <c r="AD2735" s="33"/>
      <c r="AE2735" s="34"/>
      <c r="AF2735" s="33"/>
      <c r="AG2735" s="33"/>
      <c r="AH2735" s="35"/>
      <c r="AI2735" s="36"/>
      <c r="AJ2735" s="23"/>
      <c r="AK2735" s="120"/>
      <c r="AL2735" s="44"/>
      <c r="AM2735" s="44"/>
      <c r="AN2735" s="44"/>
      <c r="AO2735" s="44"/>
      <c r="AP2735" s="44"/>
      <c r="AQ2735" s="44"/>
      <c r="AR2735" s="44"/>
    </row>
    <row r="2736" spans="1:44" ht="16.8">
      <c r="A2736" s="191"/>
      <c r="B2736" s="1"/>
      <c r="C2736" s="192" t="s">
        <v>5159</v>
      </c>
      <c r="D2736" s="183"/>
      <c r="E2736" s="184" t="s">
        <v>39</v>
      </c>
      <c r="F2736" s="21"/>
      <c r="G2736" s="22"/>
      <c r="H2736" s="23"/>
      <c r="I2736" s="23"/>
      <c r="J2736" s="23"/>
      <c r="K2736" s="23"/>
      <c r="L2736" s="23"/>
      <c r="M2736" s="23"/>
      <c r="N2736" s="23"/>
      <c r="O2736" s="25"/>
      <c r="P2736" s="23"/>
      <c r="Q2736" s="23"/>
      <c r="R2736" s="25"/>
      <c r="S2736" s="26"/>
      <c r="T2736" s="27"/>
      <c r="U2736" s="26"/>
      <c r="V2736" s="26"/>
      <c r="W2736" s="143"/>
      <c r="X2736" s="143"/>
      <c r="Y2736" s="143"/>
      <c r="Z2736" s="30"/>
      <c r="AA2736" s="31"/>
      <c r="AB2736" s="144"/>
      <c r="AC2736" s="144"/>
      <c r="AD2736" s="33"/>
      <c r="AE2736" s="34"/>
      <c r="AF2736" s="33"/>
      <c r="AG2736" s="33"/>
      <c r="AH2736" s="35"/>
      <c r="AI2736" s="36"/>
      <c r="AJ2736" s="23"/>
      <c r="AK2736" s="120"/>
      <c r="AL2736" s="44"/>
      <c r="AM2736" s="44"/>
      <c r="AN2736" s="44"/>
      <c r="AO2736" s="44"/>
      <c r="AP2736" s="44"/>
      <c r="AQ2736" s="44"/>
      <c r="AR2736" s="44"/>
    </row>
    <row r="2737" spans="1:44" ht="16.8">
      <c r="A2737" s="191"/>
      <c r="B2737" s="1"/>
      <c r="C2737" s="192" t="s">
        <v>5160</v>
      </c>
      <c r="D2737" s="183"/>
      <c r="E2737" s="184" t="s">
        <v>39</v>
      </c>
      <c r="F2737" s="21"/>
      <c r="G2737" s="22"/>
      <c r="H2737" s="23"/>
      <c r="I2737" s="23"/>
      <c r="J2737" s="23"/>
      <c r="K2737" s="23"/>
      <c r="L2737" s="23"/>
      <c r="M2737" s="23"/>
      <c r="N2737" s="23"/>
      <c r="O2737" s="25"/>
      <c r="P2737" s="23"/>
      <c r="Q2737" s="23"/>
      <c r="R2737" s="25"/>
      <c r="S2737" s="26"/>
      <c r="T2737" s="27"/>
      <c r="U2737" s="26"/>
      <c r="V2737" s="26"/>
      <c r="W2737" s="143"/>
      <c r="X2737" s="143"/>
      <c r="Y2737" s="143"/>
      <c r="Z2737" s="30"/>
      <c r="AA2737" s="31"/>
      <c r="AB2737" s="144"/>
      <c r="AC2737" s="144"/>
      <c r="AD2737" s="33"/>
      <c r="AE2737" s="34"/>
      <c r="AF2737" s="33"/>
      <c r="AG2737" s="33"/>
      <c r="AH2737" s="35"/>
      <c r="AI2737" s="36"/>
      <c r="AJ2737" s="23"/>
      <c r="AK2737" s="120"/>
      <c r="AL2737" s="44"/>
      <c r="AM2737" s="44"/>
      <c r="AN2737" s="44"/>
      <c r="AO2737" s="44"/>
      <c r="AP2737" s="44"/>
      <c r="AQ2737" s="44"/>
      <c r="AR2737" s="44"/>
    </row>
    <row r="2738" spans="1:44" ht="16.8">
      <c r="A2738" s="191"/>
      <c r="B2738" s="1"/>
      <c r="C2738" s="192" t="s">
        <v>5161</v>
      </c>
      <c r="D2738" s="183"/>
      <c r="E2738" s="184" t="s">
        <v>39</v>
      </c>
      <c r="F2738" s="21"/>
      <c r="G2738" s="22"/>
      <c r="H2738" s="23"/>
      <c r="I2738" s="23"/>
      <c r="J2738" s="23"/>
      <c r="K2738" s="23"/>
      <c r="L2738" s="23"/>
      <c r="M2738" s="23"/>
      <c r="N2738" s="23"/>
      <c r="O2738" s="25"/>
      <c r="P2738" s="23"/>
      <c r="Q2738" s="23"/>
      <c r="R2738" s="25"/>
      <c r="S2738" s="26"/>
      <c r="T2738" s="27"/>
      <c r="U2738" s="26"/>
      <c r="V2738" s="26"/>
      <c r="W2738" s="143"/>
      <c r="X2738" s="143"/>
      <c r="Y2738" s="143"/>
      <c r="Z2738" s="30"/>
      <c r="AA2738" s="31"/>
      <c r="AB2738" s="144"/>
      <c r="AC2738" s="144"/>
      <c r="AD2738" s="33"/>
      <c r="AE2738" s="34"/>
      <c r="AF2738" s="33"/>
      <c r="AG2738" s="33"/>
      <c r="AH2738" s="35"/>
      <c r="AI2738" s="36"/>
      <c r="AJ2738" s="23"/>
      <c r="AK2738" s="120"/>
      <c r="AL2738" s="44"/>
      <c r="AM2738" s="44"/>
      <c r="AN2738" s="44"/>
      <c r="AO2738" s="44"/>
      <c r="AP2738" s="44"/>
      <c r="AQ2738" s="44"/>
      <c r="AR2738" s="44"/>
    </row>
    <row r="2739" spans="1:44" ht="16.8">
      <c r="A2739" s="191"/>
      <c r="B2739" s="1"/>
      <c r="C2739" s="192" t="s">
        <v>5162</v>
      </c>
      <c r="D2739" s="183"/>
      <c r="E2739" s="184" t="s">
        <v>39</v>
      </c>
      <c r="F2739" s="21"/>
      <c r="G2739" s="22"/>
      <c r="H2739" s="23"/>
      <c r="I2739" s="23"/>
      <c r="J2739" s="23"/>
      <c r="K2739" s="23"/>
      <c r="L2739" s="23"/>
      <c r="M2739" s="23"/>
      <c r="N2739" s="23"/>
      <c r="O2739" s="25"/>
      <c r="P2739" s="23"/>
      <c r="Q2739" s="23"/>
      <c r="R2739" s="25"/>
      <c r="S2739" s="26"/>
      <c r="T2739" s="27"/>
      <c r="U2739" s="26"/>
      <c r="V2739" s="26"/>
      <c r="W2739" s="143"/>
      <c r="X2739" s="143"/>
      <c r="Y2739" s="143"/>
      <c r="Z2739" s="30"/>
      <c r="AA2739" s="31"/>
      <c r="AB2739" s="144"/>
      <c r="AC2739" s="144"/>
      <c r="AD2739" s="33"/>
      <c r="AE2739" s="34"/>
      <c r="AF2739" s="33"/>
      <c r="AG2739" s="33"/>
      <c r="AH2739" s="35"/>
      <c r="AI2739" s="36"/>
      <c r="AJ2739" s="23"/>
      <c r="AK2739" s="120"/>
      <c r="AL2739" s="44"/>
      <c r="AM2739" s="44"/>
      <c r="AN2739" s="44"/>
      <c r="AO2739" s="44"/>
      <c r="AP2739" s="44"/>
      <c r="AQ2739" s="44"/>
      <c r="AR2739" s="44"/>
    </row>
    <row r="2740" spans="1:44" ht="16.8">
      <c r="A2740" s="191"/>
      <c r="B2740" s="1"/>
      <c r="C2740" s="192" t="s">
        <v>5163</v>
      </c>
      <c r="D2740" s="183"/>
      <c r="E2740" s="184" t="s">
        <v>39</v>
      </c>
      <c r="F2740" s="21"/>
      <c r="G2740" s="22"/>
      <c r="H2740" s="23"/>
      <c r="I2740" s="23"/>
      <c r="J2740" s="23"/>
      <c r="K2740" s="23"/>
      <c r="L2740" s="23"/>
      <c r="M2740" s="23"/>
      <c r="N2740" s="23"/>
      <c r="O2740" s="25"/>
      <c r="P2740" s="23"/>
      <c r="Q2740" s="23"/>
      <c r="R2740" s="25"/>
      <c r="S2740" s="26"/>
      <c r="T2740" s="27"/>
      <c r="U2740" s="26"/>
      <c r="V2740" s="26"/>
      <c r="W2740" s="143"/>
      <c r="X2740" s="143"/>
      <c r="Y2740" s="143"/>
      <c r="Z2740" s="30"/>
      <c r="AA2740" s="31"/>
      <c r="AB2740" s="144"/>
      <c r="AC2740" s="144"/>
      <c r="AD2740" s="33"/>
      <c r="AE2740" s="34"/>
      <c r="AF2740" s="33"/>
      <c r="AG2740" s="33"/>
      <c r="AH2740" s="35"/>
      <c r="AI2740" s="36"/>
      <c r="AJ2740" s="23"/>
      <c r="AK2740" s="120"/>
      <c r="AL2740" s="44"/>
      <c r="AM2740" s="44"/>
      <c r="AN2740" s="44"/>
      <c r="AO2740" s="44"/>
      <c r="AP2740" s="44"/>
      <c r="AQ2740" s="44"/>
      <c r="AR2740" s="44"/>
    </row>
    <row r="2741" spans="1:44" ht="16.8">
      <c r="A2741" s="191"/>
      <c r="B2741" s="1"/>
      <c r="C2741" s="192" t="s">
        <v>5164</v>
      </c>
      <c r="D2741" s="183"/>
      <c r="E2741" s="184" t="s">
        <v>39</v>
      </c>
      <c r="F2741" s="21"/>
      <c r="G2741" s="22"/>
      <c r="H2741" s="23"/>
      <c r="I2741" s="23"/>
      <c r="J2741" s="23"/>
      <c r="K2741" s="23"/>
      <c r="L2741" s="23"/>
      <c r="M2741" s="23"/>
      <c r="N2741" s="23"/>
      <c r="O2741" s="25"/>
      <c r="P2741" s="23"/>
      <c r="Q2741" s="23"/>
      <c r="R2741" s="25"/>
      <c r="S2741" s="26"/>
      <c r="T2741" s="27"/>
      <c r="U2741" s="26"/>
      <c r="V2741" s="26"/>
      <c r="W2741" s="143"/>
      <c r="X2741" s="143"/>
      <c r="Y2741" s="143"/>
      <c r="Z2741" s="30"/>
      <c r="AA2741" s="31"/>
      <c r="AB2741" s="144"/>
      <c r="AC2741" s="144"/>
      <c r="AD2741" s="33"/>
      <c r="AE2741" s="34"/>
      <c r="AF2741" s="33"/>
      <c r="AG2741" s="33"/>
      <c r="AH2741" s="35"/>
      <c r="AI2741" s="36"/>
      <c r="AJ2741" s="23"/>
      <c r="AK2741" s="120"/>
      <c r="AL2741" s="44"/>
      <c r="AM2741" s="44"/>
      <c r="AN2741" s="44"/>
      <c r="AO2741" s="44"/>
      <c r="AP2741" s="44"/>
      <c r="AQ2741" s="44"/>
      <c r="AR2741" s="44"/>
    </row>
    <row r="2742" spans="1:44" ht="16.8">
      <c r="A2742" s="191"/>
      <c r="B2742" s="1"/>
      <c r="C2742" s="192" t="s">
        <v>5165</v>
      </c>
      <c r="D2742" s="183"/>
      <c r="E2742" s="184" t="s">
        <v>39</v>
      </c>
      <c r="F2742" s="21"/>
      <c r="G2742" s="22"/>
      <c r="H2742" s="23"/>
      <c r="I2742" s="23"/>
      <c r="J2742" s="23"/>
      <c r="K2742" s="23"/>
      <c r="L2742" s="23"/>
      <c r="M2742" s="23"/>
      <c r="N2742" s="23"/>
      <c r="O2742" s="25"/>
      <c r="P2742" s="23"/>
      <c r="Q2742" s="23"/>
      <c r="R2742" s="25"/>
      <c r="S2742" s="26"/>
      <c r="T2742" s="27"/>
      <c r="U2742" s="26"/>
      <c r="V2742" s="26"/>
      <c r="W2742" s="143"/>
      <c r="X2742" s="143"/>
      <c r="Y2742" s="143"/>
      <c r="Z2742" s="30"/>
      <c r="AA2742" s="31"/>
      <c r="AB2742" s="144"/>
      <c r="AC2742" s="144"/>
      <c r="AD2742" s="33"/>
      <c r="AE2742" s="34"/>
      <c r="AF2742" s="33"/>
      <c r="AG2742" s="33"/>
      <c r="AH2742" s="35"/>
      <c r="AI2742" s="36"/>
      <c r="AJ2742" s="23"/>
      <c r="AK2742" s="120"/>
      <c r="AL2742" s="44"/>
      <c r="AM2742" s="44"/>
      <c r="AN2742" s="44"/>
      <c r="AO2742" s="44"/>
      <c r="AP2742" s="44"/>
      <c r="AQ2742" s="44"/>
      <c r="AR2742" s="44"/>
    </row>
    <row r="2743" spans="1:44" ht="16.8">
      <c r="A2743" s="191"/>
      <c r="B2743" s="1"/>
      <c r="C2743" s="192" t="s">
        <v>5166</v>
      </c>
      <c r="D2743" s="183"/>
      <c r="E2743" s="184" t="s">
        <v>39</v>
      </c>
      <c r="F2743" s="21"/>
      <c r="G2743" s="22"/>
      <c r="H2743" s="23"/>
      <c r="I2743" s="23"/>
      <c r="J2743" s="23"/>
      <c r="K2743" s="23"/>
      <c r="L2743" s="23"/>
      <c r="M2743" s="23"/>
      <c r="N2743" s="23"/>
      <c r="O2743" s="25"/>
      <c r="P2743" s="23"/>
      <c r="Q2743" s="23"/>
      <c r="R2743" s="25"/>
      <c r="S2743" s="26"/>
      <c r="T2743" s="27"/>
      <c r="U2743" s="26"/>
      <c r="V2743" s="26"/>
      <c r="W2743" s="143"/>
      <c r="X2743" s="143"/>
      <c r="Y2743" s="143"/>
      <c r="Z2743" s="30"/>
      <c r="AA2743" s="31"/>
      <c r="AB2743" s="144"/>
      <c r="AC2743" s="144"/>
      <c r="AD2743" s="33"/>
      <c r="AE2743" s="34"/>
      <c r="AF2743" s="33"/>
      <c r="AG2743" s="33"/>
      <c r="AH2743" s="35"/>
      <c r="AI2743" s="36"/>
      <c r="AJ2743" s="23"/>
      <c r="AK2743" s="120"/>
      <c r="AL2743" s="44"/>
      <c r="AM2743" s="44"/>
      <c r="AN2743" s="44"/>
      <c r="AO2743" s="44"/>
      <c r="AP2743" s="44"/>
      <c r="AQ2743" s="44"/>
      <c r="AR2743" s="44"/>
    </row>
    <row r="2744" spans="1:44" ht="16.8">
      <c r="A2744" s="191"/>
      <c r="B2744" s="1"/>
      <c r="C2744" s="192" t="s">
        <v>5167</v>
      </c>
      <c r="D2744" s="183"/>
      <c r="E2744" s="184" t="s">
        <v>39</v>
      </c>
      <c r="F2744" s="21"/>
      <c r="G2744" s="22"/>
      <c r="H2744" s="23"/>
      <c r="I2744" s="23"/>
      <c r="J2744" s="23"/>
      <c r="K2744" s="23"/>
      <c r="L2744" s="23"/>
      <c r="M2744" s="23"/>
      <c r="N2744" s="23"/>
      <c r="O2744" s="25"/>
      <c r="P2744" s="23"/>
      <c r="Q2744" s="23"/>
      <c r="R2744" s="25"/>
      <c r="S2744" s="26"/>
      <c r="T2744" s="27"/>
      <c r="U2744" s="26"/>
      <c r="V2744" s="26"/>
      <c r="W2744" s="143"/>
      <c r="X2744" s="143"/>
      <c r="Y2744" s="143"/>
      <c r="Z2744" s="30"/>
      <c r="AA2744" s="31"/>
      <c r="AB2744" s="144"/>
      <c r="AC2744" s="144"/>
      <c r="AD2744" s="33"/>
      <c r="AE2744" s="34"/>
      <c r="AF2744" s="33"/>
      <c r="AG2744" s="33"/>
      <c r="AH2744" s="35"/>
      <c r="AI2744" s="36"/>
      <c r="AJ2744" s="23"/>
      <c r="AK2744" s="120"/>
      <c r="AL2744" s="44"/>
      <c r="AM2744" s="44"/>
      <c r="AN2744" s="44"/>
      <c r="AO2744" s="44"/>
      <c r="AP2744" s="44"/>
      <c r="AQ2744" s="44"/>
      <c r="AR2744" s="44"/>
    </row>
    <row r="2745" spans="1:44" ht="16.8">
      <c r="A2745" s="191"/>
      <c r="B2745" s="1"/>
      <c r="C2745" s="192" t="s">
        <v>5168</v>
      </c>
      <c r="D2745" s="183"/>
      <c r="E2745" s="184" t="s">
        <v>39</v>
      </c>
      <c r="F2745" s="21"/>
      <c r="G2745" s="22"/>
      <c r="H2745" s="23"/>
      <c r="I2745" s="23"/>
      <c r="J2745" s="23"/>
      <c r="K2745" s="23"/>
      <c r="L2745" s="23"/>
      <c r="M2745" s="23"/>
      <c r="N2745" s="23"/>
      <c r="O2745" s="25"/>
      <c r="P2745" s="23"/>
      <c r="Q2745" s="23"/>
      <c r="R2745" s="25"/>
      <c r="S2745" s="26"/>
      <c r="T2745" s="27"/>
      <c r="U2745" s="26"/>
      <c r="V2745" s="26"/>
      <c r="W2745" s="143"/>
      <c r="X2745" s="143"/>
      <c r="Y2745" s="143"/>
      <c r="Z2745" s="30"/>
      <c r="AA2745" s="31"/>
      <c r="AB2745" s="144"/>
      <c r="AC2745" s="144"/>
      <c r="AD2745" s="33"/>
      <c r="AE2745" s="34"/>
      <c r="AF2745" s="33"/>
      <c r="AG2745" s="33"/>
      <c r="AH2745" s="35"/>
      <c r="AI2745" s="36"/>
      <c r="AJ2745" s="23"/>
      <c r="AK2745" s="120"/>
      <c r="AL2745" s="44"/>
      <c r="AM2745" s="44"/>
      <c r="AN2745" s="44"/>
      <c r="AO2745" s="44"/>
      <c r="AP2745" s="44"/>
      <c r="AQ2745" s="44"/>
      <c r="AR2745" s="44"/>
    </row>
    <row r="2746" spans="1:44" ht="16.8">
      <c r="A2746" s="191"/>
      <c r="B2746" s="1"/>
      <c r="C2746" s="192" t="s">
        <v>5169</v>
      </c>
      <c r="D2746" s="183"/>
      <c r="E2746" s="184" t="s">
        <v>39</v>
      </c>
      <c r="F2746" s="21"/>
      <c r="G2746" s="22"/>
      <c r="H2746" s="23"/>
      <c r="I2746" s="23"/>
      <c r="J2746" s="23"/>
      <c r="K2746" s="23"/>
      <c r="L2746" s="23"/>
      <c r="M2746" s="23"/>
      <c r="N2746" s="23"/>
      <c r="O2746" s="25"/>
      <c r="P2746" s="23"/>
      <c r="Q2746" s="23"/>
      <c r="R2746" s="25"/>
      <c r="S2746" s="26"/>
      <c r="T2746" s="27"/>
      <c r="U2746" s="26"/>
      <c r="V2746" s="26"/>
      <c r="W2746" s="143"/>
      <c r="X2746" s="143"/>
      <c r="Y2746" s="143"/>
      <c r="Z2746" s="30"/>
      <c r="AA2746" s="31"/>
      <c r="AB2746" s="144"/>
      <c r="AC2746" s="144"/>
      <c r="AD2746" s="33"/>
      <c r="AE2746" s="34"/>
      <c r="AF2746" s="33"/>
      <c r="AG2746" s="33"/>
      <c r="AH2746" s="35"/>
      <c r="AI2746" s="36"/>
      <c r="AJ2746" s="23"/>
      <c r="AK2746" s="120"/>
      <c r="AL2746" s="44"/>
      <c r="AM2746" s="44"/>
      <c r="AN2746" s="44"/>
      <c r="AO2746" s="44"/>
      <c r="AP2746" s="44"/>
      <c r="AQ2746" s="44"/>
      <c r="AR2746" s="44"/>
    </row>
    <row r="2747" spans="1:44" ht="16.8">
      <c r="A2747" s="191"/>
      <c r="B2747" s="1"/>
      <c r="C2747" s="192" t="s">
        <v>5170</v>
      </c>
      <c r="D2747" s="183"/>
      <c r="E2747" s="184" t="s">
        <v>39</v>
      </c>
      <c r="F2747" s="21"/>
      <c r="G2747" s="22"/>
      <c r="H2747" s="23"/>
      <c r="I2747" s="23"/>
      <c r="J2747" s="23"/>
      <c r="K2747" s="23"/>
      <c r="L2747" s="23"/>
      <c r="M2747" s="23"/>
      <c r="N2747" s="23"/>
      <c r="O2747" s="25"/>
      <c r="P2747" s="23"/>
      <c r="Q2747" s="23"/>
      <c r="R2747" s="25"/>
      <c r="S2747" s="26"/>
      <c r="T2747" s="27"/>
      <c r="U2747" s="26"/>
      <c r="V2747" s="26"/>
      <c r="W2747" s="143"/>
      <c r="X2747" s="143"/>
      <c r="Y2747" s="143"/>
      <c r="Z2747" s="30"/>
      <c r="AA2747" s="31"/>
      <c r="AB2747" s="144"/>
      <c r="AC2747" s="144"/>
      <c r="AD2747" s="33"/>
      <c r="AE2747" s="34"/>
      <c r="AF2747" s="33"/>
      <c r="AG2747" s="33"/>
      <c r="AH2747" s="35"/>
      <c r="AI2747" s="36"/>
      <c r="AJ2747" s="23"/>
      <c r="AK2747" s="120"/>
      <c r="AL2747" s="44"/>
      <c r="AM2747" s="44"/>
      <c r="AN2747" s="44"/>
      <c r="AO2747" s="44"/>
      <c r="AP2747" s="44"/>
      <c r="AQ2747" s="44"/>
      <c r="AR2747" s="44"/>
    </row>
    <row r="2748" spans="1:44" ht="16.8">
      <c r="A2748" s="191"/>
      <c r="B2748" s="1"/>
      <c r="C2748" s="192" t="s">
        <v>5171</v>
      </c>
      <c r="D2748" s="183"/>
      <c r="E2748" s="184" t="s">
        <v>39</v>
      </c>
      <c r="F2748" s="21"/>
      <c r="G2748" s="22"/>
      <c r="H2748" s="23"/>
      <c r="I2748" s="23"/>
      <c r="J2748" s="23"/>
      <c r="K2748" s="23"/>
      <c r="L2748" s="23"/>
      <c r="M2748" s="23"/>
      <c r="N2748" s="23"/>
      <c r="O2748" s="25"/>
      <c r="P2748" s="23"/>
      <c r="Q2748" s="23"/>
      <c r="R2748" s="25"/>
      <c r="S2748" s="26"/>
      <c r="T2748" s="27"/>
      <c r="U2748" s="26"/>
      <c r="V2748" s="26"/>
      <c r="W2748" s="143"/>
      <c r="X2748" s="143"/>
      <c r="Y2748" s="143"/>
      <c r="Z2748" s="30"/>
      <c r="AA2748" s="31"/>
      <c r="AB2748" s="144"/>
      <c r="AC2748" s="144"/>
      <c r="AD2748" s="33"/>
      <c r="AE2748" s="34"/>
      <c r="AF2748" s="33"/>
      <c r="AG2748" s="33"/>
      <c r="AH2748" s="35"/>
      <c r="AI2748" s="36"/>
      <c r="AJ2748" s="23"/>
      <c r="AK2748" s="120"/>
      <c r="AL2748" s="44"/>
      <c r="AM2748" s="44"/>
      <c r="AN2748" s="44"/>
      <c r="AO2748" s="44"/>
      <c r="AP2748" s="44"/>
      <c r="AQ2748" s="44"/>
      <c r="AR2748" s="44"/>
    </row>
    <row r="2749" spans="1:44" ht="16.8">
      <c r="A2749" s="191"/>
      <c r="B2749" s="1"/>
      <c r="C2749" s="192" t="s">
        <v>5172</v>
      </c>
      <c r="D2749" s="183"/>
      <c r="E2749" s="184" t="s">
        <v>39</v>
      </c>
      <c r="F2749" s="21"/>
      <c r="G2749" s="22"/>
      <c r="H2749" s="23"/>
      <c r="I2749" s="23"/>
      <c r="J2749" s="23"/>
      <c r="K2749" s="23"/>
      <c r="L2749" s="23"/>
      <c r="M2749" s="23"/>
      <c r="N2749" s="23"/>
      <c r="O2749" s="25"/>
      <c r="P2749" s="23"/>
      <c r="Q2749" s="23"/>
      <c r="R2749" s="25"/>
      <c r="S2749" s="26"/>
      <c r="T2749" s="27"/>
      <c r="U2749" s="26"/>
      <c r="V2749" s="26"/>
      <c r="W2749" s="143"/>
      <c r="X2749" s="143"/>
      <c r="Y2749" s="143"/>
      <c r="Z2749" s="30"/>
      <c r="AA2749" s="31"/>
      <c r="AB2749" s="144"/>
      <c r="AC2749" s="144"/>
      <c r="AD2749" s="33"/>
      <c r="AE2749" s="34"/>
      <c r="AF2749" s="33"/>
      <c r="AG2749" s="33"/>
      <c r="AH2749" s="35"/>
      <c r="AI2749" s="36"/>
      <c r="AJ2749" s="23"/>
      <c r="AK2749" s="120"/>
      <c r="AL2749" s="44"/>
      <c r="AM2749" s="44"/>
      <c r="AN2749" s="44"/>
      <c r="AO2749" s="44"/>
      <c r="AP2749" s="44"/>
      <c r="AQ2749" s="44"/>
      <c r="AR2749" s="44"/>
    </row>
    <row r="2750" spans="1:44" ht="16.8">
      <c r="A2750" s="191"/>
      <c r="B2750" s="1"/>
      <c r="C2750" s="192" t="s">
        <v>5173</v>
      </c>
      <c r="D2750" s="183"/>
      <c r="E2750" s="184" t="s">
        <v>39</v>
      </c>
      <c r="F2750" s="21"/>
      <c r="G2750" s="22"/>
      <c r="H2750" s="23"/>
      <c r="I2750" s="23"/>
      <c r="J2750" s="23"/>
      <c r="K2750" s="23"/>
      <c r="L2750" s="23"/>
      <c r="M2750" s="23"/>
      <c r="N2750" s="23"/>
      <c r="O2750" s="25"/>
      <c r="P2750" s="23"/>
      <c r="Q2750" s="23"/>
      <c r="R2750" s="25"/>
      <c r="S2750" s="26"/>
      <c r="T2750" s="27"/>
      <c r="U2750" s="26"/>
      <c r="V2750" s="26"/>
      <c r="W2750" s="143"/>
      <c r="X2750" s="143"/>
      <c r="Y2750" s="143"/>
      <c r="Z2750" s="30"/>
      <c r="AA2750" s="31"/>
      <c r="AB2750" s="144"/>
      <c r="AC2750" s="144"/>
      <c r="AD2750" s="33"/>
      <c r="AE2750" s="34"/>
      <c r="AF2750" s="33"/>
      <c r="AG2750" s="33"/>
      <c r="AH2750" s="35"/>
      <c r="AI2750" s="36"/>
      <c r="AJ2750" s="23"/>
      <c r="AK2750" s="120"/>
      <c r="AL2750" s="44"/>
      <c r="AM2750" s="44"/>
      <c r="AN2750" s="44"/>
      <c r="AO2750" s="44"/>
      <c r="AP2750" s="44"/>
      <c r="AQ2750" s="44"/>
      <c r="AR2750" s="44"/>
    </row>
    <row r="2751" spans="1:44" ht="16.8">
      <c r="A2751" s="191"/>
      <c r="B2751" s="1"/>
      <c r="C2751" s="192" t="s">
        <v>5174</v>
      </c>
      <c r="D2751" s="183"/>
      <c r="E2751" s="184" t="s">
        <v>39</v>
      </c>
      <c r="F2751" s="21"/>
      <c r="G2751" s="22"/>
      <c r="H2751" s="23"/>
      <c r="I2751" s="23"/>
      <c r="J2751" s="23"/>
      <c r="K2751" s="23"/>
      <c r="L2751" s="23"/>
      <c r="M2751" s="23"/>
      <c r="N2751" s="23"/>
      <c r="O2751" s="25"/>
      <c r="P2751" s="23"/>
      <c r="Q2751" s="23"/>
      <c r="R2751" s="25"/>
      <c r="S2751" s="26"/>
      <c r="T2751" s="27"/>
      <c r="U2751" s="26"/>
      <c r="V2751" s="26"/>
      <c r="W2751" s="143"/>
      <c r="X2751" s="143"/>
      <c r="Y2751" s="143"/>
      <c r="Z2751" s="30"/>
      <c r="AA2751" s="31"/>
      <c r="AB2751" s="144"/>
      <c r="AC2751" s="144"/>
      <c r="AD2751" s="33"/>
      <c r="AE2751" s="34"/>
      <c r="AF2751" s="33"/>
      <c r="AG2751" s="33"/>
      <c r="AH2751" s="35"/>
      <c r="AI2751" s="36"/>
      <c r="AJ2751" s="23"/>
      <c r="AK2751" s="120"/>
      <c r="AL2751" s="44"/>
      <c r="AM2751" s="44"/>
      <c r="AN2751" s="44"/>
      <c r="AO2751" s="44"/>
      <c r="AP2751" s="44"/>
      <c r="AQ2751" s="44"/>
      <c r="AR2751" s="44"/>
    </row>
    <row r="2752" spans="1:44" ht="16.8">
      <c r="A2752" s="191"/>
      <c r="B2752" s="1"/>
      <c r="C2752" s="192" t="s">
        <v>5175</v>
      </c>
      <c r="D2752" s="183"/>
      <c r="E2752" s="184" t="s">
        <v>39</v>
      </c>
      <c r="F2752" s="21"/>
      <c r="G2752" s="22"/>
      <c r="H2752" s="23"/>
      <c r="I2752" s="23"/>
      <c r="J2752" s="23"/>
      <c r="K2752" s="23"/>
      <c r="L2752" s="23"/>
      <c r="M2752" s="23"/>
      <c r="N2752" s="23"/>
      <c r="O2752" s="25"/>
      <c r="P2752" s="23"/>
      <c r="Q2752" s="23"/>
      <c r="R2752" s="25"/>
      <c r="S2752" s="26"/>
      <c r="T2752" s="27"/>
      <c r="U2752" s="26"/>
      <c r="V2752" s="26"/>
      <c r="W2752" s="143"/>
      <c r="X2752" s="143"/>
      <c r="Y2752" s="143"/>
      <c r="Z2752" s="30"/>
      <c r="AA2752" s="31"/>
      <c r="AB2752" s="144"/>
      <c r="AC2752" s="144"/>
      <c r="AD2752" s="33"/>
      <c r="AE2752" s="34"/>
      <c r="AF2752" s="33"/>
      <c r="AG2752" s="33"/>
      <c r="AH2752" s="35"/>
      <c r="AI2752" s="36"/>
      <c r="AJ2752" s="23"/>
      <c r="AK2752" s="120"/>
      <c r="AL2752" s="44"/>
      <c r="AM2752" s="44"/>
      <c r="AN2752" s="44"/>
      <c r="AO2752" s="44"/>
      <c r="AP2752" s="44"/>
      <c r="AQ2752" s="44"/>
      <c r="AR2752" s="44"/>
    </row>
    <row r="2753" spans="1:44" ht="16.8">
      <c r="A2753" s="191"/>
      <c r="B2753" s="1"/>
      <c r="C2753" s="192" t="s">
        <v>5176</v>
      </c>
      <c r="D2753" s="183"/>
      <c r="E2753" s="184" t="s">
        <v>39</v>
      </c>
      <c r="F2753" s="21"/>
      <c r="G2753" s="22"/>
      <c r="H2753" s="23"/>
      <c r="I2753" s="23"/>
      <c r="J2753" s="23"/>
      <c r="K2753" s="23"/>
      <c r="L2753" s="23"/>
      <c r="M2753" s="23"/>
      <c r="N2753" s="23"/>
      <c r="O2753" s="25"/>
      <c r="P2753" s="23"/>
      <c r="Q2753" s="23"/>
      <c r="R2753" s="25"/>
      <c r="S2753" s="26"/>
      <c r="T2753" s="27"/>
      <c r="U2753" s="26"/>
      <c r="V2753" s="26"/>
      <c r="W2753" s="143"/>
      <c r="X2753" s="143"/>
      <c r="Y2753" s="143"/>
      <c r="Z2753" s="30"/>
      <c r="AA2753" s="31"/>
      <c r="AB2753" s="144"/>
      <c r="AC2753" s="144"/>
      <c r="AD2753" s="33"/>
      <c r="AE2753" s="34"/>
      <c r="AF2753" s="33"/>
      <c r="AG2753" s="33"/>
      <c r="AH2753" s="35"/>
      <c r="AI2753" s="36"/>
      <c r="AJ2753" s="23"/>
      <c r="AK2753" s="120"/>
      <c r="AL2753" s="44"/>
      <c r="AM2753" s="44"/>
      <c r="AN2753" s="44"/>
      <c r="AO2753" s="44"/>
      <c r="AP2753" s="44"/>
      <c r="AQ2753" s="44"/>
      <c r="AR2753" s="44"/>
    </row>
    <row r="2754" spans="1:44" ht="16.8">
      <c r="A2754" s="191"/>
      <c r="B2754" s="1"/>
      <c r="C2754" s="192" t="s">
        <v>5177</v>
      </c>
      <c r="D2754" s="183"/>
      <c r="E2754" s="184" t="s">
        <v>39</v>
      </c>
      <c r="F2754" s="21"/>
      <c r="G2754" s="22"/>
      <c r="H2754" s="23"/>
      <c r="I2754" s="23"/>
      <c r="J2754" s="23"/>
      <c r="K2754" s="23"/>
      <c r="L2754" s="23"/>
      <c r="M2754" s="23"/>
      <c r="N2754" s="23"/>
      <c r="O2754" s="25"/>
      <c r="P2754" s="23"/>
      <c r="Q2754" s="23"/>
      <c r="R2754" s="25"/>
      <c r="S2754" s="26"/>
      <c r="T2754" s="27"/>
      <c r="U2754" s="26"/>
      <c r="V2754" s="26"/>
      <c r="W2754" s="143"/>
      <c r="X2754" s="143"/>
      <c r="Y2754" s="143"/>
      <c r="Z2754" s="30"/>
      <c r="AA2754" s="31"/>
      <c r="AB2754" s="144"/>
      <c r="AC2754" s="144"/>
      <c r="AD2754" s="33"/>
      <c r="AE2754" s="34"/>
      <c r="AF2754" s="33"/>
      <c r="AG2754" s="33"/>
      <c r="AH2754" s="35"/>
      <c r="AI2754" s="36"/>
      <c r="AJ2754" s="23"/>
      <c r="AK2754" s="120"/>
      <c r="AL2754" s="44"/>
      <c r="AM2754" s="44"/>
      <c r="AN2754" s="44"/>
      <c r="AO2754" s="44"/>
      <c r="AP2754" s="44"/>
      <c r="AQ2754" s="44"/>
      <c r="AR2754" s="44"/>
    </row>
    <row r="2755" spans="1:44" ht="16.8">
      <c r="A2755" s="191"/>
      <c r="B2755" s="1"/>
      <c r="C2755" s="192" t="s">
        <v>5178</v>
      </c>
      <c r="D2755" s="183"/>
      <c r="E2755" s="184" t="s">
        <v>39</v>
      </c>
      <c r="F2755" s="21"/>
      <c r="G2755" s="22"/>
      <c r="H2755" s="23"/>
      <c r="I2755" s="23"/>
      <c r="J2755" s="23"/>
      <c r="K2755" s="23"/>
      <c r="L2755" s="23"/>
      <c r="M2755" s="23"/>
      <c r="N2755" s="23"/>
      <c r="O2755" s="25"/>
      <c r="P2755" s="23"/>
      <c r="Q2755" s="23"/>
      <c r="R2755" s="25"/>
      <c r="S2755" s="26"/>
      <c r="T2755" s="27"/>
      <c r="U2755" s="26"/>
      <c r="V2755" s="26"/>
      <c r="W2755" s="143"/>
      <c r="X2755" s="143"/>
      <c r="Y2755" s="143"/>
      <c r="Z2755" s="30"/>
      <c r="AA2755" s="31"/>
      <c r="AB2755" s="144"/>
      <c r="AC2755" s="144"/>
      <c r="AD2755" s="33"/>
      <c r="AE2755" s="34"/>
      <c r="AF2755" s="33"/>
      <c r="AG2755" s="33"/>
      <c r="AH2755" s="35"/>
      <c r="AI2755" s="36"/>
      <c r="AJ2755" s="23"/>
      <c r="AK2755" s="120"/>
      <c r="AL2755" s="44"/>
      <c r="AM2755" s="44"/>
      <c r="AN2755" s="44"/>
      <c r="AO2755" s="44"/>
      <c r="AP2755" s="44"/>
      <c r="AQ2755" s="44"/>
      <c r="AR2755" s="44"/>
    </row>
    <row r="2756" spans="1:44" ht="16.8">
      <c r="A2756" s="191"/>
      <c r="B2756" s="1"/>
      <c r="C2756" s="192" t="s">
        <v>5179</v>
      </c>
      <c r="D2756" s="183"/>
      <c r="E2756" s="184" t="s">
        <v>39</v>
      </c>
      <c r="F2756" s="21"/>
      <c r="G2756" s="22"/>
      <c r="H2756" s="23"/>
      <c r="I2756" s="23"/>
      <c r="J2756" s="23"/>
      <c r="K2756" s="23"/>
      <c r="L2756" s="23"/>
      <c r="M2756" s="23"/>
      <c r="N2756" s="23"/>
      <c r="O2756" s="25"/>
      <c r="P2756" s="23"/>
      <c r="Q2756" s="23"/>
      <c r="R2756" s="25"/>
      <c r="S2756" s="26"/>
      <c r="T2756" s="27"/>
      <c r="U2756" s="26"/>
      <c r="V2756" s="26"/>
      <c r="W2756" s="143"/>
      <c r="X2756" s="143"/>
      <c r="Y2756" s="143"/>
      <c r="Z2756" s="30"/>
      <c r="AA2756" s="31"/>
      <c r="AB2756" s="144"/>
      <c r="AC2756" s="144"/>
      <c r="AD2756" s="33"/>
      <c r="AE2756" s="34"/>
      <c r="AF2756" s="33"/>
      <c r="AG2756" s="33"/>
      <c r="AH2756" s="35"/>
      <c r="AI2756" s="36"/>
      <c r="AJ2756" s="23"/>
      <c r="AK2756" s="120"/>
      <c r="AL2756" s="44"/>
      <c r="AM2756" s="44"/>
      <c r="AN2756" s="44"/>
      <c r="AO2756" s="44"/>
      <c r="AP2756" s="44"/>
      <c r="AQ2756" s="44"/>
      <c r="AR2756" s="44"/>
    </row>
    <row r="2757" spans="1:44" ht="16.8">
      <c r="A2757" s="191"/>
      <c r="B2757" s="1"/>
      <c r="C2757" s="192" t="s">
        <v>5180</v>
      </c>
      <c r="D2757" s="183"/>
      <c r="E2757" s="184" t="s">
        <v>39</v>
      </c>
      <c r="F2757" s="21"/>
      <c r="G2757" s="22"/>
      <c r="H2757" s="23"/>
      <c r="I2757" s="23"/>
      <c r="J2757" s="23"/>
      <c r="K2757" s="23"/>
      <c r="L2757" s="23"/>
      <c r="M2757" s="23"/>
      <c r="N2757" s="23"/>
      <c r="O2757" s="25"/>
      <c r="P2757" s="23"/>
      <c r="Q2757" s="23"/>
      <c r="R2757" s="25"/>
      <c r="S2757" s="26"/>
      <c r="T2757" s="27"/>
      <c r="U2757" s="26"/>
      <c r="V2757" s="26"/>
      <c r="W2757" s="143"/>
      <c r="X2757" s="143"/>
      <c r="Y2757" s="143"/>
      <c r="Z2757" s="30"/>
      <c r="AA2757" s="31"/>
      <c r="AB2757" s="144"/>
      <c r="AC2757" s="144"/>
      <c r="AD2757" s="33"/>
      <c r="AE2757" s="34"/>
      <c r="AF2757" s="33"/>
      <c r="AG2757" s="33"/>
      <c r="AH2757" s="35"/>
      <c r="AI2757" s="36"/>
      <c r="AJ2757" s="23"/>
      <c r="AK2757" s="120"/>
      <c r="AL2757" s="44"/>
      <c r="AM2757" s="44"/>
      <c r="AN2757" s="44"/>
      <c r="AO2757" s="44"/>
      <c r="AP2757" s="44"/>
      <c r="AQ2757" s="44"/>
      <c r="AR2757" s="44"/>
    </row>
    <row r="2758" spans="1:44" ht="16.8">
      <c r="A2758" s="191"/>
      <c r="B2758" s="1"/>
      <c r="C2758" s="192" t="s">
        <v>5181</v>
      </c>
      <c r="D2758" s="183"/>
      <c r="E2758" s="184" t="s">
        <v>39</v>
      </c>
      <c r="F2758" s="21"/>
      <c r="G2758" s="22"/>
      <c r="H2758" s="23"/>
      <c r="I2758" s="23"/>
      <c r="J2758" s="23"/>
      <c r="K2758" s="23"/>
      <c r="L2758" s="23"/>
      <c r="M2758" s="23"/>
      <c r="N2758" s="23"/>
      <c r="O2758" s="25"/>
      <c r="P2758" s="23"/>
      <c r="Q2758" s="23"/>
      <c r="R2758" s="25"/>
      <c r="S2758" s="26"/>
      <c r="T2758" s="27"/>
      <c r="U2758" s="26"/>
      <c r="V2758" s="26"/>
      <c r="W2758" s="143"/>
      <c r="X2758" s="143"/>
      <c r="Y2758" s="143"/>
      <c r="Z2758" s="30"/>
      <c r="AA2758" s="31"/>
      <c r="AB2758" s="144"/>
      <c r="AC2758" s="144"/>
      <c r="AD2758" s="33"/>
      <c r="AE2758" s="34"/>
      <c r="AF2758" s="33"/>
      <c r="AG2758" s="33"/>
      <c r="AH2758" s="35"/>
      <c r="AI2758" s="36"/>
      <c r="AJ2758" s="23"/>
      <c r="AK2758" s="120"/>
      <c r="AL2758" s="44"/>
      <c r="AM2758" s="44"/>
      <c r="AN2758" s="44"/>
      <c r="AO2758" s="44"/>
      <c r="AP2758" s="44"/>
      <c r="AQ2758" s="44"/>
      <c r="AR2758" s="44"/>
    </row>
    <row r="2759" spans="1:44" ht="16.8">
      <c r="A2759" s="191"/>
      <c r="B2759" s="1"/>
      <c r="C2759" s="192" t="s">
        <v>5182</v>
      </c>
      <c r="D2759" s="183"/>
      <c r="E2759" s="184" t="s">
        <v>39</v>
      </c>
      <c r="F2759" s="21"/>
      <c r="G2759" s="22"/>
      <c r="H2759" s="23"/>
      <c r="I2759" s="23"/>
      <c r="J2759" s="23"/>
      <c r="K2759" s="23"/>
      <c r="L2759" s="23"/>
      <c r="M2759" s="23"/>
      <c r="N2759" s="23"/>
      <c r="O2759" s="25"/>
      <c r="P2759" s="23"/>
      <c r="Q2759" s="23"/>
      <c r="R2759" s="25"/>
      <c r="S2759" s="26"/>
      <c r="T2759" s="27"/>
      <c r="U2759" s="26"/>
      <c r="V2759" s="26"/>
      <c r="W2759" s="143"/>
      <c r="X2759" s="143"/>
      <c r="Y2759" s="143"/>
      <c r="Z2759" s="30"/>
      <c r="AA2759" s="31"/>
      <c r="AB2759" s="144"/>
      <c r="AC2759" s="144"/>
      <c r="AD2759" s="33"/>
      <c r="AE2759" s="34"/>
      <c r="AF2759" s="33"/>
      <c r="AG2759" s="33"/>
      <c r="AH2759" s="35"/>
      <c r="AI2759" s="36"/>
      <c r="AJ2759" s="23"/>
      <c r="AK2759" s="120"/>
      <c r="AL2759" s="44"/>
      <c r="AM2759" s="44"/>
      <c r="AN2759" s="44"/>
      <c r="AO2759" s="44"/>
      <c r="AP2759" s="44"/>
      <c r="AQ2759" s="44"/>
      <c r="AR2759" s="44"/>
    </row>
    <row r="2760" spans="1:44" ht="16.8">
      <c r="A2760" s="191"/>
      <c r="B2760" s="1"/>
      <c r="C2760" s="192" t="s">
        <v>5183</v>
      </c>
      <c r="D2760" s="183"/>
      <c r="E2760" s="184" t="s">
        <v>39</v>
      </c>
      <c r="F2760" s="21"/>
      <c r="G2760" s="22"/>
      <c r="H2760" s="23"/>
      <c r="I2760" s="23"/>
      <c r="J2760" s="23"/>
      <c r="K2760" s="23"/>
      <c r="L2760" s="23"/>
      <c r="M2760" s="23"/>
      <c r="N2760" s="23"/>
      <c r="O2760" s="25"/>
      <c r="P2760" s="23"/>
      <c r="Q2760" s="23"/>
      <c r="R2760" s="25"/>
      <c r="S2760" s="26"/>
      <c r="T2760" s="27"/>
      <c r="U2760" s="26"/>
      <c r="V2760" s="26"/>
      <c r="W2760" s="143"/>
      <c r="X2760" s="143"/>
      <c r="Y2760" s="143"/>
      <c r="Z2760" s="30"/>
      <c r="AA2760" s="31"/>
      <c r="AB2760" s="144"/>
      <c r="AC2760" s="144"/>
      <c r="AD2760" s="33"/>
      <c r="AE2760" s="34"/>
      <c r="AF2760" s="33"/>
      <c r="AG2760" s="33"/>
      <c r="AH2760" s="35"/>
      <c r="AI2760" s="36"/>
      <c r="AJ2760" s="23"/>
      <c r="AK2760" s="120"/>
      <c r="AL2760" s="44"/>
      <c r="AM2760" s="44"/>
      <c r="AN2760" s="44"/>
      <c r="AO2760" s="44"/>
      <c r="AP2760" s="44"/>
      <c r="AQ2760" s="44"/>
      <c r="AR2760" s="44"/>
    </row>
    <row r="2761" spans="1:44" ht="16.8">
      <c r="A2761" s="191"/>
      <c r="B2761" s="1"/>
      <c r="C2761" s="192" t="s">
        <v>5184</v>
      </c>
      <c r="D2761" s="183"/>
      <c r="E2761" s="184" t="s">
        <v>39</v>
      </c>
      <c r="F2761" s="21"/>
      <c r="G2761" s="22"/>
      <c r="H2761" s="23"/>
      <c r="I2761" s="23"/>
      <c r="J2761" s="23"/>
      <c r="K2761" s="23"/>
      <c r="L2761" s="23"/>
      <c r="M2761" s="23"/>
      <c r="N2761" s="23"/>
      <c r="O2761" s="25"/>
      <c r="P2761" s="23"/>
      <c r="Q2761" s="23"/>
      <c r="R2761" s="25"/>
      <c r="S2761" s="26"/>
      <c r="T2761" s="27"/>
      <c r="U2761" s="26"/>
      <c r="V2761" s="26"/>
      <c r="W2761" s="143"/>
      <c r="X2761" s="143"/>
      <c r="Y2761" s="143"/>
      <c r="Z2761" s="30"/>
      <c r="AA2761" s="31"/>
      <c r="AB2761" s="144"/>
      <c r="AC2761" s="144"/>
      <c r="AD2761" s="33"/>
      <c r="AE2761" s="34"/>
      <c r="AF2761" s="33"/>
      <c r="AG2761" s="33"/>
      <c r="AH2761" s="35"/>
      <c r="AI2761" s="36"/>
      <c r="AJ2761" s="23"/>
      <c r="AK2761" s="120"/>
      <c r="AL2761" s="44"/>
      <c r="AM2761" s="44"/>
      <c r="AN2761" s="44"/>
      <c r="AO2761" s="44"/>
      <c r="AP2761" s="44"/>
      <c r="AQ2761" s="44"/>
      <c r="AR2761" s="44"/>
    </row>
    <row r="2762" spans="1:44" ht="16.8">
      <c r="A2762" s="191"/>
      <c r="B2762" s="1"/>
      <c r="C2762" s="192" t="s">
        <v>5185</v>
      </c>
      <c r="D2762" s="183"/>
      <c r="E2762" s="184" t="s">
        <v>39</v>
      </c>
      <c r="F2762" s="21"/>
      <c r="G2762" s="22"/>
      <c r="H2762" s="23"/>
      <c r="I2762" s="23"/>
      <c r="J2762" s="23"/>
      <c r="K2762" s="23"/>
      <c r="L2762" s="23"/>
      <c r="M2762" s="23"/>
      <c r="N2762" s="23"/>
      <c r="O2762" s="25"/>
      <c r="P2762" s="23"/>
      <c r="Q2762" s="23"/>
      <c r="R2762" s="25"/>
      <c r="S2762" s="26"/>
      <c r="T2762" s="27"/>
      <c r="U2762" s="26"/>
      <c r="V2762" s="26"/>
      <c r="W2762" s="143"/>
      <c r="X2762" s="143"/>
      <c r="Y2762" s="143"/>
      <c r="Z2762" s="30"/>
      <c r="AA2762" s="31"/>
      <c r="AB2762" s="144"/>
      <c r="AC2762" s="144"/>
      <c r="AD2762" s="33"/>
      <c r="AE2762" s="34"/>
      <c r="AF2762" s="33"/>
      <c r="AG2762" s="33"/>
      <c r="AH2762" s="35"/>
      <c r="AI2762" s="36"/>
      <c r="AJ2762" s="23"/>
      <c r="AK2762" s="120"/>
      <c r="AL2762" s="44"/>
      <c r="AM2762" s="44"/>
      <c r="AN2762" s="44"/>
      <c r="AO2762" s="44"/>
      <c r="AP2762" s="44"/>
      <c r="AQ2762" s="44"/>
      <c r="AR2762" s="44"/>
    </row>
    <row r="2763" spans="1:44" ht="16.8">
      <c r="A2763" s="191"/>
      <c r="B2763" s="1"/>
      <c r="C2763" s="192" t="s">
        <v>5186</v>
      </c>
      <c r="D2763" s="183"/>
      <c r="E2763" s="184" t="s">
        <v>39</v>
      </c>
      <c r="F2763" s="21"/>
      <c r="G2763" s="22"/>
      <c r="H2763" s="23"/>
      <c r="I2763" s="23"/>
      <c r="J2763" s="23"/>
      <c r="K2763" s="23"/>
      <c r="L2763" s="23"/>
      <c r="M2763" s="23"/>
      <c r="N2763" s="23"/>
      <c r="O2763" s="25"/>
      <c r="P2763" s="23"/>
      <c r="Q2763" s="23"/>
      <c r="R2763" s="25"/>
      <c r="S2763" s="26"/>
      <c r="T2763" s="27"/>
      <c r="U2763" s="26"/>
      <c r="V2763" s="26"/>
      <c r="W2763" s="143"/>
      <c r="X2763" s="143"/>
      <c r="Y2763" s="143"/>
      <c r="Z2763" s="30"/>
      <c r="AA2763" s="31"/>
      <c r="AB2763" s="144"/>
      <c r="AC2763" s="144"/>
      <c r="AD2763" s="33"/>
      <c r="AE2763" s="34"/>
      <c r="AF2763" s="33"/>
      <c r="AG2763" s="33"/>
      <c r="AH2763" s="35"/>
      <c r="AI2763" s="36"/>
      <c r="AJ2763" s="23"/>
      <c r="AK2763" s="120"/>
      <c r="AL2763" s="44"/>
      <c r="AM2763" s="44"/>
      <c r="AN2763" s="44"/>
      <c r="AO2763" s="44"/>
      <c r="AP2763" s="44"/>
      <c r="AQ2763" s="44"/>
      <c r="AR2763" s="44"/>
    </row>
    <row r="2764" spans="1:44" ht="16.8">
      <c r="A2764" s="191"/>
      <c r="B2764" s="1"/>
      <c r="C2764" s="192" t="s">
        <v>5187</v>
      </c>
      <c r="D2764" s="183"/>
      <c r="E2764" s="184" t="s">
        <v>39</v>
      </c>
      <c r="F2764" s="21"/>
      <c r="G2764" s="22"/>
      <c r="H2764" s="23"/>
      <c r="I2764" s="23"/>
      <c r="J2764" s="23"/>
      <c r="K2764" s="23"/>
      <c r="L2764" s="23"/>
      <c r="M2764" s="23"/>
      <c r="N2764" s="23"/>
      <c r="O2764" s="25"/>
      <c r="P2764" s="23"/>
      <c r="Q2764" s="23"/>
      <c r="R2764" s="25"/>
      <c r="S2764" s="26"/>
      <c r="T2764" s="27"/>
      <c r="U2764" s="26"/>
      <c r="V2764" s="26"/>
      <c r="W2764" s="143"/>
      <c r="X2764" s="143"/>
      <c r="Y2764" s="143"/>
      <c r="Z2764" s="30"/>
      <c r="AA2764" s="31"/>
      <c r="AB2764" s="144"/>
      <c r="AC2764" s="144"/>
      <c r="AD2764" s="33"/>
      <c r="AE2764" s="34"/>
      <c r="AF2764" s="33"/>
      <c r="AG2764" s="33"/>
      <c r="AH2764" s="35"/>
      <c r="AI2764" s="36"/>
      <c r="AJ2764" s="23"/>
      <c r="AK2764" s="120"/>
      <c r="AL2764" s="44"/>
      <c r="AM2764" s="44"/>
      <c r="AN2764" s="44"/>
      <c r="AO2764" s="44"/>
      <c r="AP2764" s="44"/>
      <c r="AQ2764" s="44"/>
      <c r="AR2764" s="44"/>
    </row>
    <row r="2765" spans="1:44" ht="16.8">
      <c r="A2765" s="191"/>
      <c r="B2765" s="1"/>
      <c r="C2765" s="192" t="s">
        <v>5188</v>
      </c>
      <c r="D2765" s="183"/>
      <c r="E2765" s="184" t="s">
        <v>39</v>
      </c>
      <c r="F2765" s="21"/>
      <c r="G2765" s="22"/>
      <c r="H2765" s="23"/>
      <c r="I2765" s="23"/>
      <c r="J2765" s="23"/>
      <c r="K2765" s="23"/>
      <c r="L2765" s="23"/>
      <c r="M2765" s="23"/>
      <c r="N2765" s="23"/>
      <c r="O2765" s="25"/>
      <c r="P2765" s="23"/>
      <c r="Q2765" s="23"/>
      <c r="R2765" s="25"/>
      <c r="S2765" s="26"/>
      <c r="T2765" s="27"/>
      <c r="U2765" s="26"/>
      <c r="V2765" s="26"/>
      <c r="W2765" s="143"/>
      <c r="X2765" s="143"/>
      <c r="Y2765" s="143"/>
      <c r="Z2765" s="30"/>
      <c r="AA2765" s="31"/>
      <c r="AB2765" s="144"/>
      <c r="AC2765" s="144"/>
      <c r="AD2765" s="33"/>
      <c r="AE2765" s="34"/>
      <c r="AF2765" s="33"/>
      <c r="AG2765" s="33"/>
      <c r="AH2765" s="35"/>
      <c r="AI2765" s="36"/>
      <c r="AJ2765" s="23"/>
      <c r="AK2765" s="120"/>
      <c r="AL2765" s="44"/>
      <c r="AM2765" s="44"/>
      <c r="AN2765" s="44"/>
      <c r="AO2765" s="44"/>
      <c r="AP2765" s="44"/>
      <c r="AQ2765" s="44"/>
      <c r="AR2765" s="44"/>
    </row>
    <row r="2766" spans="1:44" ht="16.8">
      <c r="A2766" s="191"/>
      <c r="B2766" s="1"/>
      <c r="C2766" s="192" t="s">
        <v>5189</v>
      </c>
      <c r="D2766" s="183"/>
      <c r="E2766" s="184" t="s">
        <v>39</v>
      </c>
      <c r="F2766" s="21"/>
      <c r="G2766" s="22"/>
      <c r="H2766" s="23"/>
      <c r="I2766" s="23"/>
      <c r="J2766" s="23"/>
      <c r="K2766" s="23"/>
      <c r="L2766" s="23"/>
      <c r="M2766" s="23"/>
      <c r="N2766" s="23"/>
      <c r="O2766" s="25"/>
      <c r="P2766" s="23"/>
      <c r="Q2766" s="23"/>
      <c r="R2766" s="25"/>
      <c r="S2766" s="26"/>
      <c r="T2766" s="27"/>
      <c r="U2766" s="26"/>
      <c r="V2766" s="26"/>
      <c r="W2766" s="143"/>
      <c r="X2766" s="143"/>
      <c r="Y2766" s="143"/>
      <c r="Z2766" s="30"/>
      <c r="AA2766" s="31"/>
      <c r="AB2766" s="144"/>
      <c r="AC2766" s="144"/>
      <c r="AD2766" s="33"/>
      <c r="AE2766" s="34"/>
      <c r="AF2766" s="33"/>
      <c r="AG2766" s="33"/>
      <c r="AH2766" s="35"/>
      <c r="AI2766" s="36"/>
      <c r="AJ2766" s="23"/>
      <c r="AK2766" s="120"/>
      <c r="AL2766" s="44"/>
      <c r="AM2766" s="44"/>
      <c r="AN2766" s="44"/>
      <c r="AO2766" s="44"/>
      <c r="AP2766" s="44"/>
      <c r="AQ2766" s="44"/>
      <c r="AR2766" s="44"/>
    </row>
    <row r="2767" spans="1:44" ht="16.8">
      <c r="A2767" s="191"/>
      <c r="B2767" s="1"/>
      <c r="C2767" s="192" t="s">
        <v>5190</v>
      </c>
      <c r="D2767" s="183"/>
      <c r="E2767" s="184" t="s">
        <v>39</v>
      </c>
      <c r="F2767" s="21"/>
      <c r="G2767" s="22"/>
      <c r="H2767" s="23"/>
      <c r="I2767" s="23"/>
      <c r="J2767" s="23"/>
      <c r="K2767" s="23"/>
      <c r="L2767" s="23"/>
      <c r="M2767" s="23"/>
      <c r="N2767" s="23"/>
      <c r="O2767" s="25"/>
      <c r="P2767" s="23"/>
      <c r="Q2767" s="23"/>
      <c r="R2767" s="25"/>
      <c r="S2767" s="26"/>
      <c r="T2767" s="27"/>
      <c r="U2767" s="26"/>
      <c r="V2767" s="26"/>
      <c r="W2767" s="143"/>
      <c r="X2767" s="143"/>
      <c r="Y2767" s="143"/>
      <c r="Z2767" s="30"/>
      <c r="AA2767" s="31"/>
      <c r="AB2767" s="144"/>
      <c r="AC2767" s="144"/>
      <c r="AD2767" s="33"/>
      <c r="AE2767" s="34"/>
      <c r="AF2767" s="33"/>
      <c r="AG2767" s="33"/>
      <c r="AH2767" s="35"/>
      <c r="AI2767" s="36"/>
      <c r="AJ2767" s="23"/>
      <c r="AK2767" s="120"/>
      <c r="AL2767" s="44"/>
      <c r="AM2767" s="44"/>
      <c r="AN2767" s="44"/>
      <c r="AO2767" s="44"/>
      <c r="AP2767" s="44"/>
      <c r="AQ2767" s="44"/>
      <c r="AR2767" s="44"/>
    </row>
    <row r="2768" spans="1:44" ht="16.8">
      <c r="A2768" s="191"/>
      <c r="B2768" s="1"/>
      <c r="C2768" s="192" t="s">
        <v>5191</v>
      </c>
      <c r="D2768" s="183"/>
      <c r="E2768" s="184" t="s">
        <v>39</v>
      </c>
      <c r="F2768" s="21"/>
      <c r="G2768" s="22"/>
      <c r="H2768" s="23"/>
      <c r="I2768" s="23"/>
      <c r="J2768" s="23"/>
      <c r="K2768" s="23"/>
      <c r="L2768" s="23"/>
      <c r="M2768" s="23"/>
      <c r="N2768" s="23"/>
      <c r="O2768" s="25"/>
      <c r="P2768" s="23"/>
      <c r="Q2768" s="23"/>
      <c r="R2768" s="25"/>
      <c r="S2768" s="26"/>
      <c r="T2768" s="27"/>
      <c r="U2768" s="26"/>
      <c r="V2768" s="26"/>
      <c r="W2768" s="143"/>
      <c r="X2768" s="143"/>
      <c r="Y2768" s="143"/>
      <c r="Z2768" s="30"/>
      <c r="AA2768" s="31"/>
      <c r="AB2768" s="144"/>
      <c r="AC2768" s="144"/>
      <c r="AD2768" s="33"/>
      <c r="AE2768" s="34"/>
      <c r="AF2768" s="33"/>
      <c r="AG2768" s="33"/>
      <c r="AH2768" s="35"/>
      <c r="AI2768" s="36"/>
      <c r="AJ2768" s="23"/>
      <c r="AK2768" s="120"/>
      <c r="AL2768" s="44"/>
      <c r="AM2768" s="44"/>
      <c r="AN2768" s="44"/>
      <c r="AO2768" s="44"/>
      <c r="AP2768" s="44"/>
      <c r="AQ2768" s="44"/>
      <c r="AR2768" s="44"/>
    </row>
    <row r="2769" spans="1:44" ht="16.8">
      <c r="A2769" s="191"/>
      <c r="B2769" s="1"/>
      <c r="C2769" s="192" t="s">
        <v>5192</v>
      </c>
      <c r="D2769" s="183"/>
      <c r="E2769" s="184" t="s">
        <v>39</v>
      </c>
      <c r="F2769" s="21"/>
      <c r="G2769" s="22"/>
      <c r="H2769" s="23"/>
      <c r="I2769" s="23"/>
      <c r="J2769" s="23"/>
      <c r="K2769" s="23"/>
      <c r="L2769" s="23"/>
      <c r="M2769" s="23"/>
      <c r="N2769" s="23"/>
      <c r="O2769" s="25"/>
      <c r="P2769" s="23"/>
      <c r="Q2769" s="23"/>
      <c r="R2769" s="25"/>
      <c r="S2769" s="26"/>
      <c r="T2769" s="27"/>
      <c r="U2769" s="26"/>
      <c r="V2769" s="26"/>
      <c r="W2769" s="143"/>
      <c r="X2769" s="143"/>
      <c r="Y2769" s="143"/>
      <c r="Z2769" s="30"/>
      <c r="AA2769" s="31"/>
      <c r="AB2769" s="144"/>
      <c r="AC2769" s="144"/>
      <c r="AD2769" s="33"/>
      <c r="AE2769" s="34"/>
      <c r="AF2769" s="33"/>
      <c r="AG2769" s="33"/>
      <c r="AH2769" s="35"/>
      <c r="AI2769" s="36"/>
      <c r="AJ2769" s="23"/>
      <c r="AK2769" s="120"/>
      <c r="AL2769" s="44"/>
      <c r="AM2769" s="44"/>
      <c r="AN2769" s="44"/>
      <c r="AO2769" s="44"/>
      <c r="AP2769" s="44"/>
      <c r="AQ2769" s="44"/>
      <c r="AR2769" s="44"/>
    </row>
    <row r="2770" spans="1:44" ht="16.8">
      <c r="A2770" s="191"/>
      <c r="B2770" s="1"/>
      <c r="C2770" s="192" t="s">
        <v>5193</v>
      </c>
      <c r="D2770" s="183"/>
      <c r="E2770" s="184" t="s">
        <v>39</v>
      </c>
      <c r="F2770" s="21"/>
      <c r="G2770" s="22"/>
      <c r="H2770" s="23"/>
      <c r="I2770" s="23"/>
      <c r="J2770" s="23"/>
      <c r="K2770" s="23"/>
      <c r="L2770" s="23"/>
      <c r="M2770" s="23"/>
      <c r="N2770" s="23"/>
      <c r="O2770" s="25"/>
      <c r="P2770" s="23"/>
      <c r="Q2770" s="23"/>
      <c r="R2770" s="25"/>
      <c r="S2770" s="26"/>
      <c r="T2770" s="27"/>
      <c r="U2770" s="26"/>
      <c r="V2770" s="26"/>
      <c r="W2770" s="143"/>
      <c r="X2770" s="143"/>
      <c r="Y2770" s="143"/>
      <c r="Z2770" s="30"/>
      <c r="AA2770" s="31"/>
      <c r="AB2770" s="144"/>
      <c r="AC2770" s="144"/>
      <c r="AD2770" s="33"/>
      <c r="AE2770" s="34"/>
      <c r="AF2770" s="33"/>
      <c r="AG2770" s="33"/>
      <c r="AH2770" s="35"/>
      <c r="AI2770" s="36"/>
      <c r="AJ2770" s="23"/>
      <c r="AK2770" s="120"/>
      <c r="AL2770" s="44"/>
      <c r="AM2770" s="44"/>
      <c r="AN2770" s="44"/>
      <c r="AO2770" s="44"/>
      <c r="AP2770" s="44"/>
      <c r="AQ2770" s="44"/>
      <c r="AR2770" s="44"/>
    </row>
    <row r="2771" spans="1:44" ht="16.8">
      <c r="A2771" s="191"/>
      <c r="B2771" s="1"/>
      <c r="C2771" s="192" t="s">
        <v>5194</v>
      </c>
      <c r="D2771" s="183"/>
      <c r="E2771" s="184" t="s">
        <v>39</v>
      </c>
      <c r="F2771" s="21"/>
      <c r="G2771" s="22"/>
      <c r="H2771" s="23"/>
      <c r="I2771" s="23"/>
      <c r="J2771" s="23"/>
      <c r="K2771" s="23"/>
      <c r="L2771" s="23"/>
      <c r="M2771" s="23"/>
      <c r="N2771" s="23"/>
      <c r="O2771" s="25"/>
      <c r="P2771" s="23"/>
      <c r="Q2771" s="23"/>
      <c r="R2771" s="25"/>
      <c r="S2771" s="26"/>
      <c r="T2771" s="27"/>
      <c r="U2771" s="26"/>
      <c r="V2771" s="26"/>
      <c r="W2771" s="143"/>
      <c r="X2771" s="143"/>
      <c r="Y2771" s="143"/>
      <c r="Z2771" s="30"/>
      <c r="AA2771" s="31"/>
      <c r="AB2771" s="144"/>
      <c r="AC2771" s="144"/>
      <c r="AD2771" s="33"/>
      <c r="AE2771" s="34"/>
      <c r="AF2771" s="33"/>
      <c r="AG2771" s="33"/>
      <c r="AH2771" s="35"/>
      <c r="AI2771" s="36"/>
      <c r="AJ2771" s="23"/>
      <c r="AK2771" s="120"/>
      <c r="AL2771" s="44"/>
      <c r="AM2771" s="44"/>
      <c r="AN2771" s="44"/>
      <c r="AO2771" s="44"/>
      <c r="AP2771" s="44"/>
      <c r="AQ2771" s="44"/>
      <c r="AR2771" s="44"/>
    </row>
    <row r="2772" spans="1:44" ht="16.8">
      <c r="A2772" s="191"/>
      <c r="B2772" s="1"/>
      <c r="C2772" s="192" t="s">
        <v>5195</v>
      </c>
      <c r="D2772" s="183"/>
      <c r="E2772" s="184" t="s">
        <v>39</v>
      </c>
      <c r="F2772" s="21"/>
      <c r="G2772" s="22"/>
      <c r="H2772" s="23"/>
      <c r="I2772" s="23"/>
      <c r="J2772" s="23"/>
      <c r="K2772" s="23"/>
      <c r="L2772" s="23"/>
      <c r="M2772" s="23"/>
      <c r="N2772" s="23"/>
      <c r="O2772" s="25"/>
      <c r="P2772" s="23"/>
      <c r="Q2772" s="23"/>
      <c r="R2772" s="25"/>
      <c r="S2772" s="26"/>
      <c r="T2772" s="27"/>
      <c r="U2772" s="26"/>
      <c r="V2772" s="26"/>
      <c r="W2772" s="143"/>
      <c r="X2772" s="143"/>
      <c r="Y2772" s="143"/>
      <c r="Z2772" s="30"/>
      <c r="AA2772" s="31"/>
      <c r="AB2772" s="144"/>
      <c r="AC2772" s="144"/>
      <c r="AD2772" s="33"/>
      <c r="AE2772" s="34"/>
      <c r="AF2772" s="33"/>
      <c r="AG2772" s="33"/>
      <c r="AH2772" s="35"/>
      <c r="AI2772" s="36"/>
      <c r="AJ2772" s="23"/>
      <c r="AK2772" s="120"/>
      <c r="AL2772" s="44"/>
      <c r="AM2772" s="44"/>
      <c r="AN2772" s="44"/>
      <c r="AO2772" s="44"/>
      <c r="AP2772" s="44"/>
      <c r="AQ2772" s="44"/>
      <c r="AR2772" s="44"/>
    </row>
    <row r="2773" spans="1:44" ht="16.8">
      <c r="A2773" s="191"/>
      <c r="B2773" s="1"/>
      <c r="C2773" s="192" t="s">
        <v>5196</v>
      </c>
      <c r="D2773" s="183"/>
      <c r="E2773" s="184" t="s">
        <v>39</v>
      </c>
      <c r="F2773" s="21"/>
      <c r="G2773" s="22"/>
      <c r="H2773" s="23"/>
      <c r="I2773" s="23"/>
      <c r="J2773" s="23"/>
      <c r="K2773" s="23"/>
      <c r="L2773" s="23"/>
      <c r="M2773" s="23"/>
      <c r="N2773" s="23"/>
      <c r="O2773" s="25"/>
      <c r="P2773" s="23"/>
      <c r="Q2773" s="23"/>
      <c r="R2773" s="25"/>
      <c r="S2773" s="26"/>
      <c r="T2773" s="27"/>
      <c r="U2773" s="26"/>
      <c r="V2773" s="26"/>
      <c r="W2773" s="143"/>
      <c r="X2773" s="143"/>
      <c r="Y2773" s="143"/>
      <c r="Z2773" s="30"/>
      <c r="AA2773" s="31"/>
      <c r="AB2773" s="144"/>
      <c r="AC2773" s="144"/>
      <c r="AD2773" s="33"/>
      <c r="AE2773" s="34"/>
      <c r="AF2773" s="33"/>
      <c r="AG2773" s="33"/>
      <c r="AH2773" s="35"/>
      <c r="AI2773" s="36"/>
      <c r="AJ2773" s="23"/>
      <c r="AK2773" s="120"/>
      <c r="AL2773" s="44"/>
      <c r="AM2773" s="44"/>
      <c r="AN2773" s="44"/>
      <c r="AO2773" s="44"/>
      <c r="AP2773" s="44"/>
      <c r="AQ2773" s="44"/>
      <c r="AR2773" s="44"/>
    </row>
    <row r="2774" spans="1:44" ht="16.8">
      <c r="A2774" s="191"/>
      <c r="B2774" s="1"/>
      <c r="C2774" s="192" t="s">
        <v>5197</v>
      </c>
      <c r="D2774" s="183"/>
      <c r="E2774" s="184" t="s">
        <v>39</v>
      </c>
      <c r="F2774" s="21"/>
      <c r="G2774" s="22"/>
      <c r="H2774" s="23"/>
      <c r="I2774" s="23"/>
      <c r="J2774" s="23"/>
      <c r="K2774" s="23"/>
      <c r="L2774" s="23"/>
      <c r="M2774" s="23"/>
      <c r="N2774" s="23"/>
      <c r="O2774" s="25"/>
      <c r="P2774" s="23"/>
      <c r="Q2774" s="23"/>
      <c r="R2774" s="25"/>
      <c r="S2774" s="26"/>
      <c r="T2774" s="27"/>
      <c r="U2774" s="26"/>
      <c r="V2774" s="26"/>
      <c r="W2774" s="143"/>
      <c r="X2774" s="143"/>
      <c r="Y2774" s="143"/>
      <c r="Z2774" s="30"/>
      <c r="AA2774" s="31"/>
      <c r="AB2774" s="144"/>
      <c r="AC2774" s="144"/>
      <c r="AD2774" s="33"/>
      <c r="AE2774" s="34"/>
      <c r="AF2774" s="33"/>
      <c r="AG2774" s="33"/>
      <c r="AH2774" s="35"/>
      <c r="AI2774" s="36"/>
      <c r="AJ2774" s="23"/>
      <c r="AK2774" s="120"/>
      <c r="AL2774" s="44"/>
      <c r="AM2774" s="44"/>
      <c r="AN2774" s="44"/>
      <c r="AO2774" s="44"/>
      <c r="AP2774" s="44"/>
      <c r="AQ2774" s="44"/>
      <c r="AR2774" s="44"/>
    </row>
    <row r="2775" spans="1:44" ht="16.8">
      <c r="A2775" s="191"/>
      <c r="B2775" s="1"/>
      <c r="C2775" s="192" t="s">
        <v>5198</v>
      </c>
      <c r="D2775" s="183"/>
      <c r="E2775" s="184" t="s">
        <v>39</v>
      </c>
      <c r="F2775" s="21"/>
      <c r="G2775" s="22"/>
      <c r="H2775" s="23"/>
      <c r="I2775" s="23"/>
      <c r="J2775" s="23"/>
      <c r="K2775" s="23"/>
      <c r="L2775" s="23"/>
      <c r="M2775" s="23"/>
      <c r="N2775" s="23"/>
      <c r="O2775" s="25"/>
      <c r="P2775" s="23"/>
      <c r="Q2775" s="23"/>
      <c r="R2775" s="25"/>
      <c r="S2775" s="26"/>
      <c r="T2775" s="27"/>
      <c r="U2775" s="26"/>
      <c r="V2775" s="26"/>
      <c r="W2775" s="143"/>
      <c r="X2775" s="143"/>
      <c r="Y2775" s="143"/>
      <c r="Z2775" s="30"/>
      <c r="AA2775" s="31"/>
      <c r="AB2775" s="144"/>
      <c r="AC2775" s="144"/>
      <c r="AD2775" s="33"/>
      <c r="AE2775" s="34"/>
      <c r="AF2775" s="33"/>
      <c r="AG2775" s="33"/>
      <c r="AH2775" s="35"/>
      <c r="AI2775" s="36"/>
      <c r="AJ2775" s="23"/>
      <c r="AK2775" s="120"/>
      <c r="AL2775" s="44"/>
      <c r="AM2775" s="44"/>
      <c r="AN2775" s="44"/>
      <c r="AO2775" s="44"/>
      <c r="AP2775" s="44"/>
      <c r="AQ2775" s="44"/>
      <c r="AR2775" s="44"/>
    </row>
    <row r="2776" spans="1:44" ht="16.8">
      <c r="A2776" s="145">
        <v>527</v>
      </c>
      <c r="B2776" s="145">
        <v>1329</v>
      </c>
      <c r="C2776" s="187" t="s">
        <v>5199</v>
      </c>
      <c r="D2776" s="188" t="s">
        <v>5200</v>
      </c>
      <c r="E2776" s="189" t="s">
        <v>5058</v>
      </c>
      <c r="F2776" s="148"/>
      <c r="G2776" s="190"/>
      <c r="H2776" s="149"/>
      <c r="I2776" s="149"/>
      <c r="J2776" s="149"/>
      <c r="K2776" s="149"/>
      <c r="L2776" s="149"/>
      <c r="M2776" s="149">
        <f t="shared" ref="M2776:M2779" si="846">I2776-J2776</f>
        <v>0</v>
      </c>
      <c r="N2776" s="149"/>
      <c r="O2776" s="149">
        <f t="shared" ref="O2776:O2779" si="847">H2776-L2776</f>
        <v>0</v>
      </c>
      <c r="P2776" s="149"/>
      <c r="Q2776" s="149"/>
      <c r="R2776" s="149">
        <f t="shared" ref="R2776:R2779" si="848">N2776-Q2776</f>
        <v>0</v>
      </c>
      <c r="S2776" s="150" t="e">
        <f t="shared" ref="S2776:S2779" si="849">J2776/I2776</f>
        <v>#DIV/0!</v>
      </c>
      <c r="T2776" s="151" t="e">
        <f t="shared" ref="T2776:T2779" si="850">H2776/L2776</f>
        <v>#DIV/0!</v>
      </c>
      <c r="U2776" s="150" t="e">
        <f t="shared" ref="U2776:U2779" si="851">LN(I2776)</f>
        <v>#NUM!</v>
      </c>
      <c r="V2776" s="150" t="e">
        <f t="shared" ref="V2776:V2779" si="852">N2776/K2776</f>
        <v>#DIV/0!</v>
      </c>
      <c r="W2776" s="152"/>
      <c r="X2776" s="152"/>
      <c r="Y2776" s="152"/>
      <c r="Z2776" s="153">
        <f t="shared" ref="Z2776:Z2779" si="853">W2776*Y2776</f>
        <v>0</v>
      </c>
      <c r="AA2776" s="148">
        <f t="shared" ref="AA2776:AA2779" si="854">G2776-F2776</f>
        <v>0</v>
      </c>
      <c r="AB2776" s="149"/>
      <c r="AC2776" s="149"/>
      <c r="AD2776" s="150" t="e">
        <f t="shared" ref="AD2776:AD2779" si="855">O2776/I2776</f>
        <v>#DIV/0!</v>
      </c>
      <c r="AE2776" s="154" t="e">
        <f t="shared" ref="AE2776:AE2779" si="856">P2776/I2776</f>
        <v>#DIV/0!</v>
      </c>
      <c r="AF2776" s="150" t="e">
        <f t="shared" ref="AF2776:AF2779" si="857">R2776/I2776</f>
        <v>#DIV/0!</v>
      </c>
      <c r="AG2776" s="150" t="e">
        <f t="shared" ref="AG2776:AG2779" si="858">Z2776/J2776</f>
        <v>#DIV/0!</v>
      </c>
      <c r="AH2776" s="155" t="e">
        <f t="shared" ref="AH2776:AH2779" si="859">N2776/J2776</f>
        <v>#DIV/0!</v>
      </c>
      <c r="AI2776" s="156" t="e">
        <f t="shared" ref="AI2776:AI2779" si="860">1.2*AD2776+1.4*AE2776+3.3*AF2776+0.6*AG2776+1*AH2776</f>
        <v>#DIV/0!</v>
      </c>
      <c r="AJ2776" s="149"/>
      <c r="AK2776" s="149"/>
      <c r="AL2776" s="157"/>
      <c r="AM2776" s="157"/>
      <c r="AN2776" s="157"/>
      <c r="AO2776" s="157"/>
      <c r="AP2776" s="157"/>
      <c r="AQ2776" s="157"/>
      <c r="AR2776" s="157"/>
    </row>
    <row r="2777" spans="1:44" ht="16.8">
      <c r="A2777" s="145">
        <v>528</v>
      </c>
      <c r="B2777" s="145">
        <v>1328</v>
      </c>
      <c r="C2777" s="187" t="s">
        <v>5201</v>
      </c>
      <c r="D2777" s="188" t="s">
        <v>5202</v>
      </c>
      <c r="E2777" s="189" t="s">
        <v>5058</v>
      </c>
      <c r="F2777" s="148"/>
      <c r="G2777" s="190"/>
      <c r="H2777" s="149"/>
      <c r="I2777" s="149"/>
      <c r="J2777" s="149"/>
      <c r="K2777" s="149"/>
      <c r="L2777" s="149"/>
      <c r="M2777" s="149">
        <f t="shared" si="846"/>
        <v>0</v>
      </c>
      <c r="N2777" s="149"/>
      <c r="O2777" s="149">
        <f t="shared" si="847"/>
        <v>0</v>
      </c>
      <c r="P2777" s="149"/>
      <c r="Q2777" s="149"/>
      <c r="R2777" s="149">
        <f t="shared" si="848"/>
        <v>0</v>
      </c>
      <c r="S2777" s="150" t="e">
        <f t="shared" si="849"/>
        <v>#DIV/0!</v>
      </c>
      <c r="T2777" s="151" t="e">
        <f t="shared" si="850"/>
        <v>#DIV/0!</v>
      </c>
      <c r="U2777" s="150" t="e">
        <f t="shared" si="851"/>
        <v>#NUM!</v>
      </c>
      <c r="V2777" s="150" t="e">
        <f t="shared" si="852"/>
        <v>#DIV/0!</v>
      </c>
      <c r="W2777" s="152"/>
      <c r="X2777" s="152"/>
      <c r="Y2777" s="152"/>
      <c r="Z2777" s="153">
        <f t="shared" si="853"/>
        <v>0</v>
      </c>
      <c r="AA2777" s="148">
        <f t="shared" si="854"/>
        <v>0</v>
      </c>
      <c r="AB2777" s="149"/>
      <c r="AC2777" s="149"/>
      <c r="AD2777" s="150" t="e">
        <f t="shared" si="855"/>
        <v>#DIV/0!</v>
      </c>
      <c r="AE2777" s="154" t="e">
        <f t="shared" si="856"/>
        <v>#DIV/0!</v>
      </c>
      <c r="AF2777" s="150" t="e">
        <f t="shared" si="857"/>
        <v>#DIV/0!</v>
      </c>
      <c r="AG2777" s="150" t="e">
        <f t="shared" si="858"/>
        <v>#DIV/0!</v>
      </c>
      <c r="AH2777" s="155" t="e">
        <f t="shared" si="859"/>
        <v>#DIV/0!</v>
      </c>
      <c r="AI2777" s="156" t="e">
        <f t="shared" si="860"/>
        <v>#DIV/0!</v>
      </c>
      <c r="AJ2777" s="149"/>
      <c r="AK2777" s="149"/>
      <c r="AL2777" s="157"/>
      <c r="AM2777" s="157"/>
      <c r="AN2777" s="157"/>
      <c r="AO2777" s="157"/>
      <c r="AP2777" s="157"/>
      <c r="AQ2777" s="157"/>
      <c r="AR2777" s="157"/>
    </row>
    <row r="2778" spans="1:44" ht="16.8">
      <c r="A2778" s="145">
        <v>529</v>
      </c>
      <c r="B2778" s="145">
        <v>1321</v>
      </c>
      <c r="C2778" s="187" t="s">
        <v>5203</v>
      </c>
      <c r="D2778" s="188" t="s">
        <v>4748</v>
      </c>
      <c r="E2778" s="189" t="s">
        <v>5058</v>
      </c>
      <c r="F2778" s="148"/>
      <c r="G2778" s="190"/>
      <c r="H2778" s="149"/>
      <c r="I2778" s="149"/>
      <c r="J2778" s="149"/>
      <c r="K2778" s="149"/>
      <c r="L2778" s="149"/>
      <c r="M2778" s="149">
        <f t="shared" si="846"/>
        <v>0</v>
      </c>
      <c r="N2778" s="149"/>
      <c r="O2778" s="149">
        <f t="shared" si="847"/>
        <v>0</v>
      </c>
      <c r="P2778" s="149"/>
      <c r="Q2778" s="149"/>
      <c r="R2778" s="149">
        <f t="shared" si="848"/>
        <v>0</v>
      </c>
      <c r="S2778" s="150" t="e">
        <f t="shared" si="849"/>
        <v>#DIV/0!</v>
      </c>
      <c r="T2778" s="151" t="e">
        <f t="shared" si="850"/>
        <v>#DIV/0!</v>
      </c>
      <c r="U2778" s="150" t="e">
        <f t="shared" si="851"/>
        <v>#NUM!</v>
      </c>
      <c r="V2778" s="150" t="e">
        <f t="shared" si="852"/>
        <v>#DIV/0!</v>
      </c>
      <c r="W2778" s="152"/>
      <c r="X2778" s="152"/>
      <c r="Y2778" s="152"/>
      <c r="Z2778" s="153">
        <f t="shared" si="853"/>
        <v>0</v>
      </c>
      <c r="AA2778" s="148">
        <f t="shared" si="854"/>
        <v>0</v>
      </c>
      <c r="AB2778" s="149"/>
      <c r="AC2778" s="149"/>
      <c r="AD2778" s="150" t="e">
        <f t="shared" si="855"/>
        <v>#DIV/0!</v>
      </c>
      <c r="AE2778" s="154" t="e">
        <f t="shared" si="856"/>
        <v>#DIV/0!</v>
      </c>
      <c r="AF2778" s="150" t="e">
        <f t="shared" si="857"/>
        <v>#DIV/0!</v>
      </c>
      <c r="AG2778" s="150" t="e">
        <f t="shared" si="858"/>
        <v>#DIV/0!</v>
      </c>
      <c r="AH2778" s="155" t="e">
        <f t="shared" si="859"/>
        <v>#DIV/0!</v>
      </c>
      <c r="AI2778" s="156" t="e">
        <f t="shared" si="860"/>
        <v>#DIV/0!</v>
      </c>
      <c r="AJ2778" s="149"/>
      <c r="AK2778" s="149"/>
      <c r="AL2778" s="157"/>
      <c r="AM2778" s="157"/>
      <c r="AN2778" s="157"/>
      <c r="AO2778" s="157"/>
      <c r="AP2778" s="157"/>
      <c r="AQ2778" s="157"/>
      <c r="AR2778" s="157"/>
    </row>
    <row r="2779" spans="1:44" ht="16.8">
      <c r="A2779" s="145">
        <v>530</v>
      </c>
      <c r="B2779" s="145">
        <v>1322</v>
      </c>
      <c r="C2779" s="187" t="s">
        <v>5204</v>
      </c>
      <c r="D2779" s="188" t="s">
        <v>5205</v>
      </c>
      <c r="E2779" s="189" t="s">
        <v>5058</v>
      </c>
      <c r="F2779" s="148"/>
      <c r="G2779" s="190"/>
      <c r="H2779" s="149"/>
      <c r="I2779" s="149"/>
      <c r="J2779" s="149"/>
      <c r="K2779" s="149"/>
      <c r="L2779" s="149"/>
      <c r="M2779" s="149">
        <f t="shared" si="846"/>
        <v>0</v>
      </c>
      <c r="N2779" s="149"/>
      <c r="O2779" s="149">
        <f t="shared" si="847"/>
        <v>0</v>
      </c>
      <c r="P2779" s="149"/>
      <c r="Q2779" s="149"/>
      <c r="R2779" s="149">
        <f t="shared" si="848"/>
        <v>0</v>
      </c>
      <c r="S2779" s="150" t="e">
        <f t="shared" si="849"/>
        <v>#DIV/0!</v>
      </c>
      <c r="T2779" s="151" t="e">
        <f t="shared" si="850"/>
        <v>#DIV/0!</v>
      </c>
      <c r="U2779" s="150" t="e">
        <f t="shared" si="851"/>
        <v>#NUM!</v>
      </c>
      <c r="V2779" s="150" t="e">
        <f t="shared" si="852"/>
        <v>#DIV/0!</v>
      </c>
      <c r="W2779" s="152"/>
      <c r="X2779" s="152"/>
      <c r="Y2779" s="152"/>
      <c r="Z2779" s="153">
        <f t="shared" si="853"/>
        <v>0</v>
      </c>
      <c r="AA2779" s="148">
        <f t="shared" si="854"/>
        <v>0</v>
      </c>
      <c r="AB2779" s="149"/>
      <c r="AC2779" s="149"/>
      <c r="AD2779" s="150" t="e">
        <f t="shared" si="855"/>
        <v>#DIV/0!</v>
      </c>
      <c r="AE2779" s="154" t="e">
        <f t="shared" si="856"/>
        <v>#DIV/0!</v>
      </c>
      <c r="AF2779" s="150" t="e">
        <f t="shared" si="857"/>
        <v>#DIV/0!</v>
      </c>
      <c r="AG2779" s="150" t="e">
        <f t="shared" si="858"/>
        <v>#DIV/0!</v>
      </c>
      <c r="AH2779" s="155" t="e">
        <f t="shared" si="859"/>
        <v>#DIV/0!</v>
      </c>
      <c r="AI2779" s="156" t="e">
        <f t="shared" si="860"/>
        <v>#DIV/0!</v>
      </c>
      <c r="AJ2779" s="149"/>
      <c r="AK2779" s="149"/>
      <c r="AL2779" s="157"/>
      <c r="AM2779" s="157"/>
      <c r="AN2779" s="157"/>
      <c r="AO2779" s="157"/>
      <c r="AP2779" s="157"/>
      <c r="AQ2779" s="157"/>
      <c r="AR2779" s="157"/>
    </row>
  </sheetData>
  <autoFilter ref="E1:E2779" xr:uid="{00000000-0009-0000-0000-000000000000}"/>
  <mergeCells count="26">
    <mergeCell ref="A1993:A1995"/>
    <mergeCell ref="A1996:A1998"/>
    <mergeCell ref="A1999:A2001"/>
    <mergeCell ref="A2002:A2004"/>
    <mergeCell ref="A1654:A1656"/>
    <mergeCell ref="A1657:A1659"/>
    <mergeCell ref="A1660:A1662"/>
    <mergeCell ref="A1663:A1665"/>
    <mergeCell ref="A1694:A1696"/>
    <mergeCell ref="A1697:A1698"/>
    <mergeCell ref="A1700:A1702"/>
    <mergeCell ref="A1632:A1634"/>
    <mergeCell ref="A1638:A1640"/>
    <mergeCell ref="A1641:A1643"/>
    <mergeCell ref="A1644:A1646"/>
    <mergeCell ref="A1723:A1725"/>
    <mergeCell ref="A1598:A1600"/>
    <mergeCell ref="A1604:A1605"/>
    <mergeCell ref="A1607:A1609"/>
    <mergeCell ref="A1610:A1611"/>
    <mergeCell ref="A1624:A1625"/>
    <mergeCell ref="AJ2:AJ4"/>
    <mergeCell ref="A43:A45"/>
    <mergeCell ref="A1588:A1590"/>
    <mergeCell ref="A1591:A1593"/>
    <mergeCell ref="A1595:A1597"/>
  </mergeCells>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2" r:id="rId10" xr:uid="{00000000-0004-0000-0000-000009000000}"/>
    <hyperlink ref="A13" r:id="rId11" xr:uid="{00000000-0004-0000-0000-00000A000000}"/>
    <hyperlink ref="A14" r:id="rId12" xr:uid="{00000000-0004-0000-0000-00000B000000}"/>
    <hyperlink ref="A16" r:id="rId13" xr:uid="{00000000-0004-0000-0000-00000C000000}"/>
    <hyperlink ref="A17" r:id="rId14" xr:uid="{00000000-0004-0000-0000-00000D000000}"/>
    <hyperlink ref="A18" r:id="rId15" xr:uid="{00000000-0004-0000-0000-00000E000000}"/>
    <hyperlink ref="A19" r:id="rId16" xr:uid="{00000000-0004-0000-0000-00000F000000}"/>
    <hyperlink ref="A20" r:id="rId17" xr:uid="{00000000-0004-0000-0000-000010000000}"/>
    <hyperlink ref="A21" r:id="rId18" xr:uid="{00000000-0004-0000-0000-000011000000}"/>
    <hyperlink ref="A22" r:id="rId19" xr:uid="{00000000-0004-0000-0000-000012000000}"/>
    <hyperlink ref="A23" r:id="rId20" xr:uid="{00000000-0004-0000-0000-000013000000}"/>
    <hyperlink ref="A24" r:id="rId21" xr:uid="{00000000-0004-0000-0000-000014000000}"/>
    <hyperlink ref="A25" r:id="rId22" xr:uid="{00000000-0004-0000-0000-000015000000}"/>
    <hyperlink ref="A26" r:id="rId23" xr:uid="{00000000-0004-0000-0000-000016000000}"/>
    <hyperlink ref="A27" r:id="rId24" xr:uid="{00000000-0004-0000-0000-000017000000}"/>
    <hyperlink ref="A28" r:id="rId25" xr:uid="{00000000-0004-0000-0000-000018000000}"/>
    <hyperlink ref="A29" r:id="rId26" xr:uid="{00000000-0004-0000-0000-000019000000}"/>
    <hyperlink ref="A30" r:id="rId27" xr:uid="{00000000-0004-0000-0000-00001A000000}"/>
    <hyperlink ref="A31" r:id="rId28" xr:uid="{00000000-0004-0000-0000-00001B000000}"/>
    <hyperlink ref="A32" r:id="rId29" xr:uid="{00000000-0004-0000-0000-00001C000000}"/>
    <hyperlink ref="A33" r:id="rId30" xr:uid="{00000000-0004-0000-0000-00001D000000}"/>
    <hyperlink ref="A34" r:id="rId31" xr:uid="{00000000-0004-0000-0000-00001E000000}"/>
    <hyperlink ref="A35" r:id="rId32" xr:uid="{00000000-0004-0000-0000-00001F000000}"/>
    <hyperlink ref="A36" r:id="rId33" xr:uid="{00000000-0004-0000-0000-000020000000}"/>
    <hyperlink ref="A38" r:id="rId34" xr:uid="{00000000-0004-0000-0000-000021000000}"/>
    <hyperlink ref="A39" r:id="rId35" xr:uid="{00000000-0004-0000-0000-000022000000}"/>
    <hyperlink ref="A40" r:id="rId36" xr:uid="{00000000-0004-0000-0000-000023000000}"/>
    <hyperlink ref="A43" r:id="rId37" xr:uid="{00000000-0004-0000-0000-000024000000}"/>
    <hyperlink ref="A46" r:id="rId38" xr:uid="{00000000-0004-0000-0000-000025000000}"/>
    <hyperlink ref="A47" r:id="rId39" xr:uid="{00000000-0004-0000-0000-000026000000}"/>
    <hyperlink ref="A48" r:id="rId40" xr:uid="{00000000-0004-0000-0000-000027000000}"/>
    <hyperlink ref="A49" r:id="rId41" xr:uid="{00000000-0004-0000-0000-000028000000}"/>
    <hyperlink ref="A50" r:id="rId42" xr:uid="{00000000-0004-0000-0000-000029000000}"/>
    <hyperlink ref="A51" r:id="rId43" xr:uid="{00000000-0004-0000-0000-00002A000000}"/>
    <hyperlink ref="A52" r:id="rId44" xr:uid="{00000000-0004-0000-0000-00002B000000}"/>
    <hyperlink ref="A53" r:id="rId45" xr:uid="{00000000-0004-0000-0000-00002C000000}"/>
    <hyperlink ref="A54" r:id="rId46" xr:uid="{00000000-0004-0000-0000-00002D000000}"/>
    <hyperlink ref="A55" r:id="rId47" xr:uid="{00000000-0004-0000-0000-00002E000000}"/>
    <hyperlink ref="A56" r:id="rId48" xr:uid="{00000000-0004-0000-0000-00002F000000}"/>
    <hyperlink ref="A57" r:id="rId49" xr:uid="{00000000-0004-0000-0000-000030000000}"/>
    <hyperlink ref="A58" r:id="rId50" xr:uid="{00000000-0004-0000-0000-000031000000}"/>
    <hyperlink ref="A59" r:id="rId51" xr:uid="{00000000-0004-0000-0000-000032000000}"/>
    <hyperlink ref="A62" r:id="rId52" xr:uid="{00000000-0004-0000-0000-000033000000}"/>
    <hyperlink ref="A63" r:id="rId53" xr:uid="{00000000-0004-0000-0000-000034000000}"/>
    <hyperlink ref="A64" r:id="rId54" xr:uid="{00000000-0004-0000-0000-000035000000}"/>
    <hyperlink ref="A65" r:id="rId55" xr:uid="{00000000-0004-0000-0000-000036000000}"/>
    <hyperlink ref="A66" r:id="rId56" xr:uid="{00000000-0004-0000-0000-000037000000}"/>
    <hyperlink ref="A67" r:id="rId57" xr:uid="{00000000-0004-0000-0000-000038000000}"/>
    <hyperlink ref="A68" r:id="rId58" xr:uid="{00000000-0004-0000-0000-000039000000}"/>
    <hyperlink ref="A69" r:id="rId59" xr:uid="{00000000-0004-0000-0000-00003A000000}"/>
    <hyperlink ref="A70" r:id="rId60" xr:uid="{00000000-0004-0000-0000-00003B000000}"/>
    <hyperlink ref="A71" r:id="rId61" xr:uid="{00000000-0004-0000-0000-00003C000000}"/>
    <hyperlink ref="A72" r:id="rId62" xr:uid="{00000000-0004-0000-0000-00003D000000}"/>
    <hyperlink ref="A73" r:id="rId63" xr:uid="{00000000-0004-0000-0000-00003E000000}"/>
    <hyperlink ref="A74" r:id="rId64" xr:uid="{00000000-0004-0000-0000-00003F000000}"/>
    <hyperlink ref="A75" r:id="rId65" xr:uid="{00000000-0004-0000-0000-000040000000}"/>
    <hyperlink ref="A76" r:id="rId66" xr:uid="{00000000-0004-0000-0000-000041000000}"/>
    <hyperlink ref="A77" r:id="rId67" xr:uid="{00000000-0004-0000-0000-000042000000}"/>
    <hyperlink ref="A78" r:id="rId68" xr:uid="{00000000-0004-0000-0000-000043000000}"/>
    <hyperlink ref="A79" r:id="rId69" xr:uid="{00000000-0004-0000-0000-000044000000}"/>
    <hyperlink ref="A80" r:id="rId70" xr:uid="{00000000-0004-0000-0000-000045000000}"/>
    <hyperlink ref="A81" r:id="rId71" xr:uid="{00000000-0004-0000-0000-000046000000}"/>
    <hyperlink ref="A82" r:id="rId72" xr:uid="{00000000-0004-0000-0000-000047000000}"/>
    <hyperlink ref="A83" r:id="rId73" xr:uid="{00000000-0004-0000-0000-000048000000}"/>
    <hyperlink ref="A84" r:id="rId74" xr:uid="{00000000-0004-0000-0000-000049000000}"/>
    <hyperlink ref="A85" r:id="rId75" xr:uid="{00000000-0004-0000-0000-00004A000000}"/>
    <hyperlink ref="A86" r:id="rId76" xr:uid="{00000000-0004-0000-0000-00004B000000}"/>
    <hyperlink ref="A87" r:id="rId77" xr:uid="{00000000-0004-0000-0000-00004C000000}"/>
    <hyperlink ref="A88" r:id="rId78" xr:uid="{00000000-0004-0000-0000-00004D000000}"/>
    <hyperlink ref="A89" r:id="rId79" xr:uid="{00000000-0004-0000-0000-00004E000000}"/>
    <hyperlink ref="A90" r:id="rId80" xr:uid="{00000000-0004-0000-0000-00004F000000}"/>
    <hyperlink ref="A91" r:id="rId81" xr:uid="{00000000-0004-0000-0000-000050000000}"/>
    <hyperlink ref="A92" r:id="rId82" xr:uid="{00000000-0004-0000-0000-000051000000}"/>
    <hyperlink ref="A93" r:id="rId83" xr:uid="{00000000-0004-0000-0000-000052000000}"/>
    <hyperlink ref="A94" r:id="rId84" xr:uid="{00000000-0004-0000-0000-000053000000}"/>
    <hyperlink ref="A95" r:id="rId85" xr:uid="{00000000-0004-0000-0000-000054000000}"/>
    <hyperlink ref="A96" r:id="rId86" xr:uid="{00000000-0004-0000-0000-000055000000}"/>
    <hyperlink ref="A97" r:id="rId87" xr:uid="{00000000-0004-0000-0000-000056000000}"/>
    <hyperlink ref="A98" r:id="rId88" xr:uid="{00000000-0004-0000-0000-000057000000}"/>
    <hyperlink ref="A99" r:id="rId89" xr:uid="{00000000-0004-0000-0000-000058000000}"/>
    <hyperlink ref="A100" r:id="rId90" xr:uid="{00000000-0004-0000-0000-000059000000}"/>
    <hyperlink ref="A101" r:id="rId91" xr:uid="{00000000-0004-0000-0000-00005A000000}"/>
    <hyperlink ref="A102" r:id="rId92" xr:uid="{00000000-0004-0000-0000-00005B000000}"/>
    <hyperlink ref="A103" r:id="rId93" xr:uid="{00000000-0004-0000-0000-00005C000000}"/>
    <hyperlink ref="A104" r:id="rId94" xr:uid="{00000000-0004-0000-0000-00005D000000}"/>
    <hyperlink ref="A105" r:id="rId95" xr:uid="{00000000-0004-0000-0000-00005E000000}"/>
    <hyperlink ref="A106" r:id="rId96" xr:uid="{00000000-0004-0000-0000-00005F000000}"/>
    <hyperlink ref="A107" r:id="rId97" xr:uid="{00000000-0004-0000-0000-000060000000}"/>
    <hyperlink ref="A108" r:id="rId98" xr:uid="{00000000-0004-0000-0000-000061000000}"/>
    <hyperlink ref="A109" r:id="rId99" xr:uid="{00000000-0004-0000-0000-000062000000}"/>
    <hyperlink ref="A111" r:id="rId100" xr:uid="{00000000-0004-0000-0000-000063000000}"/>
    <hyperlink ref="A112" r:id="rId101" xr:uid="{00000000-0004-0000-0000-000064000000}"/>
    <hyperlink ref="A113" r:id="rId102" xr:uid="{00000000-0004-0000-0000-000065000000}"/>
    <hyperlink ref="A114" r:id="rId103" xr:uid="{00000000-0004-0000-0000-000066000000}"/>
    <hyperlink ref="A115" r:id="rId104" xr:uid="{00000000-0004-0000-0000-000067000000}"/>
    <hyperlink ref="A116" r:id="rId105" xr:uid="{00000000-0004-0000-0000-000068000000}"/>
    <hyperlink ref="A117" r:id="rId106" xr:uid="{00000000-0004-0000-0000-000069000000}"/>
    <hyperlink ref="A118" r:id="rId107" xr:uid="{00000000-0004-0000-0000-00006A000000}"/>
    <hyperlink ref="A119" r:id="rId108" xr:uid="{00000000-0004-0000-0000-00006B000000}"/>
    <hyperlink ref="A120" r:id="rId109" xr:uid="{00000000-0004-0000-0000-00006C000000}"/>
    <hyperlink ref="A121" r:id="rId110" xr:uid="{00000000-0004-0000-0000-00006D000000}"/>
    <hyperlink ref="A122" r:id="rId111" xr:uid="{00000000-0004-0000-0000-00006E000000}"/>
    <hyperlink ref="A123" r:id="rId112" xr:uid="{00000000-0004-0000-0000-00006F000000}"/>
    <hyperlink ref="A124" r:id="rId113" xr:uid="{00000000-0004-0000-0000-000070000000}"/>
    <hyperlink ref="A125" r:id="rId114" xr:uid="{00000000-0004-0000-0000-000071000000}"/>
    <hyperlink ref="A126" r:id="rId115" xr:uid="{00000000-0004-0000-0000-000072000000}"/>
    <hyperlink ref="A127" r:id="rId116" xr:uid="{00000000-0004-0000-0000-000073000000}"/>
    <hyperlink ref="A128" r:id="rId117" xr:uid="{00000000-0004-0000-0000-000074000000}"/>
    <hyperlink ref="A129" r:id="rId118" xr:uid="{00000000-0004-0000-0000-000075000000}"/>
    <hyperlink ref="A130" r:id="rId119" xr:uid="{00000000-0004-0000-0000-000076000000}"/>
    <hyperlink ref="A131" r:id="rId120" xr:uid="{00000000-0004-0000-0000-000077000000}"/>
    <hyperlink ref="A132" r:id="rId121" xr:uid="{00000000-0004-0000-0000-000078000000}"/>
    <hyperlink ref="A133" r:id="rId122" xr:uid="{00000000-0004-0000-0000-000079000000}"/>
    <hyperlink ref="A134" r:id="rId123" xr:uid="{00000000-0004-0000-0000-00007A000000}"/>
    <hyperlink ref="A135" r:id="rId124" xr:uid="{00000000-0004-0000-0000-00007B000000}"/>
    <hyperlink ref="A136" r:id="rId125" xr:uid="{00000000-0004-0000-0000-00007C000000}"/>
    <hyperlink ref="A137" r:id="rId126" xr:uid="{00000000-0004-0000-0000-00007D000000}"/>
    <hyperlink ref="A138" r:id="rId127" xr:uid="{00000000-0004-0000-0000-00007E000000}"/>
    <hyperlink ref="A140" r:id="rId128" xr:uid="{00000000-0004-0000-0000-00007F000000}"/>
    <hyperlink ref="A142" r:id="rId129" xr:uid="{00000000-0004-0000-0000-000080000000}"/>
    <hyperlink ref="A143" r:id="rId130" xr:uid="{00000000-0004-0000-0000-000081000000}"/>
    <hyperlink ref="A144" r:id="rId131" xr:uid="{00000000-0004-0000-0000-000082000000}"/>
    <hyperlink ref="A145" r:id="rId132" xr:uid="{00000000-0004-0000-0000-000083000000}"/>
    <hyperlink ref="A146" r:id="rId133" xr:uid="{00000000-0004-0000-0000-000084000000}"/>
    <hyperlink ref="A147" r:id="rId134" xr:uid="{00000000-0004-0000-0000-000085000000}"/>
    <hyperlink ref="A149" r:id="rId135" xr:uid="{00000000-0004-0000-0000-000086000000}"/>
    <hyperlink ref="A150" r:id="rId136" xr:uid="{00000000-0004-0000-0000-000087000000}"/>
    <hyperlink ref="A151" r:id="rId137" xr:uid="{00000000-0004-0000-0000-000088000000}"/>
    <hyperlink ref="A152" r:id="rId138" xr:uid="{00000000-0004-0000-0000-000089000000}"/>
    <hyperlink ref="A153" r:id="rId139" xr:uid="{00000000-0004-0000-0000-00008A000000}"/>
    <hyperlink ref="A154" r:id="rId140" xr:uid="{00000000-0004-0000-0000-00008B000000}"/>
    <hyperlink ref="A155" r:id="rId141" xr:uid="{00000000-0004-0000-0000-00008C000000}"/>
    <hyperlink ref="A156" r:id="rId142" xr:uid="{00000000-0004-0000-0000-00008D000000}"/>
    <hyperlink ref="A157" r:id="rId143" xr:uid="{00000000-0004-0000-0000-00008E000000}"/>
    <hyperlink ref="A159" r:id="rId144" xr:uid="{00000000-0004-0000-0000-00008F000000}"/>
    <hyperlink ref="A160" r:id="rId145" xr:uid="{00000000-0004-0000-0000-000090000000}"/>
    <hyperlink ref="A161" r:id="rId146" xr:uid="{00000000-0004-0000-0000-000091000000}"/>
    <hyperlink ref="A163" r:id="rId147" xr:uid="{00000000-0004-0000-0000-000092000000}"/>
    <hyperlink ref="A164" r:id="rId148" xr:uid="{00000000-0004-0000-0000-000093000000}"/>
    <hyperlink ref="A165" r:id="rId149" xr:uid="{00000000-0004-0000-0000-000094000000}"/>
    <hyperlink ref="A166" r:id="rId150" xr:uid="{00000000-0004-0000-0000-000095000000}"/>
    <hyperlink ref="A167" r:id="rId151" xr:uid="{00000000-0004-0000-0000-000096000000}"/>
    <hyperlink ref="A168" r:id="rId152" xr:uid="{00000000-0004-0000-0000-000097000000}"/>
    <hyperlink ref="A169" r:id="rId153" xr:uid="{00000000-0004-0000-0000-000098000000}"/>
    <hyperlink ref="A170" r:id="rId154" xr:uid="{00000000-0004-0000-0000-000099000000}"/>
    <hyperlink ref="A171" r:id="rId155" xr:uid="{00000000-0004-0000-0000-00009A000000}"/>
    <hyperlink ref="A172" r:id="rId156" xr:uid="{00000000-0004-0000-0000-00009B000000}"/>
    <hyperlink ref="A173" r:id="rId157" xr:uid="{00000000-0004-0000-0000-00009C000000}"/>
    <hyperlink ref="A174" r:id="rId158" xr:uid="{00000000-0004-0000-0000-00009D000000}"/>
    <hyperlink ref="A175" r:id="rId159" xr:uid="{00000000-0004-0000-0000-00009E000000}"/>
    <hyperlink ref="A176" r:id="rId160" xr:uid="{00000000-0004-0000-0000-00009F000000}"/>
    <hyperlink ref="A177" r:id="rId161" xr:uid="{00000000-0004-0000-0000-0000A0000000}"/>
    <hyperlink ref="A178" r:id="rId162" xr:uid="{00000000-0004-0000-0000-0000A1000000}"/>
    <hyperlink ref="A179" r:id="rId163" xr:uid="{00000000-0004-0000-0000-0000A2000000}"/>
    <hyperlink ref="A180" r:id="rId164" xr:uid="{00000000-0004-0000-0000-0000A3000000}"/>
    <hyperlink ref="A181" r:id="rId165" xr:uid="{00000000-0004-0000-0000-0000A4000000}"/>
    <hyperlink ref="A182" r:id="rId166" xr:uid="{00000000-0004-0000-0000-0000A5000000}"/>
    <hyperlink ref="A183" r:id="rId167" xr:uid="{00000000-0004-0000-0000-0000A6000000}"/>
    <hyperlink ref="A184" r:id="rId168" xr:uid="{00000000-0004-0000-0000-0000A7000000}"/>
    <hyperlink ref="A185" r:id="rId169" xr:uid="{00000000-0004-0000-0000-0000A8000000}"/>
    <hyperlink ref="A186" r:id="rId170" xr:uid="{00000000-0004-0000-0000-0000A9000000}"/>
    <hyperlink ref="A187" r:id="rId171" xr:uid="{00000000-0004-0000-0000-0000AA000000}"/>
    <hyperlink ref="A188" r:id="rId172" xr:uid="{00000000-0004-0000-0000-0000AB000000}"/>
    <hyperlink ref="A189" r:id="rId173" xr:uid="{00000000-0004-0000-0000-0000AC000000}"/>
    <hyperlink ref="A191" r:id="rId174" xr:uid="{00000000-0004-0000-0000-0000AD000000}"/>
    <hyperlink ref="A192" r:id="rId175" xr:uid="{00000000-0004-0000-0000-0000AE000000}"/>
    <hyperlink ref="A193" r:id="rId176" xr:uid="{00000000-0004-0000-0000-0000AF000000}"/>
    <hyperlink ref="A196" r:id="rId177" xr:uid="{00000000-0004-0000-0000-0000B0000000}"/>
    <hyperlink ref="A197" r:id="rId178" xr:uid="{00000000-0004-0000-0000-0000B1000000}"/>
    <hyperlink ref="A198" r:id="rId179" xr:uid="{00000000-0004-0000-0000-0000B2000000}"/>
    <hyperlink ref="A199" r:id="rId180" xr:uid="{00000000-0004-0000-0000-0000B3000000}"/>
    <hyperlink ref="A200" r:id="rId181" xr:uid="{00000000-0004-0000-0000-0000B4000000}"/>
    <hyperlink ref="A201" r:id="rId182" xr:uid="{00000000-0004-0000-0000-0000B5000000}"/>
    <hyperlink ref="A202" r:id="rId183" xr:uid="{00000000-0004-0000-0000-0000B6000000}"/>
    <hyperlink ref="A203" r:id="rId184" xr:uid="{00000000-0004-0000-0000-0000B7000000}"/>
    <hyperlink ref="A204" r:id="rId185" xr:uid="{00000000-0004-0000-0000-0000B8000000}"/>
    <hyperlink ref="A205" r:id="rId186" xr:uid="{00000000-0004-0000-0000-0000B9000000}"/>
    <hyperlink ref="A206" r:id="rId187" xr:uid="{00000000-0004-0000-0000-0000BA000000}"/>
    <hyperlink ref="A207" r:id="rId188" xr:uid="{00000000-0004-0000-0000-0000BB000000}"/>
    <hyperlink ref="A208" r:id="rId189" xr:uid="{00000000-0004-0000-0000-0000BC000000}"/>
    <hyperlink ref="A209" r:id="rId190" xr:uid="{00000000-0004-0000-0000-0000BD000000}"/>
    <hyperlink ref="A210" r:id="rId191" xr:uid="{00000000-0004-0000-0000-0000BE000000}"/>
    <hyperlink ref="A211" r:id="rId192" xr:uid="{00000000-0004-0000-0000-0000BF000000}"/>
    <hyperlink ref="A212" r:id="rId193" xr:uid="{00000000-0004-0000-0000-0000C0000000}"/>
    <hyperlink ref="A213" r:id="rId194" xr:uid="{00000000-0004-0000-0000-0000C1000000}"/>
    <hyperlink ref="A214" r:id="rId195" xr:uid="{00000000-0004-0000-0000-0000C2000000}"/>
    <hyperlink ref="A215" r:id="rId196" xr:uid="{00000000-0004-0000-0000-0000C3000000}"/>
    <hyperlink ref="A216" r:id="rId197" xr:uid="{00000000-0004-0000-0000-0000C4000000}"/>
    <hyperlink ref="A217" r:id="rId198" xr:uid="{00000000-0004-0000-0000-0000C5000000}"/>
    <hyperlink ref="A218" r:id="rId199" xr:uid="{00000000-0004-0000-0000-0000C6000000}"/>
    <hyperlink ref="A219" r:id="rId200" xr:uid="{00000000-0004-0000-0000-0000C7000000}"/>
    <hyperlink ref="A220" r:id="rId201" xr:uid="{00000000-0004-0000-0000-0000C8000000}"/>
    <hyperlink ref="A221" r:id="rId202" xr:uid="{00000000-0004-0000-0000-0000C9000000}"/>
    <hyperlink ref="A222" r:id="rId203" xr:uid="{00000000-0004-0000-0000-0000CA000000}"/>
    <hyperlink ref="A223" r:id="rId204" xr:uid="{00000000-0004-0000-0000-0000CB000000}"/>
    <hyperlink ref="A224" r:id="rId205" xr:uid="{00000000-0004-0000-0000-0000CC000000}"/>
    <hyperlink ref="A225" r:id="rId206" xr:uid="{00000000-0004-0000-0000-0000CD000000}"/>
    <hyperlink ref="A226" r:id="rId207" xr:uid="{00000000-0004-0000-0000-0000CE000000}"/>
    <hyperlink ref="A227" r:id="rId208" xr:uid="{00000000-0004-0000-0000-0000CF000000}"/>
    <hyperlink ref="A228" r:id="rId209" xr:uid="{00000000-0004-0000-0000-0000D0000000}"/>
    <hyperlink ref="A229" r:id="rId210" xr:uid="{00000000-0004-0000-0000-0000D1000000}"/>
    <hyperlink ref="A230" r:id="rId211" xr:uid="{00000000-0004-0000-0000-0000D2000000}"/>
    <hyperlink ref="A231" r:id="rId212" xr:uid="{00000000-0004-0000-0000-0000D3000000}"/>
    <hyperlink ref="A233" r:id="rId213" xr:uid="{00000000-0004-0000-0000-0000D4000000}"/>
    <hyperlink ref="A234" r:id="rId214" xr:uid="{00000000-0004-0000-0000-0000D5000000}"/>
    <hyperlink ref="A235" r:id="rId215" xr:uid="{00000000-0004-0000-0000-0000D6000000}"/>
    <hyperlink ref="A236" r:id="rId216" xr:uid="{00000000-0004-0000-0000-0000D7000000}"/>
    <hyperlink ref="A237" r:id="rId217" xr:uid="{00000000-0004-0000-0000-0000D8000000}"/>
    <hyperlink ref="A238" r:id="rId218" xr:uid="{00000000-0004-0000-0000-0000D9000000}"/>
    <hyperlink ref="A239" r:id="rId219" xr:uid="{00000000-0004-0000-0000-0000DA000000}"/>
    <hyperlink ref="A240" r:id="rId220" xr:uid="{00000000-0004-0000-0000-0000DB000000}"/>
    <hyperlink ref="A241" r:id="rId221" xr:uid="{00000000-0004-0000-0000-0000DC000000}"/>
    <hyperlink ref="A243" r:id="rId222" xr:uid="{00000000-0004-0000-0000-0000DD000000}"/>
    <hyperlink ref="A244" r:id="rId223" xr:uid="{00000000-0004-0000-0000-0000DE000000}"/>
    <hyperlink ref="A245" r:id="rId224" xr:uid="{00000000-0004-0000-0000-0000DF000000}"/>
    <hyperlink ref="A246" r:id="rId225" xr:uid="{00000000-0004-0000-0000-0000E0000000}"/>
    <hyperlink ref="A247" r:id="rId226" xr:uid="{00000000-0004-0000-0000-0000E1000000}"/>
    <hyperlink ref="A248" r:id="rId227" xr:uid="{00000000-0004-0000-0000-0000E2000000}"/>
    <hyperlink ref="A249" r:id="rId228" xr:uid="{00000000-0004-0000-0000-0000E3000000}"/>
    <hyperlink ref="A250" r:id="rId229" xr:uid="{00000000-0004-0000-0000-0000E4000000}"/>
    <hyperlink ref="A251" r:id="rId230" xr:uid="{00000000-0004-0000-0000-0000E5000000}"/>
    <hyperlink ref="A252" r:id="rId231" xr:uid="{00000000-0004-0000-0000-0000E6000000}"/>
    <hyperlink ref="A253" r:id="rId232" xr:uid="{00000000-0004-0000-0000-0000E7000000}"/>
    <hyperlink ref="A254" r:id="rId233" xr:uid="{00000000-0004-0000-0000-0000E8000000}"/>
    <hyperlink ref="A256" r:id="rId234" xr:uid="{00000000-0004-0000-0000-0000E9000000}"/>
    <hyperlink ref="A257" r:id="rId235" xr:uid="{00000000-0004-0000-0000-0000EA000000}"/>
    <hyperlink ref="A258" r:id="rId236" xr:uid="{00000000-0004-0000-0000-0000EB000000}"/>
    <hyperlink ref="A259" r:id="rId237" xr:uid="{00000000-0004-0000-0000-0000EC000000}"/>
    <hyperlink ref="A260" r:id="rId238" xr:uid="{00000000-0004-0000-0000-0000ED000000}"/>
    <hyperlink ref="A261" r:id="rId239" xr:uid="{00000000-0004-0000-0000-0000EE000000}"/>
    <hyperlink ref="A265" r:id="rId240" xr:uid="{00000000-0004-0000-0000-0000EF000000}"/>
    <hyperlink ref="A266" r:id="rId241" xr:uid="{00000000-0004-0000-0000-0000F0000000}"/>
    <hyperlink ref="A267" r:id="rId242" xr:uid="{00000000-0004-0000-0000-0000F1000000}"/>
    <hyperlink ref="A268" r:id="rId243" xr:uid="{00000000-0004-0000-0000-0000F2000000}"/>
    <hyperlink ref="A269" r:id="rId244" xr:uid="{00000000-0004-0000-0000-0000F3000000}"/>
    <hyperlink ref="A270" r:id="rId245" xr:uid="{00000000-0004-0000-0000-0000F4000000}"/>
    <hyperlink ref="A271" r:id="rId246" xr:uid="{00000000-0004-0000-0000-0000F5000000}"/>
    <hyperlink ref="A272" r:id="rId247" xr:uid="{00000000-0004-0000-0000-0000F6000000}"/>
    <hyperlink ref="A273" r:id="rId248" xr:uid="{00000000-0004-0000-0000-0000F7000000}"/>
    <hyperlink ref="A274" r:id="rId249" xr:uid="{00000000-0004-0000-0000-0000F8000000}"/>
    <hyperlink ref="A275" r:id="rId250" xr:uid="{00000000-0004-0000-0000-0000F9000000}"/>
    <hyperlink ref="A276" r:id="rId251" xr:uid="{00000000-0004-0000-0000-0000FA000000}"/>
    <hyperlink ref="A279" r:id="rId252" xr:uid="{00000000-0004-0000-0000-0000FB000000}"/>
    <hyperlink ref="A280" r:id="rId253" xr:uid="{00000000-0004-0000-0000-0000FC000000}"/>
    <hyperlink ref="A281" r:id="rId254" xr:uid="{00000000-0004-0000-0000-0000FD000000}"/>
    <hyperlink ref="A282" r:id="rId255" xr:uid="{00000000-0004-0000-0000-0000FE000000}"/>
    <hyperlink ref="A283" r:id="rId256" xr:uid="{00000000-0004-0000-0000-0000FF000000}"/>
    <hyperlink ref="A284" r:id="rId257" xr:uid="{00000000-0004-0000-0000-000000010000}"/>
    <hyperlink ref="A285" r:id="rId258" xr:uid="{00000000-0004-0000-0000-000001010000}"/>
    <hyperlink ref="A286" r:id="rId259" xr:uid="{00000000-0004-0000-0000-000002010000}"/>
    <hyperlink ref="A287" r:id="rId260" xr:uid="{00000000-0004-0000-0000-000003010000}"/>
    <hyperlink ref="A288" r:id="rId261" xr:uid="{00000000-0004-0000-0000-000004010000}"/>
    <hyperlink ref="A289" r:id="rId262" xr:uid="{00000000-0004-0000-0000-000005010000}"/>
    <hyperlink ref="A290" r:id="rId263" xr:uid="{00000000-0004-0000-0000-000006010000}"/>
    <hyperlink ref="A292" r:id="rId264" xr:uid="{00000000-0004-0000-0000-000007010000}"/>
    <hyperlink ref="A293" r:id="rId265" xr:uid="{00000000-0004-0000-0000-000008010000}"/>
    <hyperlink ref="A294" r:id="rId266" xr:uid="{00000000-0004-0000-0000-000009010000}"/>
    <hyperlink ref="A295" r:id="rId267" xr:uid="{00000000-0004-0000-0000-00000A010000}"/>
    <hyperlink ref="A296" r:id="rId268" xr:uid="{00000000-0004-0000-0000-00000B010000}"/>
    <hyperlink ref="A297" r:id="rId269" xr:uid="{00000000-0004-0000-0000-00000C010000}"/>
    <hyperlink ref="A298" r:id="rId270" xr:uid="{00000000-0004-0000-0000-00000D010000}"/>
    <hyperlink ref="A299" r:id="rId271" xr:uid="{00000000-0004-0000-0000-00000E010000}"/>
    <hyperlink ref="A300" r:id="rId272" xr:uid="{00000000-0004-0000-0000-00000F010000}"/>
    <hyperlink ref="A301" r:id="rId273" xr:uid="{00000000-0004-0000-0000-000010010000}"/>
    <hyperlink ref="A302" r:id="rId274" xr:uid="{00000000-0004-0000-0000-000011010000}"/>
    <hyperlink ref="A303" r:id="rId275" xr:uid="{00000000-0004-0000-0000-000012010000}"/>
    <hyperlink ref="A305" r:id="rId276" xr:uid="{00000000-0004-0000-0000-000013010000}"/>
    <hyperlink ref="A306" r:id="rId277" xr:uid="{00000000-0004-0000-0000-000014010000}"/>
    <hyperlink ref="A307" r:id="rId278" xr:uid="{00000000-0004-0000-0000-000015010000}"/>
    <hyperlink ref="A308" r:id="rId279" xr:uid="{00000000-0004-0000-0000-000016010000}"/>
    <hyperlink ref="A309" r:id="rId280" xr:uid="{00000000-0004-0000-0000-000017010000}"/>
    <hyperlink ref="A310" r:id="rId281" xr:uid="{00000000-0004-0000-0000-000018010000}"/>
    <hyperlink ref="A311" r:id="rId282" xr:uid="{00000000-0004-0000-0000-000019010000}"/>
    <hyperlink ref="A312" r:id="rId283" xr:uid="{00000000-0004-0000-0000-00001A010000}"/>
    <hyperlink ref="A313" r:id="rId284" xr:uid="{00000000-0004-0000-0000-00001B010000}"/>
    <hyperlink ref="A314" r:id="rId285" xr:uid="{00000000-0004-0000-0000-00001C010000}"/>
    <hyperlink ref="A315" r:id="rId286" xr:uid="{00000000-0004-0000-0000-00001D010000}"/>
    <hyperlink ref="A316" r:id="rId287" xr:uid="{00000000-0004-0000-0000-00001E010000}"/>
    <hyperlink ref="A317" r:id="rId288" xr:uid="{00000000-0004-0000-0000-00001F010000}"/>
    <hyperlink ref="A318" r:id="rId289" xr:uid="{00000000-0004-0000-0000-000020010000}"/>
    <hyperlink ref="A319" r:id="rId290" xr:uid="{00000000-0004-0000-0000-000021010000}"/>
    <hyperlink ref="A320" r:id="rId291" xr:uid="{00000000-0004-0000-0000-000022010000}"/>
    <hyperlink ref="A321" r:id="rId292" xr:uid="{00000000-0004-0000-0000-000023010000}"/>
    <hyperlink ref="A322" r:id="rId293" xr:uid="{00000000-0004-0000-0000-000024010000}"/>
    <hyperlink ref="A323" r:id="rId294" xr:uid="{00000000-0004-0000-0000-000025010000}"/>
    <hyperlink ref="A324" r:id="rId295" xr:uid="{00000000-0004-0000-0000-000026010000}"/>
    <hyperlink ref="A325" r:id="rId296" xr:uid="{00000000-0004-0000-0000-000027010000}"/>
    <hyperlink ref="A326" r:id="rId297" xr:uid="{00000000-0004-0000-0000-000028010000}"/>
    <hyperlink ref="A327" r:id="rId298" xr:uid="{00000000-0004-0000-0000-000029010000}"/>
    <hyperlink ref="A328" r:id="rId299" xr:uid="{00000000-0004-0000-0000-00002A010000}"/>
    <hyperlink ref="A329" r:id="rId300" xr:uid="{00000000-0004-0000-0000-00002B010000}"/>
    <hyperlink ref="A330" r:id="rId301" xr:uid="{00000000-0004-0000-0000-00002C010000}"/>
    <hyperlink ref="A331" r:id="rId302" xr:uid="{00000000-0004-0000-0000-00002D010000}"/>
    <hyperlink ref="A332" r:id="rId303" xr:uid="{00000000-0004-0000-0000-00002E010000}"/>
    <hyperlink ref="A333" r:id="rId304" xr:uid="{00000000-0004-0000-0000-00002F010000}"/>
    <hyperlink ref="A334" r:id="rId305" xr:uid="{00000000-0004-0000-0000-000030010000}"/>
    <hyperlink ref="A335" r:id="rId306" xr:uid="{00000000-0004-0000-0000-000031010000}"/>
    <hyperlink ref="A336" r:id="rId307" xr:uid="{00000000-0004-0000-0000-000032010000}"/>
    <hyperlink ref="A337" r:id="rId308" xr:uid="{00000000-0004-0000-0000-000033010000}"/>
    <hyperlink ref="A341" r:id="rId309" xr:uid="{00000000-0004-0000-0000-000034010000}"/>
    <hyperlink ref="A342" r:id="rId310" xr:uid="{00000000-0004-0000-0000-000035010000}"/>
    <hyperlink ref="A343" r:id="rId311" xr:uid="{00000000-0004-0000-0000-000036010000}"/>
    <hyperlink ref="A345" r:id="rId312" xr:uid="{00000000-0004-0000-0000-000037010000}"/>
    <hyperlink ref="A346" r:id="rId313" xr:uid="{00000000-0004-0000-0000-000038010000}"/>
    <hyperlink ref="A347" r:id="rId314" xr:uid="{00000000-0004-0000-0000-000039010000}"/>
    <hyperlink ref="A348" r:id="rId315" xr:uid="{00000000-0004-0000-0000-00003A010000}"/>
    <hyperlink ref="A349" r:id="rId316" xr:uid="{00000000-0004-0000-0000-00003B010000}"/>
    <hyperlink ref="A350" r:id="rId317" xr:uid="{00000000-0004-0000-0000-00003C010000}"/>
    <hyperlink ref="A351" r:id="rId318" xr:uid="{00000000-0004-0000-0000-00003D010000}"/>
    <hyperlink ref="A352" r:id="rId319" xr:uid="{00000000-0004-0000-0000-00003E010000}"/>
    <hyperlink ref="A353" r:id="rId320" xr:uid="{00000000-0004-0000-0000-00003F010000}"/>
    <hyperlink ref="A355" r:id="rId321" xr:uid="{00000000-0004-0000-0000-000040010000}"/>
    <hyperlink ref="A356" r:id="rId322" xr:uid="{00000000-0004-0000-0000-000041010000}"/>
    <hyperlink ref="A357" r:id="rId323" xr:uid="{00000000-0004-0000-0000-000042010000}"/>
    <hyperlink ref="A358" r:id="rId324" xr:uid="{00000000-0004-0000-0000-000043010000}"/>
    <hyperlink ref="A359" r:id="rId325" xr:uid="{00000000-0004-0000-0000-000044010000}"/>
    <hyperlink ref="A360" r:id="rId326" xr:uid="{00000000-0004-0000-0000-000045010000}"/>
    <hyperlink ref="A361" r:id="rId327" xr:uid="{00000000-0004-0000-0000-000046010000}"/>
    <hyperlink ref="A362" r:id="rId328" xr:uid="{00000000-0004-0000-0000-000047010000}"/>
    <hyperlink ref="A363" r:id="rId329" xr:uid="{00000000-0004-0000-0000-000048010000}"/>
    <hyperlink ref="A364" r:id="rId330" xr:uid="{00000000-0004-0000-0000-000049010000}"/>
    <hyperlink ref="A365" r:id="rId331" xr:uid="{00000000-0004-0000-0000-00004A010000}"/>
    <hyperlink ref="A366" r:id="rId332" xr:uid="{00000000-0004-0000-0000-00004B010000}"/>
    <hyperlink ref="A367" r:id="rId333" xr:uid="{00000000-0004-0000-0000-00004C010000}"/>
    <hyperlink ref="A368" r:id="rId334" xr:uid="{00000000-0004-0000-0000-00004D010000}"/>
    <hyperlink ref="A369" r:id="rId335" xr:uid="{00000000-0004-0000-0000-00004E010000}"/>
    <hyperlink ref="A370" r:id="rId336" xr:uid="{00000000-0004-0000-0000-00004F010000}"/>
    <hyperlink ref="A371" r:id="rId337" xr:uid="{00000000-0004-0000-0000-000050010000}"/>
    <hyperlink ref="A372" r:id="rId338" xr:uid="{00000000-0004-0000-0000-000051010000}"/>
    <hyperlink ref="A373" r:id="rId339" xr:uid="{00000000-0004-0000-0000-000052010000}"/>
    <hyperlink ref="A374" r:id="rId340" xr:uid="{00000000-0004-0000-0000-000053010000}"/>
    <hyperlink ref="A375" r:id="rId341" xr:uid="{00000000-0004-0000-0000-000054010000}"/>
    <hyperlink ref="A376" r:id="rId342" xr:uid="{00000000-0004-0000-0000-000055010000}"/>
    <hyperlink ref="A377" r:id="rId343" xr:uid="{00000000-0004-0000-0000-000056010000}"/>
    <hyperlink ref="A378" r:id="rId344" xr:uid="{00000000-0004-0000-0000-000057010000}"/>
    <hyperlink ref="A379" r:id="rId345" xr:uid="{00000000-0004-0000-0000-000058010000}"/>
    <hyperlink ref="A380" r:id="rId346" xr:uid="{00000000-0004-0000-0000-000059010000}"/>
    <hyperlink ref="A381" r:id="rId347" xr:uid="{00000000-0004-0000-0000-00005A010000}"/>
    <hyperlink ref="A383" r:id="rId348" xr:uid="{00000000-0004-0000-0000-00005B010000}"/>
    <hyperlink ref="A384" r:id="rId349" xr:uid="{00000000-0004-0000-0000-00005C010000}"/>
    <hyperlink ref="A385" r:id="rId350" xr:uid="{00000000-0004-0000-0000-00005D010000}"/>
    <hyperlink ref="A388" r:id="rId351" xr:uid="{00000000-0004-0000-0000-00005E010000}"/>
    <hyperlink ref="A389" r:id="rId352" xr:uid="{00000000-0004-0000-0000-00005F010000}"/>
    <hyperlink ref="A390" r:id="rId353" xr:uid="{00000000-0004-0000-0000-000060010000}"/>
    <hyperlink ref="A393" r:id="rId354" xr:uid="{00000000-0004-0000-0000-000061010000}"/>
    <hyperlink ref="A394" r:id="rId355" xr:uid="{00000000-0004-0000-0000-000062010000}"/>
    <hyperlink ref="A395" r:id="rId356" xr:uid="{00000000-0004-0000-0000-000063010000}"/>
    <hyperlink ref="A396" r:id="rId357" xr:uid="{00000000-0004-0000-0000-000064010000}"/>
    <hyperlink ref="A397" r:id="rId358" xr:uid="{00000000-0004-0000-0000-000065010000}"/>
    <hyperlink ref="A398" r:id="rId359" xr:uid="{00000000-0004-0000-0000-000066010000}"/>
    <hyperlink ref="A399" r:id="rId360" xr:uid="{00000000-0004-0000-0000-000067010000}"/>
    <hyperlink ref="A400" r:id="rId361" xr:uid="{00000000-0004-0000-0000-000068010000}"/>
    <hyperlink ref="A401" r:id="rId362" xr:uid="{00000000-0004-0000-0000-000069010000}"/>
    <hyperlink ref="A403" r:id="rId363" xr:uid="{00000000-0004-0000-0000-00006A010000}"/>
    <hyperlink ref="A404" r:id="rId364" xr:uid="{00000000-0004-0000-0000-00006B010000}"/>
    <hyperlink ref="A405" r:id="rId365" xr:uid="{00000000-0004-0000-0000-00006C010000}"/>
    <hyperlink ref="A406" r:id="rId366" xr:uid="{00000000-0004-0000-0000-00006D010000}"/>
    <hyperlink ref="A407" r:id="rId367" xr:uid="{00000000-0004-0000-0000-00006E010000}"/>
    <hyperlink ref="A408" r:id="rId368" xr:uid="{00000000-0004-0000-0000-00006F010000}"/>
    <hyperlink ref="A409" r:id="rId369" xr:uid="{00000000-0004-0000-0000-000070010000}"/>
    <hyperlink ref="A410" r:id="rId370" xr:uid="{00000000-0004-0000-0000-000071010000}"/>
    <hyperlink ref="A411" r:id="rId371" xr:uid="{00000000-0004-0000-0000-000072010000}"/>
    <hyperlink ref="A412" r:id="rId372" xr:uid="{00000000-0004-0000-0000-000073010000}"/>
    <hyperlink ref="A413" r:id="rId373" xr:uid="{00000000-0004-0000-0000-000074010000}"/>
    <hyperlink ref="A414" r:id="rId374" xr:uid="{00000000-0004-0000-0000-000075010000}"/>
    <hyperlink ref="A415" r:id="rId375" xr:uid="{00000000-0004-0000-0000-000076010000}"/>
    <hyperlink ref="A416" r:id="rId376" xr:uid="{00000000-0004-0000-0000-000077010000}"/>
    <hyperlink ref="A417" r:id="rId377" xr:uid="{00000000-0004-0000-0000-000078010000}"/>
    <hyperlink ref="A418" r:id="rId378" xr:uid="{00000000-0004-0000-0000-000079010000}"/>
    <hyperlink ref="A419" r:id="rId379" xr:uid="{00000000-0004-0000-0000-00007A010000}"/>
    <hyperlink ref="A420" r:id="rId380" xr:uid="{00000000-0004-0000-0000-00007B010000}"/>
    <hyperlink ref="A421" r:id="rId381" xr:uid="{00000000-0004-0000-0000-00007C010000}"/>
    <hyperlink ref="A422" r:id="rId382" xr:uid="{00000000-0004-0000-0000-00007D010000}"/>
    <hyperlink ref="A423" r:id="rId383" xr:uid="{00000000-0004-0000-0000-00007E010000}"/>
    <hyperlink ref="A424" r:id="rId384" xr:uid="{00000000-0004-0000-0000-00007F010000}"/>
    <hyperlink ref="A425" r:id="rId385" xr:uid="{00000000-0004-0000-0000-000080010000}"/>
    <hyperlink ref="A426" r:id="rId386" xr:uid="{00000000-0004-0000-0000-000081010000}"/>
    <hyperlink ref="A427" r:id="rId387" xr:uid="{00000000-0004-0000-0000-000082010000}"/>
    <hyperlink ref="A428" r:id="rId388" xr:uid="{00000000-0004-0000-0000-000083010000}"/>
    <hyperlink ref="A429" r:id="rId389" xr:uid="{00000000-0004-0000-0000-000084010000}"/>
    <hyperlink ref="A430" r:id="rId390" xr:uid="{00000000-0004-0000-0000-000085010000}"/>
    <hyperlink ref="A431" r:id="rId391" xr:uid="{00000000-0004-0000-0000-000086010000}"/>
    <hyperlink ref="A432" r:id="rId392" xr:uid="{00000000-0004-0000-0000-000087010000}"/>
    <hyperlink ref="A433" r:id="rId393" xr:uid="{00000000-0004-0000-0000-000088010000}"/>
    <hyperlink ref="A434" r:id="rId394" xr:uid="{00000000-0004-0000-0000-000089010000}"/>
    <hyperlink ref="A435" r:id="rId395" xr:uid="{00000000-0004-0000-0000-00008A010000}"/>
    <hyperlink ref="A436" r:id="rId396" xr:uid="{00000000-0004-0000-0000-00008B010000}"/>
    <hyperlink ref="A437" r:id="rId397" xr:uid="{00000000-0004-0000-0000-00008C010000}"/>
    <hyperlink ref="A438" r:id="rId398" xr:uid="{00000000-0004-0000-0000-00008D010000}"/>
    <hyperlink ref="A439" r:id="rId399" xr:uid="{00000000-0004-0000-0000-00008E010000}"/>
    <hyperlink ref="A440" r:id="rId400" xr:uid="{00000000-0004-0000-0000-00008F010000}"/>
    <hyperlink ref="A441" r:id="rId401" xr:uid="{00000000-0004-0000-0000-000090010000}"/>
    <hyperlink ref="A442" r:id="rId402" xr:uid="{00000000-0004-0000-0000-000091010000}"/>
    <hyperlink ref="A443" r:id="rId403" xr:uid="{00000000-0004-0000-0000-000092010000}"/>
    <hyperlink ref="A444" r:id="rId404" xr:uid="{00000000-0004-0000-0000-000093010000}"/>
    <hyperlink ref="A445" r:id="rId405" xr:uid="{00000000-0004-0000-0000-000094010000}"/>
    <hyperlink ref="A446" r:id="rId406" xr:uid="{00000000-0004-0000-0000-000095010000}"/>
    <hyperlink ref="A447" r:id="rId407" xr:uid="{00000000-0004-0000-0000-000096010000}"/>
    <hyperlink ref="A448" r:id="rId408" xr:uid="{00000000-0004-0000-0000-000097010000}"/>
    <hyperlink ref="A449" r:id="rId409" xr:uid="{00000000-0004-0000-0000-000098010000}"/>
    <hyperlink ref="A450" r:id="rId410" xr:uid="{00000000-0004-0000-0000-000099010000}"/>
    <hyperlink ref="A451" r:id="rId411" xr:uid="{00000000-0004-0000-0000-00009A010000}"/>
    <hyperlink ref="A452" r:id="rId412" xr:uid="{00000000-0004-0000-0000-00009B010000}"/>
    <hyperlink ref="A453" r:id="rId413" xr:uid="{00000000-0004-0000-0000-00009C010000}"/>
    <hyperlink ref="A454" r:id="rId414" xr:uid="{00000000-0004-0000-0000-00009D010000}"/>
    <hyperlink ref="A455" r:id="rId415" xr:uid="{00000000-0004-0000-0000-00009E010000}"/>
    <hyperlink ref="A456" r:id="rId416" xr:uid="{00000000-0004-0000-0000-00009F010000}"/>
    <hyperlink ref="A457" r:id="rId417" xr:uid="{00000000-0004-0000-0000-0000A0010000}"/>
    <hyperlink ref="A458" r:id="rId418" xr:uid="{00000000-0004-0000-0000-0000A1010000}"/>
    <hyperlink ref="A459" r:id="rId419" xr:uid="{00000000-0004-0000-0000-0000A2010000}"/>
    <hyperlink ref="A460" r:id="rId420" xr:uid="{00000000-0004-0000-0000-0000A3010000}"/>
    <hyperlink ref="A461" r:id="rId421" xr:uid="{00000000-0004-0000-0000-0000A4010000}"/>
    <hyperlink ref="A462" r:id="rId422" xr:uid="{00000000-0004-0000-0000-0000A5010000}"/>
    <hyperlink ref="A463" r:id="rId423" xr:uid="{00000000-0004-0000-0000-0000A6010000}"/>
    <hyperlink ref="A464" r:id="rId424" xr:uid="{00000000-0004-0000-0000-0000A7010000}"/>
    <hyperlink ref="A465" r:id="rId425" xr:uid="{00000000-0004-0000-0000-0000A8010000}"/>
    <hyperlink ref="A466" r:id="rId426" xr:uid="{00000000-0004-0000-0000-0000A9010000}"/>
    <hyperlink ref="A467" r:id="rId427" xr:uid="{00000000-0004-0000-0000-0000AA010000}"/>
    <hyperlink ref="A468" r:id="rId428" xr:uid="{00000000-0004-0000-0000-0000AB010000}"/>
    <hyperlink ref="A469" r:id="rId429" xr:uid="{00000000-0004-0000-0000-0000AC010000}"/>
    <hyperlink ref="A470" r:id="rId430" xr:uid="{00000000-0004-0000-0000-0000AD010000}"/>
    <hyperlink ref="A471" r:id="rId431" xr:uid="{00000000-0004-0000-0000-0000AE010000}"/>
    <hyperlink ref="J472" r:id="rId432" xr:uid="{00000000-0004-0000-0000-0000AF010000}"/>
    <hyperlink ref="A473" r:id="rId433" xr:uid="{00000000-0004-0000-0000-0000B0010000}"/>
    <hyperlink ref="A474" r:id="rId434" xr:uid="{00000000-0004-0000-0000-0000B1010000}"/>
    <hyperlink ref="A475" r:id="rId435" xr:uid="{00000000-0004-0000-0000-0000B2010000}"/>
    <hyperlink ref="A476" r:id="rId436" xr:uid="{00000000-0004-0000-0000-0000B3010000}"/>
    <hyperlink ref="A477" r:id="rId437" xr:uid="{00000000-0004-0000-0000-0000B4010000}"/>
    <hyperlink ref="A478" r:id="rId438" xr:uid="{00000000-0004-0000-0000-0000B5010000}"/>
    <hyperlink ref="A479" r:id="rId439" xr:uid="{00000000-0004-0000-0000-0000B6010000}"/>
    <hyperlink ref="A480" r:id="rId440" xr:uid="{00000000-0004-0000-0000-0000B7010000}"/>
    <hyperlink ref="A481" r:id="rId441" xr:uid="{00000000-0004-0000-0000-0000B8010000}"/>
    <hyperlink ref="A482" r:id="rId442" xr:uid="{00000000-0004-0000-0000-0000B9010000}"/>
    <hyperlink ref="A483" r:id="rId443" xr:uid="{00000000-0004-0000-0000-0000BA010000}"/>
    <hyperlink ref="A484" r:id="rId444" xr:uid="{00000000-0004-0000-0000-0000BB010000}"/>
    <hyperlink ref="A486" r:id="rId445" xr:uid="{00000000-0004-0000-0000-0000BC010000}"/>
    <hyperlink ref="A487" r:id="rId446" xr:uid="{00000000-0004-0000-0000-0000BD010000}"/>
    <hyperlink ref="A488" r:id="rId447" xr:uid="{00000000-0004-0000-0000-0000BE010000}"/>
    <hyperlink ref="A489" r:id="rId448" xr:uid="{00000000-0004-0000-0000-0000BF010000}"/>
    <hyperlink ref="A490" r:id="rId449" xr:uid="{00000000-0004-0000-0000-0000C0010000}"/>
    <hyperlink ref="A491" r:id="rId450" xr:uid="{00000000-0004-0000-0000-0000C1010000}"/>
    <hyperlink ref="A492" r:id="rId451" xr:uid="{00000000-0004-0000-0000-0000C2010000}"/>
    <hyperlink ref="A493" r:id="rId452" xr:uid="{00000000-0004-0000-0000-0000C3010000}"/>
    <hyperlink ref="A494" r:id="rId453" xr:uid="{00000000-0004-0000-0000-0000C4010000}"/>
    <hyperlink ref="A495" r:id="rId454" xr:uid="{00000000-0004-0000-0000-0000C5010000}"/>
    <hyperlink ref="A496" r:id="rId455" xr:uid="{00000000-0004-0000-0000-0000C6010000}"/>
    <hyperlink ref="A497" r:id="rId456" xr:uid="{00000000-0004-0000-0000-0000C7010000}"/>
    <hyperlink ref="A499" r:id="rId457" xr:uid="{00000000-0004-0000-0000-0000C8010000}"/>
    <hyperlink ref="A500" r:id="rId458" xr:uid="{00000000-0004-0000-0000-0000C9010000}"/>
    <hyperlink ref="A501" r:id="rId459" xr:uid="{00000000-0004-0000-0000-0000CA010000}"/>
    <hyperlink ref="A502" r:id="rId460" xr:uid="{00000000-0004-0000-0000-0000CB010000}"/>
    <hyperlink ref="A503" r:id="rId461" xr:uid="{00000000-0004-0000-0000-0000CC010000}"/>
    <hyperlink ref="A504" r:id="rId462" xr:uid="{00000000-0004-0000-0000-0000CD010000}"/>
    <hyperlink ref="A505" r:id="rId463" xr:uid="{00000000-0004-0000-0000-0000CE010000}"/>
    <hyperlink ref="A506" r:id="rId464" xr:uid="{00000000-0004-0000-0000-0000CF010000}"/>
    <hyperlink ref="A507" r:id="rId465" xr:uid="{00000000-0004-0000-0000-0000D0010000}"/>
    <hyperlink ref="A508" r:id="rId466" xr:uid="{00000000-0004-0000-0000-0000D1010000}"/>
    <hyperlink ref="A509" r:id="rId467" xr:uid="{00000000-0004-0000-0000-0000D2010000}"/>
    <hyperlink ref="A510" r:id="rId468" xr:uid="{00000000-0004-0000-0000-0000D3010000}"/>
    <hyperlink ref="A511" r:id="rId469" xr:uid="{00000000-0004-0000-0000-0000D4010000}"/>
    <hyperlink ref="A514" r:id="rId470" xr:uid="{00000000-0004-0000-0000-0000D5010000}"/>
    <hyperlink ref="A515" r:id="rId471" xr:uid="{00000000-0004-0000-0000-0000D6010000}"/>
    <hyperlink ref="A516" r:id="rId472" xr:uid="{00000000-0004-0000-0000-0000D7010000}"/>
    <hyperlink ref="A517" r:id="rId473" xr:uid="{00000000-0004-0000-0000-0000D8010000}"/>
    <hyperlink ref="A518" r:id="rId474" xr:uid="{00000000-0004-0000-0000-0000D9010000}"/>
    <hyperlink ref="A519" r:id="rId475" xr:uid="{00000000-0004-0000-0000-0000DA010000}"/>
    <hyperlink ref="A520" r:id="rId476" xr:uid="{00000000-0004-0000-0000-0000DB010000}"/>
    <hyperlink ref="A521" r:id="rId477" xr:uid="{00000000-0004-0000-0000-0000DC010000}"/>
    <hyperlink ref="A522" r:id="rId478" xr:uid="{00000000-0004-0000-0000-0000DD010000}"/>
    <hyperlink ref="A523" r:id="rId479" xr:uid="{00000000-0004-0000-0000-0000DE010000}"/>
    <hyperlink ref="A524" r:id="rId480" xr:uid="{00000000-0004-0000-0000-0000DF010000}"/>
    <hyperlink ref="A525" r:id="rId481" xr:uid="{00000000-0004-0000-0000-0000E0010000}"/>
    <hyperlink ref="A527" r:id="rId482" xr:uid="{00000000-0004-0000-0000-0000E1010000}"/>
    <hyperlink ref="A528" r:id="rId483" xr:uid="{00000000-0004-0000-0000-0000E2010000}"/>
    <hyperlink ref="A529" r:id="rId484" xr:uid="{00000000-0004-0000-0000-0000E3010000}"/>
    <hyperlink ref="A530" r:id="rId485" xr:uid="{00000000-0004-0000-0000-0000E4010000}"/>
    <hyperlink ref="A531" r:id="rId486" xr:uid="{00000000-0004-0000-0000-0000E5010000}"/>
    <hyperlink ref="A532" r:id="rId487" xr:uid="{00000000-0004-0000-0000-0000E6010000}"/>
    <hyperlink ref="A533" r:id="rId488" xr:uid="{00000000-0004-0000-0000-0000E7010000}"/>
    <hyperlink ref="A534" r:id="rId489" xr:uid="{00000000-0004-0000-0000-0000E8010000}"/>
    <hyperlink ref="A535" r:id="rId490" xr:uid="{00000000-0004-0000-0000-0000E9010000}"/>
    <hyperlink ref="A536" r:id="rId491" xr:uid="{00000000-0004-0000-0000-0000EA010000}"/>
    <hyperlink ref="A537" r:id="rId492" xr:uid="{00000000-0004-0000-0000-0000EB010000}"/>
    <hyperlink ref="A538" r:id="rId493" xr:uid="{00000000-0004-0000-0000-0000EC010000}"/>
    <hyperlink ref="A539" r:id="rId494" xr:uid="{00000000-0004-0000-0000-0000ED010000}"/>
    <hyperlink ref="A540" r:id="rId495" xr:uid="{00000000-0004-0000-0000-0000EE010000}"/>
    <hyperlink ref="A541" r:id="rId496" xr:uid="{00000000-0004-0000-0000-0000EF010000}"/>
    <hyperlink ref="A542" r:id="rId497" xr:uid="{00000000-0004-0000-0000-0000F0010000}"/>
    <hyperlink ref="A543" r:id="rId498" xr:uid="{00000000-0004-0000-0000-0000F1010000}"/>
    <hyperlink ref="A544" r:id="rId499" xr:uid="{00000000-0004-0000-0000-0000F2010000}"/>
    <hyperlink ref="A545" r:id="rId500" xr:uid="{00000000-0004-0000-0000-0000F3010000}"/>
    <hyperlink ref="A551" r:id="rId501" xr:uid="{00000000-0004-0000-0000-0000F4010000}"/>
    <hyperlink ref="A552" r:id="rId502" xr:uid="{00000000-0004-0000-0000-0000F5010000}"/>
    <hyperlink ref="A553" r:id="rId503" xr:uid="{00000000-0004-0000-0000-0000F6010000}"/>
    <hyperlink ref="A554" r:id="rId504" xr:uid="{00000000-0004-0000-0000-0000F7010000}"/>
    <hyperlink ref="A555" r:id="rId505" xr:uid="{00000000-0004-0000-0000-0000F8010000}"/>
    <hyperlink ref="A556" r:id="rId506" xr:uid="{00000000-0004-0000-0000-0000F9010000}"/>
    <hyperlink ref="A557" r:id="rId507" xr:uid="{00000000-0004-0000-0000-0000FA010000}"/>
    <hyperlink ref="A558" r:id="rId508" xr:uid="{00000000-0004-0000-0000-0000FB010000}"/>
    <hyperlink ref="A559" r:id="rId509" xr:uid="{00000000-0004-0000-0000-0000FC010000}"/>
    <hyperlink ref="A561" r:id="rId510" xr:uid="{00000000-0004-0000-0000-0000FD010000}"/>
    <hyperlink ref="A562" r:id="rId511" xr:uid="{00000000-0004-0000-0000-0000FE010000}"/>
    <hyperlink ref="A563" r:id="rId512" xr:uid="{00000000-0004-0000-0000-0000FF010000}"/>
    <hyperlink ref="A564" r:id="rId513" xr:uid="{00000000-0004-0000-0000-000000020000}"/>
    <hyperlink ref="A565" r:id="rId514" xr:uid="{00000000-0004-0000-0000-000001020000}"/>
    <hyperlink ref="A566" r:id="rId515" xr:uid="{00000000-0004-0000-0000-000002020000}"/>
    <hyperlink ref="A567" r:id="rId516" xr:uid="{00000000-0004-0000-0000-000003020000}"/>
    <hyperlink ref="A568" r:id="rId517" xr:uid="{00000000-0004-0000-0000-000004020000}"/>
    <hyperlink ref="A569" r:id="rId518" xr:uid="{00000000-0004-0000-0000-000005020000}"/>
    <hyperlink ref="A570" r:id="rId519" xr:uid="{00000000-0004-0000-0000-000006020000}"/>
    <hyperlink ref="A571" r:id="rId520" xr:uid="{00000000-0004-0000-0000-000007020000}"/>
    <hyperlink ref="A572" r:id="rId521" xr:uid="{00000000-0004-0000-0000-000008020000}"/>
    <hyperlink ref="A573" r:id="rId522" xr:uid="{00000000-0004-0000-0000-000009020000}"/>
    <hyperlink ref="A574" r:id="rId523" xr:uid="{00000000-0004-0000-0000-00000A020000}"/>
    <hyperlink ref="A575" r:id="rId524" xr:uid="{00000000-0004-0000-0000-00000B020000}"/>
    <hyperlink ref="A576" r:id="rId525" xr:uid="{00000000-0004-0000-0000-00000C020000}"/>
    <hyperlink ref="A577" r:id="rId526" xr:uid="{00000000-0004-0000-0000-00000D020000}"/>
    <hyperlink ref="A578" r:id="rId527" xr:uid="{00000000-0004-0000-0000-00000E020000}"/>
    <hyperlink ref="A579" r:id="rId528" xr:uid="{00000000-0004-0000-0000-00000F020000}"/>
    <hyperlink ref="A580" r:id="rId529" xr:uid="{00000000-0004-0000-0000-000010020000}"/>
    <hyperlink ref="A581" r:id="rId530" xr:uid="{00000000-0004-0000-0000-000011020000}"/>
    <hyperlink ref="A582" r:id="rId531" xr:uid="{00000000-0004-0000-0000-000012020000}"/>
    <hyperlink ref="A583" r:id="rId532" xr:uid="{00000000-0004-0000-0000-000013020000}"/>
    <hyperlink ref="A584" r:id="rId533" xr:uid="{00000000-0004-0000-0000-000014020000}"/>
    <hyperlink ref="A585" r:id="rId534" xr:uid="{00000000-0004-0000-0000-000015020000}"/>
    <hyperlink ref="A586" r:id="rId535" xr:uid="{00000000-0004-0000-0000-000016020000}"/>
    <hyperlink ref="A587" r:id="rId536" xr:uid="{00000000-0004-0000-0000-000017020000}"/>
    <hyperlink ref="A588" r:id="rId537" xr:uid="{00000000-0004-0000-0000-000018020000}"/>
    <hyperlink ref="A589" r:id="rId538" xr:uid="{00000000-0004-0000-0000-000019020000}"/>
    <hyperlink ref="A590" r:id="rId539" xr:uid="{00000000-0004-0000-0000-00001A020000}"/>
    <hyperlink ref="A591" r:id="rId540" xr:uid="{00000000-0004-0000-0000-00001B020000}"/>
    <hyperlink ref="A592" r:id="rId541" xr:uid="{00000000-0004-0000-0000-00001C020000}"/>
    <hyperlink ref="A593" r:id="rId542" xr:uid="{00000000-0004-0000-0000-00001D020000}"/>
    <hyperlink ref="A594" r:id="rId543" xr:uid="{00000000-0004-0000-0000-00001E020000}"/>
    <hyperlink ref="A595" r:id="rId544" xr:uid="{00000000-0004-0000-0000-00001F020000}"/>
    <hyperlink ref="A596" r:id="rId545" xr:uid="{00000000-0004-0000-0000-000020020000}"/>
    <hyperlink ref="A597" r:id="rId546" xr:uid="{00000000-0004-0000-0000-000021020000}"/>
    <hyperlink ref="A598" r:id="rId547" xr:uid="{00000000-0004-0000-0000-000022020000}"/>
    <hyperlink ref="A599" r:id="rId548" xr:uid="{00000000-0004-0000-0000-000023020000}"/>
    <hyperlink ref="A600" r:id="rId549" xr:uid="{00000000-0004-0000-0000-000024020000}"/>
    <hyperlink ref="A601" r:id="rId550" xr:uid="{00000000-0004-0000-0000-000025020000}"/>
    <hyperlink ref="A602" r:id="rId551" xr:uid="{00000000-0004-0000-0000-000026020000}"/>
    <hyperlink ref="A603" r:id="rId552" xr:uid="{00000000-0004-0000-0000-000027020000}"/>
    <hyperlink ref="A604" r:id="rId553" xr:uid="{00000000-0004-0000-0000-000028020000}"/>
    <hyperlink ref="A605" r:id="rId554" xr:uid="{00000000-0004-0000-0000-000029020000}"/>
    <hyperlink ref="A606" r:id="rId555" xr:uid="{00000000-0004-0000-0000-00002A020000}"/>
    <hyperlink ref="A607" r:id="rId556" xr:uid="{00000000-0004-0000-0000-00002B020000}"/>
    <hyperlink ref="A608" r:id="rId557" xr:uid="{00000000-0004-0000-0000-00002C020000}"/>
    <hyperlink ref="A609" r:id="rId558" xr:uid="{00000000-0004-0000-0000-00002D020000}"/>
    <hyperlink ref="A610" r:id="rId559" xr:uid="{00000000-0004-0000-0000-00002E020000}"/>
    <hyperlink ref="A611" r:id="rId560" xr:uid="{00000000-0004-0000-0000-00002F020000}"/>
    <hyperlink ref="A612" r:id="rId561" xr:uid="{00000000-0004-0000-0000-000030020000}"/>
    <hyperlink ref="A613" r:id="rId562" xr:uid="{00000000-0004-0000-0000-000031020000}"/>
    <hyperlink ref="A614" r:id="rId563" xr:uid="{00000000-0004-0000-0000-000032020000}"/>
    <hyperlink ref="A615" r:id="rId564" xr:uid="{00000000-0004-0000-0000-000033020000}"/>
    <hyperlink ref="A616" r:id="rId565" xr:uid="{00000000-0004-0000-0000-000034020000}"/>
    <hyperlink ref="A617" r:id="rId566" xr:uid="{00000000-0004-0000-0000-000035020000}"/>
    <hyperlink ref="A618" r:id="rId567" xr:uid="{00000000-0004-0000-0000-000036020000}"/>
    <hyperlink ref="A619" r:id="rId568" xr:uid="{00000000-0004-0000-0000-000037020000}"/>
    <hyperlink ref="A620" r:id="rId569" xr:uid="{00000000-0004-0000-0000-000038020000}"/>
    <hyperlink ref="A621" r:id="rId570" xr:uid="{00000000-0004-0000-0000-000039020000}"/>
    <hyperlink ref="A622" r:id="rId571" xr:uid="{00000000-0004-0000-0000-00003A020000}"/>
    <hyperlink ref="A623" r:id="rId572" xr:uid="{00000000-0004-0000-0000-00003B020000}"/>
    <hyperlink ref="A624" r:id="rId573" xr:uid="{00000000-0004-0000-0000-00003C020000}"/>
    <hyperlink ref="A625" r:id="rId574" xr:uid="{00000000-0004-0000-0000-00003D020000}"/>
    <hyperlink ref="A626" r:id="rId575" xr:uid="{00000000-0004-0000-0000-00003E020000}"/>
    <hyperlink ref="A627" r:id="rId576" xr:uid="{00000000-0004-0000-0000-00003F020000}"/>
    <hyperlink ref="A628" r:id="rId577" xr:uid="{00000000-0004-0000-0000-000040020000}"/>
    <hyperlink ref="A629" r:id="rId578" xr:uid="{00000000-0004-0000-0000-000041020000}"/>
    <hyperlink ref="A630" r:id="rId579" xr:uid="{00000000-0004-0000-0000-000042020000}"/>
    <hyperlink ref="A631" r:id="rId580" xr:uid="{00000000-0004-0000-0000-000043020000}"/>
    <hyperlink ref="A632" r:id="rId581" xr:uid="{00000000-0004-0000-0000-000044020000}"/>
    <hyperlink ref="A633" r:id="rId582" xr:uid="{00000000-0004-0000-0000-000045020000}"/>
    <hyperlink ref="A634" r:id="rId583" xr:uid="{00000000-0004-0000-0000-000046020000}"/>
    <hyperlink ref="A635" r:id="rId584" xr:uid="{00000000-0004-0000-0000-000047020000}"/>
    <hyperlink ref="A636" r:id="rId585" xr:uid="{00000000-0004-0000-0000-000048020000}"/>
    <hyperlink ref="A637" r:id="rId586" xr:uid="{00000000-0004-0000-0000-000049020000}"/>
    <hyperlink ref="A638" r:id="rId587" xr:uid="{00000000-0004-0000-0000-00004A020000}"/>
    <hyperlink ref="A639" r:id="rId588" xr:uid="{00000000-0004-0000-0000-00004B020000}"/>
    <hyperlink ref="A640" r:id="rId589" xr:uid="{00000000-0004-0000-0000-00004C020000}"/>
    <hyperlink ref="A641" r:id="rId590" xr:uid="{00000000-0004-0000-0000-00004D020000}"/>
    <hyperlink ref="A642" r:id="rId591" xr:uid="{00000000-0004-0000-0000-00004E020000}"/>
    <hyperlink ref="A643" r:id="rId592" xr:uid="{00000000-0004-0000-0000-00004F020000}"/>
    <hyperlink ref="A644" r:id="rId593" xr:uid="{00000000-0004-0000-0000-000050020000}"/>
    <hyperlink ref="A645" r:id="rId594" xr:uid="{00000000-0004-0000-0000-000051020000}"/>
    <hyperlink ref="A646" r:id="rId595" xr:uid="{00000000-0004-0000-0000-000052020000}"/>
    <hyperlink ref="A647" r:id="rId596" xr:uid="{00000000-0004-0000-0000-000053020000}"/>
    <hyperlink ref="A648" r:id="rId597" xr:uid="{00000000-0004-0000-0000-000054020000}"/>
    <hyperlink ref="A649" r:id="rId598" xr:uid="{00000000-0004-0000-0000-000055020000}"/>
    <hyperlink ref="A650" r:id="rId599" xr:uid="{00000000-0004-0000-0000-000056020000}"/>
    <hyperlink ref="A651" r:id="rId600" xr:uid="{00000000-0004-0000-0000-000057020000}"/>
    <hyperlink ref="A652" r:id="rId601" xr:uid="{00000000-0004-0000-0000-000058020000}"/>
    <hyperlink ref="A653" r:id="rId602" xr:uid="{00000000-0004-0000-0000-000059020000}"/>
    <hyperlink ref="A654" r:id="rId603" xr:uid="{00000000-0004-0000-0000-00005A020000}"/>
    <hyperlink ref="A655" r:id="rId604" xr:uid="{00000000-0004-0000-0000-00005B020000}"/>
    <hyperlink ref="A656" r:id="rId605" xr:uid="{00000000-0004-0000-0000-00005C020000}"/>
    <hyperlink ref="A657" r:id="rId606" xr:uid="{00000000-0004-0000-0000-00005D020000}"/>
    <hyperlink ref="A658" r:id="rId607" xr:uid="{00000000-0004-0000-0000-00005E020000}"/>
    <hyperlink ref="A659" r:id="rId608" xr:uid="{00000000-0004-0000-0000-00005F020000}"/>
    <hyperlink ref="A660" r:id="rId609" xr:uid="{00000000-0004-0000-0000-000060020000}"/>
    <hyperlink ref="A661" r:id="rId610" xr:uid="{00000000-0004-0000-0000-000061020000}"/>
    <hyperlink ref="A662" r:id="rId611" xr:uid="{00000000-0004-0000-0000-000062020000}"/>
    <hyperlink ref="A663" r:id="rId612" xr:uid="{00000000-0004-0000-0000-000063020000}"/>
    <hyperlink ref="A664" r:id="rId613" xr:uid="{00000000-0004-0000-0000-000064020000}"/>
    <hyperlink ref="A665" r:id="rId614" xr:uid="{00000000-0004-0000-0000-000065020000}"/>
    <hyperlink ref="A666" r:id="rId615" xr:uid="{00000000-0004-0000-0000-000066020000}"/>
    <hyperlink ref="A667" r:id="rId616" xr:uid="{00000000-0004-0000-0000-000067020000}"/>
    <hyperlink ref="A668" r:id="rId617" xr:uid="{00000000-0004-0000-0000-000068020000}"/>
    <hyperlink ref="A669" r:id="rId618" xr:uid="{00000000-0004-0000-0000-000069020000}"/>
    <hyperlink ref="A670" r:id="rId619" xr:uid="{00000000-0004-0000-0000-00006A020000}"/>
    <hyperlink ref="A671" r:id="rId620" xr:uid="{00000000-0004-0000-0000-00006B020000}"/>
    <hyperlink ref="A672" r:id="rId621" xr:uid="{00000000-0004-0000-0000-00006C020000}"/>
    <hyperlink ref="A673" r:id="rId622" xr:uid="{00000000-0004-0000-0000-00006D020000}"/>
    <hyperlink ref="A674" r:id="rId623" xr:uid="{00000000-0004-0000-0000-00006E020000}"/>
    <hyperlink ref="A675" r:id="rId624" xr:uid="{00000000-0004-0000-0000-00006F020000}"/>
    <hyperlink ref="A676" r:id="rId625" xr:uid="{00000000-0004-0000-0000-000070020000}"/>
    <hyperlink ref="A677" r:id="rId626" xr:uid="{00000000-0004-0000-0000-000071020000}"/>
    <hyperlink ref="A678" r:id="rId627" xr:uid="{00000000-0004-0000-0000-000072020000}"/>
    <hyperlink ref="A679" r:id="rId628" xr:uid="{00000000-0004-0000-0000-000073020000}"/>
    <hyperlink ref="A680" r:id="rId629" xr:uid="{00000000-0004-0000-0000-000074020000}"/>
    <hyperlink ref="A681" r:id="rId630" xr:uid="{00000000-0004-0000-0000-000075020000}"/>
    <hyperlink ref="A682" r:id="rId631" xr:uid="{00000000-0004-0000-0000-000076020000}"/>
    <hyperlink ref="A683" r:id="rId632" xr:uid="{00000000-0004-0000-0000-000077020000}"/>
    <hyperlink ref="A684" r:id="rId633" xr:uid="{00000000-0004-0000-0000-000078020000}"/>
    <hyperlink ref="A685" r:id="rId634" xr:uid="{00000000-0004-0000-0000-000079020000}"/>
    <hyperlink ref="A686" r:id="rId635" xr:uid="{00000000-0004-0000-0000-00007A020000}"/>
    <hyperlink ref="A687" r:id="rId636" xr:uid="{00000000-0004-0000-0000-00007B020000}"/>
    <hyperlink ref="A688" r:id="rId637" xr:uid="{00000000-0004-0000-0000-00007C020000}"/>
    <hyperlink ref="A689" r:id="rId638" xr:uid="{00000000-0004-0000-0000-00007D020000}"/>
    <hyperlink ref="A690" r:id="rId639" xr:uid="{00000000-0004-0000-0000-00007E020000}"/>
    <hyperlink ref="A691" r:id="rId640" xr:uid="{00000000-0004-0000-0000-00007F020000}"/>
    <hyperlink ref="A692" r:id="rId641" xr:uid="{00000000-0004-0000-0000-000080020000}"/>
    <hyperlink ref="A693" r:id="rId642" xr:uid="{00000000-0004-0000-0000-000081020000}"/>
    <hyperlink ref="A694" r:id="rId643" xr:uid="{00000000-0004-0000-0000-000082020000}"/>
    <hyperlink ref="A695" r:id="rId644" xr:uid="{00000000-0004-0000-0000-000083020000}"/>
    <hyperlink ref="A696" r:id="rId645" xr:uid="{00000000-0004-0000-0000-000084020000}"/>
    <hyperlink ref="A697" r:id="rId646" xr:uid="{00000000-0004-0000-0000-000085020000}"/>
    <hyperlink ref="A698" r:id="rId647" xr:uid="{00000000-0004-0000-0000-000086020000}"/>
    <hyperlink ref="A699" r:id="rId648" xr:uid="{00000000-0004-0000-0000-000087020000}"/>
    <hyperlink ref="A700" r:id="rId649" xr:uid="{00000000-0004-0000-0000-000088020000}"/>
    <hyperlink ref="A701" r:id="rId650" xr:uid="{00000000-0004-0000-0000-000089020000}"/>
    <hyperlink ref="A702" r:id="rId651" xr:uid="{00000000-0004-0000-0000-00008A020000}"/>
    <hyperlink ref="A703" r:id="rId652" xr:uid="{00000000-0004-0000-0000-00008B020000}"/>
    <hyperlink ref="A704" r:id="rId653" xr:uid="{00000000-0004-0000-0000-00008C020000}"/>
    <hyperlink ref="A705" r:id="rId654" xr:uid="{00000000-0004-0000-0000-00008D020000}"/>
    <hyperlink ref="A706" r:id="rId655" xr:uid="{00000000-0004-0000-0000-00008E020000}"/>
    <hyperlink ref="A707" r:id="rId656" xr:uid="{00000000-0004-0000-0000-00008F020000}"/>
    <hyperlink ref="A708" r:id="rId657" xr:uid="{00000000-0004-0000-0000-000090020000}"/>
    <hyperlink ref="A709" r:id="rId658" xr:uid="{00000000-0004-0000-0000-000091020000}"/>
    <hyperlink ref="A710" r:id="rId659" xr:uid="{00000000-0004-0000-0000-000092020000}"/>
    <hyperlink ref="A711" r:id="rId660" xr:uid="{00000000-0004-0000-0000-000093020000}"/>
    <hyperlink ref="A712" r:id="rId661" xr:uid="{00000000-0004-0000-0000-000094020000}"/>
    <hyperlink ref="A713" r:id="rId662" xr:uid="{00000000-0004-0000-0000-000095020000}"/>
    <hyperlink ref="A714" r:id="rId663" xr:uid="{00000000-0004-0000-0000-000096020000}"/>
    <hyperlink ref="A715" r:id="rId664" xr:uid="{00000000-0004-0000-0000-000097020000}"/>
    <hyperlink ref="A716" r:id="rId665" xr:uid="{00000000-0004-0000-0000-000098020000}"/>
    <hyperlink ref="A717" r:id="rId666" xr:uid="{00000000-0004-0000-0000-000099020000}"/>
    <hyperlink ref="A718" r:id="rId667" xr:uid="{00000000-0004-0000-0000-00009A020000}"/>
    <hyperlink ref="A719" r:id="rId668" xr:uid="{00000000-0004-0000-0000-00009B020000}"/>
    <hyperlink ref="A720" r:id="rId669" xr:uid="{00000000-0004-0000-0000-00009C020000}"/>
    <hyperlink ref="A721" r:id="rId670" xr:uid="{00000000-0004-0000-0000-00009D020000}"/>
    <hyperlink ref="A722" r:id="rId671" xr:uid="{00000000-0004-0000-0000-00009E020000}"/>
    <hyperlink ref="A724" r:id="rId672" xr:uid="{00000000-0004-0000-0000-00009F020000}"/>
    <hyperlink ref="A725" r:id="rId673" xr:uid="{00000000-0004-0000-0000-0000A0020000}"/>
    <hyperlink ref="A726" r:id="rId674" xr:uid="{00000000-0004-0000-0000-0000A1020000}"/>
    <hyperlink ref="A728" r:id="rId675" xr:uid="{00000000-0004-0000-0000-0000A2020000}"/>
    <hyperlink ref="A729" r:id="rId676" xr:uid="{00000000-0004-0000-0000-0000A3020000}"/>
    <hyperlink ref="A730" r:id="rId677" xr:uid="{00000000-0004-0000-0000-0000A4020000}"/>
    <hyperlink ref="A732" r:id="rId678" xr:uid="{00000000-0004-0000-0000-0000A5020000}"/>
    <hyperlink ref="A733" r:id="rId679" xr:uid="{00000000-0004-0000-0000-0000A6020000}"/>
    <hyperlink ref="A734" r:id="rId680" xr:uid="{00000000-0004-0000-0000-0000A7020000}"/>
    <hyperlink ref="A735" r:id="rId681" xr:uid="{00000000-0004-0000-0000-0000A8020000}"/>
    <hyperlink ref="A736" r:id="rId682" xr:uid="{00000000-0004-0000-0000-0000A9020000}"/>
    <hyperlink ref="A737" r:id="rId683" xr:uid="{00000000-0004-0000-0000-0000AA020000}"/>
    <hyperlink ref="A738" r:id="rId684" xr:uid="{00000000-0004-0000-0000-0000AB020000}"/>
    <hyperlink ref="A739" r:id="rId685" xr:uid="{00000000-0004-0000-0000-0000AC020000}"/>
    <hyperlink ref="A740" r:id="rId686" xr:uid="{00000000-0004-0000-0000-0000AD020000}"/>
    <hyperlink ref="A741" r:id="rId687" xr:uid="{00000000-0004-0000-0000-0000AE020000}"/>
    <hyperlink ref="A742" r:id="rId688" xr:uid="{00000000-0004-0000-0000-0000AF020000}"/>
    <hyperlink ref="A743" r:id="rId689" xr:uid="{00000000-0004-0000-0000-0000B0020000}"/>
    <hyperlink ref="A744" r:id="rId690" xr:uid="{00000000-0004-0000-0000-0000B1020000}"/>
    <hyperlink ref="A745" r:id="rId691" xr:uid="{00000000-0004-0000-0000-0000B2020000}"/>
    <hyperlink ref="A746" r:id="rId692" xr:uid="{00000000-0004-0000-0000-0000B3020000}"/>
    <hyperlink ref="A747" r:id="rId693" xr:uid="{00000000-0004-0000-0000-0000B4020000}"/>
    <hyperlink ref="A748" r:id="rId694" xr:uid="{00000000-0004-0000-0000-0000B5020000}"/>
    <hyperlink ref="A749" r:id="rId695" xr:uid="{00000000-0004-0000-0000-0000B6020000}"/>
    <hyperlink ref="A750" r:id="rId696" xr:uid="{00000000-0004-0000-0000-0000B7020000}"/>
    <hyperlink ref="A751" r:id="rId697" xr:uid="{00000000-0004-0000-0000-0000B8020000}"/>
    <hyperlink ref="A752" r:id="rId698" xr:uid="{00000000-0004-0000-0000-0000B9020000}"/>
    <hyperlink ref="A753" r:id="rId699" xr:uid="{00000000-0004-0000-0000-0000BA020000}"/>
    <hyperlink ref="A754" r:id="rId700" xr:uid="{00000000-0004-0000-0000-0000BB020000}"/>
    <hyperlink ref="A755" r:id="rId701" xr:uid="{00000000-0004-0000-0000-0000BC020000}"/>
    <hyperlink ref="A756" r:id="rId702" xr:uid="{00000000-0004-0000-0000-0000BD020000}"/>
    <hyperlink ref="A757" r:id="rId703" xr:uid="{00000000-0004-0000-0000-0000BE020000}"/>
    <hyperlink ref="A758" r:id="rId704" xr:uid="{00000000-0004-0000-0000-0000BF020000}"/>
    <hyperlink ref="A759" r:id="rId705" xr:uid="{00000000-0004-0000-0000-0000C0020000}"/>
    <hyperlink ref="A760" r:id="rId706" xr:uid="{00000000-0004-0000-0000-0000C1020000}"/>
    <hyperlink ref="A761" r:id="rId707" xr:uid="{00000000-0004-0000-0000-0000C2020000}"/>
    <hyperlink ref="A762" r:id="rId708" xr:uid="{00000000-0004-0000-0000-0000C3020000}"/>
    <hyperlink ref="A763" r:id="rId709" xr:uid="{00000000-0004-0000-0000-0000C4020000}"/>
    <hyperlink ref="A764" r:id="rId710" xr:uid="{00000000-0004-0000-0000-0000C5020000}"/>
    <hyperlink ref="A765" r:id="rId711" xr:uid="{00000000-0004-0000-0000-0000C6020000}"/>
    <hyperlink ref="A766" r:id="rId712" xr:uid="{00000000-0004-0000-0000-0000C7020000}"/>
    <hyperlink ref="A767" r:id="rId713" xr:uid="{00000000-0004-0000-0000-0000C8020000}"/>
    <hyperlink ref="A768" r:id="rId714" xr:uid="{00000000-0004-0000-0000-0000C9020000}"/>
    <hyperlink ref="A769" r:id="rId715" xr:uid="{00000000-0004-0000-0000-0000CA020000}"/>
    <hyperlink ref="A770" r:id="rId716" xr:uid="{00000000-0004-0000-0000-0000CB020000}"/>
    <hyperlink ref="A771" r:id="rId717" xr:uid="{00000000-0004-0000-0000-0000CC020000}"/>
    <hyperlink ref="A772" r:id="rId718" xr:uid="{00000000-0004-0000-0000-0000CD020000}"/>
    <hyperlink ref="A773" r:id="rId719" xr:uid="{00000000-0004-0000-0000-0000CE020000}"/>
    <hyperlink ref="A774" r:id="rId720" xr:uid="{00000000-0004-0000-0000-0000CF020000}"/>
    <hyperlink ref="A775" r:id="rId721" xr:uid="{00000000-0004-0000-0000-0000D0020000}"/>
    <hyperlink ref="A776" r:id="rId722" xr:uid="{00000000-0004-0000-0000-0000D1020000}"/>
    <hyperlink ref="A778" r:id="rId723" xr:uid="{00000000-0004-0000-0000-0000D2020000}"/>
    <hyperlink ref="A779" r:id="rId724" xr:uid="{00000000-0004-0000-0000-0000D3020000}"/>
    <hyperlink ref="A780" r:id="rId725" xr:uid="{00000000-0004-0000-0000-0000D4020000}"/>
    <hyperlink ref="A782" r:id="rId726" xr:uid="{00000000-0004-0000-0000-0000D5020000}"/>
    <hyperlink ref="A783" r:id="rId727" xr:uid="{00000000-0004-0000-0000-0000D6020000}"/>
    <hyperlink ref="A784" r:id="rId728" xr:uid="{00000000-0004-0000-0000-0000D7020000}"/>
    <hyperlink ref="A785" r:id="rId729" xr:uid="{00000000-0004-0000-0000-0000D8020000}"/>
    <hyperlink ref="A786" r:id="rId730" xr:uid="{00000000-0004-0000-0000-0000D9020000}"/>
    <hyperlink ref="A787" r:id="rId731" xr:uid="{00000000-0004-0000-0000-0000DA020000}"/>
    <hyperlink ref="A789" r:id="rId732" xr:uid="{00000000-0004-0000-0000-0000DB020000}"/>
    <hyperlink ref="A790" r:id="rId733" xr:uid="{00000000-0004-0000-0000-0000DC020000}"/>
    <hyperlink ref="A791" r:id="rId734" xr:uid="{00000000-0004-0000-0000-0000DD020000}"/>
    <hyperlink ref="A792" r:id="rId735" xr:uid="{00000000-0004-0000-0000-0000DE020000}"/>
    <hyperlink ref="A793" r:id="rId736" xr:uid="{00000000-0004-0000-0000-0000DF020000}"/>
    <hyperlink ref="A794" r:id="rId737" xr:uid="{00000000-0004-0000-0000-0000E0020000}"/>
    <hyperlink ref="A795" r:id="rId738" xr:uid="{00000000-0004-0000-0000-0000E1020000}"/>
    <hyperlink ref="A796" r:id="rId739" xr:uid="{00000000-0004-0000-0000-0000E2020000}"/>
    <hyperlink ref="A797" r:id="rId740" xr:uid="{00000000-0004-0000-0000-0000E3020000}"/>
    <hyperlink ref="A798" r:id="rId741" xr:uid="{00000000-0004-0000-0000-0000E4020000}"/>
    <hyperlink ref="A799" r:id="rId742" xr:uid="{00000000-0004-0000-0000-0000E5020000}"/>
    <hyperlink ref="A800" r:id="rId743" xr:uid="{00000000-0004-0000-0000-0000E6020000}"/>
    <hyperlink ref="A801" r:id="rId744" xr:uid="{00000000-0004-0000-0000-0000E7020000}"/>
    <hyperlink ref="A802" r:id="rId745" xr:uid="{00000000-0004-0000-0000-0000E8020000}"/>
    <hyperlink ref="A803" r:id="rId746" xr:uid="{00000000-0004-0000-0000-0000E9020000}"/>
    <hyperlink ref="A805" r:id="rId747" xr:uid="{00000000-0004-0000-0000-0000EA020000}"/>
    <hyperlink ref="A806" r:id="rId748" xr:uid="{00000000-0004-0000-0000-0000EB020000}"/>
    <hyperlink ref="A807" r:id="rId749" xr:uid="{00000000-0004-0000-0000-0000EC020000}"/>
    <hyperlink ref="A808" r:id="rId750" xr:uid="{00000000-0004-0000-0000-0000ED020000}"/>
    <hyperlink ref="A809" r:id="rId751" xr:uid="{00000000-0004-0000-0000-0000EE020000}"/>
    <hyperlink ref="A810" r:id="rId752" xr:uid="{00000000-0004-0000-0000-0000EF020000}"/>
    <hyperlink ref="A811" r:id="rId753" xr:uid="{00000000-0004-0000-0000-0000F0020000}"/>
    <hyperlink ref="A812" r:id="rId754" xr:uid="{00000000-0004-0000-0000-0000F1020000}"/>
    <hyperlink ref="A813" r:id="rId755" xr:uid="{00000000-0004-0000-0000-0000F2020000}"/>
    <hyperlink ref="A814" r:id="rId756" xr:uid="{00000000-0004-0000-0000-0000F3020000}"/>
    <hyperlink ref="A815" r:id="rId757" xr:uid="{00000000-0004-0000-0000-0000F4020000}"/>
    <hyperlink ref="A816" r:id="rId758" xr:uid="{00000000-0004-0000-0000-0000F5020000}"/>
    <hyperlink ref="A818" r:id="rId759" xr:uid="{00000000-0004-0000-0000-0000F6020000}"/>
    <hyperlink ref="A819" r:id="rId760" xr:uid="{00000000-0004-0000-0000-0000F7020000}"/>
    <hyperlink ref="A820" r:id="rId761" xr:uid="{00000000-0004-0000-0000-0000F8020000}"/>
    <hyperlink ref="A821" r:id="rId762" xr:uid="{00000000-0004-0000-0000-0000F9020000}"/>
    <hyperlink ref="A822" r:id="rId763" xr:uid="{00000000-0004-0000-0000-0000FA020000}"/>
    <hyperlink ref="A823" r:id="rId764" xr:uid="{00000000-0004-0000-0000-0000FB020000}"/>
    <hyperlink ref="A824" r:id="rId765" xr:uid="{00000000-0004-0000-0000-0000FC020000}"/>
    <hyperlink ref="A825" r:id="rId766" xr:uid="{00000000-0004-0000-0000-0000FD020000}"/>
    <hyperlink ref="A826" r:id="rId767" xr:uid="{00000000-0004-0000-0000-0000FE020000}"/>
    <hyperlink ref="A827" r:id="rId768" xr:uid="{00000000-0004-0000-0000-0000FF020000}"/>
    <hyperlink ref="A828" r:id="rId769" xr:uid="{00000000-0004-0000-0000-000000030000}"/>
    <hyperlink ref="A829" r:id="rId770" xr:uid="{00000000-0004-0000-0000-000001030000}"/>
    <hyperlink ref="A835" r:id="rId771" xr:uid="{00000000-0004-0000-0000-000002030000}"/>
    <hyperlink ref="A836" r:id="rId772" xr:uid="{00000000-0004-0000-0000-000003030000}"/>
    <hyperlink ref="A837" r:id="rId773" xr:uid="{00000000-0004-0000-0000-000004030000}"/>
    <hyperlink ref="A839" r:id="rId774" xr:uid="{00000000-0004-0000-0000-000005030000}"/>
    <hyperlink ref="A840" r:id="rId775" xr:uid="{00000000-0004-0000-0000-000006030000}"/>
    <hyperlink ref="A841" r:id="rId776" xr:uid="{00000000-0004-0000-0000-000007030000}"/>
    <hyperlink ref="A843" r:id="rId777" xr:uid="{00000000-0004-0000-0000-000008030000}"/>
    <hyperlink ref="A844" r:id="rId778" xr:uid="{00000000-0004-0000-0000-000009030000}"/>
    <hyperlink ref="A845" r:id="rId779" xr:uid="{00000000-0004-0000-0000-00000A030000}"/>
    <hyperlink ref="A846" r:id="rId780" xr:uid="{00000000-0004-0000-0000-00000B030000}"/>
    <hyperlink ref="A847" r:id="rId781" xr:uid="{00000000-0004-0000-0000-00000C030000}"/>
    <hyperlink ref="A848" r:id="rId782" xr:uid="{00000000-0004-0000-0000-00000D030000}"/>
    <hyperlink ref="A850" r:id="rId783" xr:uid="{00000000-0004-0000-0000-00000E030000}"/>
    <hyperlink ref="A851" r:id="rId784" xr:uid="{00000000-0004-0000-0000-00000F030000}"/>
    <hyperlink ref="A852" r:id="rId785" xr:uid="{00000000-0004-0000-0000-000010030000}"/>
    <hyperlink ref="A854" r:id="rId786" xr:uid="{00000000-0004-0000-0000-000011030000}"/>
    <hyperlink ref="A855" r:id="rId787" xr:uid="{00000000-0004-0000-0000-000012030000}"/>
    <hyperlink ref="A856" r:id="rId788" xr:uid="{00000000-0004-0000-0000-000013030000}"/>
    <hyperlink ref="A857" r:id="rId789" xr:uid="{00000000-0004-0000-0000-000014030000}"/>
    <hyperlink ref="A858" r:id="rId790" xr:uid="{00000000-0004-0000-0000-000015030000}"/>
    <hyperlink ref="A859" r:id="rId791" xr:uid="{00000000-0004-0000-0000-000016030000}"/>
    <hyperlink ref="A861" r:id="rId792" xr:uid="{00000000-0004-0000-0000-000017030000}"/>
    <hyperlink ref="A862" r:id="rId793" xr:uid="{00000000-0004-0000-0000-000018030000}"/>
    <hyperlink ref="A863" r:id="rId794" xr:uid="{00000000-0004-0000-0000-000019030000}"/>
    <hyperlink ref="A864" r:id="rId795" xr:uid="{00000000-0004-0000-0000-00001A030000}"/>
    <hyperlink ref="A865" r:id="rId796" xr:uid="{00000000-0004-0000-0000-00001B030000}"/>
    <hyperlink ref="A866" r:id="rId797" xr:uid="{00000000-0004-0000-0000-00001C030000}"/>
    <hyperlink ref="A867" r:id="rId798" xr:uid="{00000000-0004-0000-0000-00001D030000}"/>
    <hyperlink ref="A868" r:id="rId799" xr:uid="{00000000-0004-0000-0000-00001E030000}"/>
    <hyperlink ref="A869" r:id="rId800" xr:uid="{00000000-0004-0000-0000-00001F030000}"/>
    <hyperlink ref="A871" r:id="rId801" xr:uid="{00000000-0004-0000-0000-000020030000}"/>
    <hyperlink ref="A872" r:id="rId802" xr:uid="{00000000-0004-0000-0000-000021030000}"/>
    <hyperlink ref="A873" r:id="rId803" xr:uid="{00000000-0004-0000-0000-000022030000}"/>
    <hyperlink ref="A876" r:id="rId804" xr:uid="{00000000-0004-0000-0000-000023030000}"/>
    <hyperlink ref="A877" r:id="rId805" xr:uid="{00000000-0004-0000-0000-000024030000}"/>
    <hyperlink ref="A878" r:id="rId806" xr:uid="{00000000-0004-0000-0000-000025030000}"/>
    <hyperlink ref="A879" r:id="rId807" xr:uid="{00000000-0004-0000-0000-000026030000}"/>
    <hyperlink ref="A880" r:id="rId808" xr:uid="{00000000-0004-0000-0000-000027030000}"/>
    <hyperlink ref="A881" r:id="rId809" xr:uid="{00000000-0004-0000-0000-000028030000}"/>
    <hyperlink ref="A883" r:id="rId810" xr:uid="{00000000-0004-0000-0000-000029030000}"/>
    <hyperlink ref="A884" r:id="rId811" xr:uid="{00000000-0004-0000-0000-00002A030000}"/>
    <hyperlink ref="A885" r:id="rId812" xr:uid="{00000000-0004-0000-0000-00002B030000}"/>
    <hyperlink ref="A886" r:id="rId813" xr:uid="{00000000-0004-0000-0000-00002C030000}"/>
    <hyperlink ref="A887" r:id="rId814" xr:uid="{00000000-0004-0000-0000-00002D030000}"/>
    <hyperlink ref="A888" r:id="rId815" xr:uid="{00000000-0004-0000-0000-00002E030000}"/>
    <hyperlink ref="A889" r:id="rId816" xr:uid="{00000000-0004-0000-0000-00002F030000}"/>
    <hyperlink ref="A890" r:id="rId817" xr:uid="{00000000-0004-0000-0000-000030030000}"/>
    <hyperlink ref="A891" r:id="rId818" xr:uid="{00000000-0004-0000-0000-000031030000}"/>
    <hyperlink ref="A892" r:id="rId819" xr:uid="{00000000-0004-0000-0000-000032030000}"/>
    <hyperlink ref="A893" r:id="rId820" xr:uid="{00000000-0004-0000-0000-000033030000}"/>
    <hyperlink ref="A894" r:id="rId821" xr:uid="{00000000-0004-0000-0000-000034030000}"/>
    <hyperlink ref="A896" r:id="rId822" xr:uid="{00000000-0004-0000-0000-000035030000}"/>
    <hyperlink ref="A897" r:id="rId823" xr:uid="{00000000-0004-0000-0000-000036030000}"/>
    <hyperlink ref="A898" r:id="rId824" xr:uid="{00000000-0004-0000-0000-000037030000}"/>
    <hyperlink ref="A899" r:id="rId825" xr:uid="{00000000-0004-0000-0000-000038030000}"/>
    <hyperlink ref="A900" r:id="rId826" xr:uid="{00000000-0004-0000-0000-000039030000}"/>
    <hyperlink ref="A901" r:id="rId827" xr:uid="{00000000-0004-0000-0000-00003A030000}"/>
    <hyperlink ref="A902" r:id="rId828" xr:uid="{00000000-0004-0000-0000-00003B030000}"/>
    <hyperlink ref="A903" r:id="rId829" xr:uid="{00000000-0004-0000-0000-00003C030000}"/>
    <hyperlink ref="A904" r:id="rId830" xr:uid="{00000000-0004-0000-0000-00003D030000}"/>
    <hyperlink ref="A906" r:id="rId831" xr:uid="{00000000-0004-0000-0000-00003E030000}"/>
    <hyperlink ref="A907" r:id="rId832" xr:uid="{00000000-0004-0000-0000-00003F030000}"/>
    <hyperlink ref="A908" r:id="rId833" xr:uid="{00000000-0004-0000-0000-000040030000}"/>
    <hyperlink ref="A909" r:id="rId834" xr:uid="{00000000-0004-0000-0000-000041030000}"/>
    <hyperlink ref="A910" r:id="rId835" xr:uid="{00000000-0004-0000-0000-000042030000}"/>
    <hyperlink ref="A911" r:id="rId836" xr:uid="{00000000-0004-0000-0000-000043030000}"/>
    <hyperlink ref="A913" r:id="rId837" xr:uid="{00000000-0004-0000-0000-000044030000}"/>
    <hyperlink ref="A914" r:id="rId838" xr:uid="{00000000-0004-0000-0000-000045030000}"/>
    <hyperlink ref="A915" r:id="rId839" xr:uid="{00000000-0004-0000-0000-000046030000}"/>
    <hyperlink ref="A917" r:id="rId840" xr:uid="{00000000-0004-0000-0000-000047030000}"/>
    <hyperlink ref="A918" r:id="rId841" xr:uid="{00000000-0004-0000-0000-000048030000}"/>
    <hyperlink ref="A919" r:id="rId842" xr:uid="{00000000-0004-0000-0000-000049030000}"/>
    <hyperlink ref="A920" r:id="rId843" xr:uid="{00000000-0004-0000-0000-00004A030000}"/>
    <hyperlink ref="A921" r:id="rId844" xr:uid="{00000000-0004-0000-0000-00004B030000}"/>
    <hyperlink ref="A922" r:id="rId845" xr:uid="{00000000-0004-0000-0000-00004C030000}"/>
    <hyperlink ref="A923" r:id="rId846" xr:uid="{00000000-0004-0000-0000-00004D030000}"/>
    <hyperlink ref="A924" r:id="rId847" xr:uid="{00000000-0004-0000-0000-00004E030000}"/>
    <hyperlink ref="A925" r:id="rId848" xr:uid="{00000000-0004-0000-0000-00004F030000}"/>
    <hyperlink ref="A926" r:id="rId849" xr:uid="{00000000-0004-0000-0000-000050030000}"/>
    <hyperlink ref="A927" r:id="rId850" xr:uid="{00000000-0004-0000-0000-000051030000}"/>
    <hyperlink ref="A928" r:id="rId851" xr:uid="{00000000-0004-0000-0000-000052030000}"/>
    <hyperlink ref="A929" r:id="rId852" xr:uid="{00000000-0004-0000-0000-000053030000}"/>
    <hyperlink ref="A930" r:id="rId853" xr:uid="{00000000-0004-0000-0000-000054030000}"/>
    <hyperlink ref="A931" r:id="rId854" xr:uid="{00000000-0004-0000-0000-000055030000}"/>
    <hyperlink ref="A932" r:id="rId855" xr:uid="{00000000-0004-0000-0000-000056030000}"/>
    <hyperlink ref="A933" r:id="rId856" xr:uid="{00000000-0004-0000-0000-000057030000}"/>
    <hyperlink ref="A934" r:id="rId857" xr:uid="{00000000-0004-0000-0000-000058030000}"/>
    <hyperlink ref="A941" r:id="rId858" xr:uid="{00000000-0004-0000-0000-000059030000}"/>
    <hyperlink ref="A942" r:id="rId859" xr:uid="{00000000-0004-0000-0000-00005A030000}"/>
    <hyperlink ref="A943" r:id="rId860" xr:uid="{00000000-0004-0000-0000-00005B030000}"/>
    <hyperlink ref="A944" r:id="rId861" xr:uid="{00000000-0004-0000-0000-00005C030000}"/>
    <hyperlink ref="A945" r:id="rId862" xr:uid="{00000000-0004-0000-0000-00005D030000}"/>
    <hyperlink ref="A946" r:id="rId863" xr:uid="{00000000-0004-0000-0000-00005E030000}"/>
    <hyperlink ref="A947" r:id="rId864" xr:uid="{00000000-0004-0000-0000-00005F030000}"/>
    <hyperlink ref="A948" r:id="rId865" xr:uid="{00000000-0004-0000-0000-000060030000}"/>
    <hyperlink ref="A949" r:id="rId866" xr:uid="{00000000-0004-0000-0000-000061030000}"/>
    <hyperlink ref="A950" r:id="rId867" xr:uid="{00000000-0004-0000-0000-000062030000}"/>
    <hyperlink ref="A951" r:id="rId868" xr:uid="{00000000-0004-0000-0000-000063030000}"/>
    <hyperlink ref="A952" r:id="rId869" xr:uid="{00000000-0004-0000-0000-000064030000}"/>
    <hyperlink ref="A953" r:id="rId870" xr:uid="{00000000-0004-0000-0000-000065030000}"/>
    <hyperlink ref="A954" r:id="rId871" xr:uid="{00000000-0004-0000-0000-000066030000}"/>
    <hyperlink ref="A955" r:id="rId872" xr:uid="{00000000-0004-0000-0000-000067030000}"/>
    <hyperlink ref="A956" r:id="rId873" xr:uid="{00000000-0004-0000-0000-000068030000}"/>
    <hyperlink ref="A957" r:id="rId874" xr:uid="{00000000-0004-0000-0000-000069030000}"/>
    <hyperlink ref="A958" r:id="rId875" xr:uid="{00000000-0004-0000-0000-00006A030000}"/>
    <hyperlink ref="A959" r:id="rId876" xr:uid="{00000000-0004-0000-0000-00006B030000}"/>
    <hyperlink ref="A960" r:id="rId877" xr:uid="{00000000-0004-0000-0000-00006C030000}"/>
    <hyperlink ref="A961" r:id="rId878" xr:uid="{00000000-0004-0000-0000-00006D030000}"/>
    <hyperlink ref="A962" r:id="rId879" xr:uid="{00000000-0004-0000-0000-00006E030000}"/>
    <hyperlink ref="A963" r:id="rId880" xr:uid="{00000000-0004-0000-0000-00006F030000}"/>
    <hyperlink ref="A964" r:id="rId881" xr:uid="{00000000-0004-0000-0000-000070030000}"/>
    <hyperlink ref="A965" r:id="rId882" xr:uid="{00000000-0004-0000-0000-000071030000}"/>
    <hyperlink ref="A966" r:id="rId883" xr:uid="{00000000-0004-0000-0000-000072030000}"/>
    <hyperlink ref="A967" r:id="rId884" xr:uid="{00000000-0004-0000-0000-000073030000}"/>
    <hyperlink ref="A968" r:id="rId885" xr:uid="{00000000-0004-0000-0000-000074030000}"/>
    <hyperlink ref="A969" r:id="rId886" xr:uid="{00000000-0004-0000-0000-000075030000}"/>
    <hyperlink ref="A970" r:id="rId887" xr:uid="{00000000-0004-0000-0000-000076030000}"/>
    <hyperlink ref="A971" r:id="rId888" xr:uid="{00000000-0004-0000-0000-000077030000}"/>
    <hyperlink ref="A972" r:id="rId889" xr:uid="{00000000-0004-0000-0000-000078030000}"/>
    <hyperlink ref="A973" r:id="rId890" xr:uid="{00000000-0004-0000-0000-000079030000}"/>
    <hyperlink ref="A974" r:id="rId891" xr:uid="{00000000-0004-0000-0000-00007A030000}"/>
    <hyperlink ref="A975" r:id="rId892" xr:uid="{00000000-0004-0000-0000-00007B030000}"/>
    <hyperlink ref="A976" r:id="rId893" xr:uid="{00000000-0004-0000-0000-00007C030000}"/>
    <hyperlink ref="A978" r:id="rId894" xr:uid="{00000000-0004-0000-0000-00007D030000}"/>
    <hyperlink ref="A979" r:id="rId895" xr:uid="{00000000-0004-0000-0000-00007E030000}"/>
    <hyperlink ref="A980" r:id="rId896" xr:uid="{00000000-0004-0000-0000-00007F030000}"/>
    <hyperlink ref="A981" r:id="rId897" xr:uid="{00000000-0004-0000-0000-000080030000}"/>
    <hyperlink ref="A982" r:id="rId898" xr:uid="{00000000-0004-0000-0000-000081030000}"/>
    <hyperlink ref="A983" r:id="rId899" xr:uid="{00000000-0004-0000-0000-000082030000}"/>
    <hyperlink ref="A984" r:id="rId900" xr:uid="{00000000-0004-0000-0000-000083030000}"/>
    <hyperlink ref="A985" r:id="rId901" xr:uid="{00000000-0004-0000-0000-000084030000}"/>
    <hyperlink ref="A986" r:id="rId902" xr:uid="{00000000-0004-0000-0000-000085030000}"/>
    <hyperlink ref="A987" r:id="rId903" xr:uid="{00000000-0004-0000-0000-000086030000}"/>
    <hyperlink ref="A988" r:id="rId904" xr:uid="{00000000-0004-0000-0000-000087030000}"/>
    <hyperlink ref="A989" r:id="rId905" xr:uid="{00000000-0004-0000-0000-000088030000}"/>
    <hyperlink ref="A990" r:id="rId906" xr:uid="{00000000-0004-0000-0000-000089030000}"/>
    <hyperlink ref="A991" r:id="rId907" xr:uid="{00000000-0004-0000-0000-00008A030000}"/>
    <hyperlink ref="A992" r:id="rId908" xr:uid="{00000000-0004-0000-0000-00008B030000}"/>
    <hyperlink ref="A993" r:id="rId909" xr:uid="{00000000-0004-0000-0000-00008C030000}"/>
    <hyperlink ref="A994" r:id="rId910" xr:uid="{00000000-0004-0000-0000-00008D030000}"/>
    <hyperlink ref="A995" r:id="rId911" xr:uid="{00000000-0004-0000-0000-00008E030000}"/>
    <hyperlink ref="A996" r:id="rId912" xr:uid="{00000000-0004-0000-0000-00008F030000}"/>
    <hyperlink ref="A997" r:id="rId913" xr:uid="{00000000-0004-0000-0000-000090030000}"/>
    <hyperlink ref="A998" r:id="rId914" xr:uid="{00000000-0004-0000-0000-000091030000}"/>
    <hyperlink ref="A999" r:id="rId915" xr:uid="{00000000-0004-0000-0000-000092030000}"/>
    <hyperlink ref="A1000" r:id="rId916" xr:uid="{00000000-0004-0000-0000-000093030000}"/>
    <hyperlink ref="A1001" r:id="rId917" xr:uid="{00000000-0004-0000-0000-000094030000}"/>
    <hyperlink ref="A1002" r:id="rId918" xr:uid="{00000000-0004-0000-0000-000095030000}"/>
    <hyperlink ref="A1003" r:id="rId919" xr:uid="{00000000-0004-0000-0000-000096030000}"/>
    <hyperlink ref="A1004" r:id="rId920" xr:uid="{00000000-0004-0000-0000-000097030000}"/>
    <hyperlink ref="A1005" r:id="rId921" xr:uid="{00000000-0004-0000-0000-000098030000}"/>
    <hyperlink ref="A1006" r:id="rId922" xr:uid="{00000000-0004-0000-0000-000099030000}"/>
    <hyperlink ref="A1007" r:id="rId923" xr:uid="{00000000-0004-0000-0000-00009A030000}"/>
    <hyperlink ref="A1009" r:id="rId924" xr:uid="{00000000-0004-0000-0000-00009B030000}"/>
    <hyperlink ref="A1010" r:id="rId925" xr:uid="{00000000-0004-0000-0000-00009C030000}"/>
    <hyperlink ref="A1011" r:id="rId926" xr:uid="{00000000-0004-0000-0000-00009D030000}"/>
    <hyperlink ref="A1012" r:id="rId927" xr:uid="{00000000-0004-0000-0000-00009E030000}"/>
    <hyperlink ref="A1013" r:id="rId928" xr:uid="{00000000-0004-0000-0000-00009F030000}"/>
    <hyperlink ref="A1014" r:id="rId929" xr:uid="{00000000-0004-0000-0000-0000A0030000}"/>
    <hyperlink ref="A1015" r:id="rId930" xr:uid="{00000000-0004-0000-0000-0000A1030000}"/>
    <hyperlink ref="A1016" r:id="rId931" xr:uid="{00000000-0004-0000-0000-0000A2030000}"/>
    <hyperlink ref="A1017" r:id="rId932" xr:uid="{00000000-0004-0000-0000-0000A3030000}"/>
    <hyperlink ref="A1019" r:id="rId933" xr:uid="{00000000-0004-0000-0000-0000A4030000}"/>
    <hyperlink ref="A1020" r:id="rId934" xr:uid="{00000000-0004-0000-0000-0000A5030000}"/>
    <hyperlink ref="A1021" r:id="rId935" xr:uid="{00000000-0004-0000-0000-0000A6030000}"/>
    <hyperlink ref="A1022" r:id="rId936" xr:uid="{00000000-0004-0000-0000-0000A7030000}"/>
    <hyperlink ref="A1023" r:id="rId937" xr:uid="{00000000-0004-0000-0000-0000A8030000}"/>
    <hyperlink ref="A1024" r:id="rId938" xr:uid="{00000000-0004-0000-0000-0000A9030000}"/>
    <hyperlink ref="A1025" r:id="rId939" xr:uid="{00000000-0004-0000-0000-0000AA030000}"/>
    <hyperlink ref="A1026" r:id="rId940" xr:uid="{00000000-0004-0000-0000-0000AB030000}"/>
    <hyperlink ref="A1027" r:id="rId941" xr:uid="{00000000-0004-0000-0000-0000AC030000}"/>
    <hyperlink ref="A1029" r:id="rId942" xr:uid="{00000000-0004-0000-0000-0000AD030000}"/>
    <hyperlink ref="A1030" r:id="rId943" xr:uid="{00000000-0004-0000-0000-0000AE030000}"/>
    <hyperlink ref="A1031" r:id="rId944" xr:uid="{00000000-0004-0000-0000-0000AF030000}"/>
    <hyperlink ref="A1032" r:id="rId945" xr:uid="{00000000-0004-0000-0000-0000B0030000}"/>
    <hyperlink ref="A1033" r:id="rId946" xr:uid="{00000000-0004-0000-0000-0000B1030000}"/>
    <hyperlink ref="A1034" r:id="rId947" xr:uid="{00000000-0004-0000-0000-0000B2030000}"/>
    <hyperlink ref="A1035" r:id="rId948" xr:uid="{00000000-0004-0000-0000-0000B3030000}"/>
    <hyperlink ref="A1036" r:id="rId949" xr:uid="{00000000-0004-0000-0000-0000B4030000}"/>
    <hyperlink ref="A1037" r:id="rId950" xr:uid="{00000000-0004-0000-0000-0000B5030000}"/>
    <hyperlink ref="A1038" r:id="rId951" xr:uid="{00000000-0004-0000-0000-0000B6030000}"/>
    <hyperlink ref="A1039" r:id="rId952" xr:uid="{00000000-0004-0000-0000-0000B7030000}"/>
    <hyperlink ref="A1040" r:id="rId953" xr:uid="{00000000-0004-0000-0000-0000B8030000}"/>
    <hyperlink ref="A1041" r:id="rId954" xr:uid="{00000000-0004-0000-0000-0000B9030000}"/>
    <hyperlink ref="A1042" r:id="rId955" xr:uid="{00000000-0004-0000-0000-0000BA030000}"/>
    <hyperlink ref="A1043" r:id="rId956" xr:uid="{00000000-0004-0000-0000-0000BB030000}"/>
    <hyperlink ref="A1044" r:id="rId957" xr:uid="{00000000-0004-0000-0000-0000BC030000}"/>
    <hyperlink ref="A1045" r:id="rId958" xr:uid="{00000000-0004-0000-0000-0000BD030000}"/>
    <hyperlink ref="A1046" r:id="rId959" xr:uid="{00000000-0004-0000-0000-0000BE030000}"/>
    <hyperlink ref="A1047" r:id="rId960" xr:uid="{00000000-0004-0000-0000-0000BF030000}"/>
    <hyperlink ref="A1048" r:id="rId961" xr:uid="{00000000-0004-0000-0000-0000C0030000}"/>
    <hyperlink ref="A1049" r:id="rId962" xr:uid="{00000000-0004-0000-0000-0000C1030000}"/>
    <hyperlink ref="A1050" r:id="rId963" xr:uid="{00000000-0004-0000-0000-0000C2030000}"/>
    <hyperlink ref="A1051" r:id="rId964" xr:uid="{00000000-0004-0000-0000-0000C3030000}"/>
    <hyperlink ref="A1052" r:id="rId965" xr:uid="{00000000-0004-0000-0000-0000C4030000}"/>
    <hyperlink ref="A1053" r:id="rId966" xr:uid="{00000000-0004-0000-0000-0000C5030000}"/>
    <hyperlink ref="A1054" r:id="rId967" xr:uid="{00000000-0004-0000-0000-0000C6030000}"/>
    <hyperlink ref="A1055" r:id="rId968" xr:uid="{00000000-0004-0000-0000-0000C7030000}"/>
    <hyperlink ref="A1056" r:id="rId969" xr:uid="{00000000-0004-0000-0000-0000C8030000}"/>
    <hyperlink ref="A1057" r:id="rId970" xr:uid="{00000000-0004-0000-0000-0000C9030000}"/>
    <hyperlink ref="A1058" r:id="rId971" xr:uid="{00000000-0004-0000-0000-0000CA030000}"/>
    <hyperlink ref="A1093" r:id="rId972" xr:uid="{00000000-0004-0000-0000-0000CB030000}"/>
    <hyperlink ref="A1094" r:id="rId973" xr:uid="{00000000-0004-0000-0000-0000CC030000}"/>
    <hyperlink ref="A1095" r:id="rId974" xr:uid="{00000000-0004-0000-0000-0000CD030000}"/>
    <hyperlink ref="A1096" r:id="rId975" xr:uid="{00000000-0004-0000-0000-0000CE030000}"/>
    <hyperlink ref="A1097" r:id="rId976" xr:uid="{00000000-0004-0000-0000-0000CF030000}"/>
    <hyperlink ref="A1098" r:id="rId977" xr:uid="{00000000-0004-0000-0000-0000D0030000}"/>
    <hyperlink ref="A1128" r:id="rId978" xr:uid="{00000000-0004-0000-0000-0000D1030000}"/>
    <hyperlink ref="A1129" r:id="rId979" xr:uid="{00000000-0004-0000-0000-0000D2030000}"/>
    <hyperlink ref="A1130" r:id="rId980" xr:uid="{00000000-0004-0000-0000-0000D3030000}"/>
    <hyperlink ref="A1131" r:id="rId981" xr:uid="{00000000-0004-0000-0000-0000D4030000}"/>
    <hyperlink ref="A1132" r:id="rId982" xr:uid="{00000000-0004-0000-0000-0000D5030000}"/>
    <hyperlink ref="A1133" r:id="rId983" xr:uid="{00000000-0004-0000-0000-0000D6030000}"/>
    <hyperlink ref="A1134" r:id="rId984" xr:uid="{00000000-0004-0000-0000-0000D7030000}"/>
    <hyperlink ref="A1135" r:id="rId985" xr:uid="{00000000-0004-0000-0000-0000D8030000}"/>
    <hyperlink ref="A1136" r:id="rId986" xr:uid="{00000000-0004-0000-0000-0000D9030000}"/>
    <hyperlink ref="A1137" r:id="rId987" xr:uid="{00000000-0004-0000-0000-0000DA030000}"/>
    <hyperlink ref="A1138" r:id="rId988" xr:uid="{00000000-0004-0000-0000-0000DB030000}"/>
    <hyperlink ref="A1139" r:id="rId989" xr:uid="{00000000-0004-0000-0000-0000DC030000}"/>
    <hyperlink ref="A1140" r:id="rId990" xr:uid="{00000000-0004-0000-0000-0000DD030000}"/>
    <hyperlink ref="A1141" r:id="rId991" xr:uid="{00000000-0004-0000-0000-0000DE030000}"/>
    <hyperlink ref="A1142" r:id="rId992" xr:uid="{00000000-0004-0000-0000-0000DF030000}"/>
    <hyperlink ref="A1143" r:id="rId993" xr:uid="{00000000-0004-0000-0000-0000E0030000}"/>
    <hyperlink ref="A1144" r:id="rId994" xr:uid="{00000000-0004-0000-0000-0000E1030000}"/>
    <hyperlink ref="A1145" r:id="rId995" xr:uid="{00000000-0004-0000-0000-0000E2030000}"/>
    <hyperlink ref="A1149" r:id="rId996" xr:uid="{00000000-0004-0000-0000-0000E3030000}"/>
    <hyperlink ref="A1150" r:id="rId997" xr:uid="{00000000-0004-0000-0000-0000E4030000}"/>
    <hyperlink ref="A1151" r:id="rId998" xr:uid="{00000000-0004-0000-0000-0000E5030000}"/>
    <hyperlink ref="A1152" r:id="rId999" xr:uid="{00000000-0004-0000-0000-0000E6030000}"/>
    <hyperlink ref="A1153" r:id="rId1000" xr:uid="{00000000-0004-0000-0000-0000E7030000}"/>
    <hyperlink ref="A1154" r:id="rId1001" xr:uid="{00000000-0004-0000-0000-0000E8030000}"/>
    <hyperlink ref="A1156" r:id="rId1002" xr:uid="{00000000-0004-0000-0000-0000E9030000}"/>
    <hyperlink ref="A1157" r:id="rId1003" xr:uid="{00000000-0004-0000-0000-0000EA030000}"/>
    <hyperlink ref="A1158" r:id="rId1004" xr:uid="{00000000-0004-0000-0000-0000EB030000}"/>
    <hyperlink ref="A1159" r:id="rId1005" xr:uid="{00000000-0004-0000-0000-0000EC030000}"/>
    <hyperlink ref="A1160" r:id="rId1006" xr:uid="{00000000-0004-0000-0000-0000ED030000}"/>
    <hyperlink ref="A1161" r:id="rId1007" xr:uid="{00000000-0004-0000-0000-0000EE030000}"/>
    <hyperlink ref="A1162" r:id="rId1008" xr:uid="{00000000-0004-0000-0000-0000EF030000}"/>
    <hyperlink ref="A1163" r:id="rId1009" xr:uid="{00000000-0004-0000-0000-0000F0030000}"/>
    <hyperlink ref="A1164" r:id="rId1010" xr:uid="{00000000-0004-0000-0000-0000F1030000}"/>
    <hyperlink ref="A1165" r:id="rId1011" xr:uid="{00000000-0004-0000-0000-0000F2030000}"/>
    <hyperlink ref="A1166" r:id="rId1012" xr:uid="{00000000-0004-0000-0000-0000F3030000}"/>
    <hyperlink ref="A1167" r:id="rId1013" xr:uid="{00000000-0004-0000-0000-0000F4030000}"/>
    <hyperlink ref="A1168" r:id="rId1014" xr:uid="{00000000-0004-0000-0000-0000F5030000}"/>
    <hyperlink ref="A1169" r:id="rId1015" xr:uid="{00000000-0004-0000-0000-0000F6030000}"/>
    <hyperlink ref="A1170" r:id="rId1016" xr:uid="{00000000-0004-0000-0000-0000F7030000}"/>
    <hyperlink ref="A1173" r:id="rId1017" xr:uid="{00000000-0004-0000-0000-0000F8030000}"/>
    <hyperlink ref="A1174" r:id="rId1018" xr:uid="{00000000-0004-0000-0000-0000F9030000}"/>
    <hyperlink ref="A1175" r:id="rId1019" xr:uid="{00000000-0004-0000-0000-0000FA030000}"/>
    <hyperlink ref="A1177" r:id="rId1020" xr:uid="{00000000-0004-0000-0000-0000FB030000}"/>
    <hyperlink ref="A1178" r:id="rId1021" xr:uid="{00000000-0004-0000-0000-0000FC030000}"/>
    <hyperlink ref="A1179" r:id="rId1022" xr:uid="{00000000-0004-0000-0000-0000FD030000}"/>
    <hyperlink ref="A1180" r:id="rId1023" xr:uid="{00000000-0004-0000-0000-0000FE030000}"/>
    <hyperlink ref="A1181" r:id="rId1024" xr:uid="{00000000-0004-0000-0000-0000FF030000}"/>
    <hyperlink ref="A1182" r:id="rId1025" xr:uid="{00000000-0004-0000-0000-000000040000}"/>
    <hyperlink ref="A1183" r:id="rId1026" xr:uid="{00000000-0004-0000-0000-000001040000}"/>
    <hyperlink ref="A1184" r:id="rId1027" xr:uid="{00000000-0004-0000-0000-000002040000}"/>
    <hyperlink ref="A1185" r:id="rId1028" xr:uid="{00000000-0004-0000-0000-000003040000}"/>
    <hyperlink ref="A1186" r:id="rId1029" xr:uid="{00000000-0004-0000-0000-000004040000}"/>
    <hyperlink ref="A1187" r:id="rId1030" xr:uid="{00000000-0004-0000-0000-000005040000}"/>
    <hyperlink ref="A1188" r:id="rId1031" xr:uid="{00000000-0004-0000-0000-000006040000}"/>
    <hyperlink ref="A1189" r:id="rId1032" xr:uid="{00000000-0004-0000-0000-000007040000}"/>
    <hyperlink ref="A1190" r:id="rId1033" xr:uid="{00000000-0004-0000-0000-000008040000}"/>
    <hyperlink ref="A1191" r:id="rId1034" xr:uid="{00000000-0004-0000-0000-000009040000}"/>
    <hyperlink ref="A1192" r:id="rId1035" xr:uid="{00000000-0004-0000-0000-00000A040000}"/>
    <hyperlink ref="A1193" r:id="rId1036" xr:uid="{00000000-0004-0000-0000-00000B040000}"/>
    <hyperlink ref="A1194" r:id="rId1037" xr:uid="{00000000-0004-0000-0000-00000C040000}"/>
    <hyperlink ref="A1195" r:id="rId1038" xr:uid="{00000000-0004-0000-0000-00000D040000}"/>
    <hyperlink ref="A1196" r:id="rId1039" xr:uid="{00000000-0004-0000-0000-00000E040000}"/>
    <hyperlink ref="A1197" r:id="rId1040" xr:uid="{00000000-0004-0000-0000-00000F040000}"/>
    <hyperlink ref="A1198" r:id="rId1041" xr:uid="{00000000-0004-0000-0000-000010040000}"/>
    <hyperlink ref="A1199" r:id="rId1042" xr:uid="{00000000-0004-0000-0000-000011040000}"/>
    <hyperlink ref="A1200" r:id="rId1043" xr:uid="{00000000-0004-0000-0000-000012040000}"/>
    <hyperlink ref="A1201" r:id="rId1044" xr:uid="{00000000-0004-0000-0000-000013040000}"/>
    <hyperlink ref="A1202" r:id="rId1045" xr:uid="{00000000-0004-0000-0000-000014040000}"/>
    <hyperlink ref="A1203" r:id="rId1046" xr:uid="{00000000-0004-0000-0000-000015040000}"/>
    <hyperlink ref="A1204" r:id="rId1047" xr:uid="{00000000-0004-0000-0000-000016040000}"/>
    <hyperlink ref="A1205" r:id="rId1048" xr:uid="{00000000-0004-0000-0000-000017040000}"/>
    <hyperlink ref="A1206" r:id="rId1049" xr:uid="{00000000-0004-0000-0000-000018040000}"/>
    <hyperlink ref="A1207" r:id="rId1050" xr:uid="{00000000-0004-0000-0000-000019040000}"/>
    <hyperlink ref="A1208" r:id="rId1051" xr:uid="{00000000-0004-0000-0000-00001A040000}"/>
    <hyperlink ref="A1209" r:id="rId1052" xr:uid="{00000000-0004-0000-0000-00001B040000}"/>
    <hyperlink ref="A1210" r:id="rId1053" xr:uid="{00000000-0004-0000-0000-00001C040000}"/>
    <hyperlink ref="A1211" r:id="rId1054" xr:uid="{00000000-0004-0000-0000-00001D040000}"/>
    <hyperlink ref="A1212" r:id="rId1055" xr:uid="{00000000-0004-0000-0000-00001E040000}"/>
    <hyperlink ref="A1213" r:id="rId1056" xr:uid="{00000000-0004-0000-0000-00001F040000}"/>
    <hyperlink ref="A1214" r:id="rId1057" xr:uid="{00000000-0004-0000-0000-000020040000}"/>
    <hyperlink ref="A1215" r:id="rId1058" xr:uid="{00000000-0004-0000-0000-000021040000}"/>
    <hyperlink ref="A1216" r:id="rId1059" xr:uid="{00000000-0004-0000-0000-000022040000}"/>
    <hyperlink ref="A1217" r:id="rId1060" xr:uid="{00000000-0004-0000-0000-000023040000}"/>
    <hyperlink ref="A1218" r:id="rId1061" xr:uid="{00000000-0004-0000-0000-000024040000}"/>
    <hyperlink ref="A1219" r:id="rId1062" xr:uid="{00000000-0004-0000-0000-000025040000}"/>
    <hyperlink ref="A1220" r:id="rId1063" xr:uid="{00000000-0004-0000-0000-000026040000}"/>
    <hyperlink ref="A1221" r:id="rId1064" xr:uid="{00000000-0004-0000-0000-000027040000}"/>
    <hyperlink ref="A1222" r:id="rId1065" xr:uid="{00000000-0004-0000-0000-000028040000}"/>
    <hyperlink ref="A1223" r:id="rId1066" xr:uid="{00000000-0004-0000-0000-000029040000}"/>
    <hyperlink ref="A1224" r:id="rId1067" xr:uid="{00000000-0004-0000-0000-00002A040000}"/>
    <hyperlink ref="A1225" r:id="rId1068" xr:uid="{00000000-0004-0000-0000-00002B040000}"/>
    <hyperlink ref="A1226" r:id="rId1069" xr:uid="{00000000-0004-0000-0000-00002C040000}"/>
    <hyperlink ref="A1227" r:id="rId1070" xr:uid="{00000000-0004-0000-0000-00002D040000}"/>
    <hyperlink ref="A1228" r:id="rId1071" xr:uid="{00000000-0004-0000-0000-00002E040000}"/>
    <hyperlink ref="A1229" r:id="rId1072" xr:uid="{00000000-0004-0000-0000-00002F040000}"/>
    <hyperlink ref="A1230" r:id="rId1073" xr:uid="{00000000-0004-0000-0000-000030040000}"/>
    <hyperlink ref="A1231" r:id="rId1074" xr:uid="{00000000-0004-0000-0000-000031040000}"/>
    <hyperlink ref="A1232" r:id="rId1075" xr:uid="{00000000-0004-0000-0000-000032040000}"/>
    <hyperlink ref="A1233" r:id="rId1076" xr:uid="{00000000-0004-0000-0000-000033040000}"/>
    <hyperlink ref="A1234" r:id="rId1077" xr:uid="{00000000-0004-0000-0000-000034040000}"/>
    <hyperlink ref="A1235" r:id="rId1078" xr:uid="{00000000-0004-0000-0000-000035040000}"/>
    <hyperlink ref="A1236" r:id="rId1079" xr:uid="{00000000-0004-0000-0000-000036040000}"/>
    <hyperlink ref="A1237" r:id="rId1080" xr:uid="{00000000-0004-0000-0000-000037040000}"/>
    <hyperlink ref="A1238" r:id="rId1081" xr:uid="{00000000-0004-0000-0000-000038040000}"/>
    <hyperlink ref="A1239" r:id="rId1082" xr:uid="{00000000-0004-0000-0000-000039040000}"/>
    <hyperlink ref="A1240" r:id="rId1083" xr:uid="{00000000-0004-0000-0000-00003A040000}"/>
    <hyperlink ref="A1241" r:id="rId1084" xr:uid="{00000000-0004-0000-0000-00003B040000}"/>
    <hyperlink ref="A1242" r:id="rId1085" xr:uid="{00000000-0004-0000-0000-00003C040000}"/>
    <hyperlink ref="A1243" r:id="rId1086" xr:uid="{00000000-0004-0000-0000-00003D040000}"/>
    <hyperlink ref="A1244" r:id="rId1087" xr:uid="{00000000-0004-0000-0000-00003E040000}"/>
    <hyperlink ref="A1245" r:id="rId1088" xr:uid="{00000000-0004-0000-0000-00003F040000}"/>
    <hyperlink ref="A1246" r:id="rId1089" xr:uid="{00000000-0004-0000-0000-000040040000}"/>
    <hyperlink ref="A1247" r:id="rId1090" xr:uid="{00000000-0004-0000-0000-000041040000}"/>
    <hyperlink ref="A1248" r:id="rId1091" xr:uid="{00000000-0004-0000-0000-000042040000}"/>
    <hyperlink ref="AJ1249" r:id="rId1092" xr:uid="{00000000-0004-0000-0000-000043040000}"/>
    <hyperlink ref="A1250" r:id="rId1093" xr:uid="{00000000-0004-0000-0000-000044040000}"/>
    <hyperlink ref="A1251" r:id="rId1094" xr:uid="{00000000-0004-0000-0000-000045040000}"/>
    <hyperlink ref="A1252" r:id="rId1095" xr:uid="{00000000-0004-0000-0000-000046040000}"/>
    <hyperlink ref="A1254" r:id="rId1096" xr:uid="{00000000-0004-0000-0000-000047040000}"/>
    <hyperlink ref="A1255" r:id="rId1097" xr:uid="{00000000-0004-0000-0000-000048040000}"/>
    <hyperlink ref="A1256" r:id="rId1098" xr:uid="{00000000-0004-0000-0000-000049040000}"/>
    <hyperlink ref="A1257" r:id="rId1099" xr:uid="{00000000-0004-0000-0000-00004A040000}"/>
    <hyperlink ref="A1258" r:id="rId1100" xr:uid="{00000000-0004-0000-0000-00004B040000}"/>
    <hyperlink ref="A1259" r:id="rId1101" xr:uid="{00000000-0004-0000-0000-00004C040000}"/>
    <hyperlink ref="A1260" r:id="rId1102" xr:uid="{00000000-0004-0000-0000-00004D040000}"/>
    <hyperlink ref="A1261" r:id="rId1103" xr:uid="{00000000-0004-0000-0000-00004E040000}"/>
    <hyperlink ref="A1262" r:id="rId1104" xr:uid="{00000000-0004-0000-0000-00004F040000}"/>
    <hyperlink ref="A1263" r:id="rId1105" xr:uid="{00000000-0004-0000-0000-000050040000}"/>
    <hyperlink ref="A1264" r:id="rId1106" xr:uid="{00000000-0004-0000-0000-000051040000}"/>
    <hyperlink ref="A1265" r:id="rId1107" xr:uid="{00000000-0004-0000-0000-000052040000}"/>
    <hyperlink ref="A1266" r:id="rId1108" xr:uid="{00000000-0004-0000-0000-000053040000}"/>
    <hyperlink ref="A1267" r:id="rId1109" xr:uid="{00000000-0004-0000-0000-000054040000}"/>
    <hyperlink ref="A1268" r:id="rId1110" xr:uid="{00000000-0004-0000-0000-000055040000}"/>
    <hyperlink ref="A1269" r:id="rId1111" xr:uid="{00000000-0004-0000-0000-000056040000}"/>
    <hyperlink ref="A1270" r:id="rId1112" xr:uid="{00000000-0004-0000-0000-000057040000}"/>
    <hyperlink ref="A1271" r:id="rId1113" xr:uid="{00000000-0004-0000-0000-000058040000}"/>
    <hyperlink ref="A1272" r:id="rId1114" xr:uid="{00000000-0004-0000-0000-000059040000}"/>
    <hyperlink ref="A1273" r:id="rId1115" xr:uid="{00000000-0004-0000-0000-00005A040000}"/>
    <hyperlink ref="A1274" r:id="rId1116" xr:uid="{00000000-0004-0000-0000-00005B040000}"/>
    <hyperlink ref="A1275" r:id="rId1117" xr:uid="{00000000-0004-0000-0000-00005C040000}"/>
    <hyperlink ref="A1276" r:id="rId1118" xr:uid="{00000000-0004-0000-0000-00005D040000}"/>
    <hyperlink ref="A1277" r:id="rId1119" xr:uid="{00000000-0004-0000-0000-00005E040000}"/>
    <hyperlink ref="A1278" r:id="rId1120" xr:uid="{00000000-0004-0000-0000-00005F040000}"/>
    <hyperlink ref="A1279" r:id="rId1121" xr:uid="{00000000-0004-0000-0000-000060040000}"/>
    <hyperlink ref="A1280" r:id="rId1122" xr:uid="{00000000-0004-0000-0000-000061040000}"/>
    <hyperlink ref="A1281" r:id="rId1123" xr:uid="{00000000-0004-0000-0000-000062040000}"/>
    <hyperlink ref="A1282" r:id="rId1124" xr:uid="{00000000-0004-0000-0000-000063040000}"/>
    <hyperlink ref="A1283" r:id="rId1125" xr:uid="{00000000-0004-0000-0000-000064040000}"/>
    <hyperlink ref="A1284" r:id="rId1126" xr:uid="{00000000-0004-0000-0000-000065040000}"/>
    <hyperlink ref="A1285" r:id="rId1127" xr:uid="{00000000-0004-0000-0000-000066040000}"/>
    <hyperlink ref="A1286" r:id="rId1128" xr:uid="{00000000-0004-0000-0000-000067040000}"/>
    <hyperlink ref="A1287" r:id="rId1129" xr:uid="{00000000-0004-0000-0000-000068040000}"/>
    <hyperlink ref="A1288" r:id="rId1130" xr:uid="{00000000-0004-0000-0000-000069040000}"/>
    <hyperlink ref="A1289" r:id="rId1131" xr:uid="{00000000-0004-0000-0000-00006A040000}"/>
    <hyperlink ref="A1290" r:id="rId1132" xr:uid="{00000000-0004-0000-0000-00006B040000}"/>
    <hyperlink ref="A1291" r:id="rId1133" xr:uid="{00000000-0004-0000-0000-00006C040000}"/>
    <hyperlink ref="A1292" r:id="rId1134" xr:uid="{00000000-0004-0000-0000-00006D040000}"/>
    <hyperlink ref="A1293" r:id="rId1135" xr:uid="{00000000-0004-0000-0000-00006E040000}"/>
    <hyperlink ref="A1294" r:id="rId1136" xr:uid="{00000000-0004-0000-0000-00006F040000}"/>
    <hyperlink ref="A1295" r:id="rId1137" xr:uid="{00000000-0004-0000-0000-000070040000}"/>
    <hyperlink ref="A1296" r:id="rId1138" xr:uid="{00000000-0004-0000-0000-000071040000}"/>
    <hyperlink ref="A1297" r:id="rId1139" xr:uid="{00000000-0004-0000-0000-000072040000}"/>
    <hyperlink ref="A1298" r:id="rId1140" xr:uid="{00000000-0004-0000-0000-000073040000}"/>
    <hyperlink ref="A1299" r:id="rId1141" xr:uid="{00000000-0004-0000-0000-000074040000}"/>
    <hyperlink ref="A1300" r:id="rId1142" xr:uid="{00000000-0004-0000-0000-000075040000}"/>
    <hyperlink ref="A1301" r:id="rId1143" xr:uid="{00000000-0004-0000-0000-000076040000}"/>
    <hyperlink ref="A1302" r:id="rId1144" xr:uid="{00000000-0004-0000-0000-000077040000}"/>
    <hyperlink ref="A1303" r:id="rId1145" xr:uid="{00000000-0004-0000-0000-000078040000}"/>
    <hyperlink ref="A1304" r:id="rId1146" xr:uid="{00000000-0004-0000-0000-000079040000}"/>
    <hyperlink ref="A1305" r:id="rId1147" xr:uid="{00000000-0004-0000-0000-00007A040000}"/>
    <hyperlink ref="A1306" r:id="rId1148" xr:uid="{00000000-0004-0000-0000-00007B040000}"/>
    <hyperlink ref="A1307" r:id="rId1149" xr:uid="{00000000-0004-0000-0000-00007C040000}"/>
    <hyperlink ref="A1308" r:id="rId1150" xr:uid="{00000000-0004-0000-0000-00007D040000}"/>
    <hyperlink ref="A1309" r:id="rId1151" xr:uid="{00000000-0004-0000-0000-00007E040000}"/>
    <hyperlink ref="A1310" r:id="rId1152" xr:uid="{00000000-0004-0000-0000-00007F040000}"/>
    <hyperlink ref="A1312" r:id="rId1153" xr:uid="{00000000-0004-0000-0000-000080040000}"/>
    <hyperlink ref="A1313" r:id="rId1154" xr:uid="{00000000-0004-0000-0000-000081040000}"/>
    <hyperlink ref="A1314" r:id="rId1155" xr:uid="{00000000-0004-0000-0000-000082040000}"/>
    <hyperlink ref="A1315" r:id="rId1156" xr:uid="{00000000-0004-0000-0000-000083040000}"/>
    <hyperlink ref="A1316" r:id="rId1157" xr:uid="{00000000-0004-0000-0000-000084040000}"/>
    <hyperlink ref="A1317" r:id="rId1158" xr:uid="{00000000-0004-0000-0000-000085040000}"/>
    <hyperlink ref="A1318" r:id="rId1159" xr:uid="{00000000-0004-0000-0000-000086040000}"/>
    <hyperlink ref="A1319" r:id="rId1160" xr:uid="{00000000-0004-0000-0000-000087040000}"/>
    <hyperlink ref="A1320" r:id="rId1161" xr:uid="{00000000-0004-0000-0000-000088040000}"/>
    <hyperlink ref="A1321" r:id="rId1162" xr:uid="{00000000-0004-0000-0000-000089040000}"/>
    <hyperlink ref="A1322" r:id="rId1163" xr:uid="{00000000-0004-0000-0000-00008A040000}"/>
    <hyperlink ref="A1323" r:id="rId1164" xr:uid="{00000000-0004-0000-0000-00008B040000}"/>
    <hyperlink ref="A1324" r:id="rId1165" xr:uid="{00000000-0004-0000-0000-00008C040000}"/>
    <hyperlink ref="A1325" r:id="rId1166" xr:uid="{00000000-0004-0000-0000-00008D040000}"/>
    <hyperlink ref="A1326" r:id="rId1167" xr:uid="{00000000-0004-0000-0000-00008E040000}"/>
    <hyperlink ref="A1327" r:id="rId1168" xr:uid="{00000000-0004-0000-0000-00008F040000}"/>
    <hyperlink ref="A1328" r:id="rId1169" xr:uid="{00000000-0004-0000-0000-000090040000}"/>
    <hyperlink ref="A1329" r:id="rId1170" xr:uid="{00000000-0004-0000-0000-000091040000}"/>
    <hyperlink ref="A1330" r:id="rId1171" xr:uid="{00000000-0004-0000-0000-000092040000}"/>
    <hyperlink ref="A1331" r:id="rId1172" xr:uid="{00000000-0004-0000-0000-000093040000}"/>
    <hyperlink ref="A1332" r:id="rId1173" xr:uid="{00000000-0004-0000-0000-000094040000}"/>
    <hyperlink ref="A1333" r:id="rId1174" xr:uid="{00000000-0004-0000-0000-000095040000}"/>
    <hyperlink ref="A1334" r:id="rId1175" xr:uid="{00000000-0004-0000-0000-000096040000}"/>
    <hyperlink ref="A1335" r:id="rId1176" xr:uid="{00000000-0004-0000-0000-000097040000}"/>
    <hyperlink ref="A1336" r:id="rId1177" xr:uid="{00000000-0004-0000-0000-000098040000}"/>
    <hyperlink ref="A1337" r:id="rId1178" xr:uid="{00000000-0004-0000-0000-000099040000}"/>
    <hyperlink ref="A1338" r:id="rId1179" xr:uid="{00000000-0004-0000-0000-00009A040000}"/>
    <hyperlink ref="A1339" r:id="rId1180" xr:uid="{00000000-0004-0000-0000-00009B040000}"/>
    <hyperlink ref="A1340" r:id="rId1181" xr:uid="{00000000-0004-0000-0000-00009C040000}"/>
    <hyperlink ref="A1341" r:id="rId1182" xr:uid="{00000000-0004-0000-0000-00009D040000}"/>
    <hyperlink ref="A1342" r:id="rId1183" xr:uid="{00000000-0004-0000-0000-00009E040000}"/>
    <hyperlink ref="A1343" r:id="rId1184" xr:uid="{00000000-0004-0000-0000-00009F040000}"/>
    <hyperlink ref="A1344" r:id="rId1185" xr:uid="{00000000-0004-0000-0000-0000A0040000}"/>
    <hyperlink ref="A1345" r:id="rId1186" xr:uid="{00000000-0004-0000-0000-0000A1040000}"/>
    <hyperlink ref="A1346" r:id="rId1187" xr:uid="{00000000-0004-0000-0000-0000A2040000}"/>
    <hyperlink ref="A1347" r:id="rId1188" xr:uid="{00000000-0004-0000-0000-0000A3040000}"/>
    <hyperlink ref="A1348" r:id="rId1189" xr:uid="{00000000-0004-0000-0000-0000A4040000}"/>
    <hyperlink ref="A1349" r:id="rId1190" xr:uid="{00000000-0004-0000-0000-0000A5040000}"/>
    <hyperlink ref="A1350" r:id="rId1191" xr:uid="{00000000-0004-0000-0000-0000A6040000}"/>
    <hyperlink ref="A1351" r:id="rId1192" xr:uid="{00000000-0004-0000-0000-0000A7040000}"/>
    <hyperlink ref="A1352" r:id="rId1193" xr:uid="{00000000-0004-0000-0000-0000A8040000}"/>
    <hyperlink ref="A1353" r:id="rId1194" xr:uid="{00000000-0004-0000-0000-0000A9040000}"/>
    <hyperlink ref="A1354" r:id="rId1195" xr:uid="{00000000-0004-0000-0000-0000AA040000}"/>
    <hyperlink ref="A1355" r:id="rId1196" xr:uid="{00000000-0004-0000-0000-0000AB040000}"/>
    <hyperlink ref="A1356" r:id="rId1197" xr:uid="{00000000-0004-0000-0000-0000AC040000}"/>
    <hyperlink ref="A1357" r:id="rId1198" xr:uid="{00000000-0004-0000-0000-0000AD040000}"/>
    <hyperlink ref="A1358" r:id="rId1199" xr:uid="{00000000-0004-0000-0000-0000AE040000}"/>
    <hyperlink ref="A1359" r:id="rId1200" xr:uid="{00000000-0004-0000-0000-0000AF040000}"/>
    <hyperlink ref="A1360" r:id="rId1201" xr:uid="{00000000-0004-0000-0000-0000B0040000}"/>
    <hyperlink ref="A1361" r:id="rId1202" xr:uid="{00000000-0004-0000-0000-0000B1040000}"/>
    <hyperlink ref="A1362" r:id="rId1203" xr:uid="{00000000-0004-0000-0000-0000B2040000}"/>
    <hyperlink ref="A1363" r:id="rId1204" xr:uid="{00000000-0004-0000-0000-0000B3040000}"/>
    <hyperlink ref="A1364" r:id="rId1205" xr:uid="{00000000-0004-0000-0000-0000B4040000}"/>
    <hyperlink ref="A1365" r:id="rId1206" xr:uid="{00000000-0004-0000-0000-0000B5040000}"/>
    <hyperlink ref="A1366" r:id="rId1207" xr:uid="{00000000-0004-0000-0000-0000B6040000}"/>
    <hyperlink ref="A1367" r:id="rId1208" xr:uid="{00000000-0004-0000-0000-0000B7040000}"/>
    <hyperlink ref="A1368" r:id="rId1209" xr:uid="{00000000-0004-0000-0000-0000B8040000}"/>
    <hyperlink ref="A1369" r:id="rId1210" xr:uid="{00000000-0004-0000-0000-0000B9040000}"/>
    <hyperlink ref="A1370" r:id="rId1211" xr:uid="{00000000-0004-0000-0000-0000BA040000}"/>
    <hyperlink ref="A1371" r:id="rId1212" xr:uid="{00000000-0004-0000-0000-0000BB040000}"/>
    <hyperlink ref="A1372" r:id="rId1213" xr:uid="{00000000-0004-0000-0000-0000BC040000}"/>
    <hyperlink ref="A1373" r:id="rId1214" xr:uid="{00000000-0004-0000-0000-0000BD040000}"/>
    <hyperlink ref="A1374" r:id="rId1215" xr:uid="{00000000-0004-0000-0000-0000BE040000}"/>
    <hyperlink ref="A1376" r:id="rId1216" xr:uid="{00000000-0004-0000-0000-0000BF040000}"/>
    <hyperlink ref="A1377" r:id="rId1217" xr:uid="{00000000-0004-0000-0000-0000C0040000}"/>
    <hyperlink ref="A1378" r:id="rId1218" xr:uid="{00000000-0004-0000-0000-0000C1040000}"/>
    <hyperlink ref="A1379" r:id="rId1219" xr:uid="{00000000-0004-0000-0000-0000C2040000}"/>
    <hyperlink ref="A1380" r:id="rId1220" xr:uid="{00000000-0004-0000-0000-0000C3040000}"/>
    <hyperlink ref="A1381" r:id="rId1221" xr:uid="{00000000-0004-0000-0000-0000C4040000}"/>
    <hyperlink ref="A1382" r:id="rId1222" xr:uid="{00000000-0004-0000-0000-0000C5040000}"/>
    <hyperlink ref="A1383" r:id="rId1223" xr:uid="{00000000-0004-0000-0000-0000C6040000}"/>
    <hyperlink ref="A1384" r:id="rId1224" xr:uid="{00000000-0004-0000-0000-0000C7040000}"/>
    <hyperlink ref="A1385" r:id="rId1225" xr:uid="{00000000-0004-0000-0000-0000C8040000}"/>
    <hyperlink ref="A1386" r:id="rId1226" xr:uid="{00000000-0004-0000-0000-0000C9040000}"/>
    <hyperlink ref="A1387" r:id="rId1227" xr:uid="{00000000-0004-0000-0000-0000CA040000}"/>
    <hyperlink ref="A1388" r:id="rId1228" xr:uid="{00000000-0004-0000-0000-0000CB040000}"/>
    <hyperlink ref="A1389" r:id="rId1229" xr:uid="{00000000-0004-0000-0000-0000CC040000}"/>
    <hyperlink ref="A1390" r:id="rId1230" xr:uid="{00000000-0004-0000-0000-0000CD040000}"/>
    <hyperlink ref="A1392" r:id="rId1231" xr:uid="{00000000-0004-0000-0000-0000CE040000}"/>
    <hyperlink ref="A1393" r:id="rId1232" xr:uid="{00000000-0004-0000-0000-0000CF040000}"/>
    <hyperlink ref="A1394" r:id="rId1233" xr:uid="{00000000-0004-0000-0000-0000D0040000}"/>
    <hyperlink ref="A1396" r:id="rId1234" xr:uid="{00000000-0004-0000-0000-0000D1040000}"/>
    <hyperlink ref="A1397" r:id="rId1235" xr:uid="{00000000-0004-0000-0000-0000D2040000}"/>
    <hyperlink ref="A1398" r:id="rId1236" xr:uid="{00000000-0004-0000-0000-0000D3040000}"/>
    <hyperlink ref="A1399" r:id="rId1237" xr:uid="{00000000-0004-0000-0000-0000D4040000}"/>
    <hyperlink ref="A1400" r:id="rId1238" xr:uid="{00000000-0004-0000-0000-0000D5040000}"/>
    <hyperlink ref="A1401" r:id="rId1239" xr:uid="{00000000-0004-0000-0000-0000D6040000}"/>
    <hyperlink ref="A1402" r:id="rId1240" xr:uid="{00000000-0004-0000-0000-0000D7040000}"/>
    <hyperlink ref="A1403" r:id="rId1241" xr:uid="{00000000-0004-0000-0000-0000D8040000}"/>
    <hyperlink ref="A1404" r:id="rId1242" xr:uid="{00000000-0004-0000-0000-0000D9040000}"/>
    <hyperlink ref="A1405" r:id="rId1243" xr:uid="{00000000-0004-0000-0000-0000DA040000}"/>
    <hyperlink ref="A1406" r:id="rId1244" xr:uid="{00000000-0004-0000-0000-0000DB040000}"/>
    <hyperlink ref="A1407" r:id="rId1245" xr:uid="{00000000-0004-0000-0000-0000DC040000}"/>
    <hyperlink ref="A1409" r:id="rId1246" xr:uid="{00000000-0004-0000-0000-0000DD040000}"/>
    <hyperlink ref="A1410" r:id="rId1247" xr:uid="{00000000-0004-0000-0000-0000DE040000}"/>
    <hyperlink ref="A1411" r:id="rId1248" xr:uid="{00000000-0004-0000-0000-0000DF040000}"/>
    <hyperlink ref="A1413" r:id="rId1249" xr:uid="{00000000-0004-0000-0000-0000E0040000}"/>
    <hyperlink ref="A1414" r:id="rId1250" xr:uid="{00000000-0004-0000-0000-0000E1040000}"/>
    <hyperlink ref="A1415" r:id="rId1251" xr:uid="{00000000-0004-0000-0000-0000E2040000}"/>
    <hyperlink ref="A1416" r:id="rId1252" xr:uid="{00000000-0004-0000-0000-0000E3040000}"/>
    <hyperlink ref="A1417" r:id="rId1253" xr:uid="{00000000-0004-0000-0000-0000E4040000}"/>
    <hyperlink ref="A1418" r:id="rId1254" xr:uid="{00000000-0004-0000-0000-0000E5040000}"/>
    <hyperlink ref="A1419" r:id="rId1255" xr:uid="{00000000-0004-0000-0000-0000E6040000}"/>
    <hyperlink ref="A1420" r:id="rId1256" xr:uid="{00000000-0004-0000-0000-0000E7040000}"/>
    <hyperlink ref="A1421" r:id="rId1257" xr:uid="{00000000-0004-0000-0000-0000E8040000}"/>
    <hyperlink ref="A1422" r:id="rId1258" xr:uid="{00000000-0004-0000-0000-0000E9040000}"/>
    <hyperlink ref="A1423" r:id="rId1259" xr:uid="{00000000-0004-0000-0000-0000EA040000}"/>
    <hyperlink ref="A1424" r:id="rId1260" xr:uid="{00000000-0004-0000-0000-0000EB040000}"/>
    <hyperlink ref="A1425" r:id="rId1261" xr:uid="{00000000-0004-0000-0000-0000EC040000}"/>
    <hyperlink ref="A1426" r:id="rId1262" xr:uid="{00000000-0004-0000-0000-0000ED040000}"/>
    <hyperlink ref="A1427" r:id="rId1263" xr:uid="{00000000-0004-0000-0000-0000EE040000}"/>
    <hyperlink ref="A1428" r:id="rId1264" xr:uid="{00000000-0004-0000-0000-0000EF040000}"/>
    <hyperlink ref="A1429" r:id="rId1265" xr:uid="{00000000-0004-0000-0000-0000F0040000}"/>
    <hyperlink ref="A1430" r:id="rId1266" xr:uid="{00000000-0004-0000-0000-0000F1040000}"/>
    <hyperlink ref="A1431" r:id="rId1267" xr:uid="{00000000-0004-0000-0000-0000F2040000}"/>
    <hyperlink ref="A1432" r:id="rId1268" xr:uid="{00000000-0004-0000-0000-0000F3040000}"/>
    <hyperlink ref="A1433" r:id="rId1269" xr:uid="{00000000-0004-0000-0000-0000F4040000}"/>
    <hyperlink ref="A1435" r:id="rId1270" xr:uid="{00000000-0004-0000-0000-0000F5040000}"/>
    <hyperlink ref="A1436" r:id="rId1271" xr:uid="{00000000-0004-0000-0000-0000F6040000}"/>
    <hyperlink ref="A1437" r:id="rId1272" xr:uid="{00000000-0004-0000-0000-0000F7040000}"/>
    <hyperlink ref="A1438" r:id="rId1273" xr:uid="{00000000-0004-0000-0000-0000F8040000}"/>
    <hyperlink ref="A1439" r:id="rId1274" xr:uid="{00000000-0004-0000-0000-0000F9040000}"/>
    <hyperlink ref="A1440" r:id="rId1275" xr:uid="{00000000-0004-0000-0000-0000FA040000}"/>
    <hyperlink ref="A1441" r:id="rId1276" xr:uid="{00000000-0004-0000-0000-0000FB040000}"/>
    <hyperlink ref="A1442" r:id="rId1277" xr:uid="{00000000-0004-0000-0000-0000FC040000}"/>
    <hyperlink ref="A1443" r:id="rId1278" xr:uid="{00000000-0004-0000-0000-0000FD040000}"/>
    <hyperlink ref="A1445" r:id="rId1279" xr:uid="{00000000-0004-0000-0000-0000FE040000}"/>
    <hyperlink ref="A1446" r:id="rId1280" xr:uid="{00000000-0004-0000-0000-0000FF040000}"/>
    <hyperlink ref="A1447" r:id="rId1281" xr:uid="{00000000-0004-0000-0000-000000050000}"/>
    <hyperlink ref="A1448" r:id="rId1282" xr:uid="{00000000-0004-0000-0000-000001050000}"/>
    <hyperlink ref="A1449" r:id="rId1283" xr:uid="{00000000-0004-0000-0000-000002050000}"/>
    <hyperlink ref="A1450" r:id="rId1284" xr:uid="{00000000-0004-0000-0000-000003050000}"/>
    <hyperlink ref="A1452" r:id="rId1285" xr:uid="{00000000-0004-0000-0000-000004050000}"/>
    <hyperlink ref="A1453" r:id="rId1286" xr:uid="{00000000-0004-0000-0000-000005050000}"/>
    <hyperlink ref="A1454" r:id="rId1287" xr:uid="{00000000-0004-0000-0000-000006050000}"/>
    <hyperlink ref="A1455" r:id="rId1288" xr:uid="{00000000-0004-0000-0000-000007050000}"/>
    <hyperlink ref="A1456" r:id="rId1289" xr:uid="{00000000-0004-0000-0000-000008050000}"/>
    <hyperlink ref="A1457" r:id="rId1290" xr:uid="{00000000-0004-0000-0000-000009050000}"/>
    <hyperlink ref="A1458" r:id="rId1291" xr:uid="{00000000-0004-0000-0000-00000A050000}"/>
    <hyperlink ref="A1459" r:id="rId1292" xr:uid="{00000000-0004-0000-0000-00000B050000}"/>
    <hyperlink ref="A1460" r:id="rId1293" xr:uid="{00000000-0004-0000-0000-00000C050000}"/>
    <hyperlink ref="A1461" r:id="rId1294" xr:uid="{00000000-0004-0000-0000-00000D050000}"/>
    <hyperlink ref="A1462" r:id="rId1295" xr:uid="{00000000-0004-0000-0000-00000E050000}"/>
    <hyperlink ref="A1463" r:id="rId1296" xr:uid="{00000000-0004-0000-0000-00000F050000}"/>
    <hyperlink ref="A1465" r:id="rId1297" xr:uid="{00000000-0004-0000-0000-000010050000}"/>
    <hyperlink ref="A1466" r:id="rId1298" xr:uid="{00000000-0004-0000-0000-000011050000}"/>
    <hyperlink ref="A1467" r:id="rId1299" xr:uid="{00000000-0004-0000-0000-000012050000}"/>
    <hyperlink ref="A1468" r:id="rId1300" xr:uid="{00000000-0004-0000-0000-000013050000}"/>
    <hyperlink ref="A1469" r:id="rId1301" xr:uid="{00000000-0004-0000-0000-000014050000}"/>
    <hyperlink ref="A1470" r:id="rId1302" xr:uid="{00000000-0004-0000-0000-000015050000}"/>
    <hyperlink ref="A1471" r:id="rId1303" xr:uid="{00000000-0004-0000-0000-000016050000}"/>
    <hyperlink ref="A1472" r:id="rId1304" xr:uid="{00000000-0004-0000-0000-000017050000}"/>
    <hyperlink ref="A1473" r:id="rId1305" xr:uid="{00000000-0004-0000-0000-000018050000}"/>
    <hyperlink ref="A1474" r:id="rId1306" xr:uid="{00000000-0004-0000-0000-000019050000}"/>
    <hyperlink ref="A1475" r:id="rId1307" xr:uid="{00000000-0004-0000-0000-00001A050000}"/>
    <hyperlink ref="A1476" r:id="rId1308" xr:uid="{00000000-0004-0000-0000-00001B050000}"/>
    <hyperlink ref="A1477" r:id="rId1309" xr:uid="{00000000-0004-0000-0000-00001C050000}"/>
    <hyperlink ref="A1478" r:id="rId1310" xr:uid="{00000000-0004-0000-0000-00001D050000}"/>
    <hyperlink ref="A1479" r:id="rId1311" xr:uid="{00000000-0004-0000-0000-00001E050000}"/>
    <hyperlink ref="A1480" r:id="rId1312" xr:uid="{00000000-0004-0000-0000-00001F050000}"/>
    <hyperlink ref="A1481" r:id="rId1313" xr:uid="{00000000-0004-0000-0000-000020050000}"/>
    <hyperlink ref="A1482" r:id="rId1314" xr:uid="{00000000-0004-0000-0000-000021050000}"/>
    <hyperlink ref="A1483" r:id="rId1315" xr:uid="{00000000-0004-0000-0000-000022050000}"/>
    <hyperlink ref="A1484" r:id="rId1316" xr:uid="{00000000-0004-0000-0000-000023050000}"/>
    <hyperlink ref="A1485" r:id="rId1317" xr:uid="{00000000-0004-0000-0000-000024050000}"/>
    <hyperlink ref="A1486" r:id="rId1318" xr:uid="{00000000-0004-0000-0000-000025050000}"/>
    <hyperlink ref="A1487" r:id="rId1319" xr:uid="{00000000-0004-0000-0000-000026050000}"/>
    <hyperlink ref="A1488" r:id="rId1320" xr:uid="{00000000-0004-0000-0000-000027050000}"/>
    <hyperlink ref="A1489" r:id="rId1321" xr:uid="{00000000-0004-0000-0000-000028050000}"/>
    <hyperlink ref="A1490" r:id="rId1322" xr:uid="{00000000-0004-0000-0000-000029050000}"/>
    <hyperlink ref="A1491" r:id="rId1323" xr:uid="{00000000-0004-0000-0000-00002A050000}"/>
    <hyperlink ref="A1492" r:id="rId1324" xr:uid="{00000000-0004-0000-0000-00002B050000}"/>
    <hyperlink ref="A1493" r:id="rId1325" xr:uid="{00000000-0004-0000-0000-00002C050000}"/>
    <hyperlink ref="A1494" r:id="rId1326" xr:uid="{00000000-0004-0000-0000-00002D050000}"/>
    <hyperlink ref="A1495" r:id="rId1327" xr:uid="{00000000-0004-0000-0000-00002E050000}"/>
    <hyperlink ref="A1496" r:id="rId1328" xr:uid="{00000000-0004-0000-0000-00002F050000}"/>
    <hyperlink ref="A1497" r:id="rId1329" xr:uid="{00000000-0004-0000-0000-000030050000}"/>
    <hyperlink ref="A1498" r:id="rId1330" xr:uid="{00000000-0004-0000-0000-000031050000}"/>
    <hyperlink ref="A1499" r:id="rId1331" xr:uid="{00000000-0004-0000-0000-000032050000}"/>
    <hyperlink ref="A1500" r:id="rId1332" xr:uid="{00000000-0004-0000-0000-000033050000}"/>
    <hyperlink ref="A1501" r:id="rId1333" xr:uid="{00000000-0004-0000-0000-000034050000}"/>
    <hyperlink ref="A1502" r:id="rId1334" xr:uid="{00000000-0004-0000-0000-000035050000}"/>
    <hyperlink ref="A1503" r:id="rId1335" xr:uid="{00000000-0004-0000-0000-000036050000}"/>
    <hyperlink ref="A1504" r:id="rId1336" xr:uid="{00000000-0004-0000-0000-000037050000}"/>
    <hyperlink ref="A1505" r:id="rId1337" xr:uid="{00000000-0004-0000-0000-000038050000}"/>
    <hyperlink ref="A1506" r:id="rId1338" xr:uid="{00000000-0004-0000-0000-000039050000}"/>
    <hyperlink ref="A1507" r:id="rId1339" xr:uid="{00000000-0004-0000-0000-00003A050000}"/>
    <hyperlink ref="A1508" r:id="rId1340" xr:uid="{00000000-0004-0000-0000-00003B050000}"/>
    <hyperlink ref="A1509" r:id="rId1341" xr:uid="{00000000-0004-0000-0000-00003C050000}"/>
    <hyperlink ref="A1511" r:id="rId1342" xr:uid="{00000000-0004-0000-0000-00003D050000}"/>
    <hyperlink ref="A1512" r:id="rId1343" xr:uid="{00000000-0004-0000-0000-00003E050000}"/>
    <hyperlink ref="A1513" r:id="rId1344" xr:uid="{00000000-0004-0000-0000-00003F050000}"/>
    <hyperlink ref="A1514" r:id="rId1345" xr:uid="{00000000-0004-0000-0000-000040050000}"/>
    <hyperlink ref="A1515" r:id="rId1346" xr:uid="{00000000-0004-0000-0000-000041050000}"/>
    <hyperlink ref="A1516" r:id="rId1347" xr:uid="{00000000-0004-0000-0000-000042050000}"/>
    <hyperlink ref="A1517" r:id="rId1348" xr:uid="{00000000-0004-0000-0000-000043050000}"/>
    <hyperlink ref="A1518" r:id="rId1349" xr:uid="{00000000-0004-0000-0000-000044050000}"/>
    <hyperlink ref="A1519" r:id="rId1350" xr:uid="{00000000-0004-0000-0000-000045050000}"/>
    <hyperlink ref="A1520" r:id="rId1351" xr:uid="{00000000-0004-0000-0000-000046050000}"/>
    <hyperlink ref="A1521" r:id="rId1352" xr:uid="{00000000-0004-0000-0000-000047050000}"/>
    <hyperlink ref="A1522" r:id="rId1353" xr:uid="{00000000-0004-0000-0000-000048050000}"/>
    <hyperlink ref="A1523" r:id="rId1354" xr:uid="{00000000-0004-0000-0000-000049050000}"/>
    <hyperlink ref="A1524" r:id="rId1355" xr:uid="{00000000-0004-0000-0000-00004A050000}"/>
    <hyperlink ref="A1525" r:id="rId1356" xr:uid="{00000000-0004-0000-0000-00004B050000}"/>
    <hyperlink ref="A1527" r:id="rId1357" xr:uid="{00000000-0004-0000-0000-00004C050000}"/>
    <hyperlink ref="A1528" r:id="rId1358" xr:uid="{00000000-0004-0000-0000-00004D050000}"/>
    <hyperlink ref="A1529" r:id="rId1359" xr:uid="{00000000-0004-0000-0000-00004E050000}"/>
    <hyperlink ref="A1530" r:id="rId1360" xr:uid="{00000000-0004-0000-0000-00004F050000}"/>
    <hyperlink ref="A1531" r:id="rId1361" xr:uid="{00000000-0004-0000-0000-000050050000}"/>
    <hyperlink ref="A1532" r:id="rId1362" xr:uid="{00000000-0004-0000-0000-000051050000}"/>
    <hyperlink ref="A1533" r:id="rId1363" xr:uid="{00000000-0004-0000-0000-000052050000}"/>
    <hyperlink ref="A1534" r:id="rId1364" xr:uid="{00000000-0004-0000-0000-000053050000}"/>
    <hyperlink ref="A1535" r:id="rId1365" xr:uid="{00000000-0004-0000-0000-000054050000}"/>
    <hyperlink ref="A1536" r:id="rId1366" xr:uid="{00000000-0004-0000-0000-000055050000}"/>
    <hyperlink ref="A1537" r:id="rId1367" xr:uid="{00000000-0004-0000-0000-000056050000}"/>
    <hyperlink ref="A1538" r:id="rId1368" xr:uid="{00000000-0004-0000-0000-000057050000}"/>
    <hyperlink ref="A1539" r:id="rId1369" xr:uid="{00000000-0004-0000-0000-000058050000}"/>
    <hyperlink ref="A1540" r:id="rId1370" xr:uid="{00000000-0004-0000-0000-000059050000}"/>
    <hyperlink ref="A1541" r:id="rId1371" xr:uid="{00000000-0004-0000-0000-00005A050000}"/>
    <hyperlink ref="A1543" r:id="rId1372" xr:uid="{00000000-0004-0000-0000-00005B050000}"/>
    <hyperlink ref="A1544" r:id="rId1373" xr:uid="{00000000-0004-0000-0000-00005C050000}"/>
    <hyperlink ref="A1545" r:id="rId1374" xr:uid="{00000000-0004-0000-0000-00005D050000}"/>
    <hyperlink ref="A1546" r:id="rId1375" xr:uid="{00000000-0004-0000-0000-00005E050000}"/>
    <hyperlink ref="A1547" r:id="rId1376" xr:uid="{00000000-0004-0000-0000-00005F050000}"/>
    <hyperlink ref="A1548" r:id="rId1377" xr:uid="{00000000-0004-0000-0000-000060050000}"/>
    <hyperlink ref="A1549" r:id="rId1378" xr:uid="{00000000-0004-0000-0000-000061050000}"/>
    <hyperlink ref="A1550" r:id="rId1379" xr:uid="{00000000-0004-0000-0000-000062050000}"/>
    <hyperlink ref="A1551" r:id="rId1380" xr:uid="{00000000-0004-0000-0000-000063050000}"/>
    <hyperlink ref="A1553" r:id="rId1381" xr:uid="{00000000-0004-0000-0000-000064050000}"/>
    <hyperlink ref="A1554" r:id="rId1382" xr:uid="{00000000-0004-0000-0000-000065050000}"/>
    <hyperlink ref="A1555" r:id="rId1383" xr:uid="{00000000-0004-0000-0000-000066050000}"/>
    <hyperlink ref="A1556" r:id="rId1384" xr:uid="{00000000-0004-0000-0000-000067050000}"/>
    <hyperlink ref="A1557" r:id="rId1385" xr:uid="{00000000-0004-0000-0000-000068050000}"/>
    <hyperlink ref="A1558" r:id="rId1386" xr:uid="{00000000-0004-0000-0000-000069050000}"/>
    <hyperlink ref="A1559" r:id="rId1387" xr:uid="{00000000-0004-0000-0000-00006A050000}"/>
    <hyperlink ref="A1560" r:id="rId1388" xr:uid="{00000000-0004-0000-0000-00006B050000}"/>
    <hyperlink ref="A1561" r:id="rId1389" xr:uid="{00000000-0004-0000-0000-00006C050000}"/>
    <hyperlink ref="A1563" r:id="rId1390" xr:uid="{00000000-0004-0000-0000-00006D050000}"/>
    <hyperlink ref="A1564" r:id="rId1391" xr:uid="{00000000-0004-0000-0000-00006E050000}"/>
    <hyperlink ref="A1565" r:id="rId1392" xr:uid="{00000000-0004-0000-0000-00006F050000}"/>
    <hyperlink ref="A1566" r:id="rId1393" xr:uid="{00000000-0004-0000-0000-000070050000}"/>
    <hyperlink ref="A1567" r:id="rId1394" xr:uid="{00000000-0004-0000-0000-000071050000}"/>
    <hyperlink ref="A1568" r:id="rId1395" xr:uid="{00000000-0004-0000-0000-000072050000}"/>
    <hyperlink ref="A1569" r:id="rId1396" xr:uid="{00000000-0004-0000-0000-000073050000}"/>
    <hyperlink ref="A1570" r:id="rId1397" xr:uid="{00000000-0004-0000-0000-000074050000}"/>
    <hyperlink ref="A1571" r:id="rId1398" xr:uid="{00000000-0004-0000-0000-000075050000}"/>
    <hyperlink ref="A1573" r:id="rId1399" xr:uid="{00000000-0004-0000-0000-000076050000}"/>
    <hyperlink ref="A1574" r:id="rId1400" xr:uid="{00000000-0004-0000-0000-000077050000}"/>
    <hyperlink ref="A1575" r:id="rId1401" xr:uid="{00000000-0004-0000-0000-000078050000}"/>
    <hyperlink ref="A1576" r:id="rId1402" xr:uid="{00000000-0004-0000-0000-000079050000}"/>
    <hyperlink ref="A1577" r:id="rId1403" xr:uid="{00000000-0004-0000-0000-00007A050000}"/>
    <hyperlink ref="A1578" r:id="rId1404" xr:uid="{00000000-0004-0000-0000-00007B050000}"/>
    <hyperlink ref="A1579" r:id="rId1405" xr:uid="{00000000-0004-0000-0000-00007C050000}"/>
    <hyperlink ref="A1580" r:id="rId1406" xr:uid="{00000000-0004-0000-0000-00007D050000}"/>
    <hyperlink ref="A1581" r:id="rId1407" xr:uid="{00000000-0004-0000-0000-00007E050000}"/>
    <hyperlink ref="A1582" r:id="rId1408" xr:uid="{00000000-0004-0000-0000-00007F050000}"/>
    <hyperlink ref="A1583" r:id="rId1409" xr:uid="{00000000-0004-0000-0000-000080050000}"/>
    <hyperlink ref="A1584" r:id="rId1410" xr:uid="{00000000-0004-0000-0000-000081050000}"/>
    <hyperlink ref="A1585" r:id="rId1411" xr:uid="{00000000-0004-0000-0000-000082050000}"/>
    <hyperlink ref="A1586" r:id="rId1412" xr:uid="{00000000-0004-0000-0000-000083050000}"/>
    <hyperlink ref="A1587" r:id="rId1413" xr:uid="{00000000-0004-0000-0000-000084050000}"/>
    <hyperlink ref="A1588" r:id="rId1414" xr:uid="{00000000-0004-0000-0000-000085050000}"/>
    <hyperlink ref="A1591" r:id="rId1415" xr:uid="{00000000-0004-0000-0000-000086050000}"/>
    <hyperlink ref="A1595" r:id="rId1416" xr:uid="{00000000-0004-0000-0000-000087050000}"/>
    <hyperlink ref="A1598" r:id="rId1417" xr:uid="{00000000-0004-0000-0000-000088050000}"/>
    <hyperlink ref="A1601" r:id="rId1418" xr:uid="{00000000-0004-0000-0000-000089050000}"/>
    <hyperlink ref="A1602" r:id="rId1419" xr:uid="{00000000-0004-0000-0000-00008A050000}"/>
    <hyperlink ref="A1603" r:id="rId1420" xr:uid="{00000000-0004-0000-0000-00008B050000}"/>
    <hyperlink ref="A1604" r:id="rId1421" xr:uid="{00000000-0004-0000-0000-00008C050000}"/>
    <hyperlink ref="A1606" r:id="rId1422" xr:uid="{00000000-0004-0000-0000-00008D050000}"/>
    <hyperlink ref="A1607" r:id="rId1423" xr:uid="{00000000-0004-0000-0000-00008E050000}"/>
    <hyperlink ref="A1610" r:id="rId1424" xr:uid="{00000000-0004-0000-0000-00008F050000}"/>
    <hyperlink ref="A1612" r:id="rId1425" xr:uid="{00000000-0004-0000-0000-000090050000}"/>
    <hyperlink ref="A1613" r:id="rId1426" xr:uid="{00000000-0004-0000-0000-000091050000}"/>
    <hyperlink ref="A1614" r:id="rId1427" xr:uid="{00000000-0004-0000-0000-000092050000}"/>
    <hyperlink ref="A1615" r:id="rId1428" xr:uid="{00000000-0004-0000-0000-000093050000}"/>
    <hyperlink ref="A1617" r:id="rId1429" xr:uid="{00000000-0004-0000-0000-000094050000}"/>
    <hyperlink ref="A1618" r:id="rId1430" xr:uid="{00000000-0004-0000-0000-000095050000}"/>
    <hyperlink ref="A1619" r:id="rId1431" xr:uid="{00000000-0004-0000-0000-000096050000}"/>
    <hyperlink ref="A1621" r:id="rId1432" xr:uid="{00000000-0004-0000-0000-000097050000}"/>
    <hyperlink ref="A1622" r:id="rId1433" xr:uid="{00000000-0004-0000-0000-000098050000}"/>
    <hyperlink ref="A1623" r:id="rId1434" xr:uid="{00000000-0004-0000-0000-000099050000}"/>
    <hyperlink ref="A1624" r:id="rId1435" xr:uid="{00000000-0004-0000-0000-00009A050000}"/>
    <hyperlink ref="A1626" r:id="rId1436" xr:uid="{00000000-0004-0000-0000-00009B050000}"/>
    <hyperlink ref="A1629" r:id="rId1437" xr:uid="{00000000-0004-0000-0000-00009C050000}"/>
    <hyperlink ref="A1630" r:id="rId1438" xr:uid="{00000000-0004-0000-0000-00009D050000}"/>
    <hyperlink ref="A1631" r:id="rId1439" xr:uid="{00000000-0004-0000-0000-00009E050000}"/>
    <hyperlink ref="A1632" r:id="rId1440" xr:uid="{00000000-0004-0000-0000-00009F050000}"/>
    <hyperlink ref="A1635" r:id="rId1441" xr:uid="{00000000-0004-0000-0000-0000A0050000}"/>
    <hyperlink ref="A1636" r:id="rId1442" xr:uid="{00000000-0004-0000-0000-0000A1050000}"/>
    <hyperlink ref="A1637" r:id="rId1443" xr:uid="{00000000-0004-0000-0000-0000A2050000}"/>
    <hyperlink ref="A1638" r:id="rId1444" xr:uid="{00000000-0004-0000-0000-0000A3050000}"/>
    <hyperlink ref="A1641" r:id="rId1445" xr:uid="{00000000-0004-0000-0000-0000A4050000}"/>
    <hyperlink ref="A1644" r:id="rId1446" xr:uid="{00000000-0004-0000-0000-0000A5050000}"/>
    <hyperlink ref="A1650" r:id="rId1447" xr:uid="{00000000-0004-0000-0000-0000A6050000}"/>
    <hyperlink ref="A1651" r:id="rId1448" xr:uid="{00000000-0004-0000-0000-0000A7050000}"/>
    <hyperlink ref="A1652" r:id="rId1449" xr:uid="{00000000-0004-0000-0000-0000A8050000}"/>
    <hyperlink ref="A1654" r:id="rId1450" xr:uid="{00000000-0004-0000-0000-0000A9050000}"/>
    <hyperlink ref="A1657" r:id="rId1451" xr:uid="{00000000-0004-0000-0000-0000AA050000}"/>
    <hyperlink ref="A1660" r:id="rId1452" xr:uid="{00000000-0004-0000-0000-0000AB050000}"/>
    <hyperlink ref="A1663" r:id="rId1453" xr:uid="{00000000-0004-0000-0000-0000AC050000}"/>
    <hyperlink ref="A1666" r:id="rId1454" xr:uid="{00000000-0004-0000-0000-0000AD050000}"/>
    <hyperlink ref="A1667" r:id="rId1455" xr:uid="{00000000-0004-0000-0000-0000AE050000}"/>
    <hyperlink ref="A1668" r:id="rId1456" xr:uid="{00000000-0004-0000-0000-0000AF050000}"/>
    <hyperlink ref="A1670" r:id="rId1457" xr:uid="{00000000-0004-0000-0000-0000B0050000}"/>
    <hyperlink ref="A1671" r:id="rId1458" xr:uid="{00000000-0004-0000-0000-0000B1050000}"/>
    <hyperlink ref="A1673" r:id="rId1459" xr:uid="{00000000-0004-0000-0000-0000B2050000}"/>
    <hyperlink ref="A1674" r:id="rId1460" xr:uid="{00000000-0004-0000-0000-0000B3050000}"/>
    <hyperlink ref="A1675" r:id="rId1461" xr:uid="{00000000-0004-0000-0000-0000B4050000}"/>
    <hyperlink ref="A1676" r:id="rId1462" xr:uid="{00000000-0004-0000-0000-0000B5050000}"/>
    <hyperlink ref="A1677" r:id="rId1463" xr:uid="{00000000-0004-0000-0000-0000B6050000}"/>
    <hyperlink ref="A1678" r:id="rId1464" xr:uid="{00000000-0004-0000-0000-0000B7050000}"/>
    <hyperlink ref="A1679" r:id="rId1465" xr:uid="{00000000-0004-0000-0000-0000B8050000}"/>
    <hyperlink ref="A1680" r:id="rId1466" xr:uid="{00000000-0004-0000-0000-0000B9050000}"/>
    <hyperlink ref="A1681" r:id="rId1467" xr:uid="{00000000-0004-0000-0000-0000BA050000}"/>
    <hyperlink ref="A1682" r:id="rId1468" xr:uid="{00000000-0004-0000-0000-0000BB050000}"/>
    <hyperlink ref="A1683" r:id="rId1469" xr:uid="{00000000-0004-0000-0000-0000BC050000}"/>
    <hyperlink ref="A1684" r:id="rId1470" xr:uid="{00000000-0004-0000-0000-0000BD050000}"/>
    <hyperlink ref="A1685" r:id="rId1471" xr:uid="{00000000-0004-0000-0000-0000BE050000}"/>
    <hyperlink ref="A1686" r:id="rId1472" xr:uid="{00000000-0004-0000-0000-0000BF050000}"/>
    <hyperlink ref="A1687" r:id="rId1473" xr:uid="{00000000-0004-0000-0000-0000C0050000}"/>
    <hyperlink ref="A1688" r:id="rId1474" xr:uid="{00000000-0004-0000-0000-0000C1050000}"/>
    <hyperlink ref="A1689" r:id="rId1475" xr:uid="{00000000-0004-0000-0000-0000C2050000}"/>
    <hyperlink ref="A1690" r:id="rId1476" xr:uid="{00000000-0004-0000-0000-0000C3050000}"/>
    <hyperlink ref="A1691" r:id="rId1477" xr:uid="{00000000-0004-0000-0000-0000C4050000}"/>
    <hyperlink ref="A1692" r:id="rId1478" xr:uid="{00000000-0004-0000-0000-0000C5050000}"/>
    <hyperlink ref="A1693" r:id="rId1479" xr:uid="{00000000-0004-0000-0000-0000C6050000}"/>
    <hyperlink ref="A1694" r:id="rId1480" xr:uid="{00000000-0004-0000-0000-0000C7050000}"/>
    <hyperlink ref="A1697" r:id="rId1481" xr:uid="{00000000-0004-0000-0000-0000C8050000}"/>
    <hyperlink ref="A1699" r:id="rId1482" xr:uid="{00000000-0004-0000-0000-0000C9050000}"/>
    <hyperlink ref="A1700" r:id="rId1483" xr:uid="{00000000-0004-0000-0000-0000CA050000}"/>
    <hyperlink ref="A1703" r:id="rId1484" xr:uid="{00000000-0004-0000-0000-0000CB050000}"/>
    <hyperlink ref="A1704" r:id="rId1485" xr:uid="{00000000-0004-0000-0000-0000CC050000}"/>
    <hyperlink ref="A1705" r:id="rId1486" xr:uid="{00000000-0004-0000-0000-0000CD050000}"/>
    <hyperlink ref="A1706" r:id="rId1487" xr:uid="{00000000-0004-0000-0000-0000CE050000}"/>
    <hyperlink ref="A1707" r:id="rId1488" xr:uid="{00000000-0004-0000-0000-0000CF050000}"/>
    <hyperlink ref="A1708" r:id="rId1489" xr:uid="{00000000-0004-0000-0000-0000D0050000}"/>
    <hyperlink ref="A1710" r:id="rId1490" xr:uid="{00000000-0004-0000-0000-0000D1050000}"/>
    <hyperlink ref="A1711" r:id="rId1491" xr:uid="{00000000-0004-0000-0000-0000D2050000}"/>
    <hyperlink ref="A1712" r:id="rId1492" xr:uid="{00000000-0004-0000-0000-0000D3050000}"/>
    <hyperlink ref="A1713" r:id="rId1493" xr:uid="{00000000-0004-0000-0000-0000D4050000}"/>
    <hyperlink ref="A1714" r:id="rId1494" xr:uid="{00000000-0004-0000-0000-0000D5050000}"/>
    <hyperlink ref="A1715" r:id="rId1495" xr:uid="{00000000-0004-0000-0000-0000D6050000}"/>
    <hyperlink ref="A1719" r:id="rId1496" xr:uid="{00000000-0004-0000-0000-0000D7050000}"/>
    <hyperlink ref="A1720" r:id="rId1497" xr:uid="{00000000-0004-0000-0000-0000D8050000}"/>
    <hyperlink ref="A1721" r:id="rId1498" xr:uid="{00000000-0004-0000-0000-0000D9050000}"/>
    <hyperlink ref="A1723" r:id="rId1499" xr:uid="{00000000-0004-0000-0000-0000DA050000}"/>
    <hyperlink ref="A1727" r:id="rId1500" xr:uid="{00000000-0004-0000-0000-0000DB050000}"/>
    <hyperlink ref="A1728" r:id="rId1501" xr:uid="{00000000-0004-0000-0000-0000DC050000}"/>
    <hyperlink ref="A1729" r:id="rId1502" xr:uid="{00000000-0004-0000-0000-0000DD050000}"/>
    <hyperlink ref="A1730" r:id="rId1503" xr:uid="{00000000-0004-0000-0000-0000DE050000}"/>
    <hyperlink ref="A1731" r:id="rId1504" xr:uid="{00000000-0004-0000-0000-0000DF050000}"/>
    <hyperlink ref="A1732" r:id="rId1505" xr:uid="{00000000-0004-0000-0000-0000E0050000}"/>
    <hyperlink ref="A1733" r:id="rId1506" xr:uid="{00000000-0004-0000-0000-0000E1050000}"/>
    <hyperlink ref="A1734" r:id="rId1507" xr:uid="{00000000-0004-0000-0000-0000E2050000}"/>
    <hyperlink ref="A1735" r:id="rId1508" xr:uid="{00000000-0004-0000-0000-0000E3050000}"/>
    <hyperlink ref="A1736" r:id="rId1509" xr:uid="{00000000-0004-0000-0000-0000E4050000}"/>
    <hyperlink ref="A1737" r:id="rId1510" xr:uid="{00000000-0004-0000-0000-0000E5050000}"/>
    <hyperlink ref="A1738" r:id="rId1511" xr:uid="{00000000-0004-0000-0000-0000E6050000}"/>
    <hyperlink ref="A1740" r:id="rId1512" xr:uid="{00000000-0004-0000-0000-0000E7050000}"/>
    <hyperlink ref="A1741" r:id="rId1513" xr:uid="{00000000-0004-0000-0000-0000E8050000}"/>
    <hyperlink ref="A1742" r:id="rId1514" xr:uid="{00000000-0004-0000-0000-0000E9050000}"/>
    <hyperlink ref="A1747" r:id="rId1515" xr:uid="{00000000-0004-0000-0000-0000EA050000}"/>
    <hyperlink ref="A1748" r:id="rId1516" xr:uid="{00000000-0004-0000-0000-0000EB050000}"/>
    <hyperlink ref="A1749" r:id="rId1517" xr:uid="{00000000-0004-0000-0000-0000EC050000}"/>
    <hyperlink ref="A1750" r:id="rId1518" xr:uid="{00000000-0004-0000-0000-0000ED050000}"/>
    <hyperlink ref="A1751" r:id="rId1519" xr:uid="{00000000-0004-0000-0000-0000EE050000}"/>
    <hyperlink ref="A1752" r:id="rId1520" xr:uid="{00000000-0004-0000-0000-0000EF050000}"/>
    <hyperlink ref="A1753" r:id="rId1521" xr:uid="{00000000-0004-0000-0000-0000F0050000}"/>
    <hyperlink ref="A1754" r:id="rId1522" xr:uid="{00000000-0004-0000-0000-0000F1050000}"/>
    <hyperlink ref="A1755" r:id="rId1523" xr:uid="{00000000-0004-0000-0000-0000F2050000}"/>
    <hyperlink ref="A1756" r:id="rId1524" xr:uid="{00000000-0004-0000-0000-0000F3050000}"/>
    <hyperlink ref="A1757" r:id="rId1525" xr:uid="{00000000-0004-0000-0000-0000F4050000}"/>
    <hyperlink ref="A1758" r:id="rId1526" xr:uid="{00000000-0004-0000-0000-0000F5050000}"/>
    <hyperlink ref="A1761" r:id="rId1527" xr:uid="{00000000-0004-0000-0000-0000F6050000}"/>
    <hyperlink ref="A1762" r:id="rId1528" xr:uid="{00000000-0004-0000-0000-0000F7050000}"/>
    <hyperlink ref="A1763" r:id="rId1529" xr:uid="{00000000-0004-0000-0000-0000F8050000}"/>
    <hyperlink ref="A1764" r:id="rId1530" xr:uid="{00000000-0004-0000-0000-0000F9050000}"/>
    <hyperlink ref="A1765" r:id="rId1531" xr:uid="{00000000-0004-0000-0000-0000FA050000}"/>
    <hyperlink ref="A1766" r:id="rId1532" xr:uid="{00000000-0004-0000-0000-0000FB050000}"/>
    <hyperlink ref="A1767" r:id="rId1533" xr:uid="{00000000-0004-0000-0000-0000FC050000}"/>
    <hyperlink ref="A1768" r:id="rId1534" xr:uid="{00000000-0004-0000-0000-0000FD050000}"/>
    <hyperlink ref="A1769" r:id="rId1535" xr:uid="{00000000-0004-0000-0000-0000FE050000}"/>
    <hyperlink ref="A1770" r:id="rId1536" xr:uid="{00000000-0004-0000-0000-0000FF050000}"/>
    <hyperlink ref="A1771" r:id="rId1537" xr:uid="{00000000-0004-0000-0000-000000060000}"/>
    <hyperlink ref="A1772" r:id="rId1538" xr:uid="{00000000-0004-0000-0000-000001060000}"/>
    <hyperlink ref="A1773" r:id="rId1539" xr:uid="{00000000-0004-0000-0000-000002060000}"/>
    <hyperlink ref="A1774" r:id="rId1540" xr:uid="{00000000-0004-0000-0000-000003060000}"/>
    <hyperlink ref="A1775" r:id="rId1541" xr:uid="{00000000-0004-0000-0000-000004060000}"/>
    <hyperlink ref="A1777" r:id="rId1542" xr:uid="{00000000-0004-0000-0000-000005060000}"/>
    <hyperlink ref="A1778" r:id="rId1543" xr:uid="{00000000-0004-0000-0000-000006060000}"/>
    <hyperlink ref="A1779" r:id="rId1544" xr:uid="{00000000-0004-0000-0000-000007060000}"/>
    <hyperlink ref="A1780" r:id="rId1545" xr:uid="{00000000-0004-0000-0000-000008060000}"/>
    <hyperlink ref="A1781" r:id="rId1546" xr:uid="{00000000-0004-0000-0000-000009060000}"/>
    <hyperlink ref="A1782" r:id="rId1547" xr:uid="{00000000-0004-0000-0000-00000A060000}"/>
    <hyperlink ref="A1783" r:id="rId1548" xr:uid="{00000000-0004-0000-0000-00000B060000}"/>
    <hyperlink ref="A1784" r:id="rId1549" xr:uid="{00000000-0004-0000-0000-00000C060000}"/>
    <hyperlink ref="A1785" r:id="rId1550" xr:uid="{00000000-0004-0000-0000-00000D060000}"/>
    <hyperlink ref="A1787" r:id="rId1551" xr:uid="{00000000-0004-0000-0000-00000E060000}"/>
    <hyperlink ref="A1788" r:id="rId1552" xr:uid="{00000000-0004-0000-0000-00000F060000}"/>
    <hyperlink ref="A1789" r:id="rId1553" xr:uid="{00000000-0004-0000-0000-000010060000}"/>
    <hyperlink ref="A1791" r:id="rId1554" xr:uid="{00000000-0004-0000-0000-000011060000}"/>
    <hyperlink ref="A1792" r:id="rId1555" xr:uid="{00000000-0004-0000-0000-000012060000}"/>
    <hyperlink ref="A1793" r:id="rId1556" xr:uid="{00000000-0004-0000-0000-000013060000}"/>
    <hyperlink ref="A1794" r:id="rId1557" xr:uid="{00000000-0004-0000-0000-000014060000}"/>
    <hyperlink ref="A1795" r:id="rId1558" xr:uid="{00000000-0004-0000-0000-000015060000}"/>
    <hyperlink ref="A1796" r:id="rId1559" xr:uid="{00000000-0004-0000-0000-000016060000}"/>
    <hyperlink ref="A1797" r:id="rId1560" xr:uid="{00000000-0004-0000-0000-000017060000}"/>
    <hyperlink ref="A1798" r:id="rId1561" xr:uid="{00000000-0004-0000-0000-000018060000}"/>
    <hyperlink ref="A1799" r:id="rId1562" xr:uid="{00000000-0004-0000-0000-000019060000}"/>
    <hyperlink ref="A1800" r:id="rId1563" xr:uid="{00000000-0004-0000-0000-00001A060000}"/>
    <hyperlink ref="A1801" r:id="rId1564" xr:uid="{00000000-0004-0000-0000-00001B060000}"/>
    <hyperlink ref="A1802" r:id="rId1565" xr:uid="{00000000-0004-0000-0000-00001C060000}"/>
    <hyperlink ref="A1803" r:id="rId1566" xr:uid="{00000000-0004-0000-0000-00001D060000}"/>
    <hyperlink ref="A1804" r:id="rId1567" xr:uid="{00000000-0004-0000-0000-00001E060000}"/>
    <hyperlink ref="A1805" r:id="rId1568" xr:uid="{00000000-0004-0000-0000-00001F060000}"/>
    <hyperlink ref="A1806" r:id="rId1569" xr:uid="{00000000-0004-0000-0000-000020060000}"/>
    <hyperlink ref="A1807" r:id="rId1570" xr:uid="{00000000-0004-0000-0000-000021060000}"/>
    <hyperlink ref="A1808" r:id="rId1571" xr:uid="{00000000-0004-0000-0000-000022060000}"/>
    <hyperlink ref="A1809" r:id="rId1572" xr:uid="{00000000-0004-0000-0000-000023060000}"/>
    <hyperlink ref="A1810" r:id="rId1573" xr:uid="{00000000-0004-0000-0000-000024060000}"/>
    <hyperlink ref="A1811" r:id="rId1574" xr:uid="{00000000-0004-0000-0000-000025060000}"/>
    <hyperlink ref="A1813" r:id="rId1575" xr:uid="{00000000-0004-0000-0000-000026060000}"/>
    <hyperlink ref="A1814" r:id="rId1576" xr:uid="{00000000-0004-0000-0000-000027060000}"/>
    <hyperlink ref="A1815" r:id="rId1577" xr:uid="{00000000-0004-0000-0000-000028060000}"/>
    <hyperlink ref="A1817" r:id="rId1578" xr:uid="{00000000-0004-0000-0000-000029060000}"/>
    <hyperlink ref="A1818" r:id="rId1579" xr:uid="{00000000-0004-0000-0000-00002A060000}"/>
    <hyperlink ref="A1819" r:id="rId1580" xr:uid="{00000000-0004-0000-0000-00002B060000}"/>
    <hyperlink ref="A1820" r:id="rId1581" xr:uid="{00000000-0004-0000-0000-00002C060000}"/>
    <hyperlink ref="A1821" r:id="rId1582" xr:uid="{00000000-0004-0000-0000-00002D060000}"/>
    <hyperlink ref="A1822" r:id="rId1583" xr:uid="{00000000-0004-0000-0000-00002E060000}"/>
    <hyperlink ref="A1823" r:id="rId1584" xr:uid="{00000000-0004-0000-0000-00002F060000}"/>
    <hyperlink ref="A1824" r:id="rId1585" xr:uid="{00000000-0004-0000-0000-000030060000}"/>
    <hyperlink ref="A1825" r:id="rId1586" xr:uid="{00000000-0004-0000-0000-000031060000}"/>
    <hyperlink ref="A1826" r:id="rId1587" xr:uid="{00000000-0004-0000-0000-000032060000}"/>
    <hyperlink ref="A1827" r:id="rId1588" xr:uid="{00000000-0004-0000-0000-000033060000}"/>
    <hyperlink ref="A1828" r:id="rId1589" xr:uid="{00000000-0004-0000-0000-000034060000}"/>
    <hyperlink ref="A1829" r:id="rId1590" xr:uid="{00000000-0004-0000-0000-000035060000}"/>
    <hyperlink ref="A1830" r:id="rId1591" xr:uid="{00000000-0004-0000-0000-000036060000}"/>
    <hyperlink ref="A1831" r:id="rId1592" xr:uid="{00000000-0004-0000-0000-000037060000}"/>
    <hyperlink ref="A1832" r:id="rId1593" xr:uid="{00000000-0004-0000-0000-000038060000}"/>
    <hyperlink ref="A1833" r:id="rId1594" xr:uid="{00000000-0004-0000-0000-000039060000}"/>
    <hyperlink ref="A1834" r:id="rId1595" xr:uid="{00000000-0004-0000-0000-00003A060000}"/>
    <hyperlink ref="A1835" r:id="rId1596" xr:uid="{00000000-0004-0000-0000-00003B060000}"/>
    <hyperlink ref="A1836" r:id="rId1597" xr:uid="{00000000-0004-0000-0000-00003C060000}"/>
    <hyperlink ref="A1837" r:id="rId1598" xr:uid="{00000000-0004-0000-0000-00003D060000}"/>
    <hyperlink ref="A1838" r:id="rId1599" xr:uid="{00000000-0004-0000-0000-00003E060000}"/>
    <hyperlink ref="A1839" r:id="rId1600" xr:uid="{00000000-0004-0000-0000-00003F060000}"/>
    <hyperlink ref="A1840" r:id="rId1601" xr:uid="{00000000-0004-0000-0000-000040060000}"/>
    <hyperlink ref="A1841" r:id="rId1602" xr:uid="{00000000-0004-0000-0000-000041060000}"/>
    <hyperlink ref="A1842" r:id="rId1603" xr:uid="{00000000-0004-0000-0000-000042060000}"/>
    <hyperlink ref="A1843" r:id="rId1604" xr:uid="{00000000-0004-0000-0000-000043060000}"/>
    <hyperlink ref="A1844" r:id="rId1605" xr:uid="{00000000-0004-0000-0000-000044060000}"/>
    <hyperlink ref="A1845" r:id="rId1606" xr:uid="{00000000-0004-0000-0000-000045060000}"/>
    <hyperlink ref="A1846" r:id="rId1607" xr:uid="{00000000-0004-0000-0000-000046060000}"/>
    <hyperlink ref="A1847" r:id="rId1608" xr:uid="{00000000-0004-0000-0000-000047060000}"/>
    <hyperlink ref="A1848" r:id="rId1609" xr:uid="{00000000-0004-0000-0000-000048060000}"/>
    <hyperlink ref="A1849" r:id="rId1610" xr:uid="{00000000-0004-0000-0000-000049060000}"/>
    <hyperlink ref="A1850" r:id="rId1611" xr:uid="{00000000-0004-0000-0000-00004A060000}"/>
    <hyperlink ref="A1851" r:id="rId1612" xr:uid="{00000000-0004-0000-0000-00004B060000}"/>
    <hyperlink ref="A1852" r:id="rId1613" xr:uid="{00000000-0004-0000-0000-00004C060000}"/>
    <hyperlink ref="A1853" r:id="rId1614" xr:uid="{00000000-0004-0000-0000-00004D060000}"/>
    <hyperlink ref="A1854" r:id="rId1615" xr:uid="{00000000-0004-0000-0000-00004E060000}"/>
    <hyperlink ref="A1855" r:id="rId1616" xr:uid="{00000000-0004-0000-0000-00004F060000}"/>
    <hyperlink ref="A1857" r:id="rId1617" xr:uid="{00000000-0004-0000-0000-000050060000}"/>
    <hyperlink ref="A1858" r:id="rId1618" xr:uid="{00000000-0004-0000-0000-000051060000}"/>
    <hyperlink ref="A1859" r:id="rId1619" xr:uid="{00000000-0004-0000-0000-000052060000}"/>
    <hyperlink ref="A1860" r:id="rId1620" xr:uid="{00000000-0004-0000-0000-000053060000}"/>
    <hyperlink ref="A1861" r:id="rId1621" xr:uid="{00000000-0004-0000-0000-000054060000}"/>
    <hyperlink ref="A1862" r:id="rId1622" xr:uid="{00000000-0004-0000-0000-000055060000}"/>
    <hyperlink ref="A1863" r:id="rId1623" xr:uid="{00000000-0004-0000-0000-000056060000}"/>
    <hyperlink ref="A1864" r:id="rId1624" xr:uid="{00000000-0004-0000-0000-000057060000}"/>
    <hyperlink ref="A1865" r:id="rId1625" xr:uid="{00000000-0004-0000-0000-000058060000}"/>
    <hyperlink ref="A1866" r:id="rId1626" xr:uid="{00000000-0004-0000-0000-000059060000}"/>
    <hyperlink ref="A1867" r:id="rId1627" xr:uid="{00000000-0004-0000-0000-00005A060000}"/>
    <hyperlink ref="A1868" r:id="rId1628" xr:uid="{00000000-0004-0000-0000-00005B060000}"/>
    <hyperlink ref="A1869" r:id="rId1629" xr:uid="{00000000-0004-0000-0000-00005C060000}"/>
    <hyperlink ref="A1870" r:id="rId1630" xr:uid="{00000000-0004-0000-0000-00005D060000}"/>
    <hyperlink ref="A1871" r:id="rId1631" xr:uid="{00000000-0004-0000-0000-00005E060000}"/>
    <hyperlink ref="A1873" r:id="rId1632" xr:uid="{00000000-0004-0000-0000-00005F060000}"/>
    <hyperlink ref="A1874" r:id="rId1633" xr:uid="{00000000-0004-0000-0000-000060060000}"/>
    <hyperlink ref="A1875" r:id="rId1634" xr:uid="{00000000-0004-0000-0000-000061060000}"/>
    <hyperlink ref="A1876" r:id="rId1635" xr:uid="{00000000-0004-0000-0000-000062060000}"/>
    <hyperlink ref="A1877" r:id="rId1636" xr:uid="{00000000-0004-0000-0000-000063060000}"/>
    <hyperlink ref="A1878" r:id="rId1637" xr:uid="{00000000-0004-0000-0000-000064060000}"/>
    <hyperlink ref="A1879" r:id="rId1638" xr:uid="{00000000-0004-0000-0000-000065060000}"/>
    <hyperlink ref="A1880" r:id="rId1639" xr:uid="{00000000-0004-0000-0000-000066060000}"/>
    <hyperlink ref="A1881" r:id="rId1640" xr:uid="{00000000-0004-0000-0000-000067060000}"/>
    <hyperlink ref="A1882" r:id="rId1641" xr:uid="{00000000-0004-0000-0000-000068060000}"/>
    <hyperlink ref="A1883" r:id="rId1642" xr:uid="{00000000-0004-0000-0000-000069060000}"/>
    <hyperlink ref="A1884" r:id="rId1643" xr:uid="{00000000-0004-0000-0000-00006A060000}"/>
    <hyperlink ref="A1885" r:id="rId1644" xr:uid="{00000000-0004-0000-0000-00006B060000}"/>
    <hyperlink ref="A1886" r:id="rId1645" xr:uid="{00000000-0004-0000-0000-00006C060000}"/>
    <hyperlink ref="A1887" r:id="rId1646" xr:uid="{00000000-0004-0000-0000-00006D060000}"/>
    <hyperlink ref="A1888" r:id="rId1647" xr:uid="{00000000-0004-0000-0000-00006E060000}"/>
    <hyperlink ref="A1889" r:id="rId1648" xr:uid="{00000000-0004-0000-0000-00006F060000}"/>
    <hyperlink ref="A1890" r:id="rId1649" xr:uid="{00000000-0004-0000-0000-000070060000}"/>
    <hyperlink ref="A1891" r:id="rId1650" xr:uid="{00000000-0004-0000-0000-000071060000}"/>
    <hyperlink ref="A1892" r:id="rId1651" xr:uid="{00000000-0004-0000-0000-000072060000}"/>
    <hyperlink ref="A1893" r:id="rId1652" xr:uid="{00000000-0004-0000-0000-000073060000}"/>
    <hyperlink ref="A1894" r:id="rId1653" xr:uid="{00000000-0004-0000-0000-000074060000}"/>
    <hyperlink ref="A1895" r:id="rId1654" xr:uid="{00000000-0004-0000-0000-000075060000}"/>
    <hyperlink ref="A1896" r:id="rId1655" xr:uid="{00000000-0004-0000-0000-000076060000}"/>
    <hyperlink ref="A1897" r:id="rId1656" xr:uid="{00000000-0004-0000-0000-000077060000}"/>
    <hyperlink ref="A1898" r:id="rId1657" xr:uid="{00000000-0004-0000-0000-000078060000}"/>
    <hyperlink ref="A1899" r:id="rId1658" xr:uid="{00000000-0004-0000-0000-000079060000}"/>
    <hyperlink ref="A1900" r:id="rId1659" xr:uid="{00000000-0004-0000-0000-00007A060000}"/>
    <hyperlink ref="A1901" r:id="rId1660" xr:uid="{00000000-0004-0000-0000-00007B060000}"/>
    <hyperlink ref="A1902" r:id="rId1661" xr:uid="{00000000-0004-0000-0000-00007C060000}"/>
    <hyperlink ref="A1903" r:id="rId1662" xr:uid="{00000000-0004-0000-0000-00007D060000}"/>
    <hyperlink ref="A1904" r:id="rId1663" xr:uid="{00000000-0004-0000-0000-00007E060000}"/>
    <hyperlink ref="A1905" r:id="rId1664" xr:uid="{00000000-0004-0000-0000-00007F060000}"/>
    <hyperlink ref="A1908" r:id="rId1665" xr:uid="{00000000-0004-0000-0000-000080060000}"/>
    <hyperlink ref="A1909" r:id="rId1666" xr:uid="{00000000-0004-0000-0000-000081060000}"/>
    <hyperlink ref="A1910" r:id="rId1667" xr:uid="{00000000-0004-0000-0000-000082060000}"/>
    <hyperlink ref="A1911" r:id="rId1668" xr:uid="{00000000-0004-0000-0000-000083060000}"/>
    <hyperlink ref="A1912" r:id="rId1669" xr:uid="{00000000-0004-0000-0000-000084060000}"/>
    <hyperlink ref="A1913" r:id="rId1670" xr:uid="{00000000-0004-0000-0000-000085060000}"/>
    <hyperlink ref="A1914" r:id="rId1671" xr:uid="{00000000-0004-0000-0000-000086060000}"/>
    <hyperlink ref="A1915" r:id="rId1672" xr:uid="{00000000-0004-0000-0000-000087060000}"/>
    <hyperlink ref="A1916" r:id="rId1673" xr:uid="{00000000-0004-0000-0000-000088060000}"/>
    <hyperlink ref="A1917" r:id="rId1674" xr:uid="{00000000-0004-0000-0000-000089060000}"/>
    <hyperlink ref="A1918" r:id="rId1675" xr:uid="{00000000-0004-0000-0000-00008A060000}"/>
    <hyperlink ref="A1919" r:id="rId1676" xr:uid="{00000000-0004-0000-0000-00008B060000}"/>
    <hyperlink ref="A1920" r:id="rId1677" xr:uid="{00000000-0004-0000-0000-00008C060000}"/>
    <hyperlink ref="A1921" r:id="rId1678" xr:uid="{00000000-0004-0000-0000-00008D060000}"/>
    <hyperlink ref="A1922" r:id="rId1679" xr:uid="{00000000-0004-0000-0000-00008E060000}"/>
    <hyperlink ref="A1923" r:id="rId1680" xr:uid="{00000000-0004-0000-0000-00008F060000}"/>
    <hyperlink ref="A1924" r:id="rId1681" xr:uid="{00000000-0004-0000-0000-000090060000}"/>
    <hyperlink ref="A1925" r:id="rId1682" xr:uid="{00000000-0004-0000-0000-000091060000}"/>
    <hyperlink ref="A1926" r:id="rId1683" xr:uid="{00000000-0004-0000-0000-000092060000}"/>
    <hyperlink ref="A1927" r:id="rId1684" xr:uid="{00000000-0004-0000-0000-000093060000}"/>
    <hyperlink ref="A1928" r:id="rId1685" xr:uid="{00000000-0004-0000-0000-000094060000}"/>
    <hyperlink ref="A1929" r:id="rId1686" xr:uid="{00000000-0004-0000-0000-000095060000}"/>
    <hyperlink ref="A1930" r:id="rId1687" xr:uid="{00000000-0004-0000-0000-000096060000}"/>
    <hyperlink ref="A1931" r:id="rId1688" xr:uid="{00000000-0004-0000-0000-000097060000}"/>
    <hyperlink ref="A1932" r:id="rId1689" xr:uid="{00000000-0004-0000-0000-000098060000}"/>
    <hyperlink ref="A1933" r:id="rId1690" xr:uid="{00000000-0004-0000-0000-000099060000}"/>
    <hyperlink ref="A1934" r:id="rId1691" xr:uid="{00000000-0004-0000-0000-00009A060000}"/>
    <hyperlink ref="A1936" r:id="rId1692" xr:uid="{00000000-0004-0000-0000-00009B060000}"/>
    <hyperlink ref="A1937" r:id="rId1693" xr:uid="{00000000-0004-0000-0000-00009C060000}"/>
    <hyperlink ref="A1938" r:id="rId1694" xr:uid="{00000000-0004-0000-0000-00009D060000}"/>
    <hyperlink ref="A1939" r:id="rId1695" xr:uid="{00000000-0004-0000-0000-00009E060000}"/>
    <hyperlink ref="A1940" r:id="rId1696" xr:uid="{00000000-0004-0000-0000-00009F060000}"/>
    <hyperlink ref="A1941" r:id="rId1697" xr:uid="{00000000-0004-0000-0000-0000A0060000}"/>
    <hyperlink ref="A1942" r:id="rId1698" xr:uid="{00000000-0004-0000-0000-0000A1060000}"/>
    <hyperlink ref="A1943" r:id="rId1699" xr:uid="{00000000-0004-0000-0000-0000A2060000}"/>
    <hyperlink ref="A1944" r:id="rId1700" xr:uid="{00000000-0004-0000-0000-0000A3060000}"/>
    <hyperlink ref="A1945" r:id="rId1701" xr:uid="{00000000-0004-0000-0000-0000A4060000}"/>
    <hyperlink ref="A1946" r:id="rId1702" xr:uid="{00000000-0004-0000-0000-0000A5060000}"/>
    <hyperlink ref="A1947" r:id="rId1703" xr:uid="{00000000-0004-0000-0000-0000A6060000}"/>
    <hyperlink ref="A1948" r:id="rId1704" xr:uid="{00000000-0004-0000-0000-0000A7060000}"/>
    <hyperlink ref="A1949" r:id="rId1705" xr:uid="{00000000-0004-0000-0000-0000A8060000}"/>
    <hyperlink ref="A1950" r:id="rId1706" xr:uid="{00000000-0004-0000-0000-0000A9060000}"/>
    <hyperlink ref="A1951" r:id="rId1707" xr:uid="{00000000-0004-0000-0000-0000AA060000}"/>
    <hyperlink ref="A1952" r:id="rId1708" xr:uid="{00000000-0004-0000-0000-0000AB060000}"/>
    <hyperlink ref="A1953" r:id="rId1709" xr:uid="{00000000-0004-0000-0000-0000AC060000}"/>
    <hyperlink ref="A1954" r:id="rId1710" xr:uid="{00000000-0004-0000-0000-0000AD060000}"/>
    <hyperlink ref="A1955" r:id="rId1711" xr:uid="{00000000-0004-0000-0000-0000AE060000}"/>
    <hyperlink ref="A1956" r:id="rId1712" xr:uid="{00000000-0004-0000-0000-0000AF060000}"/>
    <hyperlink ref="A1957" r:id="rId1713" xr:uid="{00000000-0004-0000-0000-0000B0060000}"/>
    <hyperlink ref="A1958" r:id="rId1714" xr:uid="{00000000-0004-0000-0000-0000B1060000}"/>
    <hyperlink ref="A1959" r:id="rId1715" xr:uid="{00000000-0004-0000-0000-0000B2060000}"/>
    <hyperlink ref="A1960" r:id="rId1716" xr:uid="{00000000-0004-0000-0000-0000B3060000}"/>
    <hyperlink ref="A1961" r:id="rId1717" xr:uid="{00000000-0004-0000-0000-0000B4060000}"/>
    <hyperlink ref="A1962" r:id="rId1718" xr:uid="{00000000-0004-0000-0000-0000B5060000}"/>
    <hyperlink ref="A1963" r:id="rId1719" xr:uid="{00000000-0004-0000-0000-0000B6060000}"/>
    <hyperlink ref="A1964" r:id="rId1720" xr:uid="{00000000-0004-0000-0000-0000B7060000}"/>
    <hyperlink ref="A1965" r:id="rId1721" xr:uid="{00000000-0004-0000-0000-0000B8060000}"/>
    <hyperlink ref="A1966" r:id="rId1722" xr:uid="{00000000-0004-0000-0000-0000B9060000}"/>
    <hyperlink ref="A1967" r:id="rId1723" xr:uid="{00000000-0004-0000-0000-0000BA060000}"/>
    <hyperlink ref="A1968" r:id="rId1724" xr:uid="{00000000-0004-0000-0000-0000BB060000}"/>
    <hyperlink ref="A1969" r:id="rId1725" xr:uid="{00000000-0004-0000-0000-0000BC060000}"/>
    <hyperlink ref="A1970" r:id="rId1726" xr:uid="{00000000-0004-0000-0000-0000BD060000}"/>
    <hyperlink ref="A1971" r:id="rId1727" xr:uid="{00000000-0004-0000-0000-0000BE060000}"/>
    <hyperlink ref="A1972" r:id="rId1728" xr:uid="{00000000-0004-0000-0000-0000BF060000}"/>
    <hyperlink ref="A1973" r:id="rId1729" xr:uid="{00000000-0004-0000-0000-0000C0060000}"/>
    <hyperlink ref="A1974" r:id="rId1730" xr:uid="{00000000-0004-0000-0000-0000C1060000}"/>
    <hyperlink ref="A1980" r:id="rId1731" xr:uid="{00000000-0004-0000-0000-0000C2060000}"/>
    <hyperlink ref="A1981" r:id="rId1732" xr:uid="{00000000-0004-0000-0000-0000C3060000}"/>
    <hyperlink ref="A1982" r:id="rId1733" xr:uid="{00000000-0004-0000-0000-0000C4060000}"/>
    <hyperlink ref="A1983" r:id="rId1734" xr:uid="{00000000-0004-0000-0000-0000C5060000}"/>
    <hyperlink ref="A1984" r:id="rId1735" xr:uid="{00000000-0004-0000-0000-0000C6060000}"/>
    <hyperlink ref="A1985" r:id="rId1736" xr:uid="{00000000-0004-0000-0000-0000C7060000}"/>
    <hyperlink ref="A1986" r:id="rId1737" xr:uid="{00000000-0004-0000-0000-0000C8060000}"/>
    <hyperlink ref="A1987" r:id="rId1738" xr:uid="{00000000-0004-0000-0000-0000C9060000}"/>
    <hyperlink ref="A1988" r:id="rId1739" xr:uid="{00000000-0004-0000-0000-0000CA060000}"/>
    <hyperlink ref="A1990" r:id="rId1740" xr:uid="{00000000-0004-0000-0000-0000CB060000}"/>
    <hyperlink ref="A1991" r:id="rId1741" xr:uid="{00000000-0004-0000-0000-0000CC060000}"/>
    <hyperlink ref="A1992" r:id="rId1742" xr:uid="{00000000-0004-0000-0000-0000CD060000}"/>
    <hyperlink ref="A1993" r:id="rId1743" xr:uid="{00000000-0004-0000-0000-0000CE060000}"/>
    <hyperlink ref="A1996" r:id="rId1744" xr:uid="{00000000-0004-0000-0000-0000CF060000}"/>
    <hyperlink ref="A1999" r:id="rId1745" xr:uid="{00000000-0004-0000-0000-0000D0060000}"/>
    <hyperlink ref="A2002" r:id="rId1746" xr:uid="{00000000-0004-0000-0000-0000D1060000}"/>
    <hyperlink ref="A2006" r:id="rId1747" xr:uid="{00000000-0004-0000-0000-0000D2060000}"/>
    <hyperlink ref="A2007" r:id="rId1748" xr:uid="{00000000-0004-0000-0000-0000D3060000}"/>
    <hyperlink ref="A2008" r:id="rId1749" xr:uid="{00000000-0004-0000-0000-0000D4060000}"/>
    <hyperlink ref="A2009" r:id="rId1750" xr:uid="{00000000-0004-0000-0000-0000D5060000}"/>
    <hyperlink ref="A2010" r:id="rId1751" xr:uid="{00000000-0004-0000-0000-0000D6060000}"/>
    <hyperlink ref="A2011" r:id="rId1752" xr:uid="{00000000-0004-0000-0000-0000D7060000}"/>
    <hyperlink ref="A2012" r:id="rId1753" xr:uid="{00000000-0004-0000-0000-0000D8060000}"/>
    <hyperlink ref="A2013" r:id="rId1754" xr:uid="{00000000-0004-0000-0000-0000D9060000}"/>
    <hyperlink ref="A2014" r:id="rId1755" xr:uid="{00000000-0004-0000-0000-0000DA060000}"/>
    <hyperlink ref="A2015" r:id="rId1756" xr:uid="{00000000-0004-0000-0000-0000DB060000}"/>
    <hyperlink ref="A2016" r:id="rId1757" xr:uid="{00000000-0004-0000-0000-0000DC060000}"/>
    <hyperlink ref="A2017" r:id="rId1758" xr:uid="{00000000-0004-0000-0000-0000DD060000}"/>
    <hyperlink ref="A2018" r:id="rId1759" xr:uid="{00000000-0004-0000-0000-0000DE060000}"/>
    <hyperlink ref="A2019" r:id="rId1760" xr:uid="{00000000-0004-0000-0000-0000DF060000}"/>
    <hyperlink ref="A2020" r:id="rId1761" xr:uid="{00000000-0004-0000-0000-0000E0060000}"/>
    <hyperlink ref="A2023" r:id="rId1762" xr:uid="{00000000-0004-0000-0000-0000E1060000}"/>
    <hyperlink ref="A2024" r:id="rId1763" xr:uid="{00000000-0004-0000-0000-0000E2060000}"/>
    <hyperlink ref="A2025" r:id="rId1764" xr:uid="{00000000-0004-0000-0000-0000E3060000}"/>
    <hyperlink ref="A2026" r:id="rId1765" xr:uid="{00000000-0004-0000-0000-0000E4060000}"/>
    <hyperlink ref="A2027" r:id="rId1766" xr:uid="{00000000-0004-0000-0000-0000E5060000}"/>
    <hyperlink ref="A2028" r:id="rId1767" xr:uid="{00000000-0004-0000-0000-0000E6060000}"/>
    <hyperlink ref="A2029" r:id="rId1768" xr:uid="{00000000-0004-0000-0000-0000E7060000}"/>
    <hyperlink ref="A2030" r:id="rId1769" xr:uid="{00000000-0004-0000-0000-0000E8060000}"/>
    <hyperlink ref="A2031" r:id="rId1770" xr:uid="{00000000-0004-0000-0000-0000E9060000}"/>
    <hyperlink ref="A2032" r:id="rId1771" xr:uid="{00000000-0004-0000-0000-0000EA060000}"/>
    <hyperlink ref="A2033" r:id="rId1772" xr:uid="{00000000-0004-0000-0000-0000EB060000}"/>
    <hyperlink ref="A2034" r:id="rId1773" xr:uid="{00000000-0004-0000-0000-0000EC060000}"/>
    <hyperlink ref="A2035" r:id="rId1774" xr:uid="{00000000-0004-0000-0000-0000ED060000}"/>
    <hyperlink ref="A2036" r:id="rId1775" xr:uid="{00000000-0004-0000-0000-0000EE060000}"/>
    <hyperlink ref="A2037" r:id="rId1776" xr:uid="{00000000-0004-0000-0000-0000EF060000}"/>
    <hyperlink ref="A2038" r:id="rId1777" xr:uid="{00000000-0004-0000-0000-0000F0060000}"/>
    <hyperlink ref="A2039" r:id="rId1778" xr:uid="{00000000-0004-0000-0000-0000F1060000}"/>
    <hyperlink ref="A2040" r:id="rId1779" xr:uid="{00000000-0004-0000-0000-0000F2060000}"/>
    <hyperlink ref="A2042" r:id="rId1780" xr:uid="{00000000-0004-0000-0000-0000F3060000}"/>
    <hyperlink ref="A2043" r:id="rId1781" xr:uid="{00000000-0004-0000-0000-0000F4060000}"/>
    <hyperlink ref="A2044" r:id="rId1782" xr:uid="{00000000-0004-0000-0000-0000F5060000}"/>
    <hyperlink ref="A2045" r:id="rId1783" xr:uid="{00000000-0004-0000-0000-0000F6060000}"/>
    <hyperlink ref="A2046" r:id="rId1784" xr:uid="{00000000-0004-0000-0000-0000F7060000}"/>
    <hyperlink ref="A2047" r:id="rId1785" xr:uid="{00000000-0004-0000-0000-0000F8060000}"/>
    <hyperlink ref="A2048" r:id="rId1786" xr:uid="{00000000-0004-0000-0000-0000F9060000}"/>
    <hyperlink ref="A2049" r:id="rId1787" xr:uid="{00000000-0004-0000-0000-0000FA060000}"/>
    <hyperlink ref="A2050" r:id="rId1788" xr:uid="{00000000-0004-0000-0000-0000FB060000}"/>
    <hyperlink ref="A2051" r:id="rId1789" xr:uid="{00000000-0004-0000-0000-0000FC060000}"/>
    <hyperlink ref="A2052" r:id="rId1790" xr:uid="{00000000-0004-0000-0000-0000FD060000}"/>
    <hyperlink ref="A2053" r:id="rId1791" xr:uid="{00000000-0004-0000-0000-0000FE060000}"/>
    <hyperlink ref="A2054" r:id="rId1792" xr:uid="{00000000-0004-0000-0000-0000FF060000}"/>
    <hyperlink ref="A2055" r:id="rId1793" xr:uid="{00000000-0004-0000-0000-000000070000}"/>
    <hyperlink ref="A2056" r:id="rId1794" xr:uid="{00000000-0004-0000-0000-000001070000}"/>
    <hyperlink ref="A2057" r:id="rId1795" xr:uid="{00000000-0004-0000-0000-000002070000}"/>
    <hyperlink ref="A2058" r:id="rId1796" xr:uid="{00000000-0004-0000-0000-000003070000}"/>
    <hyperlink ref="A2059" r:id="rId1797" xr:uid="{00000000-0004-0000-0000-000004070000}"/>
    <hyperlink ref="A2060" r:id="rId1798" xr:uid="{00000000-0004-0000-0000-000005070000}"/>
    <hyperlink ref="A2061" r:id="rId1799" xr:uid="{00000000-0004-0000-0000-000006070000}"/>
    <hyperlink ref="A2062" r:id="rId1800" xr:uid="{00000000-0004-0000-0000-000007070000}"/>
    <hyperlink ref="A2063" r:id="rId1801" xr:uid="{00000000-0004-0000-0000-000008070000}"/>
    <hyperlink ref="A2064" r:id="rId1802" xr:uid="{00000000-0004-0000-0000-000009070000}"/>
    <hyperlink ref="A2065" r:id="rId1803" xr:uid="{00000000-0004-0000-0000-00000A070000}"/>
    <hyperlink ref="A2066" r:id="rId1804" xr:uid="{00000000-0004-0000-0000-00000B070000}"/>
    <hyperlink ref="A2067" r:id="rId1805" xr:uid="{00000000-0004-0000-0000-00000C070000}"/>
    <hyperlink ref="A2068" r:id="rId1806" xr:uid="{00000000-0004-0000-0000-00000D070000}"/>
    <hyperlink ref="A2069" r:id="rId1807" xr:uid="{00000000-0004-0000-0000-00000E070000}"/>
    <hyperlink ref="A2070" r:id="rId1808" xr:uid="{00000000-0004-0000-0000-00000F070000}"/>
    <hyperlink ref="A2071" r:id="rId1809" xr:uid="{00000000-0004-0000-0000-000010070000}"/>
    <hyperlink ref="A2072" r:id="rId1810" xr:uid="{00000000-0004-0000-0000-000011070000}"/>
    <hyperlink ref="A2073" r:id="rId1811" xr:uid="{00000000-0004-0000-0000-000012070000}"/>
    <hyperlink ref="A2074" r:id="rId1812" xr:uid="{00000000-0004-0000-0000-000013070000}"/>
    <hyperlink ref="A2075" r:id="rId1813" xr:uid="{00000000-0004-0000-0000-000014070000}"/>
    <hyperlink ref="A2076" r:id="rId1814" xr:uid="{00000000-0004-0000-0000-000015070000}"/>
    <hyperlink ref="A2077" r:id="rId1815" xr:uid="{00000000-0004-0000-0000-000016070000}"/>
    <hyperlink ref="A2078" r:id="rId1816" xr:uid="{00000000-0004-0000-0000-000017070000}"/>
    <hyperlink ref="A2079" r:id="rId1817" xr:uid="{00000000-0004-0000-0000-000018070000}"/>
    <hyperlink ref="A2080" r:id="rId1818" xr:uid="{00000000-0004-0000-0000-000019070000}"/>
    <hyperlink ref="A2081" r:id="rId1819" xr:uid="{00000000-0004-0000-0000-00001A070000}"/>
    <hyperlink ref="A2082" r:id="rId1820" xr:uid="{00000000-0004-0000-0000-00001B070000}"/>
    <hyperlink ref="A2083" r:id="rId1821" xr:uid="{00000000-0004-0000-0000-00001C070000}"/>
    <hyperlink ref="A2084" r:id="rId1822" xr:uid="{00000000-0004-0000-0000-00001D070000}"/>
    <hyperlink ref="A2085" r:id="rId1823" xr:uid="{00000000-0004-0000-0000-00001E070000}"/>
    <hyperlink ref="A2086" r:id="rId1824" xr:uid="{00000000-0004-0000-0000-00001F070000}"/>
    <hyperlink ref="A2092" r:id="rId1825" xr:uid="{00000000-0004-0000-0000-000020070000}"/>
    <hyperlink ref="A2093" r:id="rId1826" xr:uid="{00000000-0004-0000-0000-000021070000}"/>
    <hyperlink ref="A2094" r:id="rId1827" xr:uid="{00000000-0004-0000-0000-000022070000}"/>
    <hyperlink ref="A2179" r:id="rId1828" xr:uid="{00000000-0004-0000-0000-000023070000}"/>
    <hyperlink ref="A2180" r:id="rId1829" xr:uid="{00000000-0004-0000-0000-000024070000}"/>
    <hyperlink ref="A2181" r:id="rId1830" xr:uid="{00000000-0004-0000-0000-000025070000}"/>
    <hyperlink ref="A2209" r:id="rId1831" xr:uid="{00000000-0004-0000-0000-000026070000}"/>
    <hyperlink ref="A2210" r:id="rId1832" xr:uid="{00000000-0004-0000-0000-000027070000}"/>
    <hyperlink ref="A2211" r:id="rId1833" xr:uid="{00000000-0004-0000-0000-000028070000}"/>
    <hyperlink ref="A2245" r:id="rId1834" xr:uid="{00000000-0004-0000-0000-000029070000}"/>
    <hyperlink ref="A2246" r:id="rId1835" xr:uid="{00000000-0004-0000-0000-00002A070000}"/>
    <hyperlink ref="A2247" r:id="rId1836" xr:uid="{00000000-0004-0000-0000-00002B070000}"/>
    <hyperlink ref="A2277" r:id="rId1837" xr:uid="{00000000-0004-0000-0000-00002C070000}"/>
    <hyperlink ref="A2278" r:id="rId1838" xr:uid="{00000000-0004-0000-0000-00002D070000}"/>
    <hyperlink ref="A2279" r:id="rId1839" xr:uid="{00000000-0004-0000-0000-00002E070000}"/>
    <hyperlink ref="A2308" r:id="rId1840" xr:uid="{00000000-0004-0000-0000-00002F070000}"/>
    <hyperlink ref="A2309" r:id="rId1841" xr:uid="{00000000-0004-0000-0000-000030070000}"/>
    <hyperlink ref="A2310" r:id="rId1842" xr:uid="{00000000-0004-0000-0000-000031070000}"/>
    <hyperlink ref="A2439" r:id="rId1843" xr:uid="{00000000-0004-0000-0000-000032070000}"/>
    <hyperlink ref="A2440" r:id="rId1844" xr:uid="{00000000-0004-0000-0000-000033070000}"/>
    <hyperlink ref="A2441" r:id="rId1845" xr:uid="{00000000-0004-0000-0000-000034070000}"/>
    <hyperlink ref="A2489" r:id="rId1846" xr:uid="{00000000-0004-0000-0000-000035070000}"/>
    <hyperlink ref="A2490" r:id="rId1847" xr:uid="{00000000-0004-0000-0000-000036070000}"/>
    <hyperlink ref="A2491" r:id="rId1848" xr:uid="{00000000-0004-0000-0000-000037070000}"/>
    <hyperlink ref="A2493" r:id="rId1849" xr:uid="{00000000-0004-0000-0000-000038070000}"/>
    <hyperlink ref="A2494" r:id="rId1850" xr:uid="{00000000-0004-0000-0000-000039070000}"/>
    <hyperlink ref="A2495" r:id="rId1851" xr:uid="{00000000-0004-0000-0000-00003A070000}"/>
    <hyperlink ref="A2503" r:id="rId1852" xr:uid="{00000000-0004-0000-0000-00003B070000}"/>
    <hyperlink ref="A2504" r:id="rId1853" xr:uid="{00000000-0004-0000-0000-00003C070000}"/>
    <hyperlink ref="A2505" r:id="rId1854" xr:uid="{00000000-0004-0000-0000-00003D070000}"/>
    <hyperlink ref="A2510" r:id="rId1855" xr:uid="{00000000-0004-0000-0000-00003E070000}"/>
    <hyperlink ref="A2511" r:id="rId1856" xr:uid="{00000000-0004-0000-0000-00003F070000}"/>
    <hyperlink ref="A2512" r:id="rId1857" xr:uid="{00000000-0004-0000-0000-000040070000}"/>
    <hyperlink ref="A2559" r:id="rId1858" xr:uid="{00000000-0004-0000-0000-000041070000}"/>
    <hyperlink ref="A2560" r:id="rId1859" xr:uid="{00000000-0004-0000-0000-000042070000}"/>
    <hyperlink ref="A2561" r:id="rId1860" xr:uid="{00000000-0004-0000-0000-000043070000}"/>
    <hyperlink ref="A2612" r:id="rId1861" xr:uid="{00000000-0004-0000-0000-000044070000}"/>
    <hyperlink ref="A2613" r:id="rId1862" xr:uid="{00000000-0004-0000-0000-000045070000}"/>
    <hyperlink ref="A2614" r:id="rId1863" xr:uid="{00000000-0004-0000-0000-000046070000}"/>
  </hyperlinks>
  <pageMargins left="0.7" right="0.7" top="0.75" bottom="0.75" header="0.3" footer="0.3"/>
  <legacyDrawing r:id="rId186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174"/>
  <sheetViews>
    <sheetView zoomScale="72" zoomScaleNormal="72"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2" max="2" width="6.109375" customWidth="1"/>
    <col min="3" max="3" width="5.88671875" customWidth="1"/>
    <col min="4" max="4" width="52.88671875" customWidth="1"/>
    <col min="8" max="8" width="18.44140625" customWidth="1"/>
    <col min="9" max="9" width="17" customWidth="1"/>
    <col min="10" max="10" width="18.21875" customWidth="1"/>
    <col min="11" max="11" width="18.44140625" customWidth="1"/>
    <col min="12" max="12" width="17.6640625" customWidth="1"/>
    <col min="13" max="13" width="17.21875" customWidth="1"/>
    <col min="14" max="14" width="18.88671875" customWidth="1"/>
    <col min="15" max="16" width="21.44140625" customWidth="1"/>
    <col min="21" max="21" width="28.6640625" customWidth="1"/>
  </cols>
  <sheetData>
    <row r="1" spans="1:21" ht="63.75" customHeight="1">
      <c r="A1" s="193" t="s">
        <v>0</v>
      </c>
      <c r="B1" s="194" t="s">
        <v>1</v>
      </c>
      <c r="C1" s="194" t="s">
        <v>2</v>
      </c>
      <c r="D1" s="193" t="s">
        <v>3</v>
      </c>
      <c r="E1" s="193" t="s">
        <v>4</v>
      </c>
      <c r="F1" s="193" t="s">
        <v>6</v>
      </c>
      <c r="G1" s="195" t="s">
        <v>5</v>
      </c>
      <c r="H1" s="196" t="s">
        <v>8</v>
      </c>
      <c r="I1" s="196" t="s">
        <v>9</v>
      </c>
      <c r="J1" s="196" t="s">
        <v>11</v>
      </c>
      <c r="K1" s="196" t="s">
        <v>12</v>
      </c>
      <c r="L1" s="196" t="s">
        <v>13</v>
      </c>
      <c r="M1" s="197" t="s">
        <v>16</v>
      </c>
      <c r="N1" s="197" t="s">
        <v>15</v>
      </c>
      <c r="O1" s="198" t="s">
        <v>5206</v>
      </c>
      <c r="P1" s="198" t="s">
        <v>5207</v>
      </c>
      <c r="Q1" s="199" t="s">
        <v>20</v>
      </c>
      <c r="R1" s="199" t="s">
        <v>26</v>
      </c>
      <c r="S1" s="199" t="s">
        <v>27</v>
      </c>
      <c r="T1" s="199" t="s">
        <v>28</v>
      </c>
      <c r="U1" s="197" t="s">
        <v>35</v>
      </c>
    </row>
    <row r="2" spans="1:21" ht="16.8">
      <c r="A2" s="200" t="s">
        <v>5208</v>
      </c>
      <c r="B2" s="201">
        <v>1</v>
      </c>
      <c r="C2" s="202" t="s">
        <v>5070</v>
      </c>
      <c r="D2" s="203" t="s">
        <v>5209</v>
      </c>
      <c r="E2" s="203" t="s">
        <v>5210</v>
      </c>
      <c r="F2" s="203">
        <v>2021</v>
      </c>
      <c r="G2" s="203">
        <v>1975</v>
      </c>
      <c r="H2" s="204">
        <v>1592951748069</v>
      </c>
      <c r="I2" s="204">
        <v>666547625424</v>
      </c>
      <c r="J2" s="204">
        <v>666155125424</v>
      </c>
      <c r="K2" s="204">
        <v>926404122645</v>
      </c>
      <c r="L2" s="204">
        <v>1198699189061</v>
      </c>
      <c r="M2" s="204">
        <f>6787143285+8972183476</f>
        <v>15759326761</v>
      </c>
      <c r="N2" s="204">
        <v>65351945620</v>
      </c>
      <c r="O2" s="205">
        <f t="shared" ref="O2:O256" si="0">N2/H2</f>
        <v>4.1025690639544234E-2</v>
      </c>
      <c r="P2" s="205">
        <f t="shared" ref="P2:P256" si="1">I2/H2</f>
        <v>0.41843554033070934</v>
      </c>
      <c r="Q2" s="206">
        <f t="shared" ref="Q2:Q256" si="2">LN(H2)</f>
        <v>28.096609856422191</v>
      </c>
      <c r="R2" s="206">
        <f t="shared" ref="R2:R256" si="3">F2-G2</f>
        <v>46</v>
      </c>
      <c r="S2" s="32">
        <v>1.84E-2</v>
      </c>
      <c r="T2" s="32">
        <v>2.58E-2</v>
      </c>
      <c r="U2" s="203"/>
    </row>
    <row r="3" spans="1:21" ht="16.8">
      <c r="A3" s="200" t="s">
        <v>5211</v>
      </c>
      <c r="B3" s="201"/>
      <c r="C3" s="202" t="s">
        <v>5070</v>
      </c>
      <c r="D3" s="203" t="s">
        <v>5209</v>
      </c>
      <c r="E3" s="203" t="s">
        <v>5210</v>
      </c>
      <c r="F3" s="203">
        <v>2022</v>
      </c>
      <c r="G3" s="203">
        <v>1975</v>
      </c>
      <c r="H3" s="204">
        <v>1669271116551</v>
      </c>
      <c r="I3" s="204">
        <v>763594899943</v>
      </c>
      <c r="J3" s="204">
        <v>762417399943</v>
      </c>
      <c r="K3" s="204">
        <v>905676216608</v>
      </c>
      <c r="L3" s="204">
        <v>1605396430616</v>
      </c>
      <c r="M3" s="204">
        <f>6051108067+14031541636</f>
        <v>20082649703</v>
      </c>
      <c r="N3" s="204">
        <v>22539691244</v>
      </c>
      <c r="O3" s="205">
        <f t="shared" si="0"/>
        <v>1.350271446053105E-2</v>
      </c>
      <c r="P3" s="205">
        <f t="shared" si="1"/>
        <v>0.45744210893717363</v>
      </c>
      <c r="Q3" s="206">
        <f t="shared" si="2"/>
        <v>28.143408189926976</v>
      </c>
      <c r="R3" s="206">
        <f t="shared" si="3"/>
        <v>47</v>
      </c>
      <c r="S3" s="32">
        <v>3.15E-2</v>
      </c>
      <c r="T3" s="32">
        <v>8.0199999999999994E-2</v>
      </c>
      <c r="U3" s="203"/>
    </row>
    <row r="4" spans="1:21" ht="16.8">
      <c r="A4" s="200" t="s">
        <v>5212</v>
      </c>
      <c r="B4" s="201"/>
      <c r="C4" s="202" t="s">
        <v>5070</v>
      </c>
      <c r="D4" s="203" t="s">
        <v>5209</v>
      </c>
      <c r="E4" s="203" t="s">
        <v>5210</v>
      </c>
      <c r="F4" s="203">
        <v>2023</v>
      </c>
      <c r="G4" s="203">
        <v>1975</v>
      </c>
      <c r="H4" s="204">
        <v>1579205344498</v>
      </c>
      <c r="I4" s="204">
        <v>665242118219</v>
      </c>
      <c r="J4" s="204">
        <v>664304618219</v>
      </c>
      <c r="K4" s="204">
        <v>913963226279</v>
      </c>
      <c r="L4" s="204">
        <v>1025222515712</v>
      </c>
      <c r="M4" s="204">
        <f>5852109940+38766279452</f>
        <v>44618389392</v>
      </c>
      <c r="N4" s="204">
        <v>8287009671</v>
      </c>
      <c r="O4" s="205">
        <f t="shared" si="0"/>
        <v>5.2475820828951705E-3</v>
      </c>
      <c r="P4" s="205">
        <f t="shared" si="1"/>
        <v>0.4212511821446932</v>
      </c>
      <c r="Q4" s="206">
        <f t="shared" si="2"/>
        <v>28.087942889927145</v>
      </c>
      <c r="R4" s="206">
        <f t="shared" si="3"/>
        <v>48</v>
      </c>
      <c r="S4" s="32">
        <v>3.2500000000000001E-2</v>
      </c>
      <c r="T4" s="32">
        <v>5.0500000000000003E-2</v>
      </c>
      <c r="U4" s="203"/>
    </row>
    <row r="5" spans="1:21" ht="16.8">
      <c r="A5" s="200" t="s">
        <v>5213</v>
      </c>
      <c r="B5" s="201">
        <v>2</v>
      </c>
      <c r="C5" s="202" t="s">
        <v>5072</v>
      </c>
      <c r="D5" s="203" t="s">
        <v>5214</v>
      </c>
      <c r="E5" s="203" t="s">
        <v>5210</v>
      </c>
      <c r="F5" s="203">
        <v>2021</v>
      </c>
      <c r="G5" s="203">
        <v>2008</v>
      </c>
      <c r="H5" s="204">
        <v>449600789258</v>
      </c>
      <c r="I5" s="204">
        <v>180148111893</v>
      </c>
      <c r="J5" s="204">
        <v>177907103818</v>
      </c>
      <c r="K5" s="204">
        <v>269452677364</v>
      </c>
      <c r="L5" s="204">
        <v>585931386815</v>
      </c>
      <c r="M5" s="204">
        <f>17410517988+20969249968</f>
        <v>38379767956</v>
      </c>
      <c r="N5" s="204">
        <v>38665781450</v>
      </c>
      <c r="O5" s="205">
        <f t="shared" si="0"/>
        <v>8.6000252610348368E-2</v>
      </c>
      <c r="P5" s="205">
        <f t="shared" si="1"/>
        <v>0.40068459886449037</v>
      </c>
      <c r="Q5" s="206">
        <f t="shared" si="2"/>
        <v>26.831625890991432</v>
      </c>
      <c r="R5" s="206">
        <f t="shared" si="3"/>
        <v>13</v>
      </c>
      <c r="S5" s="32">
        <v>1.84E-2</v>
      </c>
      <c r="T5" s="32">
        <v>2.58E-2</v>
      </c>
      <c r="U5" s="203"/>
    </row>
    <row r="6" spans="1:21" ht="16.8">
      <c r="A6" s="200" t="s">
        <v>5215</v>
      </c>
      <c r="B6" s="201"/>
      <c r="C6" s="202" t="s">
        <v>5072</v>
      </c>
      <c r="D6" s="203" t="s">
        <v>5214</v>
      </c>
      <c r="E6" s="203" t="s">
        <v>5210</v>
      </c>
      <c r="F6" s="203">
        <v>2022</v>
      </c>
      <c r="G6" s="203">
        <v>2008</v>
      </c>
      <c r="H6" s="204">
        <v>409722656773</v>
      </c>
      <c r="I6" s="204">
        <v>84998068448</v>
      </c>
      <c r="J6" s="204">
        <v>82180916257</v>
      </c>
      <c r="K6" s="204">
        <v>324724588325</v>
      </c>
      <c r="L6" s="204">
        <v>536831515880</v>
      </c>
      <c r="M6" s="204">
        <f>21251368034+24599244248</f>
        <v>45850612282</v>
      </c>
      <c r="N6" s="204">
        <v>52682672025</v>
      </c>
      <c r="O6" s="205">
        <f t="shared" si="0"/>
        <v>0.12858130043364421</v>
      </c>
      <c r="P6" s="205">
        <f t="shared" si="1"/>
        <v>0.20745269279822073</v>
      </c>
      <c r="Q6" s="206">
        <f t="shared" si="2"/>
        <v>26.738746320856212</v>
      </c>
      <c r="R6" s="206">
        <f t="shared" si="3"/>
        <v>14</v>
      </c>
      <c r="S6" s="32">
        <v>3.15E-2</v>
      </c>
      <c r="T6" s="32">
        <v>8.0199999999999994E-2</v>
      </c>
      <c r="U6" s="203"/>
    </row>
    <row r="7" spans="1:21" ht="16.8">
      <c r="A7" s="200" t="s">
        <v>5216</v>
      </c>
      <c r="B7" s="201"/>
      <c r="C7" s="202" t="s">
        <v>5072</v>
      </c>
      <c r="D7" s="203" t="s">
        <v>5214</v>
      </c>
      <c r="E7" s="203" t="s">
        <v>5210</v>
      </c>
      <c r="F7" s="203">
        <v>2023</v>
      </c>
      <c r="G7" s="203">
        <v>2008</v>
      </c>
      <c r="H7" s="204">
        <v>449894141551</v>
      </c>
      <c r="I7" s="204">
        <v>103725123616</v>
      </c>
      <c r="J7" s="204">
        <v>100784993780</v>
      </c>
      <c r="K7" s="204">
        <v>346169017935</v>
      </c>
      <c r="L7" s="204">
        <v>411871183400</v>
      </c>
      <c r="M7" s="204">
        <f>27187986035+31049471776</f>
        <v>58237457811</v>
      </c>
      <c r="N7" s="204">
        <v>22242445322</v>
      </c>
      <c r="O7" s="205">
        <f t="shared" si="0"/>
        <v>4.9439286418177547E-2</v>
      </c>
      <c r="P7" s="205">
        <f t="shared" si="1"/>
        <v>0.23055451057533213</v>
      </c>
      <c r="Q7" s="206">
        <f t="shared" si="2"/>
        <v>26.832278151039496</v>
      </c>
      <c r="R7" s="206">
        <f t="shared" si="3"/>
        <v>15</v>
      </c>
      <c r="S7" s="32">
        <v>3.2500000000000001E-2</v>
      </c>
      <c r="T7" s="32">
        <v>5.0500000000000003E-2</v>
      </c>
      <c r="U7" s="203"/>
    </row>
    <row r="8" spans="1:21" ht="16.8">
      <c r="A8" s="200" t="s">
        <v>4004</v>
      </c>
      <c r="B8" s="201">
        <v>3</v>
      </c>
      <c r="C8" s="202" t="s">
        <v>4005</v>
      </c>
      <c r="D8" s="203" t="s">
        <v>4006</v>
      </c>
      <c r="E8" s="203" t="s">
        <v>5210</v>
      </c>
      <c r="F8" s="203">
        <v>2021</v>
      </c>
      <c r="G8" s="203">
        <v>1970</v>
      </c>
      <c r="H8" s="204">
        <v>330930226485</v>
      </c>
      <c r="I8" s="204">
        <v>52864665516</v>
      </c>
      <c r="J8" s="204">
        <v>52864665516</v>
      </c>
      <c r="K8" s="204">
        <v>278065560969</v>
      </c>
      <c r="L8" s="204">
        <v>416354104341</v>
      </c>
      <c r="M8" s="204">
        <f>17988693626+17517041268</f>
        <v>35505734894</v>
      </c>
      <c r="N8" s="204">
        <v>49583636438</v>
      </c>
      <c r="O8" s="205">
        <f t="shared" si="0"/>
        <v>0.14983108966701617</v>
      </c>
      <c r="P8" s="205">
        <f t="shared" si="1"/>
        <v>0.15974565417461553</v>
      </c>
      <c r="Q8" s="206">
        <f t="shared" si="2"/>
        <v>26.525173393985025</v>
      </c>
      <c r="R8" s="206">
        <f t="shared" si="3"/>
        <v>51</v>
      </c>
      <c r="S8" s="32">
        <v>1.84E-2</v>
      </c>
      <c r="T8" s="32">
        <v>2.58E-2</v>
      </c>
      <c r="U8" s="203"/>
    </row>
    <row r="9" spans="1:21" ht="16.8">
      <c r="A9" s="200" t="s">
        <v>4007</v>
      </c>
      <c r="B9" s="201"/>
      <c r="C9" s="202" t="s">
        <v>4005</v>
      </c>
      <c r="D9" s="203" t="s">
        <v>4006</v>
      </c>
      <c r="E9" s="203" t="s">
        <v>5210</v>
      </c>
      <c r="F9" s="203">
        <v>2022</v>
      </c>
      <c r="G9" s="203">
        <v>1970</v>
      </c>
      <c r="H9" s="204">
        <v>358503421432</v>
      </c>
      <c r="I9" s="204">
        <v>84167434784</v>
      </c>
      <c r="J9" s="204">
        <v>84167434784</v>
      </c>
      <c r="K9" s="204">
        <v>274335986648</v>
      </c>
      <c r="L9" s="204">
        <v>589119603059</v>
      </c>
      <c r="M9" s="204">
        <f>22949104554+23816505625</f>
        <v>46765610179</v>
      </c>
      <c r="N9" s="204">
        <v>40046140679</v>
      </c>
      <c r="O9" s="205">
        <f t="shared" si="0"/>
        <v>0.11170364990950539</v>
      </c>
      <c r="P9" s="205">
        <f t="shared" si="1"/>
        <v>0.23477442543728877</v>
      </c>
      <c r="Q9" s="206">
        <f t="shared" si="2"/>
        <v>26.605204040683919</v>
      </c>
      <c r="R9" s="206">
        <f t="shared" si="3"/>
        <v>52</v>
      </c>
      <c r="S9" s="32">
        <v>3.15E-2</v>
      </c>
      <c r="T9" s="32">
        <v>8.0199999999999994E-2</v>
      </c>
      <c r="U9" s="203"/>
    </row>
    <row r="10" spans="1:21" ht="16.8">
      <c r="A10" s="200" t="s">
        <v>4008</v>
      </c>
      <c r="B10" s="201"/>
      <c r="C10" s="202" t="s">
        <v>4005</v>
      </c>
      <c r="D10" s="203" t="s">
        <v>4006</v>
      </c>
      <c r="E10" s="203" t="s">
        <v>5210</v>
      </c>
      <c r="F10" s="203">
        <v>2023</v>
      </c>
      <c r="G10" s="203">
        <v>1970</v>
      </c>
      <c r="H10" s="204">
        <v>381328610120</v>
      </c>
      <c r="I10" s="204">
        <v>94138398232</v>
      </c>
      <c r="J10" s="204">
        <v>94138398232</v>
      </c>
      <c r="K10" s="204">
        <v>287190211888</v>
      </c>
      <c r="L10" s="204">
        <v>519137972340</v>
      </c>
      <c r="M10" s="204">
        <f>15444303273+20385005461</f>
        <v>35829308734</v>
      </c>
      <c r="N10" s="204">
        <v>58934029150</v>
      </c>
      <c r="O10" s="205">
        <f t="shared" si="0"/>
        <v>0.15454919349338644</v>
      </c>
      <c r="P10" s="205">
        <f t="shared" si="1"/>
        <v>0.24686948666761632</v>
      </c>
      <c r="Q10" s="206">
        <f t="shared" si="2"/>
        <v>26.666927334092385</v>
      </c>
      <c r="R10" s="206">
        <f t="shared" si="3"/>
        <v>53</v>
      </c>
      <c r="S10" s="32">
        <v>3.2500000000000001E-2</v>
      </c>
      <c r="T10" s="32">
        <v>5.0500000000000003E-2</v>
      </c>
      <c r="U10" s="203"/>
    </row>
    <row r="11" spans="1:21" ht="31.2">
      <c r="A11" s="200" t="s">
        <v>5217</v>
      </c>
      <c r="B11" s="201">
        <v>4</v>
      </c>
      <c r="C11" s="202" t="s">
        <v>2418</v>
      </c>
      <c r="D11" s="203" t="s">
        <v>5218</v>
      </c>
      <c r="E11" s="203" t="s">
        <v>5210</v>
      </c>
      <c r="F11" s="203">
        <v>2021</v>
      </c>
      <c r="G11" s="203">
        <v>1976</v>
      </c>
      <c r="H11" s="204">
        <v>1856416043823</v>
      </c>
      <c r="I11" s="204">
        <v>1373757471254</v>
      </c>
      <c r="J11" s="204">
        <v>1029553766087</v>
      </c>
      <c r="K11" s="204">
        <v>482658572569</v>
      </c>
      <c r="L11" s="204">
        <v>3931417745703</v>
      </c>
      <c r="M11" s="204">
        <f>176170896878+36235694251</f>
        <v>212406591129</v>
      </c>
      <c r="N11" s="204">
        <v>44712467421</v>
      </c>
      <c r="O11" s="205">
        <f t="shared" si="0"/>
        <v>2.4085370070882187E-2</v>
      </c>
      <c r="P11" s="205">
        <f t="shared" si="1"/>
        <v>0.74000517062164595</v>
      </c>
      <c r="Q11" s="206">
        <f t="shared" si="2"/>
        <v>28.249668886714677</v>
      </c>
      <c r="R11" s="206">
        <f t="shared" si="3"/>
        <v>45</v>
      </c>
      <c r="S11" s="32">
        <v>1.84E-2</v>
      </c>
      <c r="T11" s="32">
        <v>2.58E-2</v>
      </c>
      <c r="U11" s="203"/>
    </row>
    <row r="12" spans="1:21" ht="31.2">
      <c r="A12" s="200" t="s">
        <v>5219</v>
      </c>
      <c r="B12" s="201"/>
      <c r="C12" s="202" t="s">
        <v>2418</v>
      </c>
      <c r="D12" s="203" t="s">
        <v>5218</v>
      </c>
      <c r="E12" s="203" t="s">
        <v>5210</v>
      </c>
      <c r="F12" s="203">
        <v>2022</v>
      </c>
      <c r="G12" s="203">
        <v>1976</v>
      </c>
      <c r="H12" s="204">
        <v>1580799210745</v>
      </c>
      <c r="I12" s="204">
        <v>1288785900554</v>
      </c>
      <c r="J12" s="204">
        <v>1028891503676</v>
      </c>
      <c r="K12" s="204">
        <v>292013310190</v>
      </c>
      <c r="L12" s="204">
        <v>3432577474767</v>
      </c>
      <c r="M12" s="204">
        <f>200410712380+141827661457</f>
        <v>342238373837</v>
      </c>
      <c r="N12" s="204">
        <v>-232982758970</v>
      </c>
      <c r="O12" s="205">
        <f t="shared" si="0"/>
        <v>-0.14738289175903607</v>
      </c>
      <c r="P12" s="205">
        <f t="shared" si="1"/>
        <v>0.81527488867268616</v>
      </c>
      <c r="Q12" s="206">
        <f t="shared" si="2"/>
        <v>28.088951664664208</v>
      </c>
      <c r="R12" s="206">
        <f t="shared" si="3"/>
        <v>46</v>
      </c>
      <c r="S12" s="32">
        <v>3.15E-2</v>
      </c>
      <c r="T12" s="32">
        <v>8.0199999999999994E-2</v>
      </c>
      <c r="U12" s="203"/>
    </row>
    <row r="13" spans="1:21" ht="31.2">
      <c r="A13" s="200" t="s">
        <v>5220</v>
      </c>
      <c r="B13" s="201"/>
      <c r="C13" s="202" t="s">
        <v>2418</v>
      </c>
      <c r="D13" s="203" t="s">
        <v>5218</v>
      </c>
      <c r="E13" s="203" t="s">
        <v>5210</v>
      </c>
      <c r="F13" s="203">
        <v>2023</v>
      </c>
      <c r="G13" s="203">
        <v>1976</v>
      </c>
      <c r="H13" s="204">
        <v>1237079775333</v>
      </c>
      <c r="I13" s="204">
        <v>1215253196135</v>
      </c>
      <c r="J13" s="204">
        <v>1182332669362</v>
      </c>
      <c r="K13" s="204">
        <v>21826579198</v>
      </c>
      <c r="L13" s="204">
        <v>788771843867</v>
      </c>
      <c r="M13" s="204">
        <f>46464451126+67091195302</f>
        <v>113555646428</v>
      </c>
      <c r="N13" s="204">
        <v>-220865607056</v>
      </c>
      <c r="O13" s="205">
        <f t="shared" si="0"/>
        <v>-0.17853788531669018</v>
      </c>
      <c r="P13" s="205">
        <f t="shared" si="1"/>
        <v>0.98235636889939082</v>
      </c>
      <c r="Q13" s="206">
        <f t="shared" si="2"/>
        <v>27.843774698231961</v>
      </c>
      <c r="R13" s="206">
        <f t="shared" si="3"/>
        <v>47</v>
      </c>
      <c r="S13" s="32">
        <v>3.2500000000000001E-2</v>
      </c>
      <c r="T13" s="32">
        <v>5.0500000000000003E-2</v>
      </c>
      <c r="U13" s="203"/>
    </row>
    <row r="14" spans="1:21" ht="16.8">
      <c r="A14" s="200" t="s">
        <v>5221</v>
      </c>
      <c r="B14" s="201">
        <v>5</v>
      </c>
      <c r="C14" s="202" t="s">
        <v>2435</v>
      </c>
      <c r="D14" s="203" t="s">
        <v>2436</v>
      </c>
      <c r="E14" s="203" t="s">
        <v>5210</v>
      </c>
      <c r="F14" s="203">
        <v>2021</v>
      </c>
      <c r="G14" s="203">
        <v>2003</v>
      </c>
      <c r="H14" s="204">
        <v>999849947592</v>
      </c>
      <c r="I14" s="204">
        <v>364592879073</v>
      </c>
      <c r="J14" s="204">
        <v>43215770191</v>
      </c>
      <c r="K14" s="204">
        <v>635257068519</v>
      </c>
      <c r="L14" s="204">
        <v>128544187669</v>
      </c>
      <c r="M14" s="204">
        <f>5428747780+27721279283</f>
        <v>33150027063</v>
      </c>
      <c r="N14" s="204">
        <v>-1595270215</v>
      </c>
      <c r="O14" s="205">
        <f t="shared" si="0"/>
        <v>-1.5955096250612275E-3</v>
      </c>
      <c r="P14" s="205">
        <f t="shared" si="1"/>
        <v>0.3646475953227496</v>
      </c>
      <c r="Q14" s="206">
        <f t="shared" si="2"/>
        <v>27.630871052261558</v>
      </c>
      <c r="R14" s="206">
        <f t="shared" si="3"/>
        <v>18</v>
      </c>
      <c r="S14" s="32">
        <v>1.84E-2</v>
      </c>
      <c r="T14" s="32">
        <v>2.58E-2</v>
      </c>
      <c r="U14" s="203"/>
    </row>
    <row r="15" spans="1:21" ht="16.8">
      <c r="A15" s="200" t="s">
        <v>5222</v>
      </c>
      <c r="B15" s="201"/>
      <c r="C15" s="202" t="s">
        <v>2435</v>
      </c>
      <c r="D15" s="203" t="s">
        <v>2436</v>
      </c>
      <c r="E15" s="203" t="s">
        <v>5210</v>
      </c>
      <c r="F15" s="203">
        <v>2022</v>
      </c>
      <c r="G15" s="203">
        <v>2003</v>
      </c>
      <c r="H15" s="204">
        <v>973918540819</v>
      </c>
      <c r="I15" s="204">
        <v>347668563855</v>
      </c>
      <c r="J15" s="204">
        <v>87491454973</v>
      </c>
      <c r="K15" s="204">
        <v>626249976964</v>
      </c>
      <c r="L15" s="204">
        <v>135739780744</v>
      </c>
      <c r="M15" s="204">
        <f>5885626283+27250138940</f>
        <v>33135765223</v>
      </c>
      <c r="N15" s="204">
        <v>-9007091555</v>
      </c>
      <c r="O15" s="205">
        <f t="shared" si="0"/>
        <v>-9.248300733062995E-3</v>
      </c>
      <c r="P15" s="205">
        <f t="shared" si="1"/>
        <v>0.35697909967155378</v>
      </c>
      <c r="Q15" s="206">
        <f t="shared" si="2"/>
        <v>27.6045935034354</v>
      </c>
      <c r="R15" s="206">
        <f t="shared" si="3"/>
        <v>19</v>
      </c>
      <c r="S15" s="32">
        <v>3.15E-2</v>
      </c>
      <c r="T15" s="32">
        <v>8.0199999999999994E-2</v>
      </c>
      <c r="U15" s="203"/>
    </row>
    <row r="16" spans="1:21" ht="16.8">
      <c r="A16" s="200" t="s">
        <v>5223</v>
      </c>
      <c r="B16" s="201"/>
      <c r="C16" s="202" t="s">
        <v>2435</v>
      </c>
      <c r="D16" s="203" t="s">
        <v>2436</v>
      </c>
      <c r="E16" s="203" t="s">
        <v>5210</v>
      </c>
      <c r="F16" s="203">
        <v>2023</v>
      </c>
      <c r="G16" s="203">
        <v>2003</v>
      </c>
      <c r="H16" s="204">
        <v>890474467592</v>
      </c>
      <c r="I16" s="204">
        <v>299833546989</v>
      </c>
      <c r="J16" s="204">
        <v>114056438107</v>
      </c>
      <c r="K16" s="204">
        <v>590640920603</v>
      </c>
      <c r="L16" s="204">
        <v>117910322495</v>
      </c>
      <c r="M16" s="204">
        <f>4832639449+27968518839</f>
        <v>32801158288</v>
      </c>
      <c r="N16" s="204">
        <v>-35609056361</v>
      </c>
      <c r="O16" s="205">
        <f t="shared" si="0"/>
        <v>-3.9988857240672117E-2</v>
      </c>
      <c r="P16" s="205">
        <f t="shared" si="1"/>
        <v>0.33671212134785045</v>
      </c>
      <c r="Q16" s="206">
        <f t="shared" si="2"/>
        <v>27.51502026727406</v>
      </c>
      <c r="R16" s="206">
        <f t="shared" si="3"/>
        <v>20</v>
      </c>
      <c r="S16" s="32">
        <v>3.2500000000000001E-2</v>
      </c>
      <c r="T16" s="32">
        <v>5.0500000000000003E-2</v>
      </c>
      <c r="U16" s="203"/>
    </row>
    <row r="17" spans="1:21" ht="16.8">
      <c r="A17" s="200" t="s">
        <v>5224</v>
      </c>
      <c r="B17" s="201">
        <v>6</v>
      </c>
      <c r="C17" s="202" t="s">
        <v>5074</v>
      </c>
      <c r="D17" s="203" t="s">
        <v>5225</v>
      </c>
      <c r="E17" s="203" t="s">
        <v>5210</v>
      </c>
      <c r="F17" s="203">
        <v>2021</v>
      </c>
      <c r="G17" s="203">
        <v>2017</v>
      </c>
      <c r="H17" s="204">
        <v>12328067527500</v>
      </c>
      <c r="I17" s="204">
        <v>6385130555343</v>
      </c>
      <c r="J17" s="204">
        <v>4165330153571</v>
      </c>
      <c r="K17" s="204">
        <v>5942936972157</v>
      </c>
      <c r="L17" s="204">
        <v>14812357111927</v>
      </c>
      <c r="M17" s="204">
        <f>936812769118+361769177230</f>
        <v>1298581946348</v>
      </c>
      <c r="N17" s="204">
        <v>238449222687</v>
      </c>
      <c r="O17" s="205">
        <f t="shared" si="0"/>
        <v>1.9341978956158017E-2</v>
      </c>
      <c r="P17" s="205">
        <f t="shared" si="1"/>
        <v>0.51793442411795709</v>
      </c>
      <c r="Q17" s="206">
        <f t="shared" si="2"/>
        <v>30.142899691502745</v>
      </c>
      <c r="R17" s="206">
        <f t="shared" si="3"/>
        <v>4</v>
      </c>
      <c r="S17" s="32">
        <v>1.84E-2</v>
      </c>
      <c r="T17" s="32">
        <v>2.58E-2</v>
      </c>
      <c r="U17" s="203"/>
    </row>
    <row r="18" spans="1:21" ht="16.8">
      <c r="A18" s="200" t="s">
        <v>5226</v>
      </c>
      <c r="B18" s="201"/>
      <c r="C18" s="202" t="s">
        <v>5074</v>
      </c>
      <c r="D18" s="203" t="s">
        <v>5225</v>
      </c>
      <c r="E18" s="203" t="s">
        <v>5210</v>
      </c>
      <c r="F18" s="203">
        <v>2022</v>
      </c>
      <c r="G18" s="203">
        <v>2017</v>
      </c>
      <c r="H18" s="204">
        <v>12372475972629</v>
      </c>
      <c r="I18" s="204">
        <v>6297880001215</v>
      </c>
      <c r="J18" s="204">
        <v>4235154770359</v>
      </c>
      <c r="K18" s="204">
        <v>6256280166844</v>
      </c>
      <c r="L18" s="204">
        <v>17354978265243</v>
      </c>
      <c r="M18" s="204">
        <f>849701030270+427331983950</f>
        <v>1277033014220</v>
      </c>
      <c r="N18" s="204">
        <v>57410119979</v>
      </c>
      <c r="O18" s="205">
        <f t="shared" si="0"/>
        <v>4.6401480274445867E-3</v>
      </c>
      <c r="P18" s="205">
        <f t="shared" si="1"/>
        <v>0.50902341739418044</v>
      </c>
      <c r="Q18" s="206">
        <f t="shared" si="2"/>
        <v>30.146495441772505</v>
      </c>
      <c r="R18" s="206">
        <f t="shared" si="3"/>
        <v>5</v>
      </c>
      <c r="S18" s="32">
        <v>3.15E-2</v>
      </c>
      <c r="T18" s="32">
        <v>8.0199999999999994E-2</v>
      </c>
      <c r="U18" s="203"/>
    </row>
    <row r="19" spans="1:21" ht="16.8">
      <c r="A19" s="200" t="s">
        <v>5227</v>
      </c>
      <c r="B19" s="201"/>
      <c r="C19" s="202" t="s">
        <v>5074</v>
      </c>
      <c r="D19" s="203" t="s">
        <v>5225</v>
      </c>
      <c r="E19" s="203" t="s">
        <v>5210</v>
      </c>
      <c r="F19" s="203">
        <v>2023</v>
      </c>
      <c r="G19" s="203">
        <v>2017</v>
      </c>
      <c r="H19" s="204">
        <v>12554160168059</v>
      </c>
      <c r="I19" s="204">
        <v>6645048176169</v>
      </c>
      <c r="J19" s="204">
        <v>4661655654126</v>
      </c>
      <c r="K19" s="204">
        <v>5727427796460</v>
      </c>
      <c r="L19" s="204">
        <v>14530290338324</v>
      </c>
      <c r="M19" s="204">
        <f>600039044890+476006882373</f>
        <v>1076045927263</v>
      </c>
      <c r="N19" s="204">
        <v>219282878375</v>
      </c>
      <c r="O19" s="205">
        <f t="shared" si="0"/>
        <v>1.7466949237505493E-2</v>
      </c>
      <c r="P19" s="205">
        <f t="shared" si="1"/>
        <v>0.52931045065648474</v>
      </c>
      <c r="Q19" s="206">
        <f t="shared" si="2"/>
        <v>30.161073214071241</v>
      </c>
      <c r="R19" s="206">
        <f t="shared" si="3"/>
        <v>6</v>
      </c>
      <c r="S19" s="32">
        <v>3.2500000000000001E-2</v>
      </c>
      <c r="T19" s="32">
        <v>5.0500000000000003E-2</v>
      </c>
      <c r="U19" s="203"/>
    </row>
    <row r="20" spans="1:21" ht="16.8">
      <c r="A20" s="200" t="s">
        <v>5228</v>
      </c>
      <c r="B20" s="201">
        <v>7</v>
      </c>
      <c r="C20" s="202" t="s">
        <v>5075</v>
      </c>
      <c r="D20" s="203" t="s">
        <v>5229</v>
      </c>
      <c r="E20" s="203" t="s">
        <v>5210</v>
      </c>
      <c r="F20" s="203">
        <v>2021</v>
      </c>
      <c r="G20" s="203">
        <v>2010</v>
      </c>
      <c r="H20" s="204">
        <v>2140068443648</v>
      </c>
      <c r="I20" s="204">
        <v>759187148723</v>
      </c>
      <c r="J20" s="204">
        <v>414908934216</v>
      </c>
      <c r="K20" s="204">
        <v>1380881294925</v>
      </c>
      <c r="L20" s="204">
        <v>722200202004</v>
      </c>
      <c r="M20" s="204">
        <f>5157685533+103629284816</f>
        <v>108786970349</v>
      </c>
      <c r="N20" s="204">
        <v>34944462203</v>
      </c>
      <c r="O20" s="205">
        <f t="shared" si="0"/>
        <v>1.6328665705398201E-2</v>
      </c>
      <c r="P20" s="205">
        <f t="shared" si="1"/>
        <v>0.35474900392852654</v>
      </c>
      <c r="Q20" s="206">
        <f t="shared" si="2"/>
        <v>28.391858927463947</v>
      </c>
      <c r="R20" s="206">
        <f t="shared" si="3"/>
        <v>11</v>
      </c>
      <c r="S20" s="32">
        <v>1.84E-2</v>
      </c>
      <c r="T20" s="32">
        <v>2.58E-2</v>
      </c>
      <c r="U20" s="203"/>
    </row>
    <row r="21" spans="1:21" ht="16.8">
      <c r="A21" s="200" t="s">
        <v>5230</v>
      </c>
      <c r="B21" s="201"/>
      <c r="C21" s="202" t="s">
        <v>5075</v>
      </c>
      <c r="D21" s="203" t="s">
        <v>5229</v>
      </c>
      <c r="E21" s="203" t="s">
        <v>5210</v>
      </c>
      <c r="F21" s="203">
        <v>2022</v>
      </c>
      <c r="G21" s="203">
        <v>2010</v>
      </c>
      <c r="H21" s="204">
        <v>3030948819243</v>
      </c>
      <c r="I21" s="204">
        <v>1206074487228</v>
      </c>
      <c r="J21" s="204">
        <v>599900634356</v>
      </c>
      <c r="K21" s="204">
        <v>1824874332015</v>
      </c>
      <c r="L21" s="204">
        <v>1979717131195</v>
      </c>
      <c r="M21" s="204">
        <f>8375215228+196096380007</f>
        <v>204471595235</v>
      </c>
      <c r="N21" s="204">
        <v>152228508245</v>
      </c>
      <c r="O21" s="205">
        <f t="shared" si="0"/>
        <v>5.0224704316524919E-2</v>
      </c>
      <c r="P21" s="205">
        <f t="shared" si="1"/>
        <v>0.39791977996158484</v>
      </c>
      <c r="Q21" s="206">
        <f t="shared" si="2"/>
        <v>28.739896828095564</v>
      </c>
      <c r="R21" s="206">
        <f t="shared" si="3"/>
        <v>12</v>
      </c>
      <c r="S21" s="32">
        <v>3.15E-2</v>
      </c>
      <c r="T21" s="32">
        <v>8.0199999999999994E-2</v>
      </c>
      <c r="U21" s="203"/>
    </row>
    <row r="22" spans="1:21" ht="16.8">
      <c r="A22" s="200" t="s">
        <v>5231</v>
      </c>
      <c r="B22" s="201"/>
      <c r="C22" s="202" t="s">
        <v>5075</v>
      </c>
      <c r="D22" s="203" t="s">
        <v>5229</v>
      </c>
      <c r="E22" s="203" t="s">
        <v>5210</v>
      </c>
      <c r="F22" s="203">
        <v>2023</v>
      </c>
      <c r="G22" s="203">
        <v>2010</v>
      </c>
      <c r="H22" s="204">
        <v>3050110829236</v>
      </c>
      <c r="I22" s="204">
        <v>1199705126023</v>
      </c>
      <c r="J22" s="204">
        <v>668500376081</v>
      </c>
      <c r="K22" s="204">
        <v>1850405703213</v>
      </c>
      <c r="L22" s="204">
        <v>1920320196629</v>
      </c>
      <c r="M22" s="204">
        <f>12371818100+172996951025</f>
        <v>185368769125</v>
      </c>
      <c r="N22" s="204">
        <v>27024912994</v>
      </c>
      <c r="O22" s="205">
        <f t="shared" si="0"/>
        <v>8.8603052502093087E-3</v>
      </c>
      <c r="P22" s="205">
        <f t="shared" si="1"/>
        <v>0.39333165028744393</v>
      </c>
      <c r="Q22" s="206">
        <f t="shared" si="2"/>
        <v>28.746199043342106</v>
      </c>
      <c r="R22" s="206">
        <f t="shared" si="3"/>
        <v>13</v>
      </c>
      <c r="S22" s="32">
        <v>3.2500000000000001E-2</v>
      </c>
      <c r="T22" s="32">
        <v>5.0500000000000003E-2</v>
      </c>
      <c r="U22" s="203"/>
    </row>
    <row r="23" spans="1:21" ht="16.8">
      <c r="A23" s="200" t="s">
        <v>5232</v>
      </c>
      <c r="B23" s="201">
        <v>8</v>
      </c>
      <c r="C23" s="202" t="s">
        <v>2450</v>
      </c>
      <c r="D23" s="203" t="s">
        <v>2451</v>
      </c>
      <c r="E23" s="203" t="s">
        <v>5210</v>
      </c>
      <c r="F23" s="203">
        <v>2021</v>
      </c>
      <c r="G23" s="203">
        <v>1999</v>
      </c>
      <c r="H23" s="204">
        <v>2028090103670</v>
      </c>
      <c r="I23" s="204">
        <v>1536563764497</v>
      </c>
      <c r="J23" s="204">
        <v>1305610537867</v>
      </c>
      <c r="K23" s="204">
        <v>491526339173</v>
      </c>
      <c r="L23" s="204">
        <v>3453777383517</v>
      </c>
      <c r="M23" s="204">
        <f>323383390872+110260087202</f>
        <v>433643478074</v>
      </c>
      <c r="N23" s="204">
        <v>25347131026</v>
      </c>
      <c r="O23" s="205">
        <f t="shared" si="0"/>
        <v>1.2498030033346265E-2</v>
      </c>
      <c r="P23" s="205">
        <f t="shared" si="1"/>
        <v>0.75764077824572895</v>
      </c>
      <c r="Q23" s="206">
        <f t="shared" si="2"/>
        <v>28.338115630488065</v>
      </c>
      <c r="R23" s="206">
        <f t="shared" si="3"/>
        <v>22</v>
      </c>
      <c r="S23" s="32">
        <v>1.84E-2</v>
      </c>
      <c r="T23" s="32">
        <v>2.58E-2</v>
      </c>
      <c r="U23" s="203"/>
    </row>
    <row r="24" spans="1:21" ht="16.8">
      <c r="A24" s="200" t="s">
        <v>5233</v>
      </c>
      <c r="B24" s="201"/>
      <c r="C24" s="202" t="s">
        <v>2450</v>
      </c>
      <c r="D24" s="203" t="s">
        <v>2451</v>
      </c>
      <c r="E24" s="203" t="s">
        <v>5210</v>
      </c>
      <c r="F24" s="203">
        <v>2022</v>
      </c>
      <c r="G24" s="203">
        <v>1999</v>
      </c>
      <c r="H24" s="204">
        <v>2103068827674</v>
      </c>
      <c r="I24" s="204">
        <v>1612685896983</v>
      </c>
      <c r="J24" s="204">
        <v>1376492455907</v>
      </c>
      <c r="K24" s="204">
        <v>490382930691</v>
      </c>
      <c r="L24" s="204">
        <v>4116613290412</v>
      </c>
      <c r="M24" s="204">
        <f>275867289568+182943723971</f>
        <v>458811013539</v>
      </c>
      <c r="N24" s="204">
        <v>13687118400</v>
      </c>
      <c r="O24" s="205">
        <f t="shared" si="0"/>
        <v>6.508164744725921E-3</v>
      </c>
      <c r="P24" s="205">
        <f t="shared" si="1"/>
        <v>0.76682506809186801</v>
      </c>
      <c r="Q24" s="206">
        <f t="shared" si="2"/>
        <v>28.374418740441655</v>
      </c>
      <c r="R24" s="206">
        <f t="shared" si="3"/>
        <v>23</v>
      </c>
      <c r="S24" s="32">
        <v>3.15E-2</v>
      </c>
      <c r="T24" s="32">
        <v>8.0199999999999994E-2</v>
      </c>
      <c r="U24" s="203"/>
    </row>
    <row r="25" spans="1:21" ht="16.8">
      <c r="A25" s="200" t="s">
        <v>5234</v>
      </c>
      <c r="B25" s="201"/>
      <c r="C25" s="202" t="s">
        <v>2450</v>
      </c>
      <c r="D25" s="203" t="s">
        <v>2451</v>
      </c>
      <c r="E25" s="203" t="s">
        <v>5210</v>
      </c>
      <c r="F25" s="203">
        <v>2023</v>
      </c>
      <c r="G25" s="203">
        <v>1999</v>
      </c>
      <c r="H25" s="204">
        <v>2271855661046</v>
      </c>
      <c r="I25" s="204">
        <v>1881448429012</v>
      </c>
      <c r="J25" s="204">
        <v>1647573925363</v>
      </c>
      <c r="K25" s="204">
        <v>390407232034</v>
      </c>
      <c r="L25" s="204">
        <v>3828566252123</v>
      </c>
      <c r="M25" s="204">
        <f>273852726352+110728026266</f>
        <v>384580752618</v>
      </c>
      <c r="N25" s="204">
        <v>-84200722522</v>
      </c>
      <c r="O25" s="205">
        <f t="shared" si="0"/>
        <v>-3.7062531729340847E-2</v>
      </c>
      <c r="P25" s="205">
        <f t="shared" si="1"/>
        <v>0.82815491374383787</v>
      </c>
      <c r="Q25" s="206">
        <f t="shared" si="2"/>
        <v>28.451618085300179</v>
      </c>
      <c r="R25" s="206">
        <f t="shared" si="3"/>
        <v>24</v>
      </c>
      <c r="S25" s="32">
        <v>3.2500000000000001E-2</v>
      </c>
      <c r="T25" s="32">
        <v>5.0500000000000003E-2</v>
      </c>
      <c r="U25" s="203"/>
    </row>
    <row r="26" spans="1:21" ht="16.8">
      <c r="A26" s="200" t="s">
        <v>5235</v>
      </c>
      <c r="B26" s="201">
        <v>9</v>
      </c>
      <c r="C26" s="202" t="s">
        <v>5076</v>
      </c>
      <c r="D26" s="203" t="s">
        <v>5236</v>
      </c>
      <c r="E26" s="203" t="s">
        <v>5210</v>
      </c>
      <c r="F26" s="203">
        <v>2021</v>
      </c>
      <c r="G26" s="203">
        <v>2015</v>
      </c>
      <c r="H26" s="204">
        <v>502533696279</v>
      </c>
      <c r="I26" s="204">
        <v>90075426669</v>
      </c>
      <c r="J26" s="204">
        <v>87335411194</v>
      </c>
      <c r="K26" s="204">
        <v>412458269610</v>
      </c>
      <c r="L26" s="204">
        <v>154679023096</v>
      </c>
      <c r="M26" s="204">
        <f>74177786976+76104852445</f>
        <v>150282639421</v>
      </c>
      <c r="N26" s="204">
        <v>-128504442550</v>
      </c>
      <c r="O26" s="205">
        <f t="shared" si="0"/>
        <v>-0.25571308650844388</v>
      </c>
      <c r="P26" s="205">
        <f t="shared" si="1"/>
        <v>0.17924256091872359</v>
      </c>
      <c r="Q26" s="206">
        <f t="shared" si="2"/>
        <v>26.942928531903046</v>
      </c>
      <c r="R26" s="206">
        <f t="shared" si="3"/>
        <v>6</v>
      </c>
      <c r="S26" s="32">
        <v>1.84E-2</v>
      </c>
      <c r="T26" s="32">
        <v>2.58E-2</v>
      </c>
      <c r="U26" s="203"/>
    </row>
    <row r="27" spans="1:21" ht="16.8">
      <c r="A27" s="200" t="s">
        <v>5237</v>
      </c>
      <c r="B27" s="201"/>
      <c r="C27" s="202" t="s">
        <v>5076</v>
      </c>
      <c r="D27" s="203" t="s">
        <v>5236</v>
      </c>
      <c r="E27" s="203" t="s">
        <v>5210</v>
      </c>
      <c r="F27" s="203">
        <v>2022</v>
      </c>
      <c r="G27" s="203">
        <v>2015</v>
      </c>
      <c r="H27" s="204">
        <v>578865632447</v>
      </c>
      <c r="I27" s="204">
        <v>123391649701</v>
      </c>
      <c r="J27" s="204">
        <v>115514834226</v>
      </c>
      <c r="K27" s="204">
        <v>455473982746</v>
      </c>
      <c r="L27" s="204">
        <v>603874907224</v>
      </c>
      <c r="M27" s="204">
        <f>163876659304+121224762186</f>
        <v>285101421490</v>
      </c>
      <c r="N27" s="204">
        <v>33801769082</v>
      </c>
      <c r="O27" s="205">
        <f t="shared" si="0"/>
        <v>5.8393117827900819E-2</v>
      </c>
      <c r="P27" s="205">
        <f t="shared" si="1"/>
        <v>0.21316112545737897</v>
      </c>
      <c r="Q27" s="206">
        <f t="shared" si="2"/>
        <v>27.084336219274782</v>
      </c>
      <c r="R27" s="206">
        <f t="shared" si="3"/>
        <v>7</v>
      </c>
      <c r="S27" s="32">
        <v>3.15E-2</v>
      </c>
      <c r="T27" s="32">
        <v>8.0199999999999994E-2</v>
      </c>
      <c r="U27" s="207"/>
    </row>
    <row r="28" spans="1:21" ht="16.8">
      <c r="A28" s="200" t="s">
        <v>5238</v>
      </c>
      <c r="B28" s="201"/>
      <c r="C28" s="202" t="s">
        <v>5076</v>
      </c>
      <c r="D28" s="203" t="s">
        <v>5236</v>
      </c>
      <c r="E28" s="203" t="s">
        <v>5210</v>
      </c>
      <c r="F28" s="203">
        <v>2023</v>
      </c>
      <c r="G28" s="203">
        <v>2015</v>
      </c>
      <c r="H28" s="204">
        <v>761244239623</v>
      </c>
      <c r="I28" s="204">
        <v>173523573182</v>
      </c>
      <c r="J28" s="204">
        <v>171323573182</v>
      </c>
      <c r="K28" s="204">
        <v>587720666441</v>
      </c>
      <c r="L28" s="204">
        <v>1099692496428</v>
      </c>
      <c r="M28" s="204">
        <f>313935912157+167780284289</f>
        <v>481716196446</v>
      </c>
      <c r="N28" s="204">
        <v>150597519364</v>
      </c>
      <c r="O28" s="205">
        <f t="shared" si="0"/>
        <v>0.19783075066496686</v>
      </c>
      <c r="P28" s="205">
        <f t="shared" si="1"/>
        <v>0.227947305411383</v>
      </c>
      <c r="Q28" s="206">
        <f t="shared" si="2"/>
        <v>27.358220088944186</v>
      </c>
      <c r="R28" s="206">
        <f t="shared" si="3"/>
        <v>8</v>
      </c>
      <c r="S28" s="32">
        <v>3.2500000000000001E-2</v>
      </c>
      <c r="T28" s="32">
        <v>5.0500000000000003E-2</v>
      </c>
      <c r="U28" s="207"/>
    </row>
    <row r="29" spans="1:21" ht="16.8">
      <c r="A29" s="200" t="s">
        <v>5239</v>
      </c>
      <c r="B29" s="201">
        <v>10</v>
      </c>
      <c r="C29" s="202" t="s">
        <v>2465</v>
      </c>
      <c r="D29" s="203" t="s">
        <v>2466</v>
      </c>
      <c r="E29" s="203" t="s">
        <v>5210</v>
      </c>
      <c r="F29" s="203">
        <v>2021</v>
      </c>
      <c r="G29" s="203">
        <v>2002</v>
      </c>
      <c r="H29" s="204">
        <v>808728682634</v>
      </c>
      <c r="I29" s="204">
        <v>415919594152</v>
      </c>
      <c r="J29" s="204">
        <v>415919594152</v>
      </c>
      <c r="K29" s="204">
        <v>392809088482</v>
      </c>
      <c r="L29" s="204">
        <v>111236733368</v>
      </c>
      <c r="M29" s="204">
        <f>14044320504</f>
        <v>14044320504</v>
      </c>
      <c r="N29" s="204">
        <v>22134681589</v>
      </c>
      <c r="O29" s="205">
        <f t="shared" si="0"/>
        <v>2.7369724932851579E-2</v>
      </c>
      <c r="P29" s="205">
        <f t="shared" si="1"/>
        <v>0.51428816991795689</v>
      </c>
      <c r="Q29" s="206">
        <f t="shared" si="2"/>
        <v>27.418729324001767</v>
      </c>
      <c r="R29" s="206">
        <f t="shared" si="3"/>
        <v>19</v>
      </c>
      <c r="S29" s="32">
        <v>1.84E-2</v>
      </c>
      <c r="T29" s="32">
        <v>2.58E-2</v>
      </c>
      <c r="U29" s="207" t="s">
        <v>51</v>
      </c>
    </row>
    <row r="30" spans="1:21" ht="16.8">
      <c r="A30" s="200" t="s">
        <v>5240</v>
      </c>
      <c r="B30" s="201"/>
      <c r="C30" s="202" t="s">
        <v>2465</v>
      </c>
      <c r="D30" s="203" t="s">
        <v>2466</v>
      </c>
      <c r="E30" s="203" t="s">
        <v>5210</v>
      </c>
      <c r="F30" s="203">
        <v>2022</v>
      </c>
      <c r="G30" s="203">
        <v>2002</v>
      </c>
      <c r="H30" s="204">
        <v>648336563873</v>
      </c>
      <c r="I30" s="204">
        <v>315712673997</v>
      </c>
      <c r="J30" s="204">
        <v>312816799193</v>
      </c>
      <c r="K30" s="204">
        <v>332623889876</v>
      </c>
      <c r="L30" s="204">
        <v>110553230706</v>
      </c>
      <c r="M30" s="204">
        <f>350150954+25356644826</f>
        <v>25706795780</v>
      </c>
      <c r="N30" s="204">
        <v>-58396060591</v>
      </c>
      <c r="O30" s="205">
        <f t="shared" si="0"/>
        <v>-9.0070595806222287E-2</v>
      </c>
      <c r="P30" s="205">
        <f t="shared" si="1"/>
        <v>0.48695799618490077</v>
      </c>
      <c r="Q30" s="206">
        <f t="shared" si="2"/>
        <v>27.197675787155966</v>
      </c>
      <c r="R30" s="206">
        <f t="shared" si="3"/>
        <v>20</v>
      </c>
      <c r="S30" s="32">
        <v>3.15E-2</v>
      </c>
      <c r="T30" s="32">
        <v>8.0199999999999994E-2</v>
      </c>
      <c r="U30" s="207"/>
    </row>
    <row r="31" spans="1:21" ht="16.8">
      <c r="A31" s="200" t="s">
        <v>5241</v>
      </c>
      <c r="B31" s="201"/>
      <c r="C31" s="202" t="s">
        <v>2465</v>
      </c>
      <c r="D31" s="203" t="s">
        <v>2466</v>
      </c>
      <c r="E31" s="203" t="s">
        <v>5210</v>
      </c>
      <c r="F31" s="203">
        <v>2023</v>
      </c>
      <c r="G31" s="203">
        <v>2002</v>
      </c>
      <c r="H31" s="204">
        <v>687637011450</v>
      </c>
      <c r="I31" s="204">
        <v>354234034804</v>
      </c>
      <c r="J31" s="204">
        <v>353502573475</v>
      </c>
      <c r="K31" s="204">
        <v>333402976646</v>
      </c>
      <c r="L31" s="204">
        <v>122673733246</v>
      </c>
      <c r="M31" s="204">
        <f>880062189+24045318645</f>
        <v>24925380834</v>
      </c>
      <c r="N31" s="204">
        <v>779086770</v>
      </c>
      <c r="O31" s="205">
        <f t="shared" si="0"/>
        <v>1.1329913268588649E-3</v>
      </c>
      <c r="P31" s="205">
        <f t="shared" si="1"/>
        <v>0.51514684187379189</v>
      </c>
      <c r="Q31" s="206">
        <f t="shared" si="2"/>
        <v>27.256526936013465</v>
      </c>
      <c r="R31" s="206">
        <f t="shared" si="3"/>
        <v>21</v>
      </c>
      <c r="S31" s="32">
        <v>3.2500000000000001E-2</v>
      </c>
      <c r="T31" s="32">
        <v>5.0500000000000003E-2</v>
      </c>
      <c r="U31" s="207"/>
    </row>
    <row r="32" spans="1:21" ht="16.8">
      <c r="A32" s="200" t="s">
        <v>5242</v>
      </c>
      <c r="B32" s="201">
        <v>11</v>
      </c>
      <c r="C32" s="202" t="s">
        <v>2572</v>
      </c>
      <c r="D32" s="203" t="s">
        <v>5243</v>
      </c>
      <c r="E32" s="203" t="s">
        <v>5210</v>
      </c>
      <c r="F32" s="203">
        <v>2021</v>
      </c>
      <c r="G32" s="203">
        <v>2005</v>
      </c>
      <c r="H32" s="204">
        <v>707502590681</v>
      </c>
      <c r="I32" s="204">
        <v>536185112419</v>
      </c>
      <c r="J32" s="204">
        <v>443794049224</v>
      </c>
      <c r="K32" s="204">
        <v>171317478262</v>
      </c>
      <c r="L32" s="204">
        <v>29583834844</v>
      </c>
      <c r="M32" s="204">
        <v>6178452887</v>
      </c>
      <c r="N32" s="204">
        <v>16548612398</v>
      </c>
      <c r="O32" s="205">
        <f t="shared" si="0"/>
        <v>2.3390179224745011E-2</v>
      </c>
      <c r="P32" s="205">
        <f t="shared" si="1"/>
        <v>0.75785604106820303</v>
      </c>
      <c r="Q32" s="206">
        <f t="shared" si="2"/>
        <v>27.28500712819703</v>
      </c>
      <c r="R32" s="206">
        <f t="shared" si="3"/>
        <v>16</v>
      </c>
      <c r="S32" s="32">
        <v>1.84E-2</v>
      </c>
      <c r="T32" s="32">
        <v>2.58E-2</v>
      </c>
      <c r="U32" s="203" t="s">
        <v>51</v>
      </c>
    </row>
    <row r="33" spans="1:21" ht="16.8">
      <c r="A33" s="200" t="s">
        <v>5244</v>
      </c>
      <c r="B33" s="201"/>
      <c r="C33" s="202" t="s">
        <v>2572</v>
      </c>
      <c r="D33" s="203" t="s">
        <v>5243</v>
      </c>
      <c r="E33" s="203" t="s">
        <v>5210</v>
      </c>
      <c r="F33" s="203">
        <v>2022</v>
      </c>
      <c r="G33" s="203">
        <v>2005</v>
      </c>
      <c r="H33" s="204">
        <v>729551648070</v>
      </c>
      <c r="I33" s="204">
        <v>567677339481</v>
      </c>
      <c r="J33" s="204">
        <v>567454061663</v>
      </c>
      <c r="K33" s="204">
        <v>161874308589</v>
      </c>
      <c r="L33" s="204">
        <v>83224739215</v>
      </c>
      <c r="M33" s="204">
        <v>11330657516</v>
      </c>
      <c r="N33" s="204">
        <v>-6656969478</v>
      </c>
      <c r="O33" s="205">
        <f t="shared" si="0"/>
        <v>-9.1247405109847243E-3</v>
      </c>
      <c r="P33" s="205">
        <f t="shared" si="1"/>
        <v>0.77811809620712657</v>
      </c>
      <c r="Q33" s="206">
        <f t="shared" si="2"/>
        <v>27.315696001676578</v>
      </c>
      <c r="R33" s="206">
        <f t="shared" si="3"/>
        <v>17</v>
      </c>
      <c r="S33" s="32">
        <v>3.15E-2</v>
      </c>
      <c r="T33" s="32">
        <v>8.0199999999999994E-2</v>
      </c>
      <c r="U33" s="203"/>
    </row>
    <row r="34" spans="1:21" ht="16.8">
      <c r="A34" s="200" t="s">
        <v>5245</v>
      </c>
      <c r="B34" s="201"/>
      <c r="C34" s="202" t="s">
        <v>2572</v>
      </c>
      <c r="D34" s="203" t="s">
        <v>5243</v>
      </c>
      <c r="E34" s="203" t="s">
        <v>5210</v>
      </c>
      <c r="F34" s="203">
        <v>2023</v>
      </c>
      <c r="G34" s="203">
        <v>2005</v>
      </c>
      <c r="H34" s="204">
        <v>699078942223</v>
      </c>
      <c r="I34" s="204">
        <v>544939609792</v>
      </c>
      <c r="J34" s="204">
        <v>544904872475</v>
      </c>
      <c r="K34" s="204">
        <v>154139332431</v>
      </c>
      <c r="L34" s="204">
        <v>66138358271</v>
      </c>
      <c r="M34" s="204">
        <v>18800716983</v>
      </c>
      <c r="N34" s="204">
        <v>-7212365906</v>
      </c>
      <c r="O34" s="205">
        <f t="shared" si="0"/>
        <v>-1.0316954882184563E-2</v>
      </c>
      <c r="P34" s="205">
        <f t="shared" si="1"/>
        <v>0.77951083472654381</v>
      </c>
      <c r="Q34" s="206">
        <f t="shared" si="2"/>
        <v>27.273029508744784</v>
      </c>
      <c r="R34" s="206">
        <f t="shared" si="3"/>
        <v>18</v>
      </c>
      <c r="S34" s="32">
        <v>3.2500000000000001E-2</v>
      </c>
      <c r="T34" s="32">
        <v>5.0500000000000003E-2</v>
      </c>
      <c r="U34" s="203"/>
    </row>
    <row r="35" spans="1:21" ht="16.8">
      <c r="A35" s="200" t="s">
        <v>5246</v>
      </c>
      <c r="B35" s="201">
        <v>12</v>
      </c>
      <c r="C35" s="202" t="s">
        <v>5082</v>
      </c>
      <c r="D35" s="203" t="s">
        <v>5247</v>
      </c>
      <c r="E35" s="203" t="s">
        <v>5210</v>
      </c>
      <c r="F35" s="203">
        <v>2021</v>
      </c>
      <c r="G35" s="203">
        <v>1982</v>
      </c>
      <c r="H35" s="204">
        <v>4686271239371</v>
      </c>
      <c r="I35" s="204">
        <v>3719111927346</v>
      </c>
      <c r="J35" s="204">
        <v>1996218323552</v>
      </c>
      <c r="K35" s="204">
        <v>967159312025</v>
      </c>
      <c r="L35" s="204">
        <v>1107259094274</v>
      </c>
      <c r="M35" s="204">
        <f>22187422465+165964998113</f>
        <v>188152420578</v>
      </c>
      <c r="N35" s="204">
        <v>152718693303</v>
      </c>
      <c r="O35" s="205">
        <f t="shared" si="0"/>
        <v>3.2588530518668439E-2</v>
      </c>
      <c r="P35" s="205">
        <f t="shared" si="1"/>
        <v>0.7936185801838449</v>
      </c>
      <c r="Q35" s="206">
        <f t="shared" si="2"/>
        <v>29.175658337260682</v>
      </c>
      <c r="R35" s="206">
        <f t="shared" si="3"/>
        <v>39</v>
      </c>
      <c r="S35" s="32">
        <v>1.84E-2</v>
      </c>
      <c r="T35" s="32">
        <v>2.58E-2</v>
      </c>
      <c r="U35" s="203"/>
    </row>
    <row r="36" spans="1:21" ht="16.8">
      <c r="A36" s="200" t="s">
        <v>5248</v>
      </c>
      <c r="B36" s="201"/>
      <c r="C36" s="202" t="s">
        <v>5082</v>
      </c>
      <c r="D36" s="203" t="s">
        <v>5247</v>
      </c>
      <c r="E36" s="203" t="s">
        <v>5210</v>
      </c>
      <c r="F36" s="203">
        <v>2022</v>
      </c>
      <c r="G36" s="203">
        <v>1982</v>
      </c>
      <c r="H36" s="204">
        <v>4748181444995</v>
      </c>
      <c r="I36" s="204">
        <v>3609201917576</v>
      </c>
      <c r="J36" s="204">
        <v>1843095964421</v>
      </c>
      <c r="K36" s="204">
        <v>1138979527418</v>
      </c>
      <c r="L36" s="204">
        <v>1456082915008</v>
      </c>
      <c r="M36" s="204">
        <f>33023029903+144758547742</f>
        <v>177781577645</v>
      </c>
      <c r="N36" s="204">
        <v>169411736203</v>
      </c>
      <c r="O36" s="205">
        <f t="shared" si="0"/>
        <v>3.5679288621452081E-2</v>
      </c>
      <c r="P36" s="205">
        <f t="shared" si="1"/>
        <v>0.76012299853882281</v>
      </c>
      <c r="Q36" s="206">
        <f t="shared" si="2"/>
        <v>29.188782806982651</v>
      </c>
      <c r="R36" s="206">
        <f t="shared" si="3"/>
        <v>40</v>
      </c>
      <c r="S36" s="32">
        <v>3.15E-2</v>
      </c>
      <c r="T36" s="32">
        <v>8.0199999999999994E-2</v>
      </c>
      <c r="U36" s="203"/>
    </row>
    <row r="37" spans="1:21" ht="16.8">
      <c r="A37" s="200" t="s">
        <v>5249</v>
      </c>
      <c r="B37" s="201"/>
      <c r="C37" s="202" t="s">
        <v>5082</v>
      </c>
      <c r="D37" s="203" t="s">
        <v>5247</v>
      </c>
      <c r="E37" s="203" t="s">
        <v>5210</v>
      </c>
      <c r="F37" s="203">
        <v>2023</v>
      </c>
      <c r="G37" s="203">
        <v>1982</v>
      </c>
      <c r="H37" s="204">
        <v>4738950147603</v>
      </c>
      <c r="I37" s="204">
        <v>3357647580407</v>
      </c>
      <c r="J37" s="204">
        <v>2198179740576</v>
      </c>
      <c r="K37" s="204">
        <v>1381302567196</v>
      </c>
      <c r="L37" s="204">
        <v>1310531716128</v>
      </c>
      <c r="M37" s="204">
        <f>35942861044+139973368054</f>
        <v>175916229098</v>
      </c>
      <c r="N37" s="204">
        <v>155213047372</v>
      </c>
      <c r="O37" s="205">
        <f t="shared" si="0"/>
        <v>3.2752622951838402E-2</v>
      </c>
      <c r="P37" s="205">
        <f t="shared" si="1"/>
        <v>0.70852139731947295</v>
      </c>
      <c r="Q37" s="206">
        <f t="shared" si="2"/>
        <v>29.186836739256009</v>
      </c>
      <c r="R37" s="206">
        <f t="shared" si="3"/>
        <v>41</v>
      </c>
      <c r="S37" s="32">
        <v>3.2500000000000001E-2</v>
      </c>
      <c r="T37" s="32">
        <v>5.0500000000000003E-2</v>
      </c>
      <c r="U37" s="203"/>
    </row>
    <row r="38" spans="1:21" ht="16.8">
      <c r="A38" s="200" t="s">
        <v>5250</v>
      </c>
      <c r="B38" s="201">
        <v>13</v>
      </c>
      <c r="C38" s="202" t="s">
        <v>2681</v>
      </c>
      <c r="D38" s="203" t="s">
        <v>2682</v>
      </c>
      <c r="E38" s="203" t="s">
        <v>5210</v>
      </c>
      <c r="F38" s="203">
        <v>2021</v>
      </c>
      <c r="G38" s="203">
        <v>2001</v>
      </c>
      <c r="H38" s="204">
        <v>2028803406674</v>
      </c>
      <c r="I38" s="204">
        <v>1349025142264</v>
      </c>
      <c r="J38" s="204">
        <v>1123391918088</v>
      </c>
      <c r="K38" s="204">
        <v>679778264410</v>
      </c>
      <c r="L38" s="204">
        <v>1953961275156</v>
      </c>
      <c r="M38" s="204">
        <f>9756623045+23328900322</f>
        <v>33085523367</v>
      </c>
      <c r="N38" s="204">
        <v>5929066162</v>
      </c>
      <c r="O38" s="205">
        <f t="shared" si="0"/>
        <v>2.9224448965807148E-3</v>
      </c>
      <c r="P38" s="205">
        <f t="shared" si="1"/>
        <v>0.66493635500917181</v>
      </c>
      <c r="Q38" s="206">
        <f t="shared" si="2"/>
        <v>28.338467280345046</v>
      </c>
      <c r="R38" s="206">
        <f t="shared" si="3"/>
        <v>20</v>
      </c>
      <c r="S38" s="32">
        <v>1.84E-2</v>
      </c>
      <c r="T38" s="32">
        <v>2.58E-2</v>
      </c>
      <c r="U38" s="203"/>
    </row>
    <row r="39" spans="1:21" ht="16.8">
      <c r="A39" s="200" t="s">
        <v>5251</v>
      </c>
      <c r="B39" s="201"/>
      <c r="C39" s="202" t="s">
        <v>2681</v>
      </c>
      <c r="D39" s="203" t="s">
        <v>2682</v>
      </c>
      <c r="E39" s="203" t="s">
        <v>5210</v>
      </c>
      <c r="F39" s="203">
        <v>2022</v>
      </c>
      <c r="G39" s="203">
        <v>2001</v>
      </c>
      <c r="H39" s="204">
        <v>2178529768895</v>
      </c>
      <c r="I39" s="204">
        <v>1491574559089</v>
      </c>
      <c r="J39" s="204">
        <v>1244878816511</v>
      </c>
      <c r="K39" s="204">
        <v>686955209806</v>
      </c>
      <c r="L39" s="204">
        <v>2272739383853</v>
      </c>
      <c r="M39" s="204">
        <f>9280858487+28971816932</f>
        <v>38252675419</v>
      </c>
      <c r="N39" s="204">
        <v>7389285953</v>
      </c>
      <c r="O39" s="205">
        <f t="shared" si="0"/>
        <v>3.3918682491761473E-3</v>
      </c>
      <c r="P39" s="205">
        <f t="shared" si="1"/>
        <v>0.68467026725347924</v>
      </c>
      <c r="Q39" s="206">
        <f t="shared" si="2"/>
        <v>28.409671347269391</v>
      </c>
      <c r="R39" s="206">
        <f t="shared" si="3"/>
        <v>21</v>
      </c>
      <c r="S39" s="32">
        <v>3.15E-2</v>
      </c>
      <c r="T39" s="32">
        <v>8.0199999999999994E-2</v>
      </c>
      <c r="U39" s="203"/>
    </row>
    <row r="40" spans="1:21" ht="16.8">
      <c r="A40" s="200" t="s">
        <v>5252</v>
      </c>
      <c r="B40" s="201"/>
      <c r="C40" s="202" t="s">
        <v>2681</v>
      </c>
      <c r="D40" s="203" t="s">
        <v>2682</v>
      </c>
      <c r="E40" s="203" t="s">
        <v>5210</v>
      </c>
      <c r="F40" s="203">
        <v>2023</v>
      </c>
      <c r="G40" s="203">
        <v>2001</v>
      </c>
      <c r="H40" s="204">
        <v>1442282315802</v>
      </c>
      <c r="I40" s="204">
        <v>1362099271669</v>
      </c>
      <c r="J40" s="204">
        <v>871112743074</v>
      </c>
      <c r="K40" s="204">
        <v>80183044133</v>
      </c>
      <c r="L40" s="204">
        <v>1215493877033</v>
      </c>
      <c r="M40" s="204">
        <f>9882660208+148195232749</f>
        <v>158077892957</v>
      </c>
      <c r="N40" s="204">
        <v>-606750019985</v>
      </c>
      <c r="O40" s="205">
        <f t="shared" si="0"/>
        <v>-0.4206874155893735</v>
      </c>
      <c r="P40" s="205">
        <f t="shared" si="1"/>
        <v>0.94440544458287057</v>
      </c>
      <c r="Q40" s="206">
        <f t="shared" si="2"/>
        <v>27.99724791635137</v>
      </c>
      <c r="R40" s="206">
        <f t="shared" si="3"/>
        <v>22</v>
      </c>
      <c r="S40" s="32">
        <v>3.2500000000000001E-2</v>
      </c>
      <c r="T40" s="32">
        <v>5.0500000000000003E-2</v>
      </c>
      <c r="U40" s="203"/>
    </row>
    <row r="41" spans="1:21" ht="16.8">
      <c r="A41" s="200" t="s">
        <v>5253</v>
      </c>
      <c r="B41" s="201">
        <v>14</v>
      </c>
      <c r="C41" s="202" t="s">
        <v>2686</v>
      </c>
      <c r="D41" s="203" t="s">
        <v>5254</v>
      </c>
      <c r="E41" s="203" t="s">
        <v>5210</v>
      </c>
      <c r="F41" s="203">
        <v>2021</v>
      </c>
      <c r="G41" s="203">
        <v>2003</v>
      </c>
      <c r="H41" s="204">
        <v>1127092212944</v>
      </c>
      <c r="I41" s="204">
        <v>263824662998</v>
      </c>
      <c r="J41" s="204">
        <v>59394920634</v>
      </c>
      <c r="K41" s="204">
        <v>863267549946</v>
      </c>
      <c r="L41" s="204">
        <v>691624639904</v>
      </c>
      <c r="M41" s="204">
        <v>987559439</v>
      </c>
      <c r="N41" s="204">
        <v>34982183735</v>
      </c>
      <c r="O41" s="205">
        <f t="shared" si="0"/>
        <v>3.1037552503024972E-2</v>
      </c>
      <c r="P41" s="205">
        <f t="shared" si="1"/>
        <v>0.23407549086767421</v>
      </c>
      <c r="Q41" s="206">
        <f t="shared" si="2"/>
        <v>27.750662169239693</v>
      </c>
      <c r="R41" s="206">
        <f t="shared" si="3"/>
        <v>18</v>
      </c>
      <c r="S41" s="32">
        <v>1.84E-2</v>
      </c>
      <c r="T41" s="32">
        <v>2.58E-2</v>
      </c>
      <c r="U41" s="203"/>
    </row>
    <row r="42" spans="1:21" ht="16.8">
      <c r="A42" s="200" t="s">
        <v>5255</v>
      </c>
      <c r="B42" s="201"/>
      <c r="C42" s="202" t="s">
        <v>2686</v>
      </c>
      <c r="D42" s="203" t="s">
        <v>5254</v>
      </c>
      <c r="E42" s="203" t="s">
        <v>5210</v>
      </c>
      <c r="F42" s="203">
        <v>2022</v>
      </c>
      <c r="G42" s="203">
        <v>2003</v>
      </c>
      <c r="H42" s="204">
        <v>1162099467839</v>
      </c>
      <c r="I42" s="204">
        <v>251344012433</v>
      </c>
      <c r="J42" s="204">
        <v>34850003249</v>
      </c>
      <c r="K42" s="204">
        <v>910755455406</v>
      </c>
      <c r="L42" s="204">
        <v>25664871455</v>
      </c>
      <c r="M42" s="204">
        <f>1003902757+864653441</f>
        <v>1868556198</v>
      </c>
      <c r="N42" s="204">
        <v>43315814732</v>
      </c>
      <c r="O42" s="205">
        <f t="shared" si="0"/>
        <v>3.7273758340625171E-2</v>
      </c>
      <c r="P42" s="205">
        <f t="shared" si="1"/>
        <v>0.21628442262381434</v>
      </c>
      <c r="Q42" s="206">
        <f t="shared" si="2"/>
        <v>27.781249371244662</v>
      </c>
      <c r="R42" s="206">
        <f t="shared" si="3"/>
        <v>19</v>
      </c>
      <c r="S42" s="32">
        <v>3.15E-2</v>
      </c>
      <c r="T42" s="32">
        <v>8.0199999999999994E-2</v>
      </c>
      <c r="U42" s="203"/>
    </row>
    <row r="43" spans="1:21" ht="16.8">
      <c r="A43" s="200" t="s">
        <v>5256</v>
      </c>
      <c r="B43" s="201"/>
      <c r="C43" s="202" t="s">
        <v>2686</v>
      </c>
      <c r="D43" s="203" t="s">
        <v>5254</v>
      </c>
      <c r="E43" s="203" t="s">
        <v>5210</v>
      </c>
      <c r="F43" s="203">
        <v>2023</v>
      </c>
      <c r="G43" s="203">
        <v>2003</v>
      </c>
      <c r="H43" s="204">
        <v>1122645677353</v>
      </c>
      <c r="I43" s="204">
        <v>200540844519</v>
      </c>
      <c r="J43" s="204">
        <v>42538158543</v>
      </c>
      <c r="K43" s="204">
        <v>922104832834</v>
      </c>
      <c r="L43" s="204">
        <v>47346798826</v>
      </c>
      <c r="M43" s="204">
        <f>73321816+2864869993</f>
        <v>2938191809</v>
      </c>
      <c r="N43" s="204">
        <v>3797166303</v>
      </c>
      <c r="O43" s="205">
        <f t="shared" si="0"/>
        <v>3.3823372588518284E-3</v>
      </c>
      <c r="P43" s="205">
        <f t="shared" si="1"/>
        <v>0.17863235797766563</v>
      </c>
      <c r="Q43" s="206">
        <f t="shared" si="2"/>
        <v>27.746709227521269</v>
      </c>
      <c r="R43" s="206">
        <f t="shared" si="3"/>
        <v>20</v>
      </c>
      <c r="S43" s="32">
        <v>3.2500000000000001E-2</v>
      </c>
      <c r="T43" s="32">
        <v>5.0500000000000003E-2</v>
      </c>
      <c r="U43" s="203"/>
    </row>
    <row r="44" spans="1:21" ht="16.8">
      <c r="A44" s="200" t="s">
        <v>5257</v>
      </c>
      <c r="B44" s="201">
        <v>15</v>
      </c>
      <c r="C44" s="202" t="s">
        <v>475</v>
      </c>
      <c r="D44" s="203" t="s">
        <v>476</v>
      </c>
      <c r="E44" s="203" t="s">
        <v>5210</v>
      </c>
      <c r="F44" s="203">
        <v>2021</v>
      </c>
      <c r="G44" s="203">
        <v>1994</v>
      </c>
      <c r="H44" s="204">
        <v>981693091222</v>
      </c>
      <c r="I44" s="204">
        <v>379731794632</v>
      </c>
      <c r="J44" s="204">
        <v>367888036887</v>
      </c>
      <c r="K44" s="204">
        <v>601961296590</v>
      </c>
      <c r="L44" s="204">
        <v>614226154267</v>
      </c>
      <c r="M44" s="204">
        <f>6831853779+34096543571</f>
        <v>40928397350</v>
      </c>
      <c r="N44" s="204">
        <v>42466338764</v>
      </c>
      <c r="O44" s="205">
        <f t="shared" si="0"/>
        <v>4.3258263854274864E-2</v>
      </c>
      <c r="P44" s="205">
        <f t="shared" si="1"/>
        <v>0.3868131476399761</v>
      </c>
      <c r="Q44" s="206">
        <f t="shared" si="2"/>
        <v>27.612544562054676</v>
      </c>
      <c r="R44" s="206">
        <f t="shared" si="3"/>
        <v>27</v>
      </c>
      <c r="S44" s="32">
        <v>1.84E-2</v>
      </c>
      <c r="T44" s="32">
        <v>2.58E-2</v>
      </c>
      <c r="U44" s="203"/>
    </row>
    <row r="45" spans="1:21" ht="16.8">
      <c r="A45" s="200" t="s">
        <v>5258</v>
      </c>
      <c r="B45" s="201"/>
      <c r="C45" s="202" t="s">
        <v>475</v>
      </c>
      <c r="D45" s="203" t="s">
        <v>476</v>
      </c>
      <c r="E45" s="203" t="s">
        <v>5210</v>
      </c>
      <c r="F45" s="203">
        <v>2022</v>
      </c>
      <c r="G45" s="203">
        <v>1994</v>
      </c>
      <c r="H45" s="204">
        <v>1177607414479</v>
      </c>
      <c r="I45" s="204">
        <v>582642977213</v>
      </c>
      <c r="J45" s="204">
        <v>574472870621</v>
      </c>
      <c r="K45" s="204">
        <v>594964437266</v>
      </c>
      <c r="L45" s="204">
        <v>264514410891</v>
      </c>
      <c r="M45" s="204">
        <f>8548218171+34331373714</f>
        <v>42879591885</v>
      </c>
      <c r="N45" s="204">
        <v>-2054154180</v>
      </c>
      <c r="O45" s="205">
        <f t="shared" si="0"/>
        <v>-1.744345487930546E-3</v>
      </c>
      <c r="P45" s="205">
        <f t="shared" si="1"/>
        <v>0.49476843475104509</v>
      </c>
      <c r="Q45" s="206">
        <f t="shared" si="2"/>
        <v>27.794505881163939</v>
      </c>
      <c r="R45" s="206">
        <f t="shared" si="3"/>
        <v>28</v>
      </c>
      <c r="S45" s="32">
        <v>3.15E-2</v>
      </c>
      <c r="T45" s="32">
        <v>8.0199999999999994E-2</v>
      </c>
      <c r="U45" s="203"/>
    </row>
    <row r="46" spans="1:21" ht="16.8">
      <c r="A46" s="200" t="s">
        <v>5259</v>
      </c>
      <c r="B46" s="201"/>
      <c r="C46" s="202" t="s">
        <v>475</v>
      </c>
      <c r="D46" s="203" t="s">
        <v>476</v>
      </c>
      <c r="E46" s="203" t="s">
        <v>5210</v>
      </c>
      <c r="F46" s="203">
        <v>2023</v>
      </c>
      <c r="G46" s="203">
        <v>1994</v>
      </c>
      <c r="H46" s="204">
        <v>1677874342728</v>
      </c>
      <c r="I46" s="204">
        <v>975842808328</v>
      </c>
      <c r="J46" s="204">
        <v>963190003435</v>
      </c>
      <c r="K46" s="204">
        <v>702031534400</v>
      </c>
      <c r="L46" s="204">
        <v>577971520153</v>
      </c>
      <c r="M46" s="204">
        <f>1492508614+61176856366</f>
        <v>62669364980</v>
      </c>
      <c r="N46" s="204">
        <v>107067097134</v>
      </c>
      <c r="O46" s="205">
        <f t="shared" si="0"/>
        <v>6.3811153438298115E-2</v>
      </c>
      <c r="P46" s="205">
        <f t="shared" si="1"/>
        <v>0.58159469006565157</v>
      </c>
      <c r="Q46" s="206">
        <f t="shared" si="2"/>
        <v>28.148548836025309</v>
      </c>
      <c r="R46" s="206">
        <f t="shared" si="3"/>
        <v>29</v>
      </c>
      <c r="S46" s="32">
        <v>3.2500000000000001E-2</v>
      </c>
      <c r="T46" s="32">
        <v>5.0500000000000003E-2</v>
      </c>
      <c r="U46" s="203"/>
    </row>
    <row r="47" spans="1:21" ht="16.8">
      <c r="A47" s="200" t="s">
        <v>5260</v>
      </c>
      <c r="B47" s="201">
        <v>16</v>
      </c>
      <c r="C47" s="202" t="s">
        <v>2743</v>
      </c>
      <c r="D47" s="203" t="s">
        <v>2744</v>
      </c>
      <c r="E47" s="203" t="s">
        <v>5210</v>
      </c>
      <c r="F47" s="203">
        <v>2021</v>
      </c>
      <c r="G47" s="203">
        <v>1995</v>
      </c>
      <c r="H47" s="204">
        <v>7070348996659</v>
      </c>
      <c r="I47" s="204">
        <v>4751514021548</v>
      </c>
      <c r="J47" s="204">
        <v>2734296489223</v>
      </c>
      <c r="K47" s="204">
        <v>2318834975111</v>
      </c>
      <c r="L47" s="204">
        <v>1549207937792</v>
      </c>
      <c r="M47" s="204">
        <f>18035147673+120227377056</f>
        <v>138262524729</v>
      </c>
      <c r="N47" s="204">
        <v>11792601945</v>
      </c>
      <c r="O47" s="205">
        <f t="shared" si="0"/>
        <v>1.667895311896547E-3</v>
      </c>
      <c r="P47" s="205">
        <f t="shared" si="1"/>
        <v>0.67203387326329511</v>
      </c>
      <c r="Q47" s="206">
        <f t="shared" si="2"/>
        <v>29.586930957653934</v>
      </c>
      <c r="R47" s="206">
        <f t="shared" si="3"/>
        <v>26</v>
      </c>
      <c r="S47" s="32">
        <v>1.84E-2</v>
      </c>
      <c r="T47" s="32">
        <v>2.58E-2</v>
      </c>
      <c r="U47" s="203"/>
    </row>
    <row r="48" spans="1:21" ht="16.8">
      <c r="A48" s="200" t="s">
        <v>5261</v>
      </c>
      <c r="B48" s="201"/>
      <c r="C48" s="202" t="s">
        <v>2743</v>
      </c>
      <c r="D48" s="203" t="s">
        <v>2744</v>
      </c>
      <c r="E48" s="203" t="s">
        <v>5210</v>
      </c>
      <c r="F48" s="203">
        <v>2022</v>
      </c>
      <c r="G48" s="203">
        <v>1995</v>
      </c>
      <c r="H48" s="204">
        <v>5611845648134</v>
      </c>
      <c r="I48" s="204">
        <v>4502824785620</v>
      </c>
      <c r="J48" s="204">
        <v>2592155370670</v>
      </c>
      <c r="K48" s="204">
        <v>1109020862514</v>
      </c>
      <c r="L48" s="204">
        <v>1347873447005</v>
      </c>
      <c r="M48" s="204">
        <f>11112766445+1289316973159</f>
        <v>1300429739604</v>
      </c>
      <c r="N48" s="204">
        <v>-1197176850250</v>
      </c>
      <c r="O48" s="205">
        <f t="shared" si="0"/>
        <v>-0.21333032398139359</v>
      </c>
      <c r="P48" s="205">
        <f t="shared" si="1"/>
        <v>0.80237858771422887</v>
      </c>
      <c r="Q48" s="206">
        <f t="shared" si="2"/>
        <v>29.355900773894231</v>
      </c>
      <c r="R48" s="206">
        <f t="shared" si="3"/>
        <v>27</v>
      </c>
      <c r="S48" s="32">
        <v>3.15E-2</v>
      </c>
      <c r="T48" s="32">
        <v>8.0199999999999994E-2</v>
      </c>
      <c r="U48" s="203"/>
    </row>
    <row r="49" spans="1:21" ht="16.8">
      <c r="A49" s="200" t="s">
        <v>5262</v>
      </c>
      <c r="B49" s="201"/>
      <c r="C49" s="202" t="s">
        <v>2743</v>
      </c>
      <c r="D49" s="203" t="s">
        <v>2744</v>
      </c>
      <c r="E49" s="203" t="s">
        <v>5210</v>
      </c>
      <c r="F49" s="203">
        <v>2023</v>
      </c>
      <c r="G49" s="203">
        <v>1995</v>
      </c>
      <c r="H49" s="204">
        <v>5051949152577</v>
      </c>
      <c r="I49" s="204">
        <v>4524434306651</v>
      </c>
      <c r="J49" s="204">
        <v>2769672370439</v>
      </c>
      <c r="K49" s="204">
        <v>527514845926</v>
      </c>
      <c r="L49" s="204">
        <v>1122336737017</v>
      </c>
      <c r="M49" s="204">
        <f>6824743217+658988850292</f>
        <v>665813593509</v>
      </c>
      <c r="N49" s="204">
        <v>-578740031199</v>
      </c>
      <c r="O49" s="205">
        <f t="shared" si="0"/>
        <v>-0.1145577704209047</v>
      </c>
      <c r="P49" s="205">
        <f t="shared" si="1"/>
        <v>0.89558191699991385</v>
      </c>
      <c r="Q49" s="206">
        <f t="shared" si="2"/>
        <v>29.250795255555573</v>
      </c>
      <c r="R49" s="206">
        <f t="shared" si="3"/>
        <v>28</v>
      </c>
      <c r="S49" s="32">
        <v>3.2500000000000001E-2</v>
      </c>
      <c r="T49" s="32">
        <v>5.0500000000000003E-2</v>
      </c>
      <c r="U49" s="203"/>
    </row>
    <row r="50" spans="1:21" ht="16.8">
      <c r="A50" s="200" t="s">
        <v>5263</v>
      </c>
      <c r="B50" s="201">
        <v>17</v>
      </c>
      <c r="C50" s="202" t="s">
        <v>2773</v>
      </c>
      <c r="D50" s="203" t="s">
        <v>5264</v>
      </c>
      <c r="E50" s="203" t="s">
        <v>5210</v>
      </c>
      <c r="F50" s="203">
        <v>2021</v>
      </c>
      <c r="G50" s="203">
        <v>2006</v>
      </c>
      <c r="H50" s="204">
        <v>2724551832765</v>
      </c>
      <c r="I50" s="204">
        <v>1865973081703</v>
      </c>
      <c r="J50" s="204">
        <v>1862266911213</v>
      </c>
      <c r="K50" s="204">
        <v>858578751062</v>
      </c>
      <c r="L50" s="204">
        <v>74959981804</v>
      </c>
      <c r="M50" s="204">
        <f>1521129786+9719199523</f>
        <v>11240329309</v>
      </c>
      <c r="N50" s="204">
        <v>13243434077</v>
      </c>
      <c r="O50" s="205">
        <f t="shared" si="0"/>
        <v>4.8607752356687435E-3</v>
      </c>
      <c r="P50" s="205">
        <f t="shared" si="1"/>
        <v>0.68487340165935662</v>
      </c>
      <c r="Q50" s="206">
        <f t="shared" si="2"/>
        <v>28.633325065477532</v>
      </c>
      <c r="R50" s="206">
        <f t="shared" si="3"/>
        <v>15</v>
      </c>
      <c r="S50" s="32">
        <v>1.84E-2</v>
      </c>
      <c r="T50" s="32">
        <v>2.58E-2</v>
      </c>
      <c r="U50" s="203"/>
    </row>
    <row r="51" spans="1:21" ht="16.8">
      <c r="A51" s="200" t="s">
        <v>5265</v>
      </c>
      <c r="B51" s="201"/>
      <c r="C51" s="202" t="s">
        <v>2773</v>
      </c>
      <c r="D51" s="203" t="s">
        <v>5264</v>
      </c>
      <c r="E51" s="203" t="s">
        <v>5210</v>
      </c>
      <c r="F51" s="203">
        <v>2022</v>
      </c>
      <c r="G51" s="203">
        <v>2006</v>
      </c>
      <c r="H51" s="204">
        <v>3847503124383</v>
      </c>
      <c r="I51" s="204">
        <v>2232265372790</v>
      </c>
      <c r="J51" s="204">
        <v>2228559202300</v>
      </c>
      <c r="K51" s="204">
        <v>1615237751593</v>
      </c>
      <c r="L51" s="204">
        <v>60238137242</v>
      </c>
      <c r="M51" s="204">
        <v>22547018091</v>
      </c>
      <c r="N51" s="204">
        <v>691147938</v>
      </c>
      <c r="O51" s="205">
        <f t="shared" si="0"/>
        <v>1.7963544554907543E-4</v>
      </c>
      <c r="P51" s="205">
        <f t="shared" si="1"/>
        <v>0.5801854607065392</v>
      </c>
      <c r="Q51" s="206">
        <f t="shared" si="2"/>
        <v>28.978445514714476</v>
      </c>
      <c r="R51" s="206">
        <f t="shared" si="3"/>
        <v>16</v>
      </c>
      <c r="S51" s="32">
        <v>3.15E-2</v>
      </c>
      <c r="T51" s="32">
        <v>8.0199999999999994E-2</v>
      </c>
      <c r="U51" s="203" t="s">
        <v>51</v>
      </c>
    </row>
    <row r="52" spans="1:21" ht="16.8">
      <c r="A52" s="200" t="s">
        <v>5266</v>
      </c>
      <c r="B52" s="201"/>
      <c r="C52" s="202" t="s">
        <v>2773</v>
      </c>
      <c r="D52" s="203" t="s">
        <v>5264</v>
      </c>
      <c r="E52" s="203" t="s">
        <v>5210</v>
      </c>
      <c r="F52" s="203">
        <v>2023</v>
      </c>
      <c r="G52" s="203">
        <v>2006</v>
      </c>
      <c r="H52" s="204">
        <v>3960638936720</v>
      </c>
      <c r="I52" s="204">
        <v>2450549112707</v>
      </c>
      <c r="J52" s="204">
        <v>2443118849103</v>
      </c>
      <c r="K52" s="204">
        <v>1510089824013</v>
      </c>
      <c r="L52" s="204">
        <v>8798071703</v>
      </c>
      <c r="M52" s="204">
        <f>23991917737+299312342</f>
        <v>24291230079</v>
      </c>
      <c r="N52" s="204">
        <v>-103803626551</v>
      </c>
      <c r="O52" s="205">
        <f t="shared" si="0"/>
        <v>-2.6208808278031244E-2</v>
      </c>
      <c r="P52" s="205">
        <f t="shared" si="1"/>
        <v>0.61872570356954082</v>
      </c>
      <c r="Q52" s="206">
        <f t="shared" si="2"/>
        <v>29.007426475836368</v>
      </c>
      <c r="R52" s="206">
        <f t="shared" si="3"/>
        <v>17</v>
      </c>
      <c r="S52" s="32">
        <v>3.2500000000000001E-2</v>
      </c>
      <c r="T52" s="32">
        <v>5.0500000000000003E-2</v>
      </c>
      <c r="U52" s="203"/>
    </row>
    <row r="53" spans="1:21" ht="16.8">
      <c r="A53" s="200" t="s">
        <v>5267</v>
      </c>
      <c r="B53" s="201">
        <v>18</v>
      </c>
      <c r="C53" s="202" t="s">
        <v>2795</v>
      </c>
      <c r="D53" s="203" t="s">
        <v>2796</v>
      </c>
      <c r="E53" s="203" t="s">
        <v>5210</v>
      </c>
      <c r="F53" s="203">
        <v>2021</v>
      </c>
      <c r="G53" s="203">
        <v>2001</v>
      </c>
      <c r="H53" s="204">
        <v>1887374886479</v>
      </c>
      <c r="I53" s="204">
        <v>823005235435</v>
      </c>
      <c r="J53" s="204">
        <v>821166435435</v>
      </c>
      <c r="K53" s="204">
        <v>1064369651044</v>
      </c>
      <c r="L53" s="204">
        <v>1381840902134</v>
      </c>
      <c r="M53" s="204">
        <f>7749037149+16339500370</f>
        <v>24088537519</v>
      </c>
      <c r="N53" s="204">
        <v>56129713567</v>
      </c>
      <c r="O53" s="205">
        <f t="shared" si="0"/>
        <v>2.9739567888239213E-2</v>
      </c>
      <c r="P53" s="205">
        <f t="shared" si="1"/>
        <v>0.4360581680570948</v>
      </c>
      <c r="Q53" s="206">
        <f t="shared" si="2"/>
        <v>28.266208030563483</v>
      </c>
      <c r="R53" s="206">
        <f t="shared" si="3"/>
        <v>20</v>
      </c>
      <c r="S53" s="32">
        <v>1.84E-2</v>
      </c>
      <c r="T53" s="32">
        <v>2.58E-2</v>
      </c>
      <c r="U53" s="203"/>
    </row>
    <row r="54" spans="1:21" ht="16.8">
      <c r="A54" s="200" t="s">
        <v>5268</v>
      </c>
      <c r="B54" s="201"/>
      <c r="C54" s="202" t="s">
        <v>2795</v>
      </c>
      <c r="D54" s="203" t="s">
        <v>2796</v>
      </c>
      <c r="E54" s="203" t="s">
        <v>5210</v>
      </c>
      <c r="F54" s="203">
        <v>2022</v>
      </c>
      <c r="G54" s="203">
        <v>2001</v>
      </c>
      <c r="H54" s="204">
        <v>2368609665444</v>
      </c>
      <c r="I54" s="204">
        <v>1456968171256</v>
      </c>
      <c r="J54" s="204">
        <v>1409446880626</v>
      </c>
      <c r="K54" s="204">
        <v>911641494188</v>
      </c>
      <c r="L54" s="204">
        <v>1613986903890</v>
      </c>
      <c r="M54" s="204">
        <f>6806676704+21025087844</f>
        <v>27831764548</v>
      </c>
      <c r="N54" s="204">
        <v>-152650156856</v>
      </c>
      <c r="O54" s="205">
        <f t="shared" si="0"/>
        <v>-6.4447156103023609E-2</v>
      </c>
      <c r="P54" s="205">
        <f t="shared" si="1"/>
        <v>0.61511535332812584</v>
      </c>
      <c r="Q54" s="206">
        <f t="shared" si="2"/>
        <v>28.493324259882407</v>
      </c>
      <c r="R54" s="206">
        <f t="shared" si="3"/>
        <v>21</v>
      </c>
      <c r="S54" s="32">
        <v>3.15E-2</v>
      </c>
      <c r="T54" s="32">
        <v>8.0199999999999994E-2</v>
      </c>
      <c r="U54" s="203"/>
    </row>
    <row r="55" spans="1:21" ht="16.8">
      <c r="A55" s="200" t="s">
        <v>5269</v>
      </c>
      <c r="B55" s="201"/>
      <c r="C55" s="202" t="s">
        <v>2795</v>
      </c>
      <c r="D55" s="203" t="s">
        <v>2796</v>
      </c>
      <c r="E55" s="203" t="s">
        <v>5210</v>
      </c>
      <c r="F55" s="203">
        <v>2023</v>
      </c>
      <c r="G55" s="203">
        <v>2001</v>
      </c>
      <c r="H55" s="204">
        <v>2072804436767</v>
      </c>
      <c r="I55" s="204">
        <v>1317502375800</v>
      </c>
      <c r="J55" s="204">
        <v>1247272731310</v>
      </c>
      <c r="K55" s="204">
        <v>755302060967</v>
      </c>
      <c r="L55" s="204">
        <v>1972528403687</v>
      </c>
      <c r="M55" s="204">
        <f>5893945604+19589041161</f>
        <v>25482986765</v>
      </c>
      <c r="N55" s="204">
        <v>-156135433221</v>
      </c>
      <c r="O55" s="205">
        <f t="shared" si="0"/>
        <v>-7.5325694238925878E-2</v>
      </c>
      <c r="P55" s="205">
        <f t="shared" si="1"/>
        <v>0.63561344834582578</v>
      </c>
      <c r="Q55" s="206">
        <f t="shared" si="2"/>
        <v>28.359923606662399</v>
      </c>
      <c r="R55" s="206">
        <f t="shared" si="3"/>
        <v>22</v>
      </c>
      <c r="S55" s="32">
        <v>3.2500000000000001E-2</v>
      </c>
      <c r="T55" s="32">
        <v>5.0500000000000003E-2</v>
      </c>
      <c r="U55" s="203"/>
    </row>
    <row r="56" spans="1:21" ht="16.8">
      <c r="A56" s="200" t="s">
        <v>5270</v>
      </c>
      <c r="B56" s="201">
        <v>19</v>
      </c>
      <c r="C56" s="202" t="s">
        <v>5088</v>
      </c>
      <c r="D56" s="203" t="s">
        <v>5271</v>
      </c>
      <c r="E56" s="203" t="s">
        <v>5210</v>
      </c>
      <c r="F56" s="203">
        <v>2021</v>
      </c>
      <c r="G56" s="203">
        <v>2011</v>
      </c>
      <c r="H56" s="204">
        <v>15147811227799</v>
      </c>
      <c r="I56" s="204">
        <v>7384286184294</v>
      </c>
      <c r="J56" s="204">
        <v>7213629916081</v>
      </c>
      <c r="K56" s="204">
        <v>7763525043505</v>
      </c>
      <c r="L56" s="204">
        <v>4370953925441</v>
      </c>
      <c r="M56" s="204">
        <f>869419343886+706172615429</f>
        <v>1575591959315</v>
      </c>
      <c r="N56" s="204">
        <v>873462409999</v>
      </c>
      <c r="O56" s="205">
        <f t="shared" si="0"/>
        <v>5.7662615203181104E-2</v>
      </c>
      <c r="P56" s="205">
        <f t="shared" si="1"/>
        <v>0.48748205752277174</v>
      </c>
      <c r="Q56" s="206">
        <f t="shared" si="2"/>
        <v>30.348877164034029</v>
      </c>
      <c r="R56" s="206">
        <f t="shared" si="3"/>
        <v>10</v>
      </c>
      <c r="S56" s="32">
        <v>1.84E-2</v>
      </c>
      <c r="T56" s="32">
        <v>2.58E-2</v>
      </c>
      <c r="U56" s="203"/>
    </row>
    <row r="57" spans="1:21" ht="16.8">
      <c r="A57" s="200" t="s">
        <v>5272</v>
      </c>
      <c r="B57" s="201"/>
      <c r="C57" s="202" t="s">
        <v>5088</v>
      </c>
      <c r="D57" s="203" t="s">
        <v>5271</v>
      </c>
      <c r="E57" s="203" t="s">
        <v>5210</v>
      </c>
      <c r="F57" s="203">
        <v>2022</v>
      </c>
      <c r="G57" s="203">
        <v>2011</v>
      </c>
      <c r="H57" s="204">
        <v>16602259161541</v>
      </c>
      <c r="I57" s="204">
        <v>8317375297055</v>
      </c>
      <c r="J57" s="204">
        <v>7349628744151</v>
      </c>
      <c r="K57" s="204">
        <v>8284883864486</v>
      </c>
      <c r="L57" s="204">
        <v>4140392579342</v>
      </c>
      <c r="M57" s="204">
        <f>955267186030+644594737749</f>
        <v>1599861923779</v>
      </c>
      <c r="N57" s="204">
        <v>529940299594</v>
      </c>
      <c r="O57" s="205">
        <f t="shared" si="0"/>
        <v>3.1919770341954576E-2</v>
      </c>
      <c r="P57" s="205">
        <f t="shared" si="1"/>
        <v>0.50097852443612811</v>
      </c>
      <c r="Q57" s="206">
        <f t="shared" si="2"/>
        <v>30.440559896099824</v>
      </c>
      <c r="R57" s="206">
        <f t="shared" si="3"/>
        <v>11</v>
      </c>
      <c r="S57" s="32">
        <v>3.15E-2</v>
      </c>
      <c r="T57" s="32">
        <v>8.0199999999999994E-2</v>
      </c>
      <c r="U57" s="203"/>
    </row>
    <row r="58" spans="1:21" ht="16.8">
      <c r="A58" s="200" t="s">
        <v>5273</v>
      </c>
      <c r="B58" s="201"/>
      <c r="C58" s="202" t="s">
        <v>5088</v>
      </c>
      <c r="D58" s="203" t="s">
        <v>5271</v>
      </c>
      <c r="E58" s="203" t="s">
        <v>5210</v>
      </c>
      <c r="F58" s="203">
        <v>2023</v>
      </c>
      <c r="G58" s="203">
        <v>2011</v>
      </c>
      <c r="H58" s="204">
        <v>15457119931404</v>
      </c>
      <c r="I58" s="204">
        <v>7354175665787</v>
      </c>
      <c r="J58" s="204">
        <v>6754419467135</v>
      </c>
      <c r="K58" s="204">
        <v>8102944265617</v>
      </c>
      <c r="L58" s="204">
        <v>1997404377548</v>
      </c>
      <c r="M58" s="204">
        <f>325472011043+278366045981</f>
        <v>603838057024</v>
      </c>
      <c r="N58" s="204">
        <v>-160261911611</v>
      </c>
      <c r="O58" s="205">
        <f t="shared" si="0"/>
        <v>-1.0368161230695911E-2</v>
      </c>
      <c r="P58" s="205">
        <f t="shared" si="1"/>
        <v>0.47577916833301082</v>
      </c>
      <c r="Q58" s="206">
        <f t="shared" si="2"/>
        <v>30.369090850103628</v>
      </c>
      <c r="R58" s="206">
        <f t="shared" si="3"/>
        <v>12</v>
      </c>
      <c r="S58" s="32">
        <v>3.2500000000000001E-2</v>
      </c>
      <c r="T58" s="32">
        <v>5.0500000000000003E-2</v>
      </c>
      <c r="U58" s="203"/>
    </row>
    <row r="59" spans="1:21" ht="16.8">
      <c r="A59" s="200" t="s">
        <v>5274</v>
      </c>
      <c r="B59" s="201">
        <v>20</v>
      </c>
      <c r="C59" s="202" t="s">
        <v>2816</v>
      </c>
      <c r="D59" s="203" t="s">
        <v>2817</v>
      </c>
      <c r="E59" s="203" t="s">
        <v>5210</v>
      </c>
      <c r="F59" s="203">
        <v>2021</v>
      </c>
      <c r="G59" s="203">
        <v>1975</v>
      </c>
      <c r="H59" s="204">
        <v>129542333897</v>
      </c>
      <c r="I59" s="204">
        <v>18980259843</v>
      </c>
      <c r="J59" s="204">
        <v>18980259843</v>
      </c>
      <c r="K59" s="204">
        <v>110562074054</v>
      </c>
      <c r="L59" s="204">
        <v>197193962731</v>
      </c>
      <c r="M59" s="204">
        <f>7074356005+11830412852</f>
        <v>18904768857</v>
      </c>
      <c r="N59" s="204">
        <v>392933552</v>
      </c>
      <c r="O59" s="205">
        <f t="shared" si="0"/>
        <v>3.0332443470751746E-3</v>
      </c>
      <c r="P59" s="205">
        <f t="shared" si="1"/>
        <v>0.14651781600670663</v>
      </c>
      <c r="Q59" s="206">
        <f t="shared" si="2"/>
        <v>25.5872735673445</v>
      </c>
      <c r="R59" s="206">
        <f t="shared" si="3"/>
        <v>46</v>
      </c>
      <c r="S59" s="32">
        <v>1.84E-2</v>
      </c>
      <c r="T59" s="32">
        <v>2.58E-2</v>
      </c>
      <c r="U59" s="203"/>
    </row>
    <row r="60" spans="1:21" ht="16.8">
      <c r="A60" s="200" t="s">
        <v>5275</v>
      </c>
      <c r="B60" s="201"/>
      <c r="C60" s="202" t="s">
        <v>2816</v>
      </c>
      <c r="D60" s="203" t="s">
        <v>2817</v>
      </c>
      <c r="E60" s="203" t="s">
        <v>5210</v>
      </c>
      <c r="F60" s="203">
        <v>2022</v>
      </c>
      <c r="G60" s="203">
        <v>1975</v>
      </c>
      <c r="H60" s="204">
        <v>137189949612</v>
      </c>
      <c r="I60" s="204">
        <v>26432763439</v>
      </c>
      <c r="J60" s="204">
        <v>26432763439</v>
      </c>
      <c r="K60" s="204">
        <v>110757186173</v>
      </c>
      <c r="L60" s="204">
        <v>226103827292</v>
      </c>
      <c r="M60" s="204">
        <f>8144473861+8387664729</f>
        <v>16532138590</v>
      </c>
      <c r="N60" s="204">
        <v>195112119</v>
      </c>
      <c r="O60" s="205">
        <f t="shared" si="0"/>
        <v>1.422204174225701E-3</v>
      </c>
      <c r="P60" s="205">
        <f t="shared" si="1"/>
        <v>0.19267273961217293</v>
      </c>
      <c r="Q60" s="206">
        <f t="shared" si="2"/>
        <v>25.644632295998171</v>
      </c>
      <c r="R60" s="206">
        <f t="shared" si="3"/>
        <v>47</v>
      </c>
      <c r="S60" s="32">
        <v>3.15E-2</v>
      </c>
      <c r="T60" s="32">
        <v>8.0199999999999994E-2</v>
      </c>
      <c r="U60" s="203"/>
    </row>
    <row r="61" spans="1:21" ht="16.8">
      <c r="A61" s="200" t="s">
        <v>5276</v>
      </c>
      <c r="B61" s="201"/>
      <c r="C61" s="202" t="s">
        <v>2816</v>
      </c>
      <c r="D61" s="203" t="s">
        <v>2817</v>
      </c>
      <c r="E61" s="203" t="s">
        <v>5210</v>
      </c>
      <c r="F61" s="203">
        <v>2023</v>
      </c>
      <c r="G61" s="203">
        <v>1975</v>
      </c>
      <c r="H61" s="204">
        <v>131009664212</v>
      </c>
      <c r="I61" s="204">
        <v>28583790280</v>
      </c>
      <c r="J61" s="204">
        <v>28583790280</v>
      </c>
      <c r="K61" s="204">
        <v>102425873932</v>
      </c>
      <c r="L61" s="204">
        <v>173907942330</v>
      </c>
      <c r="M61" s="204">
        <f>7628130515+10545151700</f>
        <v>18173282215</v>
      </c>
      <c r="N61" s="204">
        <v>-8331312241</v>
      </c>
      <c r="O61" s="205">
        <f t="shared" si="0"/>
        <v>-6.359311193652295E-2</v>
      </c>
      <c r="P61" s="205">
        <f t="shared" si="1"/>
        <v>0.21818077660092064</v>
      </c>
      <c r="Q61" s="206">
        <f t="shared" si="2"/>
        <v>25.598536930037184</v>
      </c>
      <c r="R61" s="206">
        <f t="shared" si="3"/>
        <v>48</v>
      </c>
      <c r="S61" s="32">
        <v>3.2500000000000001E-2</v>
      </c>
      <c r="T61" s="32">
        <v>5.0500000000000003E-2</v>
      </c>
      <c r="U61" s="203"/>
    </row>
    <row r="62" spans="1:21" ht="16.8">
      <c r="A62" s="200" t="s">
        <v>5277</v>
      </c>
      <c r="B62" s="201">
        <v>21</v>
      </c>
      <c r="C62" s="202" t="s">
        <v>5089</v>
      </c>
      <c r="D62" s="203" t="s">
        <v>5278</v>
      </c>
      <c r="E62" s="203" t="s">
        <v>5210</v>
      </c>
      <c r="F62" s="203">
        <v>2021</v>
      </c>
      <c r="G62" s="203">
        <v>2009</v>
      </c>
      <c r="H62" s="204">
        <v>2030455684703</v>
      </c>
      <c r="I62" s="204">
        <v>464390520568</v>
      </c>
      <c r="J62" s="204">
        <v>349036172568</v>
      </c>
      <c r="K62" s="204">
        <v>1566065164135</v>
      </c>
      <c r="L62" s="204">
        <v>968372926769</v>
      </c>
      <c r="M62" s="204">
        <f>2102662032+8126794348</f>
        <v>10229456380</v>
      </c>
      <c r="N62" s="204">
        <v>23837530515</v>
      </c>
      <c r="O62" s="205">
        <f t="shared" si="0"/>
        <v>1.1739990532463543E-2</v>
      </c>
      <c r="P62" s="205">
        <f t="shared" si="1"/>
        <v>0.2287124629543085</v>
      </c>
      <c r="Q62" s="206">
        <f t="shared" si="2"/>
        <v>28.339281359014603</v>
      </c>
      <c r="R62" s="206">
        <f t="shared" si="3"/>
        <v>12</v>
      </c>
      <c r="S62" s="32">
        <v>1.84E-2</v>
      </c>
      <c r="T62" s="32">
        <v>2.58E-2</v>
      </c>
      <c r="U62" s="203"/>
    </row>
    <row r="63" spans="1:21" ht="16.8">
      <c r="A63" s="200" t="s">
        <v>5279</v>
      </c>
      <c r="B63" s="201"/>
      <c r="C63" s="202" t="s">
        <v>5089</v>
      </c>
      <c r="D63" s="203" t="s">
        <v>5278</v>
      </c>
      <c r="E63" s="203" t="s">
        <v>5210</v>
      </c>
      <c r="F63" s="203">
        <v>2022</v>
      </c>
      <c r="G63" s="203">
        <v>2009</v>
      </c>
      <c r="H63" s="204">
        <v>2663732603443</v>
      </c>
      <c r="I63" s="204">
        <v>65185088192</v>
      </c>
      <c r="J63" s="204">
        <v>64830740192</v>
      </c>
      <c r="K63" s="204">
        <v>2598547515251</v>
      </c>
      <c r="L63" s="204">
        <v>1277677911956</v>
      </c>
      <c r="M63" s="204">
        <f>2455875545+6314809648</f>
        <v>8770685193</v>
      </c>
      <c r="N63" s="204">
        <v>25810751306</v>
      </c>
      <c r="O63" s="205">
        <f t="shared" si="0"/>
        <v>9.6896930542646753E-3</v>
      </c>
      <c r="P63" s="205">
        <f t="shared" si="1"/>
        <v>2.4471333236581329E-2</v>
      </c>
      <c r="Q63" s="206">
        <f t="shared" si="2"/>
        <v>28.610749489485919</v>
      </c>
      <c r="R63" s="206">
        <f t="shared" si="3"/>
        <v>13</v>
      </c>
      <c r="S63" s="32">
        <v>3.15E-2</v>
      </c>
      <c r="T63" s="32">
        <v>8.0199999999999994E-2</v>
      </c>
      <c r="U63" s="203"/>
    </row>
    <row r="64" spans="1:21" ht="16.8">
      <c r="A64" s="200" t="s">
        <v>5280</v>
      </c>
      <c r="B64" s="201"/>
      <c r="C64" s="202" t="s">
        <v>5089</v>
      </c>
      <c r="D64" s="203" t="s">
        <v>5278</v>
      </c>
      <c r="E64" s="203" t="s">
        <v>5210</v>
      </c>
      <c r="F64" s="203">
        <v>2023</v>
      </c>
      <c r="G64" s="203">
        <v>2009</v>
      </c>
      <c r="H64" s="204">
        <v>3601142362409</v>
      </c>
      <c r="I64" s="204">
        <v>971831846448</v>
      </c>
      <c r="J64" s="204">
        <v>448397742497</v>
      </c>
      <c r="K64" s="204">
        <v>2629310515961</v>
      </c>
      <c r="L64" s="204">
        <v>1090134190400</v>
      </c>
      <c r="M64" s="204">
        <f>6746781687+11229860409</f>
        <v>17976642096</v>
      </c>
      <c r="N64" s="204">
        <v>31435352432</v>
      </c>
      <c r="O64" s="205">
        <f t="shared" si="0"/>
        <v>8.7292723442822136E-3</v>
      </c>
      <c r="P64" s="205">
        <f t="shared" si="1"/>
        <v>0.26986765549526592</v>
      </c>
      <c r="Q64" s="206">
        <f t="shared" si="2"/>
        <v>28.912272233945743</v>
      </c>
      <c r="R64" s="206">
        <f t="shared" si="3"/>
        <v>14</v>
      </c>
      <c r="S64" s="32">
        <v>3.2500000000000001E-2</v>
      </c>
      <c r="T64" s="32">
        <v>5.0500000000000003E-2</v>
      </c>
      <c r="U64" s="203"/>
    </row>
    <row r="65" spans="1:21" ht="16.8">
      <c r="A65" s="200" t="s">
        <v>5281</v>
      </c>
      <c r="B65" s="201">
        <v>22</v>
      </c>
      <c r="C65" s="202" t="s">
        <v>2850</v>
      </c>
      <c r="D65" s="203" t="s">
        <v>5282</v>
      </c>
      <c r="E65" s="203" t="s">
        <v>5210</v>
      </c>
      <c r="F65" s="203">
        <v>2021</v>
      </c>
      <c r="G65" s="203">
        <v>1989</v>
      </c>
      <c r="H65" s="204">
        <v>804712577571</v>
      </c>
      <c r="I65" s="204">
        <v>162160606300</v>
      </c>
      <c r="J65" s="204">
        <v>160658218130</v>
      </c>
      <c r="K65" s="204">
        <v>642551971271</v>
      </c>
      <c r="L65" s="204">
        <v>185894780650</v>
      </c>
      <c r="M65" s="204">
        <f>6103101298+24751061128</f>
        <v>30854162426</v>
      </c>
      <c r="N65" s="204">
        <v>9449244223</v>
      </c>
      <c r="O65" s="205">
        <f t="shared" si="0"/>
        <v>1.1742384158480846E-2</v>
      </c>
      <c r="P65" s="205">
        <f t="shared" si="1"/>
        <v>0.20151369671576003</v>
      </c>
      <c r="Q65" s="206">
        <f t="shared" si="2"/>
        <v>27.413751004113045</v>
      </c>
      <c r="R65" s="206">
        <f t="shared" si="3"/>
        <v>32</v>
      </c>
      <c r="S65" s="32">
        <v>1.84E-2</v>
      </c>
      <c r="T65" s="32">
        <v>2.58E-2</v>
      </c>
      <c r="U65" s="203"/>
    </row>
    <row r="66" spans="1:21" ht="16.8">
      <c r="A66" s="200" t="s">
        <v>5283</v>
      </c>
      <c r="B66" s="201"/>
      <c r="C66" s="202" t="s">
        <v>2850</v>
      </c>
      <c r="D66" s="203" t="s">
        <v>5282</v>
      </c>
      <c r="E66" s="203" t="s">
        <v>5210</v>
      </c>
      <c r="F66" s="203">
        <v>2022</v>
      </c>
      <c r="G66" s="203">
        <v>1989</v>
      </c>
      <c r="H66" s="204">
        <v>613556209562</v>
      </c>
      <c r="I66" s="204">
        <v>168600136694</v>
      </c>
      <c r="J66" s="204">
        <v>166891885174</v>
      </c>
      <c r="K66" s="204">
        <v>444956072868</v>
      </c>
      <c r="L66" s="204">
        <v>17217337262</v>
      </c>
      <c r="M66" s="204">
        <f>50495350+214035611481</f>
        <v>214086106831</v>
      </c>
      <c r="N66" s="204">
        <v>-197595898403</v>
      </c>
      <c r="O66" s="205">
        <f t="shared" si="0"/>
        <v>-0.32205019739602664</v>
      </c>
      <c r="P66" s="205">
        <f t="shared" si="1"/>
        <v>0.27479167200403487</v>
      </c>
      <c r="Q66" s="206">
        <f t="shared" si="2"/>
        <v>27.142537718028372</v>
      </c>
      <c r="R66" s="206">
        <f t="shared" si="3"/>
        <v>33</v>
      </c>
      <c r="S66" s="32">
        <v>3.15E-2</v>
      </c>
      <c r="T66" s="32">
        <v>8.0199999999999994E-2</v>
      </c>
      <c r="U66" s="203"/>
    </row>
    <row r="67" spans="1:21" ht="16.8">
      <c r="A67" s="200" t="s">
        <v>5284</v>
      </c>
      <c r="B67" s="201"/>
      <c r="C67" s="202" t="s">
        <v>2850</v>
      </c>
      <c r="D67" s="203" t="s">
        <v>5282</v>
      </c>
      <c r="E67" s="203" t="s">
        <v>5210</v>
      </c>
      <c r="F67" s="203">
        <v>2023</v>
      </c>
      <c r="G67" s="203">
        <v>1989</v>
      </c>
      <c r="H67" s="204">
        <v>669322416683</v>
      </c>
      <c r="I67" s="204">
        <v>223641558714</v>
      </c>
      <c r="J67" s="204">
        <v>220956223954</v>
      </c>
      <c r="K67" s="204">
        <v>445680857959</v>
      </c>
      <c r="L67" s="204">
        <v>18771213545</v>
      </c>
      <c r="M67" s="204">
        <v>-13103723113</v>
      </c>
      <c r="N67" s="204">
        <v>724785101</v>
      </c>
      <c r="O67" s="205">
        <f t="shared" si="0"/>
        <v>1.0828639276596467E-3</v>
      </c>
      <c r="P67" s="205">
        <f t="shared" si="1"/>
        <v>0.33413128432529343</v>
      </c>
      <c r="Q67" s="206">
        <f t="shared" si="2"/>
        <v>27.229531719220361</v>
      </c>
      <c r="R67" s="206">
        <f t="shared" si="3"/>
        <v>34</v>
      </c>
      <c r="S67" s="32">
        <v>3.2500000000000001E-2</v>
      </c>
      <c r="T67" s="32">
        <v>5.0500000000000003E-2</v>
      </c>
      <c r="U67" s="203" t="s">
        <v>51</v>
      </c>
    </row>
    <row r="68" spans="1:21" ht="16.8">
      <c r="A68" s="200" t="s">
        <v>5285</v>
      </c>
      <c r="B68" s="201">
        <v>23</v>
      </c>
      <c r="C68" s="202" t="s">
        <v>2873</v>
      </c>
      <c r="D68" s="203" t="s">
        <v>5286</v>
      </c>
      <c r="E68" s="203" t="s">
        <v>5210</v>
      </c>
      <c r="F68" s="203">
        <v>2021</v>
      </c>
      <c r="G68" s="203">
        <v>2007</v>
      </c>
      <c r="H68" s="204">
        <v>10786068729507</v>
      </c>
      <c r="I68" s="204">
        <v>9106794490746</v>
      </c>
      <c r="J68" s="204">
        <v>9106707790746</v>
      </c>
      <c r="K68" s="204">
        <v>1679274238761</v>
      </c>
      <c r="L68" s="204">
        <v>22619505421050</v>
      </c>
      <c r="M68" s="204">
        <f>2071124789339+585528444388</f>
        <v>2656653233727</v>
      </c>
      <c r="N68" s="204">
        <v>443898346428</v>
      </c>
      <c r="O68" s="205">
        <f t="shared" si="0"/>
        <v>4.115478563692495E-2</v>
      </c>
      <c r="P68" s="205">
        <f t="shared" si="1"/>
        <v>0.84431081602817171</v>
      </c>
      <c r="Q68" s="206">
        <f t="shared" si="2"/>
        <v>30.009276484926655</v>
      </c>
      <c r="R68" s="206">
        <f t="shared" si="3"/>
        <v>14</v>
      </c>
      <c r="S68" s="32">
        <v>1.84E-2</v>
      </c>
      <c r="T68" s="32">
        <v>2.58E-2</v>
      </c>
      <c r="U68" s="203"/>
    </row>
    <row r="69" spans="1:21" ht="16.8">
      <c r="A69" s="200" t="s">
        <v>5287</v>
      </c>
      <c r="B69" s="201"/>
      <c r="C69" s="202" t="s">
        <v>2873</v>
      </c>
      <c r="D69" s="203" t="s">
        <v>5286</v>
      </c>
      <c r="E69" s="203" t="s">
        <v>5210</v>
      </c>
      <c r="F69" s="203">
        <v>2022</v>
      </c>
      <c r="G69" s="203">
        <v>2007</v>
      </c>
      <c r="H69" s="204">
        <v>10523796935046</v>
      </c>
      <c r="I69" s="204">
        <v>8474461394877</v>
      </c>
      <c r="J69" s="204">
        <v>8474374694877</v>
      </c>
      <c r="K69" s="204">
        <v>2049335540169</v>
      </c>
      <c r="L69" s="204">
        <v>30276710796279</v>
      </c>
      <c r="M69" s="204">
        <f>3259297597681+887338884656</f>
        <v>4146636482337</v>
      </c>
      <c r="N69" s="204">
        <v>398074197408</v>
      </c>
      <c r="O69" s="205">
        <f t="shared" si="0"/>
        <v>3.7826100205558558E-2</v>
      </c>
      <c r="P69" s="205">
        <f t="shared" si="1"/>
        <v>0.80526652568291479</v>
      </c>
      <c r="Q69" s="206">
        <f t="shared" si="2"/>
        <v>29.984660183504815</v>
      </c>
      <c r="R69" s="206">
        <f t="shared" si="3"/>
        <v>15</v>
      </c>
      <c r="S69" s="32">
        <v>3.15E-2</v>
      </c>
      <c r="T69" s="32">
        <v>8.0199999999999994E-2</v>
      </c>
      <c r="U69" s="203"/>
    </row>
    <row r="70" spans="1:21" ht="16.8">
      <c r="A70" s="200" t="s">
        <v>5288</v>
      </c>
      <c r="B70" s="201"/>
      <c r="C70" s="202" t="s">
        <v>2873</v>
      </c>
      <c r="D70" s="203" t="s">
        <v>5286</v>
      </c>
      <c r="E70" s="203" t="s">
        <v>5210</v>
      </c>
      <c r="F70" s="203">
        <v>2023</v>
      </c>
      <c r="G70" s="203">
        <v>2007</v>
      </c>
      <c r="H70" s="204">
        <v>13098449902604</v>
      </c>
      <c r="I70" s="204">
        <v>11379279324447</v>
      </c>
      <c r="J70" s="204">
        <v>11378723422861</v>
      </c>
      <c r="K70" s="204">
        <v>1719170578157</v>
      </c>
      <c r="L70" s="204">
        <v>31975613596365</v>
      </c>
      <c r="M70" s="204">
        <f>4169668799072+1076478805719</f>
        <v>5246147604791</v>
      </c>
      <c r="N70" s="204">
        <v>-329196524512</v>
      </c>
      <c r="O70" s="205">
        <f t="shared" si="0"/>
        <v>-2.5132479565124346E-2</v>
      </c>
      <c r="P70" s="205">
        <f t="shared" si="1"/>
        <v>0.86875007417364514</v>
      </c>
      <c r="Q70" s="206">
        <f t="shared" si="2"/>
        <v>30.203515011088843</v>
      </c>
      <c r="R70" s="206">
        <f t="shared" si="3"/>
        <v>16</v>
      </c>
      <c r="S70" s="32">
        <v>3.2500000000000001E-2</v>
      </c>
      <c r="T70" s="32">
        <v>5.0500000000000003E-2</v>
      </c>
      <c r="U70" s="203"/>
    </row>
    <row r="71" spans="1:21" ht="31.2">
      <c r="A71" s="200" t="s">
        <v>2897</v>
      </c>
      <c r="B71" s="208">
        <v>24</v>
      </c>
      <c r="C71" s="209" t="s">
        <v>2898</v>
      </c>
      <c r="D71" s="203" t="s">
        <v>5289</v>
      </c>
      <c r="E71" s="203" t="s">
        <v>5210</v>
      </c>
      <c r="F71" s="203">
        <v>2021</v>
      </c>
      <c r="G71" s="203">
        <v>1982</v>
      </c>
      <c r="H71" s="204">
        <v>3765800622277</v>
      </c>
      <c r="I71" s="204">
        <v>2155361074843</v>
      </c>
      <c r="J71" s="204">
        <v>2084754714843</v>
      </c>
      <c r="K71" s="204">
        <f t="shared" ref="K71:K159" si="4">H71-I71</f>
        <v>1610439547434</v>
      </c>
      <c r="L71" s="204">
        <v>4150320316468</v>
      </c>
      <c r="M71" s="204">
        <f>4768816127+155116113077</f>
        <v>159884929204</v>
      </c>
      <c r="N71" s="204">
        <v>28881350991</v>
      </c>
      <c r="O71" s="205">
        <f t="shared" si="0"/>
        <v>7.6693786761171719E-3</v>
      </c>
      <c r="P71" s="205">
        <f t="shared" si="1"/>
        <v>0.5723513512884163</v>
      </c>
      <c r="Q71" s="206">
        <f t="shared" si="2"/>
        <v>28.95698160325303</v>
      </c>
      <c r="R71" s="206">
        <f t="shared" si="3"/>
        <v>39</v>
      </c>
      <c r="S71" s="32">
        <v>1.84E-2</v>
      </c>
      <c r="T71" s="32">
        <v>2.58E-2</v>
      </c>
      <c r="U71" s="203"/>
    </row>
    <row r="72" spans="1:21" ht="31.2">
      <c r="A72" s="200" t="s">
        <v>2900</v>
      </c>
      <c r="B72" s="208"/>
      <c r="C72" s="209" t="s">
        <v>2898</v>
      </c>
      <c r="D72" s="203" t="s">
        <v>5289</v>
      </c>
      <c r="E72" s="203" t="s">
        <v>5210</v>
      </c>
      <c r="F72" s="203">
        <v>2022</v>
      </c>
      <c r="G72" s="203">
        <v>1982</v>
      </c>
      <c r="H72" s="204">
        <v>3988337367283</v>
      </c>
      <c r="I72" s="204">
        <v>1476678498622</v>
      </c>
      <c r="J72" s="204">
        <v>1329859942431</v>
      </c>
      <c r="K72" s="204">
        <f t="shared" si="4"/>
        <v>2511658868661</v>
      </c>
      <c r="L72" s="204">
        <v>3166709117208</v>
      </c>
      <c r="M72" s="204">
        <f>61436683707+184319410486</f>
        <v>245756094193</v>
      </c>
      <c r="N72" s="204">
        <v>361392800018</v>
      </c>
      <c r="O72" s="205">
        <f t="shared" si="0"/>
        <v>9.0612394774465602E-2</v>
      </c>
      <c r="P72" s="205">
        <f t="shared" si="1"/>
        <v>0.37024914460232006</v>
      </c>
      <c r="Q72" s="206">
        <f t="shared" si="2"/>
        <v>29.014395560057707</v>
      </c>
      <c r="R72" s="206">
        <f t="shared" si="3"/>
        <v>40</v>
      </c>
      <c r="S72" s="32">
        <v>3.15E-2</v>
      </c>
      <c r="T72" s="32">
        <v>8.0199999999999994E-2</v>
      </c>
      <c r="U72" s="203"/>
    </row>
    <row r="73" spans="1:21" ht="31.2">
      <c r="A73" s="200" t="s">
        <v>2901</v>
      </c>
      <c r="B73" s="208"/>
      <c r="C73" s="209" t="s">
        <v>2898</v>
      </c>
      <c r="D73" s="203" t="s">
        <v>5289</v>
      </c>
      <c r="E73" s="203" t="s">
        <v>5210</v>
      </c>
      <c r="F73" s="203">
        <v>2023</v>
      </c>
      <c r="G73" s="203">
        <v>1982</v>
      </c>
      <c r="H73" s="204">
        <v>3357159038688</v>
      </c>
      <c r="I73" s="204">
        <v>813586753931</v>
      </c>
      <c r="J73" s="204">
        <v>641499414655</v>
      </c>
      <c r="K73" s="204">
        <f t="shared" si="4"/>
        <v>2543572284757</v>
      </c>
      <c r="L73" s="204">
        <v>936395864836</v>
      </c>
      <c r="M73" s="204">
        <f>155965433704+156288786389</f>
        <v>312254220093</v>
      </c>
      <c r="N73" s="204">
        <v>330633107637</v>
      </c>
      <c r="O73" s="205">
        <f t="shared" si="0"/>
        <v>9.8485982888142712E-2</v>
      </c>
      <c r="P73" s="205">
        <f t="shared" si="1"/>
        <v>0.2423438224269992</v>
      </c>
      <c r="Q73" s="206">
        <f t="shared" si="2"/>
        <v>28.842116208046455</v>
      </c>
      <c r="R73" s="206">
        <f t="shared" si="3"/>
        <v>41</v>
      </c>
      <c r="S73" s="32">
        <v>3.2500000000000001E-2</v>
      </c>
      <c r="T73" s="32">
        <v>5.0500000000000003E-2</v>
      </c>
      <c r="U73" s="203"/>
    </row>
    <row r="74" spans="1:21" ht="16.8">
      <c r="A74" s="200" t="s">
        <v>5290</v>
      </c>
      <c r="B74" s="208">
        <v>25</v>
      </c>
      <c r="C74" s="209" t="s">
        <v>2902</v>
      </c>
      <c r="D74" s="203" t="s">
        <v>5291</v>
      </c>
      <c r="E74" s="203" t="s">
        <v>178</v>
      </c>
      <c r="F74" s="203">
        <v>2021</v>
      </c>
      <c r="G74" s="203">
        <v>1976</v>
      </c>
      <c r="H74" s="204">
        <v>827382114845</v>
      </c>
      <c r="I74" s="204">
        <v>124745488578</v>
      </c>
      <c r="J74" s="204">
        <v>107623644738</v>
      </c>
      <c r="K74" s="204">
        <f t="shared" si="4"/>
        <v>702636626267</v>
      </c>
      <c r="L74" s="204">
        <v>1064772325677</v>
      </c>
      <c r="M74" s="204">
        <f>7958288741+103970588212</f>
        <v>111928876953</v>
      </c>
      <c r="N74" s="204">
        <v>43591418304</v>
      </c>
      <c r="O74" s="205">
        <f t="shared" si="0"/>
        <v>5.2685956732538654E-2</v>
      </c>
      <c r="P74" s="205">
        <f t="shared" si="1"/>
        <v>0.15077131393077012</v>
      </c>
      <c r="Q74" s="206">
        <f t="shared" si="2"/>
        <v>27.441532474647513</v>
      </c>
      <c r="R74" s="206">
        <f t="shared" si="3"/>
        <v>45</v>
      </c>
      <c r="S74" s="32">
        <v>1.84E-2</v>
      </c>
      <c r="T74" s="32">
        <v>2.58E-2</v>
      </c>
      <c r="U74" s="203"/>
    </row>
    <row r="75" spans="1:21" ht="16.8">
      <c r="A75" s="200" t="s">
        <v>5292</v>
      </c>
      <c r="B75" s="208"/>
      <c r="C75" s="209" t="s">
        <v>2902</v>
      </c>
      <c r="D75" s="203" t="s">
        <v>5291</v>
      </c>
      <c r="E75" s="203" t="s">
        <v>178</v>
      </c>
      <c r="F75" s="203">
        <v>2022</v>
      </c>
      <c r="G75" s="203">
        <v>1976</v>
      </c>
      <c r="H75" s="204">
        <v>535392208393</v>
      </c>
      <c r="I75" s="204">
        <v>87346313734</v>
      </c>
      <c r="J75" s="204">
        <v>73140671877</v>
      </c>
      <c r="K75" s="204">
        <f t="shared" si="4"/>
        <v>448045894659</v>
      </c>
      <c r="L75" s="204">
        <v>292176218727</v>
      </c>
      <c r="M75" s="204">
        <f>357991160+108482178677</f>
        <v>108840169837</v>
      </c>
      <c r="N75" s="204">
        <v>-84701877511</v>
      </c>
      <c r="O75" s="205">
        <f t="shared" si="0"/>
        <v>-0.15820528611209322</v>
      </c>
      <c r="P75" s="205">
        <f t="shared" si="1"/>
        <v>0.16314453659341302</v>
      </c>
      <c r="Q75" s="206">
        <f t="shared" si="2"/>
        <v>27.006265415056017</v>
      </c>
      <c r="R75" s="206">
        <f t="shared" si="3"/>
        <v>46</v>
      </c>
      <c r="S75" s="32">
        <v>3.15E-2</v>
      </c>
      <c r="T75" s="32">
        <v>8.0199999999999994E-2</v>
      </c>
      <c r="U75" s="203"/>
    </row>
    <row r="76" spans="1:21" ht="16.8">
      <c r="A76" s="200" t="s">
        <v>5293</v>
      </c>
      <c r="B76" s="208"/>
      <c r="C76" s="209" t="s">
        <v>2902</v>
      </c>
      <c r="D76" s="203" t="s">
        <v>5291</v>
      </c>
      <c r="E76" s="203" t="s">
        <v>178</v>
      </c>
      <c r="F76" s="203">
        <v>2023</v>
      </c>
      <c r="G76" s="203">
        <v>1976</v>
      </c>
      <c r="H76" s="204">
        <v>419077780479</v>
      </c>
      <c r="I76" s="204">
        <v>26699717340</v>
      </c>
      <c r="J76" s="204">
        <v>10606323346</v>
      </c>
      <c r="K76" s="204">
        <f t="shared" si="4"/>
        <v>392378063139</v>
      </c>
      <c r="L76" s="204">
        <v>8296582790</v>
      </c>
      <c r="M76" s="204">
        <f>8319462+47685504422</f>
        <v>47693823884</v>
      </c>
      <c r="N76" s="204">
        <v>-51944754105</v>
      </c>
      <c r="O76" s="205">
        <f t="shared" si="0"/>
        <v>-0.12395015084223239</v>
      </c>
      <c r="P76" s="205">
        <f t="shared" si="1"/>
        <v>6.3710648914582391E-2</v>
      </c>
      <c r="Q76" s="206">
        <f t="shared" si="2"/>
        <v>26.761322373242194</v>
      </c>
      <c r="R76" s="206">
        <f t="shared" si="3"/>
        <v>47</v>
      </c>
      <c r="S76" s="32">
        <v>3.2500000000000001E-2</v>
      </c>
      <c r="T76" s="32">
        <v>5.0500000000000003E-2</v>
      </c>
      <c r="U76" s="203"/>
    </row>
    <row r="77" spans="1:21" ht="16.8">
      <c r="A77" s="200" t="s">
        <v>2921</v>
      </c>
      <c r="B77" s="208">
        <v>26</v>
      </c>
      <c r="C77" s="209" t="s">
        <v>2922</v>
      </c>
      <c r="D77" s="203" t="s">
        <v>2923</v>
      </c>
      <c r="E77" s="203" t="s">
        <v>5210</v>
      </c>
      <c r="F77" s="203">
        <v>2021</v>
      </c>
      <c r="G77" s="203">
        <v>1990</v>
      </c>
      <c r="H77" s="204">
        <v>18439684991</v>
      </c>
      <c r="I77" s="204">
        <v>13768451651</v>
      </c>
      <c r="J77" s="204">
        <v>6754505795</v>
      </c>
      <c r="K77" s="204">
        <f t="shared" si="4"/>
        <v>4671233340</v>
      </c>
      <c r="L77" s="204">
        <v>2187415636</v>
      </c>
      <c r="M77" s="204">
        <v>303566395</v>
      </c>
      <c r="N77" s="204">
        <v>127606111</v>
      </c>
      <c r="O77" s="205">
        <f t="shared" si="0"/>
        <v>6.9201893124682824E-3</v>
      </c>
      <c r="P77" s="205">
        <f t="shared" si="1"/>
        <v>0.74667499242639312</v>
      </c>
      <c r="Q77" s="206">
        <f t="shared" si="2"/>
        <v>23.637770972011374</v>
      </c>
      <c r="R77" s="206">
        <f t="shared" si="3"/>
        <v>31</v>
      </c>
      <c r="S77" s="32">
        <v>1.84E-2</v>
      </c>
      <c r="T77" s="32">
        <v>2.58E-2</v>
      </c>
      <c r="U77" s="203"/>
    </row>
    <row r="78" spans="1:21" ht="16.8">
      <c r="A78" s="200" t="s">
        <v>2924</v>
      </c>
      <c r="B78" s="208"/>
      <c r="C78" s="209" t="s">
        <v>2922</v>
      </c>
      <c r="D78" s="203" t="s">
        <v>2923</v>
      </c>
      <c r="E78" s="203" t="s">
        <v>5210</v>
      </c>
      <c r="F78" s="203">
        <v>2022</v>
      </c>
      <c r="G78" s="203">
        <v>1990</v>
      </c>
      <c r="H78" s="204">
        <v>19798387553</v>
      </c>
      <c r="I78" s="204">
        <v>14603644212</v>
      </c>
      <c r="J78" s="204">
        <v>9218063487</v>
      </c>
      <c r="K78" s="204">
        <f t="shared" si="4"/>
        <v>5194743341</v>
      </c>
      <c r="L78" s="204">
        <v>5197982826</v>
      </c>
      <c r="M78" s="204">
        <v>1601833323</v>
      </c>
      <c r="N78" s="204">
        <v>1124674840</v>
      </c>
      <c r="O78" s="205">
        <f t="shared" si="0"/>
        <v>5.6806385721527144E-2</v>
      </c>
      <c r="P78" s="205">
        <f t="shared" si="1"/>
        <v>0.73761785766170374</v>
      </c>
      <c r="Q78" s="206">
        <f t="shared" si="2"/>
        <v>23.708866334613578</v>
      </c>
      <c r="R78" s="206">
        <f t="shared" si="3"/>
        <v>32</v>
      </c>
      <c r="S78" s="32">
        <v>3.15E-2</v>
      </c>
      <c r="T78" s="32">
        <v>8.0199999999999994E-2</v>
      </c>
      <c r="U78" s="203"/>
    </row>
    <row r="79" spans="1:21" ht="16.8">
      <c r="A79" s="200" t="s">
        <v>2925</v>
      </c>
      <c r="B79" s="208"/>
      <c r="C79" s="209" t="s">
        <v>2922</v>
      </c>
      <c r="D79" s="203" t="s">
        <v>2923</v>
      </c>
      <c r="E79" s="203" t="s">
        <v>5210</v>
      </c>
      <c r="F79" s="203">
        <v>2023</v>
      </c>
      <c r="G79" s="203">
        <v>1990</v>
      </c>
      <c r="H79" s="204">
        <v>20903255290</v>
      </c>
      <c r="I79" s="204">
        <v>14225785185</v>
      </c>
      <c r="J79" s="204">
        <v>9710404280</v>
      </c>
      <c r="K79" s="204">
        <f t="shared" si="4"/>
        <v>6677470105</v>
      </c>
      <c r="L79" s="204">
        <v>6492569736</v>
      </c>
      <c r="M79" s="204">
        <v>410158699</v>
      </c>
      <c r="N79" s="204">
        <v>1781685785</v>
      </c>
      <c r="O79" s="205">
        <f t="shared" si="0"/>
        <v>8.5234847887656451E-2</v>
      </c>
      <c r="P79" s="205">
        <f t="shared" si="1"/>
        <v>0.68055357826517748</v>
      </c>
      <c r="Q79" s="206">
        <f t="shared" si="2"/>
        <v>23.763170739290938</v>
      </c>
      <c r="R79" s="206">
        <f t="shared" si="3"/>
        <v>33</v>
      </c>
      <c r="S79" s="32">
        <v>3.2500000000000001E-2</v>
      </c>
      <c r="T79" s="32">
        <v>5.0500000000000003E-2</v>
      </c>
      <c r="U79" s="203"/>
    </row>
    <row r="80" spans="1:21" ht="16.8">
      <c r="A80" s="200" t="s">
        <v>2943</v>
      </c>
      <c r="B80" s="208">
        <v>27</v>
      </c>
      <c r="C80" s="209" t="s">
        <v>2944</v>
      </c>
      <c r="D80" s="203" t="s">
        <v>5294</v>
      </c>
      <c r="E80" s="203" t="s">
        <v>5210</v>
      </c>
      <c r="F80" s="203">
        <v>2021</v>
      </c>
      <c r="G80" s="203">
        <v>1996</v>
      </c>
      <c r="H80" s="204">
        <v>202626115905</v>
      </c>
      <c r="I80" s="204">
        <v>61052827309</v>
      </c>
      <c r="J80" s="204">
        <v>60763777286</v>
      </c>
      <c r="K80" s="204">
        <f t="shared" si="4"/>
        <v>141573288596</v>
      </c>
      <c r="L80" s="204">
        <v>197530930686</v>
      </c>
      <c r="M80" s="204">
        <v>11270562575</v>
      </c>
      <c r="N80" s="204">
        <v>2946974001</v>
      </c>
      <c r="O80" s="205">
        <f t="shared" si="0"/>
        <v>1.4543900167250259E-2</v>
      </c>
      <c r="P80" s="205">
        <f t="shared" si="1"/>
        <v>0.30130779063851887</v>
      </c>
      <c r="Q80" s="206">
        <f t="shared" si="2"/>
        <v>26.03462832422953</v>
      </c>
      <c r="R80" s="206">
        <f t="shared" si="3"/>
        <v>25</v>
      </c>
      <c r="S80" s="32">
        <v>1.84E-2</v>
      </c>
      <c r="T80" s="32">
        <v>2.58E-2</v>
      </c>
      <c r="U80" s="203"/>
    </row>
    <row r="81" spans="1:21" ht="16.8">
      <c r="A81" s="200" t="s">
        <v>2946</v>
      </c>
      <c r="B81" s="208"/>
      <c r="C81" s="209" t="s">
        <v>2944</v>
      </c>
      <c r="D81" s="203" t="s">
        <v>5294</v>
      </c>
      <c r="E81" s="203" t="s">
        <v>5210</v>
      </c>
      <c r="F81" s="203">
        <v>2022</v>
      </c>
      <c r="G81" s="203">
        <v>1996</v>
      </c>
      <c r="H81" s="204">
        <v>220185600065</v>
      </c>
      <c r="I81" s="204">
        <v>79503752525</v>
      </c>
      <c r="J81" s="204">
        <v>71535323341</v>
      </c>
      <c r="K81" s="204">
        <f t="shared" si="4"/>
        <v>140681847540</v>
      </c>
      <c r="L81" s="204">
        <v>145551346626</v>
      </c>
      <c r="M81" s="204">
        <v>8394813204</v>
      </c>
      <c r="N81" s="204">
        <v>721888942</v>
      </c>
      <c r="O81" s="205">
        <f t="shared" si="0"/>
        <v>3.2785474698931011E-3</v>
      </c>
      <c r="P81" s="205">
        <f t="shared" si="1"/>
        <v>0.36107607628078336</v>
      </c>
      <c r="Q81" s="206">
        <f t="shared" si="2"/>
        <v>26.117736664296476</v>
      </c>
      <c r="R81" s="206">
        <f t="shared" si="3"/>
        <v>26</v>
      </c>
      <c r="S81" s="32">
        <v>3.15E-2</v>
      </c>
      <c r="T81" s="32">
        <v>8.0199999999999994E-2</v>
      </c>
      <c r="U81" s="203"/>
    </row>
    <row r="82" spans="1:21" ht="16.8">
      <c r="A82" s="200" t="s">
        <v>2947</v>
      </c>
      <c r="B82" s="208"/>
      <c r="C82" s="209" t="s">
        <v>2944</v>
      </c>
      <c r="D82" s="203" t="s">
        <v>5294</v>
      </c>
      <c r="E82" s="203" t="s">
        <v>5210</v>
      </c>
      <c r="F82" s="203">
        <v>2023</v>
      </c>
      <c r="G82" s="203">
        <v>1996</v>
      </c>
      <c r="H82" s="204">
        <v>213945608926</v>
      </c>
      <c r="I82" s="204">
        <v>74825466608</v>
      </c>
      <c r="J82" s="204">
        <v>66724120208</v>
      </c>
      <c r="K82" s="204">
        <f t="shared" si="4"/>
        <v>139120142318</v>
      </c>
      <c r="L82" s="204">
        <v>115619862855</v>
      </c>
      <c r="M82" s="204">
        <v>10503677566</v>
      </c>
      <c r="N82" s="204">
        <v>317453125</v>
      </c>
      <c r="O82" s="205">
        <f t="shared" si="0"/>
        <v>1.4838029468966639E-3</v>
      </c>
      <c r="P82" s="205">
        <f t="shared" si="1"/>
        <v>0.3497406045565572</v>
      </c>
      <c r="Q82" s="206">
        <f t="shared" si="2"/>
        <v>26.088987655765948</v>
      </c>
      <c r="R82" s="206">
        <f t="shared" si="3"/>
        <v>27</v>
      </c>
      <c r="S82" s="32">
        <v>3.2500000000000001E-2</v>
      </c>
      <c r="T82" s="32">
        <v>5.0500000000000003E-2</v>
      </c>
      <c r="U82" s="203"/>
    </row>
    <row r="83" spans="1:21" ht="16.8">
      <c r="A83" s="200" t="s">
        <v>5295</v>
      </c>
      <c r="B83" s="208">
        <v>28</v>
      </c>
      <c r="C83" s="209" t="s">
        <v>2953</v>
      </c>
      <c r="D83" s="203" t="s">
        <v>5296</v>
      </c>
      <c r="E83" s="203" t="s">
        <v>178</v>
      </c>
      <c r="F83" s="203">
        <v>2021</v>
      </c>
      <c r="G83" s="203">
        <v>1987</v>
      </c>
      <c r="H83" s="204">
        <v>16576620526681</v>
      </c>
      <c r="I83" s="204">
        <v>12520092758196</v>
      </c>
      <c r="J83" s="204">
        <v>11644462841170</v>
      </c>
      <c r="K83" s="204">
        <f t="shared" si="4"/>
        <v>4056527768485</v>
      </c>
      <c r="L83" s="204">
        <v>11355969088757</v>
      </c>
      <c r="M83" s="204">
        <f>45467329544+410409250410</f>
        <v>455876579954</v>
      </c>
      <c r="N83" s="204">
        <v>96969952546</v>
      </c>
      <c r="O83" s="205">
        <f t="shared" si="0"/>
        <v>5.8498022796577521E-3</v>
      </c>
      <c r="P83" s="205">
        <f t="shared" si="1"/>
        <v>0.755286201915777</v>
      </c>
      <c r="Q83" s="206">
        <f t="shared" si="2"/>
        <v>30.439014416553551</v>
      </c>
      <c r="R83" s="206">
        <f t="shared" si="3"/>
        <v>34</v>
      </c>
      <c r="S83" s="32">
        <v>1.84E-2</v>
      </c>
      <c r="T83" s="32">
        <v>2.58E-2</v>
      </c>
      <c r="U83" s="203"/>
    </row>
    <row r="84" spans="1:21" ht="16.8">
      <c r="A84" s="200" t="s">
        <v>5297</v>
      </c>
      <c r="B84" s="208"/>
      <c r="C84" s="209" t="s">
        <v>2953</v>
      </c>
      <c r="D84" s="203" t="s">
        <v>5296</v>
      </c>
      <c r="E84" s="203" t="s">
        <v>178</v>
      </c>
      <c r="F84" s="203">
        <v>2022</v>
      </c>
      <c r="G84" s="203">
        <v>1987</v>
      </c>
      <c r="H84" s="204">
        <v>15594229851530</v>
      </c>
      <c r="I84" s="204">
        <v>14375678110967</v>
      </c>
      <c r="J84" s="204">
        <v>12640628172299</v>
      </c>
      <c r="K84" s="204">
        <f t="shared" si="4"/>
        <v>1218551740563</v>
      </c>
      <c r="L84" s="204">
        <v>14154109474056</v>
      </c>
      <c r="M84" s="204">
        <f>39135616629+2246236740703</f>
        <v>2285372357332</v>
      </c>
      <c r="N84" s="204">
        <v>2570476662931</v>
      </c>
      <c r="O84" s="205">
        <f t="shared" si="0"/>
        <v>0.16483511448811961</v>
      </c>
      <c r="P84" s="205">
        <f t="shared" si="1"/>
        <v>0.92185880597088643</v>
      </c>
      <c r="Q84" s="206">
        <f t="shared" si="2"/>
        <v>30.377922080448894</v>
      </c>
      <c r="R84" s="206">
        <f t="shared" si="3"/>
        <v>35</v>
      </c>
      <c r="S84" s="32">
        <v>3.15E-2</v>
      </c>
      <c r="T84" s="32">
        <v>8.0199999999999994E-2</v>
      </c>
      <c r="U84" s="203"/>
    </row>
    <row r="85" spans="1:21" ht="16.8">
      <c r="A85" s="200" t="s">
        <v>5298</v>
      </c>
      <c r="B85" s="208"/>
      <c r="C85" s="209" t="s">
        <v>2953</v>
      </c>
      <c r="D85" s="203" t="s">
        <v>5296</v>
      </c>
      <c r="E85" s="203" t="s">
        <v>178</v>
      </c>
      <c r="F85" s="203">
        <v>2023</v>
      </c>
      <c r="G85" s="203">
        <v>1987</v>
      </c>
      <c r="H85" s="204">
        <v>15249857036221</v>
      </c>
      <c r="I85" s="204">
        <v>15156476047991</v>
      </c>
      <c r="J85" s="204">
        <v>13703264560386</v>
      </c>
      <c r="K85" s="204">
        <f t="shared" si="4"/>
        <v>93380988230</v>
      </c>
      <c r="L85" s="204">
        <v>7542214414041</v>
      </c>
      <c r="M85" s="204">
        <f>38746415801+757700729472</f>
        <v>796447145273</v>
      </c>
      <c r="N85" s="204">
        <v>1115337522268</v>
      </c>
      <c r="O85" s="205">
        <f t="shared" si="0"/>
        <v>7.3137572346998664E-2</v>
      </c>
      <c r="P85" s="205">
        <f t="shared" si="1"/>
        <v>0.99387659910462078</v>
      </c>
      <c r="Q85" s="206">
        <f t="shared" si="2"/>
        <v>30.355591244263994</v>
      </c>
      <c r="R85" s="206">
        <f t="shared" si="3"/>
        <v>36</v>
      </c>
      <c r="S85" s="32">
        <v>3.2500000000000001E-2</v>
      </c>
      <c r="T85" s="32">
        <v>5.0500000000000003E-2</v>
      </c>
      <c r="U85" s="203"/>
    </row>
    <row r="86" spans="1:21" ht="16.8">
      <c r="A86" s="200" t="s">
        <v>5299</v>
      </c>
      <c r="B86" s="208">
        <v>29</v>
      </c>
      <c r="C86" s="209" t="s">
        <v>2981</v>
      </c>
      <c r="D86" s="203" t="s">
        <v>5300</v>
      </c>
      <c r="E86" s="203" t="s">
        <v>5210</v>
      </c>
      <c r="F86" s="203">
        <v>2021</v>
      </c>
      <c r="G86" s="203">
        <v>2001</v>
      </c>
      <c r="H86" s="204">
        <v>1520346235872</v>
      </c>
      <c r="I86" s="204">
        <v>729366540260</v>
      </c>
      <c r="J86" s="204">
        <v>192805883922</v>
      </c>
      <c r="K86" s="204">
        <f t="shared" si="4"/>
        <v>790979695612</v>
      </c>
      <c r="L86" s="204">
        <v>275915471426</v>
      </c>
      <c r="M86" s="204">
        <v>21177284508</v>
      </c>
      <c r="N86" s="204">
        <v>12003083468</v>
      </c>
      <c r="O86" s="205">
        <f t="shared" si="0"/>
        <v>7.894967070521005E-3</v>
      </c>
      <c r="P86" s="205">
        <f t="shared" si="1"/>
        <v>0.47973713030023668</v>
      </c>
      <c r="Q86" s="206">
        <f t="shared" si="2"/>
        <v>28.049959211605163</v>
      </c>
      <c r="R86" s="206">
        <f t="shared" si="3"/>
        <v>20</v>
      </c>
      <c r="S86" s="32">
        <v>1.84E-2</v>
      </c>
      <c r="T86" s="32">
        <v>2.58E-2</v>
      </c>
      <c r="U86" s="203"/>
    </row>
    <row r="87" spans="1:21" ht="16.8">
      <c r="A87" s="200" t="s">
        <v>5301</v>
      </c>
      <c r="B87" s="208"/>
      <c r="C87" s="209"/>
      <c r="D87" s="203"/>
      <c r="E87" s="203" t="s">
        <v>5210</v>
      </c>
      <c r="F87" s="203">
        <v>2022</v>
      </c>
      <c r="G87" s="203">
        <v>2001</v>
      </c>
      <c r="H87" s="204">
        <v>1608188494023</v>
      </c>
      <c r="I87" s="204">
        <v>657595488161</v>
      </c>
      <c r="J87" s="204">
        <v>181152136138</v>
      </c>
      <c r="K87" s="204">
        <f t="shared" si="4"/>
        <v>950593005862</v>
      </c>
      <c r="L87" s="204">
        <v>253331676043</v>
      </c>
      <c r="M87" s="204">
        <v>22800116849</v>
      </c>
      <c r="N87" s="204">
        <v>-19358084835</v>
      </c>
      <c r="O87" s="205">
        <f t="shared" si="0"/>
        <v>-1.203719893964317E-2</v>
      </c>
      <c r="P87" s="205">
        <f t="shared" si="1"/>
        <v>0.40890448514276911</v>
      </c>
      <c r="Q87" s="206">
        <f t="shared" si="2"/>
        <v>28.106129502466406</v>
      </c>
      <c r="R87" s="206">
        <f t="shared" si="3"/>
        <v>21</v>
      </c>
      <c r="S87" s="32">
        <v>3.15E-2</v>
      </c>
      <c r="T87" s="32">
        <v>8.0199999999999994E-2</v>
      </c>
      <c r="U87" s="203"/>
    </row>
    <row r="88" spans="1:21" ht="16.8">
      <c r="A88" s="200" t="s">
        <v>5302</v>
      </c>
      <c r="B88" s="208"/>
      <c r="C88" s="209"/>
      <c r="D88" s="203"/>
      <c r="E88" s="203" t="s">
        <v>5210</v>
      </c>
      <c r="F88" s="203">
        <v>2023</v>
      </c>
      <c r="G88" s="203">
        <v>2001</v>
      </c>
      <c r="H88" s="204">
        <v>1645534560608</v>
      </c>
      <c r="I88" s="204">
        <v>715524134300</v>
      </c>
      <c r="J88" s="204">
        <v>195036640435</v>
      </c>
      <c r="K88" s="204">
        <f t="shared" si="4"/>
        <v>930010426308</v>
      </c>
      <c r="L88" s="204">
        <v>315276011612</v>
      </c>
      <c r="M88" s="204">
        <v>30912777213</v>
      </c>
      <c r="N88" s="204">
        <v>-12530608555</v>
      </c>
      <c r="O88" s="205">
        <f t="shared" si="0"/>
        <v>-7.6149166690064113E-3</v>
      </c>
      <c r="P88" s="205">
        <f t="shared" si="1"/>
        <v>0.43482777659536043</v>
      </c>
      <c r="Q88" s="206">
        <f t="shared" si="2"/>
        <v>28.129086408213468</v>
      </c>
      <c r="R88" s="206">
        <f t="shared" si="3"/>
        <v>22</v>
      </c>
      <c r="S88" s="32">
        <v>3.2500000000000001E-2</v>
      </c>
      <c r="T88" s="32">
        <v>5.0500000000000003E-2</v>
      </c>
      <c r="U88" s="203"/>
    </row>
    <row r="89" spans="1:21" ht="16.8">
      <c r="A89" s="210" t="s">
        <v>5303</v>
      </c>
      <c r="B89" s="208">
        <v>30</v>
      </c>
      <c r="C89" s="209" t="s">
        <v>2996</v>
      </c>
      <c r="D89" s="203" t="s">
        <v>5304</v>
      </c>
      <c r="E89" s="203" t="s">
        <v>178</v>
      </c>
      <c r="F89" s="203">
        <v>2021</v>
      </c>
      <c r="G89" s="203">
        <v>2010</v>
      </c>
      <c r="H89" s="204">
        <v>14017046409</v>
      </c>
      <c r="I89" s="204">
        <v>8020022982</v>
      </c>
      <c r="J89" s="23">
        <v>4828423097</v>
      </c>
      <c r="K89" s="204">
        <f t="shared" si="4"/>
        <v>5997023427</v>
      </c>
      <c r="L89" s="204">
        <v>1198934872</v>
      </c>
      <c r="M89" s="204">
        <v>310204065</v>
      </c>
      <c r="N89" s="204">
        <v>-1119430311</v>
      </c>
      <c r="O89" s="205">
        <f t="shared" si="0"/>
        <v>-7.9862067823449692E-2</v>
      </c>
      <c r="P89" s="205">
        <f t="shared" si="1"/>
        <v>0.57216211946409345</v>
      </c>
      <c r="Q89" s="206">
        <f t="shared" si="2"/>
        <v>23.363540026530032</v>
      </c>
      <c r="R89" s="206">
        <f t="shared" si="3"/>
        <v>11</v>
      </c>
      <c r="S89" s="32">
        <v>1.84E-2</v>
      </c>
      <c r="T89" s="32">
        <v>2.58E-2</v>
      </c>
      <c r="U89" s="203"/>
    </row>
    <row r="90" spans="1:21" ht="16.8">
      <c r="A90" s="210" t="s">
        <v>5305</v>
      </c>
      <c r="B90" s="208"/>
      <c r="C90" s="209"/>
      <c r="D90" s="203"/>
      <c r="E90" s="203" t="s">
        <v>178</v>
      </c>
      <c r="F90" s="203">
        <v>2022</v>
      </c>
      <c r="G90" s="203">
        <v>2010</v>
      </c>
      <c r="H90" s="204">
        <v>12669846322</v>
      </c>
      <c r="I90" s="204">
        <v>9635373327</v>
      </c>
      <c r="J90" s="23">
        <v>7327694807</v>
      </c>
      <c r="K90" s="204">
        <f t="shared" si="4"/>
        <v>3034472995</v>
      </c>
      <c r="L90" s="204">
        <v>741796172</v>
      </c>
      <c r="M90" s="204">
        <v>116635902</v>
      </c>
      <c r="N90" s="204">
        <v>-3576449702</v>
      </c>
      <c r="O90" s="205">
        <f t="shared" si="0"/>
        <v>-0.2822804326986848</v>
      </c>
      <c r="P90" s="205">
        <f t="shared" si="1"/>
        <v>0.76049646397597404</v>
      </c>
      <c r="Q90" s="206">
        <f t="shared" si="2"/>
        <v>23.262490701924129</v>
      </c>
      <c r="R90" s="206">
        <f t="shared" si="3"/>
        <v>12</v>
      </c>
      <c r="S90" s="32">
        <v>3.15E-2</v>
      </c>
      <c r="T90" s="32">
        <v>8.0199999999999994E-2</v>
      </c>
      <c r="U90" s="203"/>
    </row>
    <row r="91" spans="1:21" ht="16.8">
      <c r="A91" s="210" t="s">
        <v>5306</v>
      </c>
      <c r="B91" s="208"/>
      <c r="C91" s="209"/>
      <c r="D91" s="203"/>
      <c r="E91" s="203" t="s">
        <v>178</v>
      </c>
      <c r="F91" s="203">
        <v>2023</v>
      </c>
      <c r="G91" s="203">
        <v>2010</v>
      </c>
      <c r="H91" s="204">
        <v>14095779338</v>
      </c>
      <c r="I91" s="204">
        <v>11840072367</v>
      </c>
      <c r="J91" s="23">
        <v>9609413390</v>
      </c>
      <c r="K91" s="204">
        <f t="shared" si="4"/>
        <v>2255706971</v>
      </c>
      <c r="L91" s="204">
        <v>605571129</v>
      </c>
      <c r="M91" s="204">
        <v>123531906</v>
      </c>
      <c r="N91" s="204">
        <v>-1098460718</v>
      </c>
      <c r="O91" s="205">
        <f t="shared" si="0"/>
        <v>-7.7928342354134539E-2</v>
      </c>
      <c r="P91" s="205">
        <f t="shared" si="1"/>
        <v>0.83997288004367598</v>
      </c>
      <c r="Q91" s="206">
        <f t="shared" si="2"/>
        <v>23.369141251789557</v>
      </c>
      <c r="R91" s="206">
        <f t="shared" si="3"/>
        <v>13</v>
      </c>
      <c r="S91" s="32">
        <v>3.2500000000000001E-2</v>
      </c>
      <c r="T91" s="32">
        <v>5.0500000000000003E-2</v>
      </c>
      <c r="U91" s="203"/>
    </row>
    <row r="92" spans="1:21" ht="16.8">
      <c r="A92" s="200" t="s">
        <v>5307</v>
      </c>
      <c r="B92" s="208">
        <v>31</v>
      </c>
      <c r="C92" s="209" t="s">
        <v>5098</v>
      </c>
      <c r="D92" s="203" t="s">
        <v>5308</v>
      </c>
      <c r="E92" s="203" t="s">
        <v>5210</v>
      </c>
      <c r="F92" s="203">
        <v>2021</v>
      </c>
      <c r="G92" s="203">
        <v>2003</v>
      </c>
      <c r="H92" s="204">
        <v>9578591657942</v>
      </c>
      <c r="I92" s="204">
        <v>6051843415488</v>
      </c>
      <c r="J92" s="204">
        <v>3516505767711</v>
      </c>
      <c r="K92" s="204">
        <f t="shared" si="4"/>
        <v>3526748242454</v>
      </c>
      <c r="L92" s="204">
        <v>1417006429780</v>
      </c>
      <c r="M92" s="204">
        <f>26824404164+136892377512</f>
        <v>163716781676</v>
      </c>
      <c r="N92" s="204">
        <v>285748252650</v>
      </c>
      <c r="O92" s="205">
        <f t="shared" si="0"/>
        <v>2.983196933894499E-2</v>
      </c>
      <c r="P92" s="205">
        <f t="shared" si="1"/>
        <v>0.63180931306014809</v>
      </c>
      <c r="Q92" s="206">
        <f t="shared" si="2"/>
        <v>29.890551688538945</v>
      </c>
      <c r="R92" s="206">
        <f t="shared" si="3"/>
        <v>18</v>
      </c>
      <c r="S92" s="32">
        <v>1.84E-2</v>
      </c>
      <c r="T92" s="32">
        <v>2.58E-2</v>
      </c>
      <c r="U92" s="203"/>
    </row>
    <row r="93" spans="1:21" ht="16.8">
      <c r="A93" s="200" t="s">
        <v>5309</v>
      </c>
      <c r="B93" s="208"/>
      <c r="C93" s="209"/>
      <c r="D93" s="203"/>
      <c r="E93" s="203" t="s">
        <v>5210</v>
      </c>
      <c r="F93" s="203">
        <v>2022</v>
      </c>
      <c r="G93" s="203">
        <v>2003</v>
      </c>
      <c r="H93" s="204">
        <v>9467029609679</v>
      </c>
      <c r="I93" s="204">
        <v>6009434073386</v>
      </c>
      <c r="J93" s="204">
        <v>3831578569730</v>
      </c>
      <c r="K93" s="204">
        <f t="shared" si="4"/>
        <v>3457595536293</v>
      </c>
      <c r="L93" s="204">
        <v>1210371810618</v>
      </c>
      <c r="M93" s="204">
        <f>9329616403+77766578923</f>
        <v>87096195326</v>
      </c>
      <c r="N93" s="204">
        <v>-58361976268</v>
      </c>
      <c r="O93" s="205">
        <f t="shared" si="0"/>
        <v>-6.1647611420092398E-3</v>
      </c>
      <c r="P93" s="205">
        <f t="shared" si="1"/>
        <v>0.6347750372769525</v>
      </c>
      <c r="Q93" s="206">
        <f t="shared" si="2"/>
        <v>29.878836310743274</v>
      </c>
      <c r="R93" s="206">
        <f t="shared" si="3"/>
        <v>19</v>
      </c>
      <c r="S93" s="32">
        <v>3.15E-2</v>
      </c>
      <c r="T93" s="32">
        <v>8.0199999999999994E-2</v>
      </c>
      <c r="U93" s="203"/>
    </row>
    <row r="94" spans="1:21" ht="16.8">
      <c r="A94" s="200" t="s">
        <v>5310</v>
      </c>
      <c r="B94" s="208"/>
      <c r="C94" s="209"/>
      <c r="D94" s="203"/>
      <c r="E94" s="203" t="s">
        <v>5210</v>
      </c>
      <c r="F94" s="203">
        <v>2023</v>
      </c>
      <c r="G94" s="203">
        <v>2003</v>
      </c>
      <c r="H94" s="204">
        <v>8296949220116</v>
      </c>
      <c r="I94" s="204">
        <v>4709181848137</v>
      </c>
      <c r="J94" s="204">
        <v>3889332435452</v>
      </c>
      <c r="K94" s="204">
        <f t="shared" si="4"/>
        <v>3587767371979</v>
      </c>
      <c r="L94" s="204">
        <v>1680274226042</v>
      </c>
      <c r="M94" s="204">
        <v>134937784139</v>
      </c>
      <c r="N94" s="204">
        <v>134937784139</v>
      </c>
      <c r="O94" s="205">
        <f t="shared" si="0"/>
        <v>1.6263542244159164E-2</v>
      </c>
      <c r="P94" s="205">
        <f t="shared" si="1"/>
        <v>0.56757992886343844</v>
      </c>
      <c r="Q94" s="206">
        <f t="shared" si="2"/>
        <v>29.746908999321509</v>
      </c>
      <c r="R94" s="206">
        <f t="shared" si="3"/>
        <v>20</v>
      </c>
      <c r="S94" s="32">
        <v>3.2500000000000001E-2</v>
      </c>
      <c r="T94" s="32">
        <v>5.0500000000000003E-2</v>
      </c>
      <c r="U94" s="203"/>
    </row>
    <row r="95" spans="1:21" ht="16.8">
      <c r="A95" s="200" t="s">
        <v>5311</v>
      </c>
      <c r="B95" s="208">
        <v>32</v>
      </c>
      <c r="C95" s="209" t="s">
        <v>3021</v>
      </c>
      <c r="D95" s="203" t="s">
        <v>3022</v>
      </c>
      <c r="E95" s="203" t="s">
        <v>5210</v>
      </c>
      <c r="F95" s="203">
        <v>2021</v>
      </c>
      <c r="G95" s="203">
        <v>2001</v>
      </c>
      <c r="H95" s="204">
        <v>26618030002939</v>
      </c>
      <c r="I95" s="204">
        <v>15786236174085</v>
      </c>
      <c r="J95" s="204">
        <v>14372246601418</v>
      </c>
      <c r="K95" s="204">
        <f t="shared" si="4"/>
        <v>10831793828854</v>
      </c>
      <c r="L95" s="204">
        <v>48987333712285</v>
      </c>
      <c r="M95" s="204">
        <v>3770303600492</v>
      </c>
      <c r="N95" s="204">
        <v>4313494062259</v>
      </c>
      <c r="O95" s="205">
        <f t="shared" si="0"/>
        <v>0.16205158915902981</v>
      </c>
      <c r="P95" s="205">
        <f t="shared" si="1"/>
        <v>0.59306553386339933</v>
      </c>
      <c r="Q95" s="206">
        <f t="shared" si="2"/>
        <v>30.912609921759572</v>
      </c>
      <c r="R95" s="206">
        <f t="shared" si="3"/>
        <v>20</v>
      </c>
      <c r="S95" s="32">
        <v>1.84E-2</v>
      </c>
      <c r="T95" s="32">
        <v>2.58E-2</v>
      </c>
      <c r="U95" s="203"/>
    </row>
    <row r="96" spans="1:21" ht="16.8">
      <c r="A96" s="200" t="s">
        <v>5312</v>
      </c>
      <c r="B96" s="208"/>
      <c r="C96" s="209"/>
      <c r="D96" s="203"/>
      <c r="E96" s="203" t="s">
        <v>5210</v>
      </c>
      <c r="F96" s="203">
        <v>2022</v>
      </c>
      <c r="G96" s="203">
        <v>2001</v>
      </c>
      <c r="H96" s="204">
        <v>17025411187931</v>
      </c>
      <c r="I96" s="204">
        <v>6141841220117</v>
      </c>
      <c r="J96" s="204">
        <v>6009187395647</v>
      </c>
      <c r="K96" s="204">
        <f t="shared" si="4"/>
        <v>10883569967814</v>
      </c>
      <c r="L96" s="204">
        <v>50090135318501</v>
      </c>
      <c r="M96" s="204">
        <v>4354869862487</v>
      </c>
      <c r="N96" s="204">
        <v>251320306484</v>
      </c>
      <c r="O96" s="205">
        <f t="shared" si="0"/>
        <v>1.4761482334250836E-2</v>
      </c>
      <c r="P96" s="205">
        <f t="shared" si="1"/>
        <v>0.36074554395906971</v>
      </c>
      <c r="Q96" s="206">
        <f t="shared" si="2"/>
        <v>30.465728119680165</v>
      </c>
      <c r="R96" s="206">
        <f t="shared" si="3"/>
        <v>21</v>
      </c>
      <c r="S96" s="32">
        <v>3.15E-2</v>
      </c>
      <c r="T96" s="32">
        <v>8.0199999999999994E-2</v>
      </c>
      <c r="U96" s="203"/>
    </row>
    <row r="97" spans="1:21" ht="16.8">
      <c r="A97" s="200" t="s">
        <v>5313</v>
      </c>
      <c r="B97" s="208"/>
      <c r="C97" s="209"/>
      <c r="D97" s="203"/>
      <c r="E97" s="203" t="s">
        <v>5210</v>
      </c>
      <c r="F97" s="203">
        <v>2023</v>
      </c>
      <c r="G97" s="203">
        <v>2001</v>
      </c>
      <c r="H97" s="204">
        <v>17365305645644</v>
      </c>
      <c r="I97" s="204">
        <v>6585139273223</v>
      </c>
      <c r="J97" s="204">
        <v>6568894350227</v>
      </c>
      <c r="K97" s="204">
        <f t="shared" si="4"/>
        <v>10780166372421</v>
      </c>
      <c r="L97" s="204">
        <v>32084297693056</v>
      </c>
      <c r="M97" s="204">
        <v>2883832066817</v>
      </c>
      <c r="N97" s="204">
        <v>30062343902</v>
      </c>
      <c r="O97" s="205">
        <f t="shared" si="0"/>
        <v>1.731172748435959E-3</v>
      </c>
      <c r="P97" s="205">
        <f t="shared" si="1"/>
        <v>0.37921240245344312</v>
      </c>
      <c r="Q97" s="206">
        <f t="shared" si="2"/>
        <v>30.485495403216099</v>
      </c>
      <c r="R97" s="206">
        <f t="shared" si="3"/>
        <v>22</v>
      </c>
      <c r="S97" s="32">
        <v>3.2500000000000001E-2</v>
      </c>
      <c r="T97" s="32">
        <v>5.0500000000000003E-2</v>
      </c>
      <c r="U97" s="203"/>
    </row>
    <row r="98" spans="1:21" ht="16.8">
      <c r="A98" s="200" t="s">
        <v>5314</v>
      </c>
      <c r="B98" s="208">
        <v>33</v>
      </c>
      <c r="C98" s="209" t="s">
        <v>3026</v>
      </c>
      <c r="D98" s="203" t="s">
        <v>5315</v>
      </c>
      <c r="E98" s="203" t="s">
        <v>5210</v>
      </c>
      <c r="F98" s="203">
        <v>2021</v>
      </c>
      <c r="G98" s="203">
        <v>1993</v>
      </c>
      <c r="H98" s="204">
        <v>8882950627392</v>
      </c>
      <c r="I98" s="204">
        <v>3664422869462</v>
      </c>
      <c r="J98" s="204">
        <v>3648366996936</v>
      </c>
      <c r="K98" s="204">
        <f t="shared" si="4"/>
        <v>5218527757930</v>
      </c>
      <c r="L98" s="204">
        <v>7470381177162</v>
      </c>
      <c r="M98" s="204">
        <v>302559316185</v>
      </c>
      <c r="N98" s="204">
        <v>371530614685</v>
      </c>
      <c r="O98" s="205">
        <f t="shared" si="0"/>
        <v>4.1825135618712761E-2</v>
      </c>
      <c r="P98" s="205">
        <f t="shared" si="1"/>
        <v>0.41252316073469614</v>
      </c>
      <c r="Q98" s="206">
        <f t="shared" si="2"/>
        <v>29.815154895600024</v>
      </c>
      <c r="R98" s="206">
        <f t="shared" si="3"/>
        <v>28</v>
      </c>
      <c r="S98" s="32">
        <v>1.84E-2</v>
      </c>
      <c r="T98" s="32">
        <v>2.58E-2</v>
      </c>
      <c r="U98" s="203"/>
    </row>
    <row r="99" spans="1:21" ht="16.8">
      <c r="A99" s="200" t="s">
        <v>5316</v>
      </c>
      <c r="B99" s="208"/>
      <c r="C99" s="209"/>
      <c r="D99" s="203"/>
      <c r="E99" s="203" t="s">
        <v>5210</v>
      </c>
      <c r="F99" s="203">
        <v>2022</v>
      </c>
      <c r="G99" s="203">
        <v>1993</v>
      </c>
      <c r="H99" s="204">
        <v>9385057537636</v>
      </c>
      <c r="I99" s="204">
        <v>4272435357109</v>
      </c>
      <c r="J99" s="204">
        <v>4255382913679</v>
      </c>
      <c r="K99" s="204">
        <f t="shared" si="4"/>
        <v>5112622180527</v>
      </c>
      <c r="L99" s="204">
        <v>9473516917030</v>
      </c>
      <c r="M99" s="204">
        <v>420895367136</v>
      </c>
      <c r="N99" s="204">
        <v>257965895636</v>
      </c>
      <c r="O99" s="205">
        <f t="shared" si="0"/>
        <v>2.7486874172215143E-2</v>
      </c>
      <c r="P99" s="205">
        <f t="shared" si="1"/>
        <v>0.4552380568766532</v>
      </c>
      <c r="Q99" s="206">
        <f t="shared" si="2"/>
        <v>29.870139916756539</v>
      </c>
      <c r="R99" s="206">
        <f t="shared" si="3"/>
        <v>29</v>
      </c>
      <c r="S99" s="32">
        <v>3.15E-2</v>
      </c>
      <c r="T99" s="32">
        <v>8.0199999999999994E-2</v>
      </c>
      <c r="U99" s="203"/>
    </row>
    <row r="100" spans="1:21" ht="16.8">
      <c r="A100" s="200" t="s">
        <v>5317</v>
      </c>
      <c r="B100" s="208"/>
      <c r="C100" s="209"/>
      <c r="D100" s="203"/>
      <c r="E100" s="203" t="s">
        <v>5210</v>
      </c>
      <c r="F100" s="203">
        <v>2023</v>
      </c>
      <c r="G100" s="203">
        <v>1993</v>
      </c>
      <c r="H100" s="204">
        <v>8623749977278</v>
      </c>
      <c r="I100" s="204">
        <v>3790838619074</v>
      </c>
      <c r="J100" s="204">
        <v>3771124636797</v>
      </c>
      <c r="K100" s="204">
        <f t="shared" si="4"/>
        <v>4832911358204</v>
      </c>
      <c r="L100" s="204">
        <v>7541572367977</v>
      </c>
      <c r="M100" s="204">
        <v>416381216823</v>
      </c>
      <c r="N100" s="204">
        <v>17964892077</v>
      </c>
      <c r="O100" s="205">
        <f t="shared" si="0"/>
        <v>2.0831879546988489E-3</v>
      </c>
      <c r="P100" s="205">
        <f t="shared" si="1"/>
        <v>0.43958122963469082</v>
      </c>
      <c r="Q100" s="206">
        <f t="shared" si="2"/>
        <v>29.785541138171912</v>
      </c>
      <c r="R100" s="206">
        <f t="shared" si="3"/>
        <v>30</v>
      </c>
      <c r="S100" s="32">
        <v>3.2500000000000001E-2</v>
      </c>
      <c r="T100" s="32">
        <v>5.0500000000000003E-2</v>
      </c>
      <c r="U100" s="203"/>
    </row>
    <row r="101" spans="1:21" ht="16.8">
      <c r="A101" s="200" t="s">
        <v>4406</v>
      </c>
      <c r="B101" s="208">
        <v>34</v>
      </c>
      <c r="C101" s="209" t="s">
        <v>4407</v>
      </c>
      <c r="D101" s="203" t="s">
        <v>4408</v>
      </c>
      <c r="E101" s="203" t="s">
        <v>5210</v>
      </c>
      <c r="F101" s="203">
        <v>2021</v>
      </c>
      <c r="G101" s="203">
        <v>1995</v>
      </c>
      <c r="H101" s="204">
        <v>63057737408476</v>
      </c>
      <c r="I101" s="204">
        <v>62533526914521</v>
      </c>
      <c r="J101" s="204">
        <v>41194055907354</v>
      </c>
      <c r="K101" s="204">
        <f t="shared" si="4"/>
        <v>524210493955</v>
      </c>
      <c r="L101" s="204">
        <v>28093455616140</v>
      </c>
      <c r="M101" s="204">
        <v>2918505663993</v>
      </c>
      <c r="N101" s="204">
        <v>-13278992876131</v>
      </c>
      <c r="O101" s="205">
        <f t="shared" si="0"/>
        <v>-0.2105846708408235</v>
      </c>
      <c r="P101" s="205">
        <f t="shared" si="1"/>
        <v>0.99168681726464014</v>
      </c>
      <c r="Q101" s="206">
        <f t="shared" si="2"/>
        <v>31.775071889421994</v>
      </c>
      <c r="R101" s="206">
        <f t="shared" si="3"/>
        <v>26</v>
      </c>
      <c r="S101" s="32">
        <v>1.84E-2</v>
      </c>
      <c r="T101" s="32">
        <v>2.58E-2</v>
      </c>
      <c r="U101" s="203"/>
    </row>
    <row r="102" spans="1:21" ht="16.8">
      <c r="A102" s="200" t="s">
        <v>4409</v>
      </c>
      <c r="B102" s="208"/>
      <c r="C102" s="209"/>
      <c r="D102" s="203"/>
      <c r="E102" s="203" t="s">
        <v>5210</v>
      </c>
      <c r="F102" s="203">
        <v>2022</v>
      </c>
      <c r="G102" s="203">
        <v>1995</v>
      </c>
      <c r="H102" s="204">
        <v>60636187661808</v>
      </c>
      <c r="I102" s="204">
        <v>71691812417662</v>
      </c>
      <c r="J102" s="204">
        <v>51800108824797</v>
      </c>
      <c r="K102" s="204">
        <f t="shared" si="4"/>
        <v>-11055624755854</v>
      </c>
      <c r="L102" s="204">
        <v>70792824615294</v>
      </c>
      <c r="M102" s="204">
        <v>4964314449153</v>
      </c>
      <c r="N102" s="204">
        <v>-11223015163184</v>
      </c>
      <c r="O102" s="205">
        <f t="shared" si="0"/>
        <v>-0.18508774373776918</v>
      </c>
      <c r="P102" s="205">
        <f t="shared" si="1"/>
        <v>1.1823271742860153</v>
      </c>
      <c r="Q102" s="206">
        <f t="shared" si="2"/>
        <v>31.735912986912489</v>
      </c>
      <c r="R102" s="206">
        <f t="shared" si="3"/>
        <v>27</v>
      </c>
      <c r="S102" s="32">
        <v>3.15E-2</v>
      </c>
      <c r="T102" s="32">
        <v>8.0199999999999994E-2</v>
      </c>
      <c r="U102" s="203"/>
    </row>
    <row r="103" spans="1:21" ht="16.8">
      <c r="A103" s="200" t="s">
        <v>4410</v>
      </c>
      <c r="B103" s="208"/>
      <c r="C103" s="209"/>
      <c r="D103" s="203"/>
      <c r="E103" s="203" t="s">
        <v>5210</v>
      </c>
      <c r="F103" s="203">
        <v>2023</v>
      </c>
      <c r="G103" s="203">
        <v>1995</v>
      </c>
      <c r="H103" s="204">
        <v>57716930720193</v>
      </c>
      <c r="I103" s="204">
        <v>74742856597931</v>
      </c>
      <c r="J103" s="204">
        <v>61171298216881</v>
      </c>
      <c r="K103" s="204">
        <f t="shared" si="4"/>
        <v>-17025925877738</v>
      </c>
      <c r="L103" s="204">
        <v>92231210227413</v>
      </c>
      <c r="M103" s="204">
        <v>6472761612650</v>
      </c>
      <c r="N103" s="204">
        <v>-5631748470691</v>
      </c>
      <c r="O103" s="205">
        <f t="shared" si="0"/>
        <v>-9.7575328424743507E-2</v>
      </c>
      <c r="P103" s="205">
        <f t="shared" si="1"/>
        <v>1.2949901470034557</v>
      </c>
      <c r="Q103" s="206">
        <f t="shared" si="2"/>
        <v>31.68657167309453</v>
      </c>
      <c r="R103" s="206">
        <f t="shared" si="3"/>
        <v>28</v>
      </c>
      <c r="S103" s="32">
        <v>3.2500000000000001E-2</v>
      </c>
      <c r="T103" s="32">
        <v>5.0500000000000003E-2</v>
      </c>
      <c r="U103" s="203"/>
    </row>
    <row r="104" spans="1:21" ht="16.8">
      <c r="A104" s="200" t="s">
        <v>5318</v>
      </c>
      <c r="B104" s="208">
        <v>35</v>
      </c>
      <c r="C104" s="209" t="s">
        <v>3067</v>
      </c>
      <c r="D104" s="203" t="s">
        <v>5319</v>
      </c>
      <c r="E104" s="203" t="s">
        <v>5210</v>
      </c>
      <c r="F104" s="203">
        <v>2021</v>
      </c>
      <c r="G104" s="203">
        <v>1994</v>
      </c>
      <c r="H104" s="204">
        <v>778503360674</v>
      </c>
      <c r="I104" s="204">
        <v>336853579684</v>
      </c>
      <c r="J104" s="204">
        <v>308093966749</v>
      </c>
      <c r="K104" s="204">
        <f t="shared" si="4"/>
        <v>441649780990</v>
      </c>
      <c r="L104" s="204">
        <v>677770037855</v>
      </c>
      <c r="M104" s="204">
        <v>23340541083</v>
      </c>
      <c r="N104" s="204">
        <v>10784452945</v>
      </c>
      <c r="O104" s="205">
        <f t="shared" si="0"/>
        <v>1.3852802042708218E-2</v>
      </c>
      <c r="P104" s="205">
        <f t="shared" si="1"/>
        <v>0.43269380287885256</v>
      </c>
      <c r="Q104" s="206">
        <f t="shared" si="2"/>
        <v>27.380639145069207</v>
      </c>
      <c r="R104" s="206">
        <f t="shared" si="3"/>
        <v>27</v>
      </c>
      <c r="S104" s="32">
        <v>1.84E-2</v>
      </c>
      <c r="T104" s="32">
        <v>2.58E-2</v>
      </c>
      <c r="U104" s="203"/>
    </row>
    <row r="105" spans="1:21" ht="16.8">
      <c r="A105" s="200" t="s">
        <v>5320</v>
      </c>
      <c r="B105" s="208"/>
      <c r="C105" s="209"/>
      <c r="D105" s="203"/>
      <c r="E105" s="203" t="s">
        <v>5210</v>
      </c>
      <c r="F105" s="203">
        <v>2022</v>
      </c>
      <c r="G105" s="203">
        <v>1994</v>
      </c>
      <c r="H105" s="204">
        <v>771668344469</v>
      </c>
      <c r="I105" s="204">
        <v>328166147831</v>
      </c>
      <c r="J105" s="204">
        <v>327653679852</v>
      </c>
      <c r="K105" s="204">
        <f t="shared" si="4"/>
        <v>443502196638</v>
      </c>
      <c r="L105" s="204">
        <v>756312648451</v>
      </c>
      <c r="M105" s="204">
        <v>28593020572</v>
      </c>
      <c r="N105" s="204">
        <v>1852415648</v>
      </c>
      <c r="O105" s="205">
        <f t="shared" si="0"/>
        <v>2.4005334173383555E-3</v>
      </c>
      <c r="P105" s="205">
        <f t="shared" si="1"/>
        <v>0.42526838140136164</v>
      </c>
      <c r="Q105" s="206">
        <f t="shared" si="2"/>
        <v>27.371820689054157</v>
      </c>
      <c r="R105" s="206">
        <f t="shared" si="3"/>
        <v>28</v>
      </c>
      <c r="S105" s="32">
        <v>3.15E-2</v>
      </c>
      <c r="T105" s="32">
        <v>8.0199999999999994E-2</v>
      </c>
      <c r="U105" s="203"/>
    </row>
    <row r="106" spans="1:21" ht="16.8">
      <c r="A106" s="200" t="s">
        <v>5321</v>
      </c>
      <c r="B106" s="208"/>
      <c r="C106" s="209"/>
      <c r="D106" s="203"/>
      <c r="E106" s="203" t="s">
        <v>5210</v>
      </c>
      <c r="F106" s="203">
        <v>2023</v>
      </c>
      <c r="G106" s="203">
        <v>1994</v>
      </c>
      <c r="H106" s="204">
        <v>686002310975</v>
      </c>
      <c r="I106" s="204">
        <v>316426689122</v>
      </c>
      <c r="J106" s="204">
        <v>315858806833</v>
      </c>
      <c r="K106" s="204">
        <f t="shared" si="4"/>
        <v>369575621853</v>
      </c>
      <c r="L106" s="204">
        <v>521853086288</v>
      </c>
      <c r="M106" s="204">
        <v>31031659732</v>
      </c>
      <c r="N106" s="204">
        <v>-64121424785</v>
      </c>
      <c r="O106" s="205">
        <f t="shared" si="0"/>
        <v>-9.3471149818527041E-2</v>
      </c>
      <c r="P106" s="205">
        <f t="shared" si="1"/>
        <v>0.46126184133734144</v>
      </c>
      <c r="Q106" s="206">
        <f t="shared" si="2"/>
        <v>27.254146833434845</v>
      </c>
      <c r="R106" s="206">
        <f t="shared" si="3"/>
        <v>29</v>
      </c>
      <c r="S106" s="32">
        <v>3.2500000000000001E-2</v>
      </c>
      <c r="T106" s="32">
        <v>5.0500000000000003E-2</v>
      </c>
      <c r="U106" s="203"/>
    </row>
    <row r="107" spans="1:21" ht="15.6">
      <c r="A107" s="211" t="s">
        <v>5322</v>
      </c>
      <c r="B107" s="212">
        <v>36</v>
      </c>
      <c r="C107" s="211" t="s">
        <v>4415</v>
      </c>
      <c r="D107" s="211" t="s">
        <v>5323</v>
      </c>
      <c r="E107" s="211" t="s">
        <v>178</v>
      </c>
      <c r="F107" s="211"/>
      <c r="G107" s="211">
        <v>2012</v>
      </c>
      <c r="H107" s="213"/>
      <c r="I107" s="213"/>
      <c r="J107" s="213"/>
      <c r="K107" s="213">
        <f t="shared" si="4"/>
        <v>0</v>
      </c>
      <c r="L107" s="213"/>
      <c r="M107" s="213"/>
      <c r="N107" s="213"/>
      <c r="O107" s="205" t="e">
        <f t="shared" si="0"/>
        <v>#DIV/0!</v>
      </c>
      <c r="P107" s="205" t="e">
        <f t="shared" si="1"/>
        <v>#DIV/0!</v>
      </c>
      <c r="Q107" s="206" t="e">
        <f t="shared" si="2"/>
        <v>#NUM!</v>
      </c>
      <c r="R107" s="206">
        <f t="shared" si="3"/>
        <v>-2012</v>
      </c>
      <c r="S107" s="213"/>
      <c r="T107" s="213"/>
      <c r="U107" s="211"/>
    </row>
    <row r="108" spans="1:21" ht="16.8">
      <c r="A108" s="203" t="s">
        <v>5324</v>
      </c>
      <c r="B108" s="208">
        <v>37</v>
      </c>
      <c r="C108" s="209" t="s">
        <v>3091</v>
      </c>
      <c r="D108" s="203" t="s">
        <v>3092</v>
      </c>
      <c r="E108" s="203" t="s">
        <v>178</v>
      </c>
      <c r="F108" s="203">
        <v>2021</v>
      </c>
      <c r="G108" s="203">
        <v>1996</v>
      </c>
      <c r="H108" s="204">
        <v>13272810419484</v>
      </c>
      <c r="I108" s="204">
        <v>2244665837129</v>
      </c>
      <c r="J108" s="204">
        <v>2005047319088</v>
      </c>
      <c r="K108" s="204">
        <f t="shared" si="4"/>
        <v>11028144582355</v>
      </c>
      <c r="L108" s="204">
        <v>932333350603</v>
      </c>
      <c r="M108" s="204">
        <f>1575112965+77328505509</f>
        <v>78903618474</v>
      </c>
      <c r="N108" s="204">
        <v>-404121834506</v>
      </c>
      <c r="O108" s="205">
        <f t="shared" si="0"/>
        <v>-3.0447344739646394E-2</v>
      </c>
      <c r="P108" s="205">
        <f t="shared" si="1"/>
        <v>0.16911759952767144</v>
      </c>
      <c r="Q108" s="206">
        <f t="shared" si="2"/>
        <v>30.216738729300562</v>
      </c>
      <c r="R108" s="206">
        <f t="shared" si="3"/>
        <v>25</v>
      </c>
      <c r="S108" s="32">
        <v>1.84E-2</v>
      </c>
      <c r="T108" s="32">
        <v>2.58E-2</v>
      </c>
      <c r="U108" s="203"/>
    </row>
    <row r="109" spans="1:21" ht="16.8">
      <c r="A109" s="203" t="s">
        <v>5325</v>
      </c>
      <c r="B109" s="208"/>
      <c r="C109" s="209"/>
      <c r="D109" s="203"/>
      <c r="E109" s="203" t="s">
        <v>178</v>
      </c>
      <c r="F109" s="203">
        <v>2022</v>
      </c>
      <c r="G109" s="203">
        <v>1996</v>
      </c>
      <c r="H109" s="204">
        <v>12221417089593</v>
      </c>
      <c r="I109" s="204">
        <v>2125438986806</v>
      </c>
      <c r="J109" s="204">
        <v>1968322387948</v>
      </c>
      <c r="K109" s="204">
        <f t="shared" si="4"/>
        <v>10095978102787</v>
      </c>
      <c r="L109" s="204">
        <v>607828594374</v>
      </c>
      <c r="M109" s="204">
        <f>325702909+95265151619</f>
        <v>95590854528</v>
      </c>
      <c r="N109" s="204">
        <v>-257886156789</v>
      </c>
      <c r="O109" s="205">
        <f t="shared" si="0"/>
        <v>-2.1101166493090219E-2</v>
      </c>
      <c r="P109" s="205">
        <f t="shared" si="1"/>
        <v>0.17391100976464438</v>
      </c>
      <c r="Q109" s="206">
        <f t="shared" si="2"/>
        <v>30.13421102772708</v>
      </c>
      <c r="R109" s="206">
        <f t="shared" si="3"/>
        <v>26</v>
      </c>
      <c r="S109" s="32">
        <v>3.15E-2</v>
      </c>
      <c r="T109" s="32">
        <v>8.0199999999999994E-2</v>
      </c>
      <c r="U109" s="203"/>
    </row>
    <row r="110" spans="1:21" ht="16.8">
      <c r="A110" s="203" t="s">
        <v>5326</v>
      </c>
      <c r="B110" s="208"/>
      <c r="C110" s="209"/>
      <c r="D110" s="203"/>
      <c r="E110" s="203" t="s">
        <v>178</v>
      </c>
      <c r="F110" s="203">
        <v>2023</v>
      </c>
      <c r="G110" s="203">
        <v>1996</v>
      </c>
      <c r="H110" s="204">
        <v>12084655471022</v>
      </c>
      <c r="I110" s="204">
        <v>1783039702180</v>
      </c>
      <c r="J110" s="204">
        <v>1245468309428</v>
      </c>
      <c r="K110" s="204">
        <f t="shared" si="4"/>
        <v>10301615768842</v>
      </c>
      <c r="L110" s="204">
        <v>576369924947</v>
      </c>
      <c r="M110" s="204">
        <f>2703840690+67018410737</f>
        <v>69722251427</v>
      </c>
      <c r="N110" s="204">
        <v>205637666055</v>
      </c>
      <c r="O110" s="205">
        <f t="shared" si="0"/>
        <v>1.7016427696106194E-2</v>
      </c>
      <c r="P110" s="205">
        <f t="shared" si="1"/>
        <v>0.14754576218209789</v>
      </c>
      <c r="Q110" s="206">
        <f t="shared" si="2"/>
        <v>30.122957620866853</v>
      </c>
      <c r="R110" s="206">
        <f t="shared" si="3"/>
        <v>27</v>
      </c>
      <c r="S110" s="32">
        <v>3.2500000000000001E-2</v>
      </c>
      <c r="T110" s="32">
        <v>5.0500000000000003E-2</v>
      </c>
      <c r="U110" s="203"/>
    </row>
    <row r="111" spans="1:21" ht="16.8">
      <c r="A111" s="200" t="s">
        <v>5327</v>
      </c>
      <c r="B111" s="208">
        <v>38</v>
      </c>
      <c r="C111" s="209" t="s">
        <v>3104</v>
      </c>
      <c r="D111" s="203" t="s">
        <v>5328</v>
      </c>
      <c r="E111" s="203" t="s">
        <v>5210</v>
      </c>
      <c r="F111" s="203">
        <v>2021</v>
      </c>
      <c r="G111" s="203">
        <v>2001</v>
      </c>
      <c r="H111" s="204">
        <v>600528631821</v>
      </c>
      <c r="I111" s="204">
        <v>175552309812</v>
      </c>
      <c r="J111" s="204">
        <v>164591359528</v>
      </c>
      <c r="K111" s="204">
        <f t="shared" si="4"/>
        <v>424976322009</v>
      </c>
      <c r="L111" s="204">
        <v>391488367426</v>
      </c>
      <c r="M111" s="204">
        <v>77163997159</v>
      </c>
      <c r="N111" s="204">
        <v>-29966031564</v>
      </c>
      <c r="O111" s="205">
        <f t="shared" si="0"/>
        <v>-4.9899421902887715E-2</v>
      </c>
      <c r="P111" s="205">
        <f t="shared" si="1"/>
        <v>0.29232962511657062</v>
      </c>
      <c r="Q111" s="206">
        <f t="shared" si="2"/>
        <v>27.121076157298155</v>
      </c>
      <c r="R111" s="206">
        <f t="shared" si="3"/>
        <v>20</v>
      </c>
      <c r="S111" s="32">
        <v>1.84E-2</v>
      </c>
      <c r="T111" s="32">
        <v>2.58E-2</v>
      </c>
      <c r="U111" s="203"/>
    </row>
    <row r="112" spans="1:21" ht="16.8">
      <c r="A112" s="200" t="s">
        <v>5329</v>
      </c>
      <c r="B112" s="208"/>
      <c r="C112" s="209"/>
      <c r="D112" s="203"/>
      <c r="E112" s="203" t="s">
        <v>5210</v>
      </c>
      <c r="F112" s="203">
        <v>2022</v>
      </c>
      <c r="G112" s="203">
        <v>2001</v>
      </c>
      <c r="H112" s="204">
        <v>591198359102</v>
      </c>
      <c r="I112" s="204">
        <v>144492669360</v>
      </c>
      <c r="J112" s="204">
        <v>139267498112</v>
      </c>
      <c r="K112" s="204">
        <f t="shared" si="4"/>
        <v>446705689742</v>
      </c>
      <c r="L112" s="204">
        <v>396524083494</v>
      </c>
      <c r="M112" s="204">
        <v>84950775518</v>
      </c>
      <c r="N112" s="204">
        <v>21729367733</v>
      </c>
      <c r="O112" s="205">
        <f t="shared" si="0"/>
        <v>3.6754783565376932E-2</v>
      </c>
      <c r="P112" s="205">
        <f t="shared" si="1"/>
        <v>0.24440641137684643</v>
      </c>
      <c r="Q112" s="206">
        <f t="shared" si="2"/>
        <v>27.105417431038664</v>
      </c>
      <c r="R112" s="206">
        <f t="shared" si="3"/>
        <v>21</v>
      </c>
      <c r="S112" s="32">
        <v>3.15E-2</v>
      </c>
      <c r="T112" s="32">
        <v>8.0199999999999994E-2</v>
      </c>
      <c r="U112" s="203"/>
    </row>
    <row r="113" spans="1:21" ht="16.8">
      <c r="A113" s="200" t="s">
        <v>5330</v>
      </c>
      <c r="B113" s="208"/>
      <c r="C113" s="209"/>
      <c r="D113" s="203"/>
      <c r="E113" s="203" t="s">
        <v>5210</v>
      </c>
      <c r="F113" s="203">
        <v>2023</v>
      </c>
      <c r="G113" s="203">
        <v>2001</v>
      </c>
      <c r="H113" s="204">
        <v>686676856095</v>
      </c>
      <c r="I113" s="204">
        <v>187331323956</v>
      </c>
      <c r="J113" s="204">
        <v>185095814436</v>
      </c>
      <c r="K113" s="204">
        <f t="shared" si="4"/>
        <v>499345532139</v>
      </c>
      <c r="L113" s="204">
        <v>576765288859</v>
      </c>
      <c r="M113" s="204">
        <v>111555764758</v>
      </c>
      <c r="N113" s="204">
        <v>52924271928</v>
      </c>
      <c r="O113" s="205">
        <f t="shared" si="0"/>
        <v>7.7073038734653473E-2</v>
      </c>
      <c r="P113" s="205">
        <f t="shared" si="1"/>
        <v>0.27280855950398186</v>
      </c>
      <c r="Q113" s="206">
        <f t="shared" si="2"/>
        <v>27.255129648925134</v>
      </c>
      <c r="R113" s="206">
        <f t="shared" si="3"/>
        <v>22</v>
      </c>
      <c r="S113" s="32">
        <v>3.2500000000000001E-2</v>
      </c>
      <c r="T113" s="32">
        <v>5.0500000000000003E-2</v>
      </c>
      <c r="U113" s="203"/>
    </row>
    <row r="114" spans="1:21" ht="16.8">
      <c r="A114" s="203" t="s">
        <v>5331</v>
      </c>
      <c r="B114" s="208">
        <v>39</v>
      </c>
      <c r="C114" s="209" t="s">
        <v>3174</v>
      </c>
      <c r="D114" s="203" t="s">
        <v>3175</v>
      </c>
      <c r="E114" s="203" t="s">
        <v>5210</v>
      </c>
      <c r="F114" s="203">
        <v>2021</v>
      </c>
      <c r="G114" s="203">
        <v>2010</v>
      </c>
      <c r="H114" s="204">
        <v>6841069106949</v>
      </c>
      <c r="I114" s="204">
        <v>3597145708488</v>
      </c>
      <c r="J114" s="204">
        <v>2487897907166</v>
      </c>
      <c r="K114" s="204">
        <f t="shared" si="4"/>
        <v>3243923398461</v>
      </c>
      <c r="L114" s="204">
        <v>478286238499</v>
      </c>
      <c r="M114" s="204">
        <f>10965502154+100168910285</f>
        <v>111134412439</v>
      </c>
      <c r="N114" s="204">
        <v>140652309599</v>
      </c>
      <c r="O114" s="205">
        <f t="shared" si="0"/>
        <v>2.0559989586441778E-2</v>
      </c>
      <c r="P114" s="205">
        <f t="shared" si="1"/>
        <v>0.52581630915467625</v>
      </c>
      <c r="Q114" s="206">
        <f t="shared" si="2"/>
        <v>29.553965137534618</v>
      </c>
      <c r="R114" s="206">
        <f t="shared" si="3"/>
        <v>11</v>
      </c>
      <c r="S114" s="32">
        <v>1.84E-2</v>
      </c>
      <c r="T114" s="32">
        <v>2.58E-2</v>
      </c>
      <c r="U114" s="203"/>
    </row>
    <row r="115" spans="1:21" ht="16.8">
      <c r="A115" s="203" t="s">
        <v>5332</v>
      </c>
      <c r="B115" s="208"/>
      <c r="C115" s="209"/>
      <c r="D115" s="203"/>
      <c r="E115" s="203" t="s">
        <v>5210</v>
      </c>
      <c r="F115" s="203">
        <v>2022</v>
      </c>
      <c r="G115" s="203">
        <v>2010</v>
      </c>
      <c r="H115" s="204">
        <v>7860784627012</v>
      </c>
      <c r="I115" s="204">
        <v>4618848841960</v>
      </c>
      <c r="J115" s="204">
        <v>2790822489605</v>
      </c>
      <c r="K115" s="204">
        <f t="shared" si="4"/>
        <v>3241935785052</v>
      </c>
      <c r="L115" s="204">
        <v>277050177241</v>
      </c>
      <c r="M115" s="204">
        <f>15394988848+109700252834</f>
        <v>125095241682</v>
      </c>
      <c r="N115" s="204">
        <v>4242576744</v>
      </c>
      <c r="O115" s="205">
        <f t="shared" si="0"/>
        <v>5.3971415644962989E-4</v>
      </c>
      <c r="P115" s="205">
        <f t="shared" si="1"/>
        <v>0.58758114630036529</v>
      </c>
      <c r="Q115" s="206">
        <f t="shared" si="2"/>
        <v>29.69290754270704</v>
      </c>
      <c r="R115" s="206">
        <f t="shared" si="3"/>
        <v>12</v>
      </c>
      <c r="S115" s="32">
        <v>3.15E-2</v>
      </c>
      <c r="T115" s="32">
        <v>8.0199999999999994E-2</v>
      </c>
      <c r="U115" s="203"/>
    </row>
    <row r="116" spans="1:21" ht="16.8">
      <c r="A116" s="203" t="s">
        <v>5333</v>
      </c>
      <c r="B116" s="208"/>
      <c r="C116" s="209"/>
      <c r="D116" s="203"/>
      <c r="E116" s="203" t="s">
        <v>5210</v>
      </c>
      <c r="F116" s="203">
        <v>2023</v>
      </c>
      <c r="G116" s="203">
        <v>2010</v>
      </c>
      <c r="H116" s="204">
        <v>7265457274333</v>
      </c>
      <c r="I116" s="204">
        <v>4551540463308</v>
      </c>
      <c r="J116" s="204">
        <v>3256840703364</v>
      </c>
      <c r="K116" s="204">
        <f t="shared" si="4"/>
        <v>2713916811025</v>
      </c>
      <c r="L116" s="204">
        <v>48804563174</v>
      </c>
      <c r="M116" s="204">
        <f>11829483304+248183880937</f>
        <v>260013364241</v>
      </c>
      <c r="N116" s="204">
        <v>-527174206324</v>
      </c>
      <c r="O116" s="205">
        <f t="shared" si="0"/>
        <v>-7.2558985129039494E-2</v>
      </c>
      <c r="P116" s="205">
        <f t="shared" si="1"/>
        <v>0.62646304168457878</v>
      </c>
      <c r="Q116" s="206">
        <f t="shared" si="2"/>
        <v>29.614152353066789</v>
      </c>
      <c r="R116" s="206">
        <f t="shared" si="3"/>
        <v>13</v>
      </c>
      <c r="S116" s="32">
        <v>3.2500000000000001E-2</v>
      </c>
      <c r="T116" s="32">
        <v>5.0500000000000003E-2</v>
      </c>
      <c r="U116" s="203"/>
    </row>
    <row r="117" spans="1:21" ht="16.8">
      <c r="A117" s="203" t="s">
        <v>5334</v>
      </c>
      <c r="B117" s="208">
        <v>40</v>
      </c>
      <c r="C117" s="209" t="s">
        <v>5108</v>
      </c>
      <c r="D117" s="203" t="s">
        <v>5335</v>
      </c>
      <c r="E117" s="203" t="s">
        <v>5210</v>
      </c>
      <c r="F117" s="203">
        <v>2021</v>
      </c>
      <c r="G117" s="203">
        <v>2007</v>
      </c>
      <c r="H117" s="204">
        <v>985339957249</v>
      </c>
      <c r="I117" s="204">
        <v>585344402903</v>
      </c>
      <c r="J117" s="204">
        <v>585344402903</v>
      </c>
      <c r="K117" s="204">
        <f t="shared" si="4"/>
        <v>399995554346</v>
      </c>
      <c r="L117" s="204">
        <v>534874219962</v>
      </c>
      <c r="M117" s="204">
        <v>20199961778</v>
      </c>
      <c r="N117" s="204">
        <v>3017416897</v>
      </c>
      <c r="O117" s="205">
        <f t="shared" si="0"/>
        <v>3.0623104998445572E-3</v>
      </c>
      <c r="P117" s="205">
        <f t="shared" si="1"/>
        <v>0.59405324892866462</v>
      </c>
      <c r="Q117" s="206">
        <f t="shared" si="2"/>
        <v>27.616252552836315</v>
      </c>
      <c r="R117" s="206">
        <f t="shared" si="3"/>
        <v>14</v>
      </c>
      <c r="S117" s="32">
        <v>1.84E-2</v>
      </c>
      <c r="T117" s="32">
        <v>2.58E-2</v>
      </c>
      <c r="U117" s="203"/>
    </row>
    <row r="118" spans="1:21" ht="16.8">
      <c r="A118" s="203" t="s">
        <v>5336</v>
      </c>
      <c r="B118" s="208"/>
      <c r="C118" s="209"/>
      <c r="D118" s="203"/>
      <c r="E118" s="203" t="s">
        <v>5210</v>
      </c>
      <c r="F118" s="203">
        <v>2022</v>
      </c>
      <c r="G118" s="203">
        <v>2007</v>
      </c>
      <c r="H118" s="204">
        <v>1265488238755</v>
      </c>
      <c r="I118" s="204">
        <v>839378864412</v>
      </c>
      <c r="J118" s="204">
        <v>837508864412</v>
      </c>
      <c r="K118" s="204">
        <f t="shared" si="4"/>
        <v>426109374343</v>
      </c>
      <c r="L118" s="204">
        <v>181032883513</v>
      </c>
      <c r="M118" s="204">
        <v>16900249272</v>
      </c>
      <c r="N118" s="204">
        <v>-8886180002</v>
      </c>
      <c r="O118" s="205">
        <f t="shared" si="0"/>
        <v>-7.0219380392996088E-3</v>
      </c>
      <c r="P118" s="205">
        <f t="shared" si="1"/>
        <v>0.66328460329097116</v>
      </c>
      <c r="Q118" s="206">
        <f t="shared" si="2"/>
        <v>27.866479123134944</v>
      </c>
      <c r="R118" s="206">
        <f t="shared" si="3"/>
        <v>15</v>
      </c>
      <c r="S118" s="32">
        <v>3.15E-2</v>
      </c>
      <c r="T118" s="32">
        <v>8.0199999999999994E-2</v>
      </c>
      <c r="U118" s="203"/>
    </row>
    <row r="119" spans="1:21" ht="16.8">
      <c r="A119" s="203" t="s">
        <v>5337</v>
      </c>
      <c r="B119" s="208"/>
      <c r="C119" s="209"/>
      <c r="D119" s="203"/>
      <c r="E119" s="203" t="s">
        <v>5210</v>
      </c>
      <c r="F119" s="203">
        <v>2023</v>
      </c>
      <c r="G119" s="203">
        <v>2007</v>
      </c>
      <c r="H119" s="204">
        <v>978729586962</v>
      </c>
      <c r="I119" s="204">
        <v>575170596451</v>
      </c>
      <c r="J119" s="204">
        <v>572542856451</v>
      </c>
      <c r="K119" s="204">
        <f t="shared" si="4"/>
        <v>403558990511</v>
      </c>
      <c r="L119" s="204">
        <v>104337486082</v>
      </c>
      <c r="M119" s="204">
        <v>15196575094</v>
      </c>
      <c r="N119" s="204">
        <v>-30811481811</v>
      </c>
      <c r="O119" s="205">
        <f t="shared" si="0"/>
        <v>-3.1481097763315376E-2</v>
      </c>
      <c r="P119" s="205">
        <f t="shared" si="1"/>
        <v>0.58767059268775479</v>
      </c>
      <c r="Q119" s="206">
        <f t="shared" si="2"/>
        <v>27.609521227800979</v>
      </c>
      <c r="R119" s="206">
        <f t="shared" si="3"/>
        <v>16</v>
      </c>
      <c r="S119" s="32">
        <v>3.2500000000000001E-2</v>
      </c>
      <c r="T119" s="32">
        <v>5.0500000000000003E-2</v>
      </c>
      <c r="U119" s="203"/>
    </row>
    <row r="120" spans="1:21" ht="16.8">
      <c r="A120" s="203" t="s">
        <v>5338</v>
      </c>
      <c r="B120" s="208">
        <v>41</v>
      </c>
      <c r="C120" s="209" t="s">
        <v>3180</v>
      </c>
      <c r="D120" s="203" t="s">
        <v>5339</v>
      </c>
      <c r="E120" s="203" t="s">
        <v>5210</v>
      </c>
      <c r="F120" s="203">
        <v>2021</v>
      </c>
      <c r="G120" s="203">
        <v>2001</v>
      </c>
      <c r="H120" s="204">
        <v>1696383701267</v>
      </c>
      <c r="I120" s="204">
        <v>951222480620</v>
      </c>
      <c r="J120" s="204">
        <v>895889711808</v>
      </c>
      <c r="K120" s="204">
        <f t="shared" si="4"/>
        <v>745161220647</v>
      </c>
      <c r="L120" s="204">
        <v>124819074716</v>
      </c>
      <c r="M120" s="204">
        <v>34557672409</v>
      </c>
      <c r="N120" s="204">
        <v>4599153338</v>
      </c>
      <c r="O120" s="205">
        <f t="shared" si="0"/>
        <v>2.7111515717611356E-3</v>
      </c>
      <c r="P120" s="205">
        <f t="shared" si="1"/>
        <v>0.56073545148397042</v>
      </c>
      <c r="Q120" s="206">
        <f t="shared" si="2"/>
        <v>28.159519866664684</v>
      </c>
      <c r="R120" s="206">
        <f t="shared" si="3"/>
        <v>20</v>
      </c>
      <c r="S120" s="32">
        <v>1.84E-2</v>
      </c>
      <c r="T120" s="32">
        <v>2.58E-2</v>
      </c>
      <c r="U120" s="203"/>
    </row>
    <row r="121" spans="1:21" ht="16.8">
      <c r="A121" s="203" t="s">
        <v>5340</v>
      </c>
      <c r="B121" s="208"/>
      <c r="C121" s="209"/>
      <c r="D121" s="203"/>
      <c r="E121" s="203" t="s">
        <v>5210</v>
      </c>
      <c r="F121" s="203">
        <v>2022</v>
      </c>
      <c r="G121" s="203">
        <v>2001</v>
      </c>
      <c r="H121" s="204">
        <v>1634531352449</v>
      </c>
      <c r="I121" s="204">
        <v>976355868376</v>
      </c>
      <c r="J121" s="204">
        <v>973400115093</v>
      </c>
      <c r="K121" s="204">
        <f t="shared" si="4"/>
        <v>658175484073</v>
      </c>
      <c r="L121" s="204">
        <v>207614278633</v>
      </c>
      <c r="M121" s="204">
        <v>32043270391</v>
      </c>
      <c r="N121" s="204">
        <v>7029332183</v>
      </c>
      <c r="O121" s="205">
        <f t="shared" si="0"/>
        <v>4.3005184161613239E-3</v>
      </c>
      <c r="P121" s="205">
        <f t="shared" si="1"/>
        <v>0.59733076818204611</v>
      </c>
      <c r="Q121" s="206">
        <f t="shared" si="2"/>
        <v>28.122377244602454</v>
      </c>
      <c r="R121" s="206">
        <f t="shared" si="3"/>
        <v>21</v>
      </c>
      <c r="S121" s="32">
        <v>3.15E-2</v>
      </c>
      <c r="T121" s="32">
        <v>8.0199999999999994E-2</v>
      </c>
      <c r="U121" s="203"/>
    </row>
    <row r="122" spans="1:21" ht="16.8">
      <c r="A122" s="203" t="s">
        <v>5341</v>
      </c>
      <c r="B122" s="208"/>
      <c r="C122" s="209"/>
      <c r="D122" s="203"/>
      <c r="E122" s="203" t="s">
        <v>5210</v>
      </c>
      <c r="F122" s="203">
        <v>2023</v>
      </c>
      <c r="G122" s="203">
        <v>2001</v>
      </c>
      <c r="H122" s="204">
        <v>1346996919845</v>
      </c>
      <c r="I122" s="204">
        <v>673065408511</v>
      </c>
      <c r="J122" s="204">
        <v>672733919356</v>
      </c>
      <c r="K122" s="204">
        <f t="shared" si="4"/>
        <v>673931511334</v>
      </c>
      <c r="L122" s="204">
        <v>91321602864</v>
      </c>
      <c r="M122" s="204">
        <v>62700347968</v>
      </c>
      <c r="N122" s="204">
        <v>16627329661</v>
      </c>
      <c r="O122" s="205">
        <f t="shared" si="0"/>
        <v>1.2343999764240976E-2</v>
      </c>
      <c r="P122" s="205">
        <f t="shared" si="1"/>
        <v>0.49967850601206287</v>
      </c>
      <c r="Q122" s="206">
        <f t="shared" si="2"/>
        <v>27.928898726676358</v>
      </c>
      <c r="R122" s="206">
        <f t="shared" si="3"/>
        <v>22</v>
      </c>
      <c r="S122" s="32">
        <v>3.2500000000000001E-2</v>
      </c>
      <c r="T122" s="32">
        <v>5.0500000000000003E-2</v>
      </c>
      <c r="U122" s="203"/>
    </row>
    <row r="123" spans="1:21" ht="16.8">
      <c r="A123" s="203" t="s">
        <v>5342</v>
      </c>
      <c r="B123" s="208">
        <v>42</v>
      </c>
      <c r="C123" s="209" t="s">
        <v>3220</v>
      </c>
      <c r="D123" s="203" t="s">
        <v>3221</v>
      </c>
      <c r="E123" s="203" t="s">
        <v>5210</v>
      </c>
      <c r="F123" s="203">
        <v>2021</v>
      </c>
      <c r="G123" s="203">
        <v>1999</v>
      </c>
      <c r="H123" s="204">
        <v>1474713848238</v>
      </c>
      <c r="I123" s="204">
        <v>905744738668</v>
      </c>
      <c r="J123" s="204">
        <v>272748974472</v>
      </c>
      <c r="K123" s="204">
        <f t="shared" si="4"/>
        <v>568969109570</v>
      </c>
      <c r="L123" s="204">
        <v>23898658790</v>
      </c>
      <c r="M123" s="204">
        <v>11863938858</v>
      </c>
      <c r="N123" s="204">
        <v>48838618599</v>
      </c>
      <c r="O123" s="205">
        <f t="shared" si="0"/>
        <v>3.3117352669707938E-2</v>
      </c>
      <c r="P123" s="205">
        <f t="shared" si="1"/>
        <v>0.61418338191520416</v>
      </c>
      <c r="Q123" s="206">
        <f t="shared" si="2"/>
        <v>28.019485085705089</v>
      </c>
      <c r="R123" s="206">
        <f t="shared" si="3"/>
        <v>22</v>
      </c>
      <c r="S123" s="32">
        <v>1.84E-2</v>
      </c>
      <c r="T123" s="32">
        <v>2.58E-2</v>
      </c>
      <c r="U123" s="203"/>
    </row>
    <row r="124" spans="1:21" ht="16.8">
      <c r="A124" s="203" t="s">
        <v>5343</v>
      </c>
      <c r="B124" s="208"/>
      <c r="C124" s="209"/>
      <c r="D124" s="203"/>
      <c r="E124" s="203" t="s">
        <v>5210</v>
      </c>
      <c r="F124" s="203">
        <v>2022</v>
      </c>
      <c r="G124" s="203">
        <v>1999</v>
      </c>
      <c r="H124" s="204">
        <v>1156222275812</v>
      </c>
      <c r="I124" s="204">
        <v>638749357741</v>
      </c>
      <c r="J124" s="204">
        <v>260010287770</v>
      </c>
      <c r="K124" s="204">
        <f t="shared" si="4"/>
        <v>517472918071</v>
      </c>
      <c r="L124" s="204">
        <v>50745416117</v>
      </c>
      <c r="M124" s="204">
        <v>13633399984</v>
      </c>
      <c r="N124" s="204">
        <v>-30792769499</v>
      </c>
      <c r="O124" s="205">
        <f t="shared" si="0"/>
        <v>-2.663222301038495E-2</v>
      </c>
      <c r="P124" s="205">
        <f t="shared" si="1"/>
        <v>0.5524451233154235</v>
      </c>
      <c r="Q124" s="206">
        <f t="shared" si="2"/>
        <v>27.776179147809469</v>
      </c>
      <c r="R124" s="206">
        <f t="shared" si="3"/>
        <v>23</v>
      </c>
      <c r="S124" s="32">
        <v>3.15E-2</v>
      </c>
      <c r="T124" s="32">
        <v>8.0199999999999994E-2</v>
      </c>
      <c r="U124" s="203"/>
    </row>
    <row r="125" spans="1:21" ht="16.8">
      <c r="A125" s="203" t="s">
        <v>5344</v>
      </c>
      <c r="B125" s="208"/>
      <c r="C125" s="209"/>
      <c r="D125" s="203"/>
      <c r="E125" s="203" t="s">
        <v>5210</v>
      </c>
      <c r="F125" s="203">
        <v>2023</v>
      </c>
      <c r="G125" s="203">
        <v>1999</v>
      </c>
      <c r="H125" s="204">
        <v>720680608795</v>
      </c>
      <c r="I125" s="204">
        <v>178313962811</v>
      </c>
      <c r="J125" s="204">
        <v>25593088752</v>
      </c>
      <c r="K125" s="204">
        <f t="shared" si="4"/>
        <v>542366645984</v>
      </c>
      <c r="L125" s="204">
        <v>131567449205</v>
      </c>
      <c r="M125" s="204">
        <v>14516140933</v>
      </c>
      <c r="N125" s="204">
        <v>25682577855</v>
      </c>
      <c r="O125" s="205">
        <f t="shared" si="0"/>
        <v>3.5636560137148762E-2</v>
      </c>
      <c r="P125" s="205">
        <f t="shared" si="1"/>
        <v>0.24742439387837339</v>
      </c>
      <c r="Q125" s="206">
        <f t="shared" si="2"/>
        <v>27.303461892444346</v>
      </c>
      <c r="R125" s="206">
        <f t="shared" si="3"/>
        <v>24</v>
      </c>
      <c r="S125" s="32">
        <v>3.2500000000000001E-2</v>
      </c>
      <c r="T125" s="32">
        <v>5.0500000000000003E-2</v>
      </c>
      <c r="U125" s="203"/>
    </row>
    <row r="126" spans="1:21" ht="16.8">
      <c r="A126" s="214" t="s">
        <v>5345</v>
      </c>
      <c r="B126" s="208">
        <v>43</v>
      </c>
      <c r="C126" s="209" t="s">
        <v>3278</v>
      </c>
      <c r="D126" s="203" t="s">
        <v>5346</v>
      </c>
      <c r="E126" s="203" t="s">
        <v>5210</v>
      </c>
      <c r="F126" s="203">
        <v>2021</v>
      </c>
      <c r="G126" s="203">
        <v>1992</v>
      </c>
      <c r="H126" s="204">
        <v>201833546986050</v>
      </c>
      <c r="I126" s="204">
        <v>160660433654081</v>
      </c>
      <c r="J126" s="204">
        <v>49214830460474</v>
      </c>
      <c r="K126" s="204">
        <f t="shared" si="4"/>
        <v>41173113331969</v>
      </c>
      <c r="L126" s="204">
        <v>14967335269790</v>
      </c>
      <c r="M126" s="204">
        <v>2616716927295</v>
      </c>
      <c r="N126" s="204">
        <v>3454751838912</v>
      </c>
      <c r="O126" s="205">
        <f t="shared" si="0"/>
        <v>1.7116836574005114E-2</v>
      </c>
      <c r="P126" s="205">
        <f t="shared" si="1"/>
        <v>0.7960046090117282</v>
      </c>
      <c r="Q126" s="206">
        <f t="shared" si="2"/>
        <v>32.938464448813143</v>
      </c>
      <c r="R126" s="206">
        <f t="shared" si="3"/>
        <v>29</v>
      </c>
      <c r="S126" s="32">
        <v>1.84E-2</v>
      </c>
      <c r="T126" s="32">
        <v>2.58E-2</v>
      </c>
      <c r="U126" s="203"/>
    </row>
    <row r="127" spans="1:21" ht="16.8">
      <c r="A127" s="214" t="s">
        <v>5347</v>
      </c>
      <c r="B127" s="208"/>
      <c r="C127" s="209"/>
      <c r="D127" s="203"/>
      <c r="E127" s="203" t="s">
        <v>5210</v>
      </c>
      <c r="F127" s="203">
        <v>2022</v>
      </c>
      <c r="G127" s="203">
        <v>1992</v>
      </c>
      <c r="H127" s="204">
        <v>257734876168021</v>
      </c>
      <c r="I127" s="204">
        <v>212917145787856</v>
      </c>
      <c r="J127" s="204">
        <v>78174120549026</v>
      </c>
      <c r="K127" s="204">
        <f t="shared" si="4"/>
        <v>44817730380165</v>
      </c>
      <c r="L127" s="204">
        <v>11150728886696</v>
      </c>
      <c r="M127" s="204">
        <v>2496341674631</v>
      </c>
      <c r="N127" s="204">
        <v>2181530210596</v>
      </c>
      <c r="O127" s="205">
        <f t="shared" si="0"/>
        <v>8.4642414058616958E-3</v>
      </c>
      <c r="P127" s="205">
        <f t="shared" si="1"/>
        <v>0.82610917448771004</v>
      </c>
      <c r="Q127" s="206">
        <f t="shared" si="2"/>
        <v>33.18295256074336</v>
      </c>
      <c r="R127" s="206">
        <f t="shared" si="3"/>
        <v>30</v>
      </c>
      <c r="S127" s="32">
        <v>3.15E-2</v>
      </c>
      <c r="T127" s="32">
        <v>8.0199999999999994E-2</v>
      </c>
      <c r="U127" s="203"/>
    </row>
    <row r="128" spans="1:21" ht="16.8">
      <c r="A128" s="214" t="s">
        <v>5348</v>
      </c>
      <c r="B128" s="208"/>
      <c r="C128" s="209"/>
      <c r="D128" s="203"/>
      <c r="E128" s="203" t="s">
        <v>5210</v>
      </c>
      <c r="F128" s="203">
        <v>2023</v>
      </c>
      <c r="G128" s="203">
        <v>1992</v>
      </c>
      <c r="H128" s="204">
        <v>241486379543125</v>
      </c>
      <c r="I128" s="204">
        <v>196183529500722</v>
      </c>
      <c r="J128" s="204">
        <v>87282658320119</v>
      </c>
      <c r="K128" s="204">
        <f t="shared" si="4"/>
        <v>45302850042403</v>
      </c>
      <c r="L128" s="204">
        <v>4769950330281</v>
      </c>
      <c r="M128" s="204">
        <v>1782201145975</v>
      </c>
      <c r="N128" s="204">
        <v>485864524898</v>
      </c>
      <c r="O128" s="205">
        <f t="shared" si="0"/>
        <v>2.0119748609309603E-3</v>
      </c>
      <c r="P128" s="205">
        <f t="shared" si="1"/>
        <v>0.81239997830058674</v>
      </c>
      <c r="Q128" s="206">
        <f t="shared" si="2"/>
        <v>33.117834188023316</v>
      </c>
      <c r="R128" s="206">
        <f t="shared" si="3"/>
        <v>31</v>
      </c>
      <c r="S128" s="32">
        <v>3.2500000000000001E-2</v>
      </c>
      <c r="T128" s="32">
        <v>5.0500000000000003E-2</v>
      </c>
      <c r="U128" s="203"/>
    </row>
    <row r="129" spans="1:21" ht="16.8">
      <c r="A129" s="203" t="s">
        <v>5349</v>
      </c>
      <c r="B129" s="208">
        <v>44</v>
      </c>
      <c r="C129" s="209" t="s">
        <v>3285</v>
      </c>
      <c r="D129" s="203" t="s">
        <v>3286</v>
      </c>
      <c r="E129" s="203" t="s">
        <v>5210</v>
      </c>
      <c r="F129" s="203">
        <v>2021</v>
      </c>
      <c r="G129" s="203">
        <v>2006</v>
      </c>
      <c r="H129" s="204">
        <v>1085842697933</v>
      </c>
      <c r="I129" s="204">
        <v>543311836595</v>
      </c>
      <c r="J129" s="204">
        <v>110259145184</v>
      </c>
      <c r="K129" s="204">
        <f t="shared" si="4"/>
        <v>542530861338</v>
      </c>
      <c r="L129" s="204">
        <v>126669847959</v>
      </c>
      <c r="M129" s="204">
        <v>51826341020</v>
      </c>
      <c r="N129" s="204">
        <v>-62148791544</v>
      </c>
      <c r="O129" s="205">
        <f t="shared" si="0"/>
        <v>-5.7235538501392381E-2</v>
      </c>
      <c r="P129" s="205">
        <f t="shared" si="1"/>
        <v>0.50035961712432508</v>
      </c>
      <c r="Q129" s="206">
        <f t="shared" si="2"/>
        <v>27.713377481583628</v>
      </c>
      <c r="R129" s="206">
        <f t="shared" si="3"/>
        <v>15</v>
      </c>
      <c r="S129" s="32">
        <v>1.84E-2</v>
      </c>
      <c r="T129" s="32">
        <v>2.58E-2</v>
      </c>
      <c r="U129" s="203"/>
    </row>
    <row r="130" spans="1:21" ht="16.8">
      <c r="A130" s="203" t="s">
        <v>5350</v>
      </c>
      <c r="B130" s="208"/>
      <c r="C130" s="209"/>
      <c r="D130" s="203"/>
      <c r="E130" s="203" t="s">
        <v>5210</v>
      </c>
      <c r="F130" s="203">
        <v>2022</v>
      </c>
      <c r="G130" s="203">
        <v>2006</v>
      </c>
      <c r="H130" s="204">
        <v>1099239732504</v>
      </c>
      <c r="I130" s="204">
        <v>566397612597</v>
      </c>
      <c r="J130" s="204">
        <v>149381644346</v>
      </c>
      <c r="K130" s="204">
        <f t="shared" si="4"/>
        <v>532842119907</v>
      </c>
      <c r="L130" s="204">
        <v>337305177516</v>
      </c>
      <c r="M130" s="204">
        <v>125690892602</v>
      </c>
      <c r="N130" s="204">
        <v>16320576208</v>
      </c>
      <c r="O130" s="205">
        <f t="shared" si="0"/>
        <v>1.4847149102609982E-2</v>
      </c>
      <c r="P130" s="205">
        <f t="shared" si="1"/>
        <v>0.51526304576598714</v>
      </c>
      <c r="Q130" s="206">
        <f t="shared" si="2"/>
        <v>27.725639904507943</v>
      </c>
      <c r="R130" s="206">
        <f t="shared" si="3"/>
        <v>16</v>
      </c>
      <c r="S130" s="32">
        <v>3.15E-2</v>
      </c>
      <c r="T130" s="32">
        <v>8.0199999999999994E-2</v>
      </c>
      <c r="U130" s="203"/>
    </row>
    <row r="131" spans="1:21" ht="16.8">
      <c r="A131" s="203" t="s">
        <v>5351</v>
      </c>
      <c r="B131" s="208"/>
      <c r="C131" s="209"/>
      <c r="D131" s="203"/>
      <c r="E131" s="203" t="s">
        <v>5210</v>
      </c>
      <c r="F131" s="203">
        <v>2023</v>
      </c>
      <c r="G131" s="203">
        <v>2006</v>
      </c>
      <c r="H131" s="204">
        <v>1078634597717</v>
      </c>
      <c r="I131" s="204">
        <v>540309186603</v>
      </c>
      <c r="J131" s="204">
        <v>134450361474</v>
      </c>
      <c r="K131" s="204">
        <f t="shared" si="4"/>
        <v>538325411114</v>
      </c>
      <c r="L131" s="204">
        <v>337060270126</v>
      </c>
      <c r="M131" s="204">
        <v>130205002042</v>
      </c>
      <c r="N131" s="204">
        <v>35833221189</v>
      </c>
      <c r="O131" s="205">
        <f t="shared" si="0"/>
        <v>3.3220908419629165E-2</v>
      </c>
      <c r="P131" s="205">
        <f t="shared" si="1"/>
        <v>0.50091957716412894</v>
      </c>
      <c r="Q131" s="206">
        <f t="shared" si="2"/>
        <v>27.706717095838901</v>
      </c>
      <c r="R131" s="206">
        <f t="shared" si="3"/>
        <v>17</v>
      </c>
      <c r="S131" s="32">
        <v>3.2500000000000001E-2</v>
      </c>
      <c r="T131" s="32">
        <v>5.0500000000000003E-2</v>
      </c>
      <c r="U131" s="203"/>
    </row>
    <row r="132" spans="1:21" ht="16.8">
      <c r="A132" s="200" t="s">
        <v>5352</v>
      </c>
      <c r="B132" s="208">
        <v>45</v>
      </c>
      <c r="C132" s="209" t="s">
        <v>3289</v>
      </c>
      <c r="D132" s="203" t="s">
        <v>3290</v>
      </c>
      <c r="E132" s="203" t="s">
        <v>5210</v>
      </c>
      <c r="F132" s="203">
        <v>2021</v>
      </c>
      <c r="G132" s="203">
        <v>2007</v>
      </c>
      <c r="H132" s="204">
        <v>2932844228065</v>
      </c>
      <c r="I132" s="204">
        <v>1918894326564</v>
      </c>
      <c r="J132" s="204">
        <v>764392129001</v>
      </c>
      <c r="K132" s="204">
        <f t="shared" si="4"/>
        <v>1013949901501</v>
      </c>
      <c r="L132" s="204">
        <v>416463807679</v>
      </c>
      <c r="M132" s="204">
        <v>367008203961</v>
      </c>
      <c r="N132" s="204">
        <v>-208028911741</v>
      </c>
      <c r="O132" s="205">
        <f t="shared" si="0"/>
        <v>-7.0930774212393494E-2</v>
      </c>
      <c r="P132" s="205">
        <f t="shared" si="1"/>
        <v>0.65427761495196324</v>
      </c>
      <c r="Q132" s="206">
        <f t="shared" si="2"/>
        <v>28.706993794409481</v>
      </c>
      <c r="R132" s="206">
        <f t="shared" si="3"/>
        <v>14</v>
      </c>
      <c r="S132" s="32">
        <v>1.84E-2</v>
      </c>
      <c r="T132" s="32">
        <v>2.58E-2</v>
      </c>
      <c r="U132" s="203"/>
    </row>
    <row r="133" spans="1:21" ht="16.8">
      <c r="A133" s="200" t="s">
        <v>5353</v>
      </c>
      <c r="B133" s="208"/>
      <c r="C133" s="209"/>
      <c r="D133" s="203"/>
      <c r="E133" s="203" t="s">
        <v>5210</v>
      </c>
      <c r="F133" s="203">
        <v>2022</v>
      </c>
      <c r="G133" s="203">
        <v>2007</v>
      </c>
      <c r="H133" s="204">
        <v>2986913515902</v>
      </c>
      <c r="I133" s="204">
        <v>1887293172111</v>
      </c>
      <c r="J133" s="204">
        <v>782045882742</v>
      </c>
      <c r="K133" s="204">
        <f t="shared" si="4"/>
        <v>1099620343791</v>
      </c>
      <c r="L133" s="204">
        <v>1017555451758</v>
      </c>
      <c r="M133" s="204">
        <v>354303450452</v>
      </c>
      <c r="N133" s="204">
        <v>59063698489</v>
      </c>
      <c r="O133" s="205">
        <f t="shared" si="0"/>
        <v>1.9774157562497657E-2</v>
      </c>
      <c r="P133" s="205">
        <f t="shared" si="1"/>
        <v>0.63185397302709234</v>
      </c>
      <c r="Q133" s="206">
        <f t="shared" si="2"/>
        <v>28.725261701245536</v>
      </c>
      <c r="R133" s="206">
        <f t="shared" si="3"/>
        <v>15</v>
      </c>
      <c r="S133" s="32">
        <v>3.15E-2</v>
      </c>
      <c r="T133" s="32">
        <v>8.0199999999999994E-2</v>
      </c>
      <c r="U133" s="203"/>
    </row>
    <row r="134" spans="1:21" ht="16.8">
      <c r="A134" s="200" t="s">
        <v>5354</v>
      </c>
      <c r="B134" s="208"/>
      <c r="C134" s="209"/>
      <c r="D134" s="203"/>
      <c r="E134" s="203" t="s">
        <v>5210</v>
      </c>
      <c r="F134" s="203">
        <v>2023</v>
      </c>
      <c r="G134" s="203">
        <v>2007</v>
      </c>
      <c r="H134" s="204">
        <v>4767834482251</v>
      </c>
      <c r="I134" s="204">
        <v>3210735650988</v>
      </c>
      <c r="J134" s="204">
        <v>712586425247</v>
      </c>
      <c r="K134" s="204">
        <f t="shared" si="4"/>
        <v>1557098831263</v>
      </c>
      <c r="L134" s="204">
        <v>999175492396</v>
      </c>
      <c r="M134" s="204">
        <v>319672869010</v>
      </c>
      <c r="N134" s="204">
        <v>141260936288</v>
      </c>
      <c r="O134" s="205">
        <f t="shared" si="0"/>
        <v>2.9627902733172815E-2</v>
      </c>
      <c r="P134" s="205">
        <f t="shared" si="1"/>
        <v>0.6734159214084422</v>
      </c>
      <c r="Q134" s="206">
        <f t="shared" si="2"/>
        <v>29.192913330796046</v>
      </c>
      <c r="R134" s="206">
        <f t="shared" si="3"/>
        <v>16</v>
      </c>
      <c r="S134" s="32">
        <v>3.2500000000000001E-2</v>
      </c>
      <c r="T134" s="32">
        <v>5.0500000000000003E-2</v>
      </c>
      <c r="U134" s="203"/>
    </row>
    <row r="135" spans="1:21" ht="16.8">
      <c r="A135" s="200" t="s">
        <v>5355</v>
      </c>
      <c r="B135" s="208">
        <v>46</v>
      </c>
      <c r="C135" s="209" t="s">
        <v>3347</v>
      </c>
      <c r="D135" s="203" t="s">
        <v>3348</v>
      </c>
      <c r="E135" s="203" t="s">
        <v>5210</v>
      </c>
      <c r="F135" s="203">
        <v>2021</v>
      </c>
      <c r="G135" s="203">
        <v>2002</v>
      </c>
      <c r="H135" s="204">
        <v>329595165601</v>
      </c>
      <c r="I135" s="204">
        <v>214431410998</v>
      </c>
      <c r="J135" s="204">
        <v>211482301146</v>
      </c>
      <c r="K135" s="204">
        <f t="shared" si="4"/>
        <v>115163754603</v>
      </c>
      <c r="L135" s="204">
        <v>874063223262</v>
      </c>
      <c r="M135" s="204">
        <v>85411052384</v>
      </c>
      <c r="N135" s="204">
        <v>-5673007686</v>
      </c>
      <c r="O135" s="205">
        <f t="shared" si="0"/>
        <v>-1.7212047621073444E-2</v>
      </c>
      <c r="P135" s="205">
        <f t="shared" si="1"/>
        <v>0.65059027976637718</v>
      </c>
      <c r="Q135" s="206">
        <f t="shared" si="2"/>
        <v>26.521130967401465</v>
      </c>
      <c r="R135" s="206">
        <f t="shared" si="3"/>
        <v>19</v>
      </c>
      <c r="S135" s="32">
        <v>1.84E-2</v>
      </c>
      <c r="T135" s="32">
        <v>2.58E-2</v>
      </c>
      <c r="U135" s="203"/>
    </row>
    <row r="136" spans="1:21" ht="16.8">
      <c r="A136" s="200" t="s">
        <v>5356</v>
      </c>
      <c r="B136" s="208"/>
      <c r="C136" s="209"/>
      <c r="D136" s="203"/>
      <c r="E136" s="203" t="s">
        <v>5210</v>
      </c>
      <c r="F136" s="203">
        <v>2022</v>
      </c>
      <c r="G136" s="203">
        <v>2002</v>
      </c>
      <c r="H136" s="204">
        <v>272449745684</v>
      </c>
      <c r="I136" s="204">
        <v>154118273398</v>
      </c>
      <c r="J136" s="204">
        <v>151492065732</v>
      </c>
      <c r="K136" s="204">
        <f t="shared" si="4"/>
        <v>118331472286</v>
      </c>
      <c r="L136" s="204">
        <v>792306508517</v>
      </c>
      <c r="M136" s="204">
        <v>77652858836</v>
      </c>
      <c r="N136" s="204">
        <v>3167717683</v>
      </c>
      <c r="O136" s="205">
        <f t="shared" si="0"/>
        <v>1.1626796255754511E-2</v>
      </c>
      <c r="P136" s="205">
        <f t="shared" si="1"/>
        <v>0.56567596718094793</v>
      </c>
      <c r="Q136" s="206">
        <f t="shared" si="2"/>
        <v>26.330720014534084</v>
      </c>
      <c r="R136" s="206">
        <f t="shared" si="3"/>
        <v>20</v>
      </c>
      <c r="S136" s="32">
        <v>3.15E-2</v>
      </c>
      <c r="T136" s="32">
        <v>8.0199999999999994E-2</v>
      </c>
      <c r="U136" s="203"/>
    </row>
    <row r="137" spans="1:21" ht="16.8">
      <c r="A137" s="200" t="s">
        <v>5357</v>
      </c>
      <c r="B137" s="208"/>
      <c r="C137" s="209"/>
      <c r="D137" s="203"/>
      <c r="E137" s="203" t="s">
        <v>5210</v>
      </c>
      <c r="F137" s="203">
        <v>2023</v>
      </c>
      <c r="G137" s="203">
        <v>2002</v>
      </c>
      <c r="H137" s="204">
        <v>285929063442</v>
      </c>
      <c r="I137" s="204">
        <v>176548698413</v>
      </c>
      <c r="J137" s="204">
        <v>173922490747</v>
      </c>
      <c r="K137" s="204">
        <f t="shared" si="4"/>
        <v>109380365029</v>
      </c>
      <c r="L137" s="204">
        <v>709130404945</v>
      </c>
      <c r="M137" s="204">
        <v>69689746983</v>
      </c>
      <c r="N137" s="204">
        <v>-8951107257</v>
      </c>
      <c r="O137" s="205">
        <f t="shared" si="0"/>
        <v>-3.1305342483366368E-2</v>
      </c>
      <c r="P137" s="205">
        <f t="shared" si="1"/>
        <v>0.61745628894004501</v>
      </c>
      <c r="Q137" s="206">
        <f t="shared" si="2"/>
        <v>26.379009587078677</v>
      </c>
      <c r="R137" s="206">
        <f t="shared" si="3"/>
        <v>21</v>
      </c>
      <c r="S137" s="32">
        <v>3.2500000000000001E-2</v>
      </c>
      <c r="T137" s="32">
        <v>5.0500000000000003E-2</v>
      </c>
      <c r="U137" s="203"/>
    </row>
    <row r="138" spans="1:21" ht="16.8">
      <c r="A138" s="215" t="s">
        <v>5358</v>
      </c>
      <c r="B138" s="216">
        <v>47</v>
      </c>
      <c r="C138" s="217" t="s">
        <v>5116</v>
      </c>
      <c r="D138" s="203" t="s">
        <v>5359</v>
      </c>
      <c r="E138" s="203" t="s">
        <v>5210</v>
      </c>
      <c r="F138" s="203">
        <v>2021</v>
      </c>
      <c r="G138" s="203">
        <v>2008</v>
      </c>
      <c r="H138" s="204">
        <v>2616517132869</v>
      </c>
      <c r="I138" s="204">
        <v>1862651500818</v>
      </c>
      <c r="J138" s="204">
        <v>1723180932288</v>
      </c>
      <c r="K138" s="204">
        <f t="shared" si="4"/>
        <v>753865632051</v>
      </c>
      <c r="L138" s="204">
        <v>2414050223449</v>
      </c>
      <c r="M138" s="204">
        <f>88815457650+43343029965</f>
        <v>132158487615</v>
      </c>
      <c r="N138" s="204">
        <v>122173915420</v>
      </c>
      <c r="O138" s="205">
        <f t="shared" si="0"/>
        <v>4.6693336682277639E-2</v>
      </c>
      <c r="P138" s="205">
        <f t="shared" si="1"/>
        <v>0.71188201958211927</v>
      </c>
      <c r="Q138" s="206">
        <f t="shared" si="2"/>
        <v>28.592865210747554</v>
      </c>
      <c r="R138" s="206">
        <f t="shared" si="3"/>
        <v>13</v>
      </c>
      <c r="S138" s="32">
        <v>1.84E-2</v>
      </c>
      <c r="T138" s="32">
        <v>2.58E-2</v>
      </c>
      <c r="U138" s="203"/>
    </row>
    <row r="139" spans="1:21" ht="16.8">
      <c r="A139" s="215" t="s">
        <v>5360</v>
      </c>
      <c r="B139" s="216"/>
      <c r="C139" s="217"/>
      <c r="D139" s="203"/>
      <c r="E139" s="203" t="s">
        <v>5210</v>
      </c>
      <c r="F139" s="203">
        <v>2022</v>
      </c>
      <c r="G139" s="203">
        <v>2008</v>
      </c>
      <c r="H139" s="204">
        <v>2720628587117</v>
      </c>
      <c r="I139" s="204">
        <v>1584703297604</v>
      </c>
      <c r="J139" s="204">
        <v>1509822828580</v>
      </c>
      <c r="K139" s="204">
        <f t="shared" si="4"/>
        <v>1135925289513</v>
      </c>
      <c r="L139" s="204">
        <v>2858148158933</v>
      </c>
      <c r="M139" s="204">
        <f>190691205749+68726545626</f>
        <v>259417751375</v>
      </c>
      <c r="N139" s="204">
        <v>40792970112</v>
      </c>
      <c r="O139" s="205">
        <f t="shared" si="0"/>
        <v>1.4993950407331256E-2</v>
      </c>
      <c r="P139" s="205">
        <f t="shared" si="1"/>
        <v>0.58247689710681194</v>
      </c>
      <c r="Q139" s="206">
        <f t="shared" si="2"/>
        <v>28.631884067742156</v>
      </c>
      <c r="R139" s="206">
        <f t="shared" si="3"/>
        <v>14</v>
      </c>
      <c r="S139" s="32">
        <v>3.15E-2</v>
      </c>
      <c r="T139" s="32">
        <v>8.0199999999999994E-2</v>
      </c>
      <c r="U139" s="203"/>
    </row>
    <row r="140" spans="1:21" ht="16.8">
      <c r="A140" s="215" t="s">
        <v>5361</v>
      </c>
      <c r="B140" s="216"/>
      <c r="C140" s="217"/>
      <c r="D140" s="203"/>
      <c r="E140" s="203" t="s">
        <v>5210</v>
      </c>
      <c r="F140" s="203">
        <v>2023</v>
      </c>
      <c r="G140" s="203">
        <v>2008</v>
      </c>
      <c r="H140" s="204">
        <v>1743399824360</v>
      </c>
      <c r="I140" s="204">
        <v>951912026660</v>
      </c>
      <c r="J140" s="204">
        <v>937987975719</v>
      </c>
      <c r="K140" s="204">
        <f t="shared" si="4"/>
        <v>791487797700</v>
      </c>
      <c r="L140" s="204">
        <v>1806342204433</v>
      </c>
      <c r="M140" s="204">
        <f>29341689522+24681120460</f>
        <v>54022809982</v>
      </c>
      <c r="N140" s="204">
        <v>11079179871</v>
      </c>
      <c r="O140" s="205">
        <f t="shared" si="0"/>
        <v>6.3549277200754296E-3</v>
      </c>
      <c r="P140" s="205">
        <f t="shared" si="1"/>
        <v>0.54600901833258231</v>
      </c>
      <c r="Q140" s="206">
        <f t="shared" si="2"/>
        <v>28.186858244778211</v>
      </c>
      <c r="R140" s="206">
        <f t="shared" si="3"/>
        <v>15</v>
      </c>
      <c r="S140" s="32">
        <v>3.2500000000000001E-2</v>
      </c>
      <c r="T140" s="32">
        <v>5.0500000000000003E-2</v>
      </c>
      <c r="U140" s="203"/>
    </row>
    <row r="141" spans="1:21" ht="16.8">
      <c r="A141" s="215" t="s">
        <v>5362</v>
      </c>
      <c r="B141" s="216">
        <v>48</v>
      </c>
      <c r="C141" s="217" t="s">
        <v>5118</v>
      </c>
      <c r="D141" s="203" t="s">
        <v>5363</v>
      </c>
      <c r="E141" s="203" t="s">
        <v>5210</v>
      </c>
      <c r="F141" s="203">
        <v>2021</v>
      </c>
      <c r="G141" s="203">
        <v>2007</v>
      </c>
      <c r="H141" s="204">
        <v>1732115302739</v>
      </c>
      <c r="I141" s="204">
        <v>1078720083977</v>
      </c>
      <c r="J141" s="204">
        <v>936527475533</v>
      </c>
      <c r="K141" s="204">
        <f t="shared" si="4"/>
        <v>653395218762</v>
      </c>
      <c r="L141" s="204">
        <v>1634328866992</v>
      </c>
      <c r="M141" s="204">
        <f>180547481912+198377771210</f>
        <v>378925253122</v>
      </c>
      <c r="N141" s="204">
        <v>-108124553652</v>
      </c>
      <c r="O141" s="205">
        <f t="shared" si="0"/>
        <v>-6.2423415739715632E-2</v>
      </c>
      <c r="P141" s="205">
        <f t="shared" si="1"/>
        <v>0.6227761409827719</v>
      </c>
      <c r="Q141" s="206">
        <f t="shared" si="2"/>
        <v>28.180364495873182</v>
      </c>
      <c r="R141" s="206">
        <f t="shared" si="3"/>
        <v>14</v>
      </c>
      <c r="S141" s="32">
        <v>1.84E-2</v>
      </c>
      <c r="T141" s="32">
        <v>2.58E-2</v>
      </c>
      <c r="U141" s="203"/>
    </row>
    <row r="142" spans="1:21" ht="16.8">
      <c r="A142" s="215" t="s">
        <v>5364</v>
      </c>
      <c r="B142" s="216"/>
      <c r="C142" s="217"/>
      <c r="D142" s="203"/>
      <c r="E142" s="203" t="s">
        <v>5210</v>
      </c>
      <c r="F142" s="203">
        <v>2022</v>
      </c>
      <c r="G142" s="203">
        <v>2007</v>
      </c>
      <c r="H142" s="204">
        <v>1597223243159</v>
      </c>
      <c r="I142" s="204">
        <v>956700854209</v>
      </c>
      <c r="J142" s="204">
        <v>820741585741</v>
      </c>
      <c r="K142" s="204">
        <f t="shared" si="4"/>
        <v>640522388950</v>
      </c>
      <c r="L142" s="204">
        <v>2073867401134</v>
      </c>
      <c r="M142" s="204">
        <f>198427596859+43945313291</f>
        <v>242372910150</v>
      </c>
      <c r="N142" s="204">
        <v>-13322829812</v>
      </c>
      <c r="O142" s="205">
        <f t="shared" si="0"/>
        <v>-8.3412446375686396E-3</v>
      </c>
      <c r="P142" s="205">
        <f t="shared" si="1"/>
        <v>0.59897754324989028</v>
      </c>
      <c r="Q142" s="206">
        <f t="shared" si="2"/>
        <v>28.099287764470738</v>
      </c>
      <c r="R142" s="206">
        <f t="shared" si="3"/>
        <v>15</v>
      </c>
      <c r="S142" s="32">
        <v>3.15E-2</v>
      </c>
      <c r="T142" s="32">
        <v>8.0199999999999994E-2</v>
      </c>
      <c r="U142" s="203"/>
    </row>
    <row r="143" spans="1:21" ht="16.8">
      <c r="A143" s="215" t="s">
        <v>5365</v>
      </c>
      <c r="B143" s="216"/>
      <c r="C143" s="217"/>
      <c r="D143" s="203"/>
      <c r="E143" s="203" t="s">
        <v>5210</v>
      </c>
      <c r="F143" s="203">
        <v>2023</v>
      </c>
      <c r="G143" s="203">
        <v>2007</v>
      </c>
      <c r="H143" s="204">
        <v>1777820279982</v>
      </c>
      <c r="I143" s="204">
        <v>1140491212385</v>
      </c>
      <c r="J143" s="204">
        <v>1055267222259</v>
      </c>
      <c r="K143" s="204">
        <f t="shared" si="4"/>
        <v>637329067597</v>
      </c>
      <c r="L143" s="204">
        <v>1876724101426</v>
      </c>
      <c r="M143" s="204">
        <f>207480407002+45203491465</f>
        <v>252683898467</v>
      </c>
      <c r="N143" s="204">
        <v>-24039200103</v>
      </c>
      <c r="O143" s="205">
        <f t="shared" si="0"/>
        <v>-1.3521726787391239E-2</v>
      </c>
      <c r="P143" s="205">
        <f t="shared" si="1"/>
        <v>0.64151097004954138</v>
      </c>
      <c r="Q143" s="206">
        <f t="shared" si="2"/>
        <v>28.206409168036206</v>
      </c>
      <c r="R143" s="206">
        <f t="shared" si="3"/>
        <v>16</v>
      </c>
      <c r="S143" s="32">
        <v>3.2500000000000001E-2</v>
      </c>
      <c r="T143" s="32">
        <v>5.0500000000000003E-2</v>
      </c>
      <c r="U143" s="203"/>
    </row>
    <row r="144" spans="1:21" ht="16.8">
      <c r="A144" s="215" t="s">
        <v>5366</v>
      </c>
      <c r="B144" s="216">
        <v>49</v>
      </c>
      <c r="C144" s="217" t="s">
        <v>3359</v>
      </c>
      <c r="D144" s="203" t="s">
        <v>3360</v>
      </c>
      <c r="E144" s="203" t="s">
        <v>178</v>
      </c>
      <c r="F144" s="203">
        <v>2021</v>
      </c>
      <c r="G144" s="203">
        <v>1999</v>
      </c>
      <c r="H144" s="204">
        <v>14985379086231</v>
      </c>
      <c r="I144" s="204">
        <v>11292458130375</v>
      </c>
      <c r="J144" s="204">
        <v>9501978323045</v>
      </c>
      <c r="K144" s="204">
        <f t="shared" si="4"/>
        <v>3692920955856</v>
      </c>
      <c r="L144" s="204">
        <v>14072276626246</v>
      </c>
      <c r="M144" s="204">
        <f>82307627288+143002587336</f>
        <v>225310214624</v>
      </c>
      <c r="N144" s="204">
        <v>182529028680</v>
      </c>
      <c r="O144" s="205">
        <f t="shared" si="0"/>
        <v>1.2180474556543782E-2</v>
      </c>
      <c r="P144" s="205">
        <f t="shared" si="1"/>
        <v>0.75356506267838341</v>
      </c>
      <c r="Q144" s="206">
        <f t="shared" si="2"/>
        <v>30.338096114090305</v>
      </c>
      <c r="R144" s="206">
        <f t="shared" si="3"/>
        <v>22</v>
      </c>
      <c r="S144" s="32">
        <v>1.84E-2</v>
      </c>
      <c r="T144" s="32">
        <v>2.58E-2</v>
      </c>
      <c r="U144" s="203"/>
    </row>
    <row r="145" spans="1:21" ht="16.8">
      <c r="A145" s="215" t="s">
        <v>5367</v>
      </c>
      <c r="B145" s="216"/>
      <c r="C145" s="217"/>
      <c r="D145" s="203"/>
      <c r="E145" s="203" t="s">
        <v>178</v>
      </c>
      <c r="F145" s="203">
        <v>2022</v>
      </c>
      <c r="G145" s="203">
        <v>1999</v>
      </c>
      <c r="H145" s="204">
        <v>11031617799206</v>
      </c>
      <c r="I145" s="204">
        <v>8420318605047</v>
      </c>
      <c r="J145" s="204">
        <v>7679983370014</v>
      </c>
      <c r="K145" s="204">
        <f t="shared" si="4"/>
        <v>2611299194159</v>
      </c>
      <c r="L145" s="204">
        <v>13041401643316</v>
      </c>
      <c r="M145" s="204">
        <f>47995636087+120616705325</f>
        <v>168612341412</v>
      </c>
      <c r="N145" s="204">
        <v>1079868045668</v>
      </c>
      <c r="O145" s="205">
        <f t="shared" si="0"/>
        <v>9.7888457098805892E-2</v>
      </c>
      <c r="P145" s="205">
        <f t="shared" si="1"/>
        <v>0.76328955175124469</v>
      </c>
      <c r="Q145" s="206">
        <f t="shared" si="2"/>
        <v>30.031786611077383</v>
      </c>
      <c r="R145" s="206">
        <f t="shared" si="3"/>
        <v>23</v>
      </c>
      <c r="S145" s="32">
        <v>3.15E-2</v>
      </c>
      <c r="T145" s="32">
        <v>8.0199999999999994E-2</v>
      </c>
      <c r="U145" s="203"/>
    </row>
    <row r="146" spans="1:21" ht="16.8">
      <c r="A146" s="215" t="s">
        <v>5368</v>
      </c>
      <c r="B146" s="216"/>
      <c r="C146" s="217"/>
      <c r="D146" s="203"/>
      <c r="E146" s="203" t="s">
        <v>178</v>
      </c>
      <c r="F146" s="203">
        <v>2023</v>
      </c>
      <c r="G146" s="203">
        <v>1999</v>
      </c>
      <c r="H146" s="204">
        <v>10404273241983</v>
      </c>
      <c r="I146" s="204">
        <v>8809535873967</v>
      </c>
      <c r="J146" s="204">
        <v>7963567085597</v>
      </c>
      <c r="K146" s="204">
        <f t="shared" si="4"/>
        <v>1594737368016</v>
      </c>
      <c r="L146" s="218"/>
      <c r="M146" s="218"/>
      <c r="N146" s="218"/>
      <c r="O146" s="205">
        <f t="shared" si="0"/>
        <v>0</v>
      </c>
      <c r="P146" s="205">
        <f t="shared" si="1"/>
        <v>0.84672284830227595</v>
      </c>
      <c r="Q146" s="206">
        <f t="shared" si="2"/>
        <v>29.97323772633646</v>
      </c>
      <c r="R146" s="206">
        <f t="shared" si="3"/>
        <v>24</v>
      </c>
      <c r="S146" s="32">
        <v>3.2500000000000001E-2</v>
      </c>
      <c r="T146" s="32">
        <v>5.0500000000000003E-2</v>
      </c>
      <c r="U146" s="203"/>
    </row>
    <row r="147" spans="1:21" ht="16.8">
      <c r="A147" s="215" t="s">
        <v>5369</v>
      </c>
      <c r="B147" s="216">
        <v>50</v>
      </c>
      <c r="C147" s="217" t="s">
        <v>3362</v>
      </c>
      <c r="D147" s="203" t="s">
        <v>3363</v>
      </c>
      <c r="E147" s="203" t="s">
        <v>5210</v>
      </c>
      <c r="F147" s="203">
        <v>2021</v>
      </c>
      <c r="G147" s="203">
        <v>1982</v>
      </c>
      <c r="H147" s="204">
        <v>5448566166769</v>
      </c>
      <c r="I147" s="204">
        <v>594317517802</v>
      </c>
      <c r="J147" s="204">
        <v>594317517802</v>
      </c>
      <c r="K147" s="204">
        <f t="shared" si="4"/>
        <v>4854248648967</v>
      </c>
      <c r="L147" s="204">
        <v>3868169547310</v>
      </c>
      <c r="M147" s="204">
        <v>86738774829</v>
      </c>
      <c r="N147" s="204">
        <v>216187739296</v>
      </c>
      <c r="O147" s="205">
        <f t="shared" si="0"/>
        <v>3.96779139096331E-2</v>
      </c>
      <c r="P147" s="205">
        <f t="shared" si="1"/>
        <v>0.10907778296366552</v>
      </c>
      <c r="Q147" s="206">
        <f t="shared" si="2"/>
        <v>29.326373601323567</v>
      </c>
      <c r="R147" s="206">
        <f t="shared" si="3"/>
        <v>39</v>
      </c>
      <c r="S147" s="32">
        <v>1.84E-2</v>
      </c>
      <c r="T147" s="32">
        <v>2.58E-2</v>
      </c>
      <c r="U147" s="203"/>
    </row>
    <row r="148" spans="1:21" ht="16.8">
      <c r="A148" s="219" t="s">
        <v>5370</v>
      </c>
      <c r="B148" s="220"/>
      <c r="C148" s="220"/>
      <c r="E148" s="203" t="s">
        <v>5210</v>
      </c>
      <c r="F148" s="203">
        <v>2022</v>
      </c>
      <c r="G148" s="203">
        <v>1982</v>
      </c>
      <c r="H148" s="204">
        <v>5779442939698</v>
      </c>
      <c r="I148" s="204">
        <v>614322977102</v>
      </c>
      <c r="J148" s="204">
        <v>614322977102</v>
      </c>
      <c r="K148" s="204">
        <f t="shared" si="4"/>
        <v>5165119962596</v>
      </c>
      <c r="L148" s="204">
        <v>5277791567042</v>
      </c>
      <c r="M148" s="204">
        <v>119483288880</v>
      </c>
      <c r="N148" s="204">
        <v>497202717339</v>
      </c>
      <c r="O148" s="205">
        <f t="shared" si="0"/>
        <v>8.6029522659320679E-2</v>
      </c>
      <c r="P148" s="205">
        <f t="shared" si="1"/>
        <v>0.10629449646129752</v>
      </c>
      <c r="Q148" s="206">
        <f t="shared" si="2"/>
        <v>29.385328416753374</v>
      </c>
      <c r="R148" s="206">
        <f t="shared" si="3"/>
        <v>40</v>
      </c>
      <c r="S148" s="32">
        <v>3.15E-2</v>
      </c>
      <c r="T148" s="32">
        <v>8.0199999999999994E-2</v>
      </c>
    </row>
    <row r="149" spans="1:21" ht="16.8">
      <c r="A149" s="219" t="s">
        <v>5371</v>
      </c>
      <c r="B149" s="220"/>
      <c r="C149" s="220"/>
      <c r="E149" s="203" t="s">
        <v>5210</v>
      </c>
      <c r="F149" s="203">
        <v>2023</v>
      </c>
      <c r="G149" s="203">
        <v>1982</v>
      </c>
      <c r="H149" s="204">
        <v>5777917928994</v>
      </c>
      <c r="I149" s="204">
        <v>767100345273</v>
      </c>
      <c r="J149" s="204">
        <v>767100345273</v>
      </c>
      <c r="K149" s="204">
        <f t="shared" si="4"/>
        <v>5010817583721</v>
      </c>
      <c r="L149" s="204">
        <v>5813760220061</v>
      </c>
      <c r="M149" s="204">
        <v>116842404736</v>
      </c>
      <c r="N149" s="204">
        <v>380102277161</v>
      </c>
      <c r="O149" s="205">
        <f t="shared" si="0"/>
        <v>6.5785336834505714E-2</v>
      </c>
      <c r="P149" s="205">
        <f t="shared" si="1"/>
        <v>0.13276414699897973</v>
      </c>
      <c r="Q149" s="206">
        <f t="shared" si="2"/>
        <v>29.385064513820829</v>
      </c>
      <c r="R149" s="206">
        <f t="shared" si="3"/>
        <v>41</v>
      </c>
      <c r="S149" s="32">
        <v>3.2500000000000001E-2</v>
      </c>
      <c r="T149" s="32">
        <v>5.0500000000000003E-2</v>
      </c>
    </row>
    <row r="150" spans="1:21" ht="16.8">
      <c r="A150" s="215" t="s">
        <v>5372</v>
      </c>
      <c r="B150" s="216">
        <v>51</v>
      </c>
      <c r="C150" s="217" t="s">
        <v>3373</v>
      </c>
      <c r="D150" s="203" t="s">
        <v>5373</v>
      </c>
      <c r="E150" s="203" t="s">
        <v>5210</v>
      </c>
      <c r="F150" s="203">
        <v>2021</v>
      </c>
      <c r="G150" s="203">
        <v>1976</v>
      </c>
      <c r="H150" s="204">
        <v>557540141482</v>
      </c>
      <c r="I150" s="204">
        <v>210509168998</v>
      </c>
      <c r="J150" s="204">
        <v>210509168998</v>
      </c>
      <c r="K150" s="204">
        <f t="shared" si="4"/>
        <v>347030972484</v>
      </c>
      <c r="L150" s="204">
        <v>0</v>
      </c>
      <c r="M150" s="204">
        <v>3874818126</v>
      </c>
      <c r="N150" s="204">
        <v>57048832784</v>
      </c>
      <c r="O150" s="205">
        <f t="shared" si="0"/>
        <v>0.10232237742085841</v>
      </c>
      <c r="P150" s="205">
        <f t="shared" si="1"/>
        <v>0.37756773608882155</v>
      </c>
      <c r="Q150" s="206">
        <f t="shared" si="2"/>
        <v>27.046800340346913</v>
      </c>
      <c r="R150" s="206">
        <f t="shared" si="3"/>
        <v>45</v>
      </c>
      <c r="S150" s="32">
        <v>1.84E-2</v>
      </c>
      <c r="T150" s="32">
        <v>2.58E-2</v>
      </c>
      <c r="U150" s="203"/>
    </row>
    <row r="151" spans="1:21" ht="16.8">
      <c r="A151" s="219" t="s">
        <v>5374</v>
      </c>
      <c r="B151" s="220"/>
      <c r="C151" s="220"/>
      <c r="E151" s="203" t="s">
        <v>5210</v>
      </c>
      <c r="F151" s="203">
        <v>2022</v>
      </c>
      <c r="G151" s="203">
        <v>1976</v>
      </c>
      <c r="H151" s="204">
        <v>1211656018906</v>
      </c>
      <c r="I151" s="204">
        <v>703779381039</v>
      </c>
      <c r="J151" s="204">
        <v>120328563374</v>
      </c>
      <c r="K151" s="204">
        <f t="shared" si="4"/>
        <v>507876637867</v>
      </c>
      <c r="L151" s="204">
        <v>69249089173</v>
      </c>
      <c r="M151" s="204">
        <v>13636925257</v>
      </c>
      <c r="N151" s="204">
        <v>-60533075792</v>
      </c>
      <c r="O151" s="205">
        <f t="shared" si="0"/>
        <v>-4.9958960998398791E-2</v>
      </c>
      <c r="P151" s="205">
        <f t="shared" si="1"/>
        <v>0.580840907037659</v>
      </c>
      <c r="Q151" s="206">
        <f t="shared" si="2"/>
        <v>27.823009150509371</v>
      </c>
      <c r="R151" s="206">
        <f t="shared" si="3"/>
        <v>46</v>
      </c>
      <c r="S151" s="32">
        <v>3.15E-2</v>
      </c>
      <c r="T151" s="32">
        <v>8.0199999999999994E-2</v>
      </c>
    </row>
    <row r="152" spans="1:21" ht="16.8">
      <c r="A152" s="219" t="s">
        <v>5375</v>
      </c>
      <c r="B152" s="220"/>
      <c r="C152" s="220"/>
      <c r="E152" s="203" t="s">
        <v>5210</v>
      </c>
      <c r="F152" s="203">
        <v>2023</v>
      </c>
      <c r="G152" s="203">
        <v>1976</v>
      </c>
      <c r="H152" s="204">
        <v>1156208051962</v>
      </c>
      <c r="I152" s="204">
        <v>634310284392</v>
      </c>
      <c r="J152" s="204">
        <v>192136493143</v>
      </c>
      <c r="K152" s="204">
        <f t="shared" si="4"/>
        <v>521897767570</v>
      </c>
      <c r="L152" s="204">
        <v>107718308611</v>
      </c>
      <c r="M152" s="204">
        <v>16270669977</v>
      </c>
      <c r="N152" s="204">
        <v>14021129703</v>
      </c>
      <c r="O152" s="205">
        <f t="shared" si="0"/>
        <v>1.2126822399486991E-2</v>
      </c>
      <c r="P152" s="205">
        <f t="shared" si="1"/>
        <v>0.54861258171971916</v>
      </c>
      <c r="Q152" s="206">
        <f t="shared" si="2"/>
        <v>27.776166845730717</v>
      </c>
      <c r="R152" s="206">
        <f t="shared" si="3"/>
        <v>47</v>
      </c>
      <c r="S152" s="32">
        <v>3.2500000000000001E-2</v>
      </c>
      <c r="T152" s="32">
        <v>5.0500000000000003E-2</v>
      </c>
    </row>
    <row r="153" spans="1:21" ht="16.8">
      <c r="A153" s="215" t="s">
        <v>5376</v>
      </c>
      <c r="B153" s="216">
        <v>52</v>
      </c>
      <c r="C153" s="217" t="s">
        <v>3378</v>
      </c>
      <c r="D153" s="203" t="s">
        <v>3379</v>
      </c>
      <c r="E153" s="203" t="s">
        <v>5210</v>
      </c>
      <c r="F153" s="203">
        <v>2021</v>
      </c>
      <c r="G153" s="203">
        <v>2007</v>
      </c>
      <c r="H153" s="204">
        <v>918242231431</v>
      </c>
      <c r="I153" s="204">
        <v>318258596255</v>
      </c>
      <c r="J153" s="204">
        <v>300683928638</v>
      </c>
      <c r="K153" s="204">
        <f t="shared" si="4"/>
        <v>599983635176</v>
      </c>
      <c r="L153" s="204">
        <v>83262319876</v>
      </c>
      <c r="M153" s="204">
        <f>213834891+25402771818</f>
        <v>25616606709</v>
      </c>
      <c r="N153" s="204">
        <v>15417009728</v>
      </c>
      <c r="O153" s="205">
        <f t="shared" si="0"/>
        <v>1.6789697968883376E-2</v>
      </c>
      <c r="P153" s="205">
        <f t="shared" si="1"/>
        <v>0.34659546834283789</v>
      </c>
      <c r="Q153" s="206">
        <f t="shared" si="2"/>
        <v>27.545727061420909</v>
      </c>
      <c r="R153" s="206">
        <f t="shared" si="3"/>
        <v>14</v>
      </c>
      <c r="S153" s="32">
        <v>1.84E-2</v>
      </c>
      <c r="T153" s="32">
        <v>2.58E-2</v>
      </c>
      <c r="U153" s="203"/>
    </row>
    <row r="154" spans="1:21" ht="16.8">
      <c r="A154" s="219" t="s">
        <v>5377</v>
      </c>
      <c r="B154" s="220"/>
      <c r="C154" s="220"/>
      <c r="E154" s="203" t="s">
        <v>5210</v>
      </c>
      <c r="F154" s="203">
        <v>2022</v>
      </c>
      <c r="G154" s="203">
        <v>2007</v>
      </c>
      <c r="H154" s="204">
        <v>638572005772</v>
      </c>
      <c r="I154" s="204">
        <v>155727800567</v>
      </c>
      <c r="J154" s="204">
        <v>137575553242</v>
      </c>
      <c r="K154" s="204">
        <f t="shared" si="4"/>
        <v>482844205205</v>
      </c>
      <c r="L154" s="204">
        <v>61667876265</v>
      </c>
      <c r="M154" s="204">
        <f>539630823+94125749571</f>
        <v>94665380394</v>
      </c>
      <c r="N154" s="204">
        <v>-117145729971</v>
      </c>
      <c r="O154" s="205">
        <f t="shared" si="0"/>
        <v>-0.18344952317378363</v>
      </c>
      <c r="P154" s="205">
        <f t="shared" si="1"/>
        <v>0.24386881848779648</v>
      </c>
      <c r="Q154" s="206">
        <f t="shared" si="2"/>
        <v>27.182500279391817</v>
      </c>
      <c r="R154" s="206">
        <f t="shared" si="3"/>
        <v>15</v>
      </c>
      <c r="S154" s="32">
        <v>3.15E-2</v>
      </c>
      <c r="T154" s="32">
        <v>8.0199999999999994E-2</v>
      </c>
    </row>
    <row r="155" spans="1:21" ht="16.8">
      <c r="A155" s="219" t="s">
        <v>5378</v>
      </c>
      <c r="B155" s="220"/>
      <c r="C155" s="220"/>
      <c r="E155" s="203" t="s">
        <v>5210</v>
      </c>
      <c r="F155" s="203">
        <v>2023</v>
      </c>
      <c r="G155" s="203">
        <v>2007</v>
      </c>
      <c r="H155" s="204">
        <v>644866620487</v>
      </c>
      <c r="I155" s="204">
        <v>158143202905</v>
      </c>
      <c r="J155" s="204">
        <v>140281598495</v>
      </c>
      <c r="K155" s="204">
        <f t="shared" si="4"/>
        <v>486723417582</v>
      </c>
      <c r="L155" s="204">
        <v>20096294018</v>
      </c>
      <c r="M155" s="204">
        <f>350530181+12614291510</f>
        <v>12964821691</v>
      </c>
      <c r="N155" s="204">
        <v>2385512377</v>
      </c>
      <c r="O155" s="205">
        <f t="shared" si="0"/>
        <v>3.6992337658886317E-3</v>
      </c>
      <c r="P155" s="205">
        <f t="shared" si="1"/>
        <v>0.24523397223688065</v>
      </c>
      <c r="Q155" s="206">
        <f t="shared" si="2"/>
        <v>27.192309342415559</v>
      </c>
      <c r="R155" s="206">
        <f t="shared" si="3"/>
        <v>16</v>
      </c>
      <c r="S155" s="32">
        <v>3.2500000000000001E-2</v>
      </c>
      <c r="T155" s="32">
        <v>5.0500000000000003E-2</v>
      </c>
    </row>
    <row r="156" spans="1:21" ht="16.8">
      <c r="A156" s="215" t="s">
        <v>5379</v>
      </c>
      <c r="B156" s="216">
        <v>53</v>
      </c>
      <c r="C156" s="217" t="s">
        <v>3400</v>
      </c>
      <c r="D156" s="203" t="s">
        <v>3401</v>
      </c>
      <c r="E156" s="203" t="s">
        <v>178</v>
      </c>
      <c r="F156" s="221">
        <v>2021</v>
      </c>
      <c r="G156" s="203">
        <v>2007</v>
      </c>
      <c r="H156" s="204">
        <v>1262947603808</v>
      </c>
      <c r="I156" s="204">
        <v>644912142353</v>
      </c>
      <c r="J156" s="204">
        <v>469914746779</v>
      </c>
      <c r="K156" s="204">
        <f t="shared" si="4"/>
        <v>618035461455</v>
      </c>
      <c r="L156" s="204">
        <v>1529008701582</v>
      </c>
      <c r="M156" s="204">
        <f>196879496+10210282529</f>
        <v>10407162025</v>
      </c>
      <c r="N156" s="204">
        <v>111192945</v>
      </c>
      <c r="O156" s="205">
        <f t="shared" si="0"/>
        <v>8.8042405452715952E-5</v>
      </c>
      <c r="P156" s="205">
        <f t="shared" si="1"/>
        <v>0.51064045761556631</v>
      </c>
      <c r="Q156" s="206">
        <f t="shared" si="2"/>
        <v>27.864469472932001</v>
      </c>
      <c r="R156" s="206">
        <f t="shared" si="3"/>
        <v>14</v>
      </c>
      <c r="S156" s="32">
        <v>1.84E-2</v>
      </c>
      <c r="T156" s="32">
        <v>2.58E-2</v>
      </c>
      <c r="U156" s="203"/>
    </row>
    <row r="157" spans="1:21" ht="16.8">
      <c r="A157" s="222" t="s">
        <v>5380</v>
      </c>
      <c r="B157" s="216"/>
      <c r="C157" s="217"/>
      <c r="D157" s="203"/>
      <c r="E157" s="203" t="s">
        <v>178</v>
      </c>
      <c r="F157" s="221">
        <v>2022</v>
      </c>
      <c r="G157" s="203">
        <v>2007</v>
      </c>
      <c r="H157" s="223">
        <v>578455024813</v>
      </c>
      <c r="I157" s="223">
        <v>92929398243</v>
      </c>
      <c r="J157" s="223">
        <v>92112731588</v>
      </c>
      <c r="K157" s="224">
        <f t="shared" si="4"/>
        <v>485525626570</v>
      </c>
      <c r="L157" s="223">
        <v>359357021692</v>
      </c>
      <c r="M157" s="224">
        <f>1056974720+139227729712</f>
        <v>140284704432</v>
      </c>
      <c r="N157" s="224">
        <v>-138700489817</v>
      </c>
      <c r="O157" s="205">
        <f t="shared" si="0"/>
        <v>-0.23977748289391795</v>
      </c>
      <c r="P157" s="205">
        <f t="shared" si="1"/>
        <v>0.1606510346643488</v>
      </c>
      <c r="Q157" s="206">
        <f t="shared" si="2"/>
        <v>27.083626636068686</v>
      </c>
      <c r="R157" s="206">
        <f t="shared" si="3"/>
        <v>15</v>
      </c>
      <c r="S157" s="32">
        <v>3.15E-2</v>
      </c>
      <c r="T157" s="32">
        <v>8.0199999999999994E-2</v>
      </c>
      <c r="U157" s="203"/>
    </row>
    <row r="158" spans="1:21" ht="16.8">
      <c r="A158" s="215" t="s">
        <v>5381</v>
      </c>
      <c r="B158" s="216"/>
      <c r="C158" s="217"/>
      <c r="D158" s="203"/>
      <c r="E158" s="203" t="s">
        <v>178</v>
      </c>
      <c r="F158" s="221">
        <v>2023</v>
      </c>
      <c r="G158" s="203">
        <v>2007</v>
      </c>
      <c r="H158" s="223">
        <v>473935252250</v>
      </c>
      <c r="I158" s="223">
        <v>29442306816</v>
      </c>
      <c r="J158" s="223">
        <v>29442306816</v>
      </c>
      <c r="K158" s="224">
        <f t="shared" si="4"/>
        <v>444492945434</v>
      </c>
      <c r="L158" s="223">
        <v>453288599350</v>
      </c>
      <c r="M158" s="224">
        <f>54187104+72743463886</f>
        <v>72797650990</v>
      </c>
      <c r="N158" s="224" t="s">
        <v>5382</v>
      </c>
      <c r="O158" s="205">
        <f t="shared" si="0"/>
        <v>-8.6578664366488894E-2</v>
      </c>
      <c r="P158" s="205">
        <f t="shared" si="1"/>
        <v>6.2123057266204866E-2</v>
      </c>
      <c r="Q158" s="206">
        <f t="shared" si="2"/>
        <v>26.884336550682352</v>
      </c>
      <c r="R158" s="206">
        <f t="shared" si="3"/>
        <v>16</v>
      </c>
      <c r="S158" s="32">
        <v>3.2500000000000001E-2</v>
      </c>
      <c r="T158" s="32">
        <v>5.0500000000000003E-2</v>
      </c>
      <c r="U158" s="203"/>
    </row>
    <row r="159" spans="1:21" ht="16.8">
      <c r="A159" s="215" t="s">
        <v>5383</v>
      </c>
      <c r="B159" s="216">
        <v>54</v>
      </c>
      <c r="C159" s="217" t="s">
        <v>3403</v>
      </c>
      <c r="D159" s="203" t="s">
        <v>3404</v>
      </c>
      <c r="E159" s="203" t="s">
        <v>5210</v>
      </c>
      <c r="F159" s="221">
        <v>2021</v>
      </c>
      <c r="G159" s="203">
        <v>2005</v>
      </c>
      <c r="H159" s="204">
        <v>9817180413587</v>
      </c>
      <c r="I159" s="204">
        <v>5509825893395</v>
      </c>
      <c r="J159" s="204">
        <v>5169444443536</v>
      </c>
      <c r="K159" s="204">
        <f t="shared" si="4"/>
        <v>4307354520192</v>
      </c>
      <c r="L159" s="204">
        <v>1049897566427</v>
      </c>
      <c r="M159" s="204">
        <f>54473151143+31403766379</f>
        <v>85876917522</v>
      </c>
      <c r="N159" s="204">
        <v>70304024394</v>
      </c>
      <c r="O159" s="205">
        <f t="shared" si="0"/>
        <v>7.1613254959335439E-3</v>
      </c>
      <c r="P159" s="205">
        <f t="shared" si="1"/>
        <v>0.56124321457609039</v>
      </c>
      <c r="Q159" s="206">
        <f t="shared" si="2"/>
        <v>29.915155070140127</v>
      </c>
      <c r="R159" s="206">
        <f t="shared" si="3"/>
        <v>16</v>
      </c>
      <c r="S159" s="32">
        <v>1.84E-2</v>
      </c>
      <c r="T159" s="32">
        <v>2.58E-2</v>
      </c>
      <c r="U159" s="203"/>
    </row>
    <row r="160" spans="1:21" ht="16.8">
      <c r="A160" s="219" t="s">
        <v>5384</v>
      </c>
      <c r="B160" s="220"/>
      <c r="C160" s="220"/>
      <c r="E160" s="203" t="s">
        <v>5210</v>
      </c>
      <c r="F160" s="221">
        <v>2022</v>
      </c>
      <c r="G160" s="203">
        <v>2005</v>
      </c>
      <c r="H160" s="204">
        <v>9948686949531</v>
      </c>
      <c r="I160" s="204">
        <v>5610067687882</v>
      </c>
      <c r="J160" s="204">
        <v>5301241869253</v>
      </c>
      <c r="K160" s="204">
        <f>H160-J160</f>
        <v>4647445080278</v>
      </c>
      <c r="L160" s="204">
        <v>1265783111229</v>
      </c>
      <c r="M160" s="204">
        <f>18065654797+24958865237</f>
        <v>43024520034</v>
      </c>
      <c r="N160" s="204">
        <v>31896514664</v>
      </c>
      <c r="O160" s="205">
        <f t="shared" si="0"/>
        <v>3.2061029586928215E-3</v>
      </c>
      <c r="P160" s="205">
        <f t="shared" si="1"/>
        <v>0.56390031331184554</v>
      </c>
      <c r="Q160" s="206">
        <f t="shared" si="2"/>
        <v>29.928461693519665</v>
      </c>
      <c r="R160" s="206">
        <f t="shared" si="3"/>
        <v>17</v>
      </c>
      <c r="S160" s="32">
        <v>3.15E-2</v>
      </c>
      <c r="T160" s="32">
        <v>8.0199999999999994E-2</v>
      </c>
    </row>
    <row r="161" spans="1:21" ht="16.8">
      <c r="A161" s="219" t="s">
        <v>5385</v>
      </c>
      <c r="B161" s="220"/>
      <c r="C161" s="220"/>
      <c r="E161" s="203" t="s">
        <v>5210</v>
      </c>
      <c r="F161" s="221">
        <v>2023</v>
      </c>
      <c r="G161" s="203">
        <v>2005</v>
      </c>
      <c r="H161" s="204">
        <v>9567136211709</v>
      </c>
      <c r="I161" s="204">
        <v>5225329422667</v>
      </c>
      <c r="J161" s="204">
        <v>4956569692976</v>
      </c>
      <c r="K161" s="204">
        <f t="shared" ref="K161:K215" si="5">H161-I161</f>
        <v>4341806789042</v>
      </c>
      <c r="L161" s="204">
        <v>432487596439</v>
      </c>
      <c r="M161" s="204">
        <f>2372277518+25525278738</f>
        <v>27897556256</v>
      </c>
      <c r="N161" s="204">
        <v>3187818561</v>
      </c>
      <c r="O161" s="205">
        <f t="shared" si="0"/>
        <v>3.3320509820885602E-4</v>
      </c>
      <c r="P161" s="205">
        <f t="shared" si="1"/>
        <v>0.5461748748044204</v>
      </c>
      <c r="Q161" s="206">
        <f t="shared" si="2"/>
        <v>29.889355030184873</v>
      </c>
      <c r="R161" s="206">
        <f t="shared" si="3"/>
        <v>18</v>
      </c>
      <c r="S161" s="32">
        <v>3.2500000000000001E-2</v>
      </c>
      <c r="T161" s="32">
        <v>5.0500000000000003E-2</v>
      </c>
    </row>
    <row r="162" spans="1:21" ht="16.8">
      <c r="A162" s="215" t="s">
        <v>5386</v>
      </c>
      <c r="B162" s="216">
        <v>55</v>
      </c>
      <c r="C162" s="217" t="s">
        <v>3413</v>
      </c>
      <c r="D162" s="203" t="s">
        <v>3414</v>
      </c>
      <c r="E162" s="203" t="s">
        <v>5210</v>
      </c>
      <c r="F162" s="221">
        <v>2021</v>
      </c>
      <c r="G162" s="203">
        <v>2005</v>
      </c>
      <c r="H162" s="204">
        <v>2222429385004</v>
      </c>
      <c r="I162" s="204">
        <v>1717056189189</v>
      </c>
      <c r="J162" s="204">
        <v>1180785498058</v>
      </c>
      <c r="K162" s="204">
        <f t="shared" si="5"/>
        <v>505373195815</v>
      </c>
      <c r="L162" s="204">
        <v>2721143077946</v>
      </c>
      <c r="M162" s="204">
        <f>28085190818+66733930378</f>
        <v>94819121196</v>
      </c>
      <c r="N162" s="204">
        <v>37728816004</v>
      </c>
      <c r="O162" s="205">
        <f t="shared" si="0"/>
        <v>1.6976384608023032E-2</v>
      </c>
      <c r="P162" s="205">
        <f t="shared" si="1"/>
        <v>0.77260326054675055</v>
      </c>
      <c r="Q162" s="206">
        <f t="shared" si="2"/>
        <v>28.429622031053103</v>
      </c>
      <c r="R162" s="206">
        <f t="shared" si="3"/>
        <v>16</v>
      </c>
      <c r="S162" s="32">
        <v>1.84E-2</v>
      </c>
      <c r="T162" s="32">
        <v>2.58E-2</v>
      </c>
      <c r="U162" s="203"/>
    </row>
    <row r="163" spans="1:21" ht="16.8">
      <c r="A163" s="219" t="s">
        <v>5387</v>
      </c>
      <c r="B163" s="220"/>
      <c r="C163" s="220"/>
      <c r="E163" s="203" t="s">
        <v>5210</v>
      </c>
      <c r="F163" s="221">
        <v>2022</v>
      </c>
      <c r="G163" s="203">
        <v>2005</v>
      </c>
      <c r="H163" s="204">
        <v>2461293854219</v>
      </c>
      <c r="I163" s="204">
        <v>1780828746652</v>
      </c>
      <c r="J163" s="204">
        <v>1312128086601</v>
      </c>
      <c r="K163" s="204">
        <f t="shared" si="5"/>
        <v>680465107567</v>
      </c>
      <c r="L163" s="204">
        <v>2862075156591</v>
      </c>
      <c r="M163" s="204">
        <f>36850746473+77705031472</f>
        <v>114555777945</v>
      </c>
      <c r="N163" s="204">
        <v>12537941751</v>
      </c>
      <c r="O163" s="205">
        <f t="shared" si="0"/>
        <v>5.0940450403791585E-3</v>
      </c>
      <c r="P163" s="205">
        <f t="shared" si="1"/>
        <v>0.72353357710596478</v>
      </c>
      <c r="Q163" s="206">
        <f t="shared" si="2"/>
        <v>28.531708284605511</v>
      </c>
      <c r="R163" s="206">
        <f t="shared" si="3"/>
        <v>17</v>
      </c>
      <c r="S163" s="32">
        <v>3.15E-2</v>
      </c>
      <c r="T163" s="32">
        <v>8.0199999999999994E-2</v>
      </c>
    </row>
    <row r="164" spans="1:21" ht="16.8">
      <c r="A164" s="219" t="s">
        <v>5388</v>
      </c>
      <c r="B164" s="220"/>
      <c r="C164" s="220"/>
      <c r="E164" s="203" t="s">
        <v>5210</v>
      </c>
      <c r="F164" s="221">
        <v>2023</v>
      </c>
      <c r="G164" s="203">
        <v>2005</v>
      </c>
      <c r="H164" s="204">
        <v>2144284036787</v>
      </c>
      <c r="I164" s="204">
        <v>1800427375261</v>
      </c>
      <c r="J164" s="204">
        <v>1597379671531</v>
      </c>
      <c r="K164" s="204">
        <f t="shared" si="5"/>
        <v>343856661526</v>
      </c>
      <c r="L164" s="204">
        <v>2608112233268</v>
      </c>
      <c r="M164" s="204">
        <f>34100970407+156857280864</f>
        <v>190958251271</v>
      </c>
      <c r="N164" s="204">
        <v>-146700946041</v>
      </c>
      <c r="O164" s="205">
        <f t="shared" si="0"/>
        <v>-6.8414885119798319E-2</v>
      </c>
      <c r="P164" s="205">
        <f t="shared" si="1"/>
        <v>0.83964033886050116</v>
      </c>
      <c r="Q164" s="206">
        <f t="shared" si="2"/>
        <v>28.393826830207107</v>
      </c>
      <c r="R164" s="206">
        <f t="shared" si="3"/>
        <v>18</v>
      </c>
      <c r="S164" s="32">
        <v>3.2500000000000001E-2</v>
      </c>
      <c r="T164" s="32">
        <v>5.0500000000000003E-2</v>
      </c>
    </row>
    <row r="165" spans="1:21" ht="16.8">
      <c r="A165" s="215" t="s">
        <v>5389</v>
      </c>
      <c r="B165" s="216">
        <v>56</v>
      </c>
      <c r="C165" s="217" t="s">
        <v>3461</v>
      </c>
      <c r="D165" s="203" t="s">
        <v>5390</v>
      </c>
      <c r="E165" s="203" t="s">
        <v>5210</v>
      </c>
      <c r="F165" s="221">
        <v>2021</v>
      </c>
      <c r="G165" s="203">
        <v>1995</v>
      </c>
      <c r="H165" s="204">
        <v>911293477032</v>
      </c>
      <c r="I165" s="204">
        <v>375791751918</v>
      </c>
      <c r="J165" s="204">
        <v>322942450504</v>
      </c>
      <c r="K165" s="204">
        <f t="shared" si="5"/>
        <v>535501725114</v>
      </c>
      <c r="L165" s="204">
        <v>522234523263</v>
      </c>
      <c r="M165" s="204">
        <f>68213781389+47158997388</f>
        <v>115372778777</v>
      </c>
      <c r="N165" s="204">
        <v>50978613302</v>
      </c>
      <c r="O165" s="205">
        <f t="shared" si="0"/>
        <v>5.5940939540171743E-2</v>
      </c>
      <c r="P165" s="205">
        <f t="shared" si="1"/>
        <v>0.41237182245824866</v>
      </c>
      <c r="Q165" s="206">
        <f t="shared" si="2"/>
        <v>27.538130830551701</v>
      </c>
      <c r="R165" s="206">
        <f t="shared" si="3"/>
        <v>26</v>
      </c>
      <c r="S165" s="32">
        <v>1.84E-2</v>
      </c>
      <c r="T165" s="32">
        <v>2.58E-2</v>
      </c>
      <c r="U165" s="203"/>
    </row>
    <row r="166" spans="1:21" ht="16.8">
      <c r="A166" s="219" t="s">
        <v>5391</v>
      </c>
      <c r="B166" s="220"/>
      <c r="C166" s="220"/>
      <c r="E166" s="203" t="s">
        <v>5210</v>
      </c>
      <c r="F166" s="221">
        <v>2022</v>
      </c>
      <c r="G166" s="203">
        <v>1995</v>
      </c>
      <c r="H166" s="204">
        <v>864518291127</v>
      </c>
      <c r="I166" s="204">
        <v>350792085389</v>
      </c>
      <c r="J166" s="204">
        <v>319431722141</v>
      </c>
      <c r="K166" s="204">
        <f t="shared" si="5"/>
        <v>513726205738</v>
      </c>
      <c r="L166" s="204">
        <v>472553929315</v>
      </c>
      <c r="M166" s="204">
        <f>76737324062+48496408105</f>
        <v>125233732167</v>
      </c>
      <c r="N166" s="204">
        <v>13052396355</v>
      </c>
      <c r="O166" s="205">
        <f t="shared" si="0"/>
        <v>1.5097883398146135E-2</v>
      </c>
      <c r="P166" s="205">
        <f t="shared" si="1"/>
        <v>0.40576594965006674</v>
      </c>
      <c r="Q166" s="206">
        <f t="shared" si="2"/>
        <v>27.485438299887569</v>
      </c>
      <c r="R166" s="206">
        <f t="shared" si="3"/>
        <v>27</v>
      </c>
      <c r="S166" s="32">
        <v>3.15E-2</v>
      </c>
      <c r="T166" s="32">
        <v>8.0199999999999994E-2</v>
      </c>
    </row>
    <row r="167" spans="1:21" ht="16.8">
      <c r="A167" s="219" t="s">
        <v>5392</v>
      </c>
      <c r="B167" s="220"/>
      <c r="C167" s="220"/>
      <c r="E167" s="203" t="s">
        <v>5210</v>
      </c>
      <c r="F167" s="221">
        <v>2023</v>
      </c>
      <c r="G167" s="203">
        <v>1995</v>
      </c>
      <c r="H167" s="204">
        <v>826350848673</v>
      </c>
      <c r="I167" s="204">
        <v>325801705705</v>
      </c>
      <c r="J167" s="204">
        <v>311176532055</v>
      </c>
      <c r="K167" s="204">
        <f t="shared" si="5"/>
        <v>500549142968</v>
      </c>
      <c r="L167" s="204">
        <v>445061924846</v>
      </c>
      <c r="M167" s="204">
        <f>65665480985+50029255419</f>
        <v>115694736404</v>
      </c>
      <c r="N167" s="204">
        <v>6752422852</v>
      </c>
      <c r="O167" s="205">
        <f t="shared" si="0"/>
        <v>8.1713752249948247E-3</v>
      </c>
      <c r="P167" s="205">
        <f t="shared" si="1"/>
        <v>0.39426559097529873</v>
      </c>
      <c r="Q167" s="206">
        <f t="shared" si="2"/>
        <v>27.440285276546696</v>
      </c>
      <c r="R167" s="206">
        <f t="shared" si="3"/>
        <v>28</v>
      </c>
      <c r="S167" s="32">
        <v>3.2500000000000001E-2</v>
      </c>
      <c r="T167" s="32">
        <v>5.0500000000000003E-2</v>
      </c>
    </row>
    <row r="168" spans="1:21" ht="16.8">
      <c r="A168" s="215" t="s">
        <v>5393</v>
      </c>
      <c r="B168" s="216">
        <v>57</v>
      </c>
      <c r="C168" s="217" t="s">
        <v>3470</v>
      </c>
      <c r="D168" s="203" t="s">
        <v>3471</v>
      </c>
      <c r="E168" s="203" t="s">
        <v>178</v>
      </c>
      <c r="F168" s="221">
        <v>2021</v>
      </c>
      <c r="G168" s="203">
        <v>1952</v>
      </c>
      <c r="H168" s="204">
        <v>371142223357</v>
      </c>
      <c r="I168" s="204">
        <v>214938443411</v>
      </c>
      <c r="J168" s="204">
        <v>35841801738</v>
      </c>
      <c r="K168" s="204">
        <f t="shared" si="5"/>
        <v>156203779946</v>
      </c>
      <c r="L168" s="204">
        <v>140189210520</v>
      </c>
      <c r="M168" s="204">
        <f>21625207674+23401566844</f>
        <v>45026774518</v>
      </c>
      <c r="N168" s="204">
        <v>-35593616040</v>
      </c>
      <c r="O168" s="205">
        <f t="shared" si="0"/>
        <v>-9.590290136771279E-2</v>
      </c>
      <c r="P168" s="205">
        <f t="shared" si="1"/>
        <v>0.57912689498616199</v>
      </c>
      <c r="Q168" s="206">
        <f t="shared" si="2"/>
        <v>26.639851177460063</v>
      </c>
      <c r="R168" s="206">
        <f t="shared" si="3"/>
        <v>69</v>
      </c>
      <c r="S168" s="32">
        <v>1.84E-2</v>
      </c>
      <c r="T168" s="32">
        <v>2.58E-2</v>
      </c>
      <c r="U168" s="203"/>
    </row>
    <row r="169" spans="1:21" ht="16.8">
      <c r="A169" s="215" t="s">
        <v>5394</v>
      </c>
      <c r="B169" s="216"/>
      <c r="C169" s="217"/>
      <c r="D169" s="203"/>
      <c r="E169" s="203" t="s">
        <v>178</v>
      </c>
      <c r="F169" s="221">
        <v>2022</v>
      </c>
      <c r="G169" s="203">
        <v>1952</v>
      </c>
      <c r="H169" s="204">
        <v>597338736126</v>
      </c>
      <c r="I169" s="204">
        <v>489819915892</v>
      </c>
      <c r="J169" s="204">
        <v>199542452492</v>
      </c>
      <c r="K169" s="204">
        <f t="shared" si="5"/>
        <v>107518820234</v>
      </c>
      <c r="L169" s="204">
        <v>179788156587</v>
      </c>
      <c r="M169" s="204">
        <f>43029397727+25749690986</f>
        <v>68779088713</v>
      </c>
      <c r="N169" s="204">
        <v>-48684959712</v>
      </c>
      <c r="O169" s="205">
        <f t="shared" si="0"/>
        <v>-8.150310161993346E-2</v>
      </c>
      <c r="P169" s="205">
        <f t="shared" si="1"/>
        <v>0.82000360309578102</v>
      </c>
      <c r="Q169" s="206">
        <f t="shared" si="2"/>
        <v>27.115750186626066</v>
      </c>
      <c r="R169" s="206">
        <f t="shared" si="3"/>
        <v>70</v>
      </c>
      <c r="S169" s="32">
        <v>3.15E-2</v>
      </c>
      <c r="T169" s="32">
        <v>8.0199999999999994E-2</v>
      </c>
      <c r="U169" s="203"/>
    </row>
    <row r="170" spans="1:21" ht="16.8">
      <c r="A170" s="215" t="s">
        <v>5395</v>
      </c>
      <c r="B170" s="216"/>
      <c r="C170" s="217"/>
      <c r="D170" s="203"/>
      <c r="E170" s="203" t="s">
        <v>178</v>
      </c>
      <c r="F170" s="221">
        <v>2023</v>
      </c>
      <c r="G170" s="203">
        <v>1952</v>
      </c>
      <c r="H170" s="204">
        <v>687658753981</v>
      </c>
      <c r="I170" s="204">
        <v>699391878591</v>
      </c>
      <c r="J170" s="204">
        <v>521371748436</v>
      </c>
      <c r="K170" s="204">
        <f t="shared" si="5"/>
        <v>-11733124610</v>
      </c>
      <c r="L170" s="204">
        <v>141263637764</v>
      </c>
      <c r="M170" s="204">
        <f>85160384886+28152795519</f>
        <v>113313180405</v>
      </c>
      <c r="N170" s="204">
        <v>-119251944844</v>
      </c>
      <c r="O170" s="205">
        <f t="shared" si="0"/>
        <v>-0.17341732967642107</v>
      </c>
      <c r="P170" s="205">
        <f t="shared" si="1"/>
        <v>1.0170624231016832</v>
      </c>
      <c r="Q170" s="206">
        <f t="shared" si="2"/>
        <v>27.256558554711855</v>
      </c>
      <c r="R170" s="206">
        <f t="shared" si="3"/>
        <v>71</v>
      </c>
      <c r="S170" s="32">
        <v>3.2500000000000001E-2</v>
      </c>
      <c r="T170" s="32">
        <v>5.0500000000000003E-2</v>
      </c>
      <c r="U170" s="203"/>
    </row>
    <row r="171" spans="1:21" ht="16.8">
      <c r="A171" s="215" t="s">
        <v>5396</v>
      </c>
      <c r="B171" s="216">
        <v>58</v>
      </c>
      <c r="C171" s="217" t="s">
        <v>5125</v>
      </c>
      <c r="D171" s="203" t="s">
        <v>5397</v>
      </c>
      <c r="E171" s="203" t="s">
        <v>5210</v>
      </c>
      <c r="F171" s="221">
        <v>2021</v>
      </c>
      <c r="G171" s="203">
        <v>2007</v>
      </c>
      <c r="H171" s="204">
        <v>17817257498067</v>
      </c>
      <c r="I171" s="204">
        <v>14519379133733</v>
      </c>
      <c r="J171" s="204">
        <v>1572578432336</v>
      </c>
      <c r="K171" s="204">
        <f t="shared" si="5"/>
        <v>3297878364334</v>
      </c>
      <c r="L171" s="204">
        <v>5581494874852</v>
      </c>
      <c r="M171" s="204">
        <f>11983200556+87046067069</f>
        <v>99029267625</v>
      </c>
      <c r="N171" s="204">
        <v>908542315962</v>
      </c>
      <c r="O171" s="205">
        <f t="shared" si="0"/>
        <v>5.0992265002656446E-2</v>
      </c>
      <c r="P171" s="205">
        <f t="shared" si="1"/>
        <v>0.8149053879536855</v>
      </c>
      <c r="Q171" s="206">
        <f t="shared" si="2"/>
        <v>30.511188625906652</v>
      </c>
      <c r="R171" s="206">
        <f t="shared" si="3"/>
        <v>14</v>
      </c>
      <c r="S171" s="32">
        <v>1.84E-2</v>
      </c>
      <c r="T171" s="32">
        <v>2.58E-2</v>
      </c>
      <c r="U171" s="203"/>
    </row>
    <row r="172" spans="1:21" ht="16.8">
      <c r="A172" s="215" t="s">
        <v>5398</v>
      </c>
      <c r="B172" s="216"/>
      <c r="C172" s="217"/>
      <c r="D172" s="203"/>
      <c r="E172" s="203" t="s">
        <v>5210</v>
      </c>
      <c r="F172" s="221">
        <v>2022</v>
      </c>
      <c r="G172" s="203">
        <v>2007</v>
      </c>
      <c r="H172" s="204">
        <v>19003421930801</v>
      </c>
      <c r="I172" s="204">
        <v>15342588891804</v>
      </c>
      <c r="J172" s="204">
        <v>1842760736533</v>
      </c>
      <c r="K172" s="204">
        <f t="shared" si="5"/>
        <v>3660833038997</v>
      </c>
      <c r="L172" s="204">
        <v>6036955711412</v>
      </c>
      <c r="M172" s="204">
        <f>15155151656+91971753325</f>
        <v>107126904981</v>
      </c>
      <c r="N172" s="204">
        <v>977156410577</v>
      </c>
      <c r="O172" s="205">
        <f t="shared" si="0"/>
        <v>5.1420023937542102E-2</v>
      </c>
      <c r="P172" s="205">
        <f t="shared" si="1"/>
        <v>0.80735927180233402</v>
      </c>
      <c r="Q172" s="206">
        <f t="shared" si="2"/>
        <v>30.575640180499743</v>
      </c>
      <c r="R172" s="206">
        <f t="shared" si="3"/>
        <v>15</v>
      </c>
      <c r="S172" s="32">
        <v>3.15E-2</v>
      </c>
      <c r="T172" s="32">
        <v>8.0199999999999994E-2</v>
      </c>
      <c r="U172" s="203"/>
    </row>
    <row r="173" spans="1:21" ht="16.8">
      <c r="A173" s="215" t="s">
        <v>5399</v>
      </c>
      <c r="B173" s="216"/>
      <c r="C173" s="217"/>
      <c r="D173" s="203"/>
      <c r="E173" s="203" t="s">
        <v>5210</v>
      </c>
      <c r="F173" s="221">
        <v>2023</v>
      </c>
      <c r="G173" s="203">
        <v>2007</v>
      </c>
      <c r="H173" s="204">
        <v>21060427289745</v>
      </c>
      <c r="I173" s="204">
        <v>17032376659301</v>
      </c>
      <c r="J173" s="204">
        <v>3061003883515</v>
      </c>
      <c r="K173" s="204">
        <f t="shared" si="5"/>
        <v>4028050630444</v>
      </c>
      <c r="L173" s="204">
        <v>6679456563258</v>
      </c>
      <c r="M173" s="204">
        <f>13131632220+95597964963</f>
        <v>108729597183</v>
      </c>
      <c r="N173" s="204">
        <v>1003655108735</v>
      </c>
      <c r="O173" s="205">
        <f t="shared" si="0"/>
        <v>4.7655970837007282E-2</v>
      </c>
      <c r="P173" s="205">
        <f t="shared" si="1"/>
        <v>0.80873841850277239</v>
      </c>
      <c r="Q173" s="206">
        <f t="shared" si="2"/>
        <v>30.678416911590237</v>
      </c>
      <c r="R173" s="206">
        <f t="shared" si="3"/>
        <v>16</v>
      </c>
      <c r="S173" s="32">
        <v>3.2500000000000001E-2</v>
      </c>
      <c r="T173" s="32">
        <v>5.0500000000000003E-2</v>
      </c>
      <c r="U173" s="203"/>
    </row>
    <row r="174" spans="1:21" ht="16.8">
      <c r="A174" s="215" t="s">
        <v>5400</v>
      </c>
      <c r="B174" s="216">
        <v>59</v>
      </c>
      <c r="C174" s="217" t="s">
        <v>3521</v>
      </c>
      <c r="D174" s="203" t="s">
        <v>3522</v>
      </c>
      <c r="E174" s="203" t="s">
        <v>178</v>
      </c>
      <c r="F174" s="221">
        <v>2021</v>
      </c>
      <c r="G174" s="203">
        <v>2000</v>
      </c>
      <c r="H174" s="204">
        <v>1163610961508</v>
      </c>
      <c r="I174" s="204">
        <v>316158872146</v>
      </c>
      <c r="J174" s="204">
        <v>296058458412</v>
      </c>
      <c r="K174" s="204">
        <f t="shared" si="5"/>
        <v>847452089362</v>
      </c>
      <c r="L174" s="204">
        <v>494342529743</v>
      </c>
      <c r="M174" s="204">
        <f>2065851952+4432948359</f>
        <v>6498800311</v>
      </c>
      <c r="N174" s="204">
        <v>17779430047</v>
      </c>
      <c r="O174" s="205">
        <f t="shared" si="0"/>
        <v>1.5279531248105868E-2</v>
      </c>
      <c r="P174" s="205">
        <f t="shared" si="1"/>
        <v>0.27170496205730904</v>
      </c>
      <c r="Q174" s="206">
        <f t="shared" si="2"/>
        <v>27.782549183863409</v>
      </c>
      <c r="R174" s="206">
        <f t="shared" si="3"/>
        <v>21</v>
      </c>
      <c r="S174" s="32">
        <v>1.84E-2</v>
      </c>
      <c r="T174" s="32">
        <v>2.58E-2</v>
      </c>
      <c r="U174" s="203"/>
    </row>
    <row r="175" spans="1:21" ht="16.8">
      <c r="A175" s="215" t="s">
        <v>5401</v>
      </c>
      <c r="B175" s="216"/>
      <c r="C175" s="217"/>
      <c r="D175" s="203"/>
      <c r="E175" s="203" t="s">
        <v>178</v>
      </c>
      <c r="F175" s="221">
        <v>2022</v>
      </c>
      <c r="G175" s="203">
        <v>2000</v>
      </c>
      <c r="H175" s="204">
        <v>1013072454576</v>
      </c>
      <c r="I175" s="204">
        <v>197891194899</v>
      </c>
      <c r="J175" s="204">
        <v>175525239620</v>
      </c>
      <c r="K175" s="204">
        <f t="shared" si="5"/>
        <v>815181259677</v>
      </c>
      <c r="L175" s="204">
        <v>172565351656</v>
      </c>
      <c r="M175" s="204">
        <f>2749822223+34293781007</f>
        <v>37043603230</v>
      </c>
      <c r="N175" s="204">
        <v>-32270829685</v>
      </c>
      <c r="O175" s="205">
        <f t="shared" si="0"/>
        <v>-3.1854414301005024E-2</v>
      </c>
      <c r="P175" s="205">
        <f t="shared" si="1"/>
        <v>0.19533765231216671</v>
      </c>
      <c r="Q175" s="206">
        <f t="shared" si="2"/>
        <v>27.644008863391516</v>
      </c>
      <c r="R175" s="206">
        <f t="shared" si="3"/>
        <v>22</v>
      </c>
      <c r="S175" s="32">
        <v>3.15E-2</v>
      </c>
      <c r="T175" s="32">
        <v>8.0199999999999994E-2</v>
      </c>
      <c r="U175" s="203"/>
    </row>
    <row r="176" spans="1:21" ht="16.8">
      <c r="A176" s="215" t="s">
        <v>5402</v>
      </c>
      <c r="B176" s="216"/>
      <c r="C176" s="217"/>
      <c r="D176" s="203"/>
      <c r="E176" s="203" t="s">
        <v>178</v>
      </c>
      <c r="F176" s="221">
        <v>2023</v>
      </c>
      <c r="G176" s="203">
        <v>2000</v>
      </c>
      <c r="H176" s="204">
        <v>743776480950</v>
      </c>
      <c r="I176" s="204">
        <v>249166609991</v>
      </c>
      <c r="J176" s="204">
        <v>232956077396</v>
      </c>
      <c r="K176" s="204">
        <f t="shared" si="5"/>
        <v>494609870959</v>
      </c>
      <c r="L176" s="204">
        <v>110008189940</v>
      </c>
      <c r="M176" s="204">
        <f>470731680+136314754361</f>
        <v>136785486041</v>
      </c>
      <c r="N176" s="204">
        <v>-326822238332</v>
      </c>
      <c r="O176" s="205">
        <f t="shared" si="0"/>
        <v>-0.43940921325525278</v>
      </c>
      <c r="P176" s="205">
        <f t="shared" si="1"/>
        <v>0.33500200177444184</v>
      </c>
      <c r="Q176" s="206">
        <f t="shared" si="2"/>
        <v>27.335006397811075</v>
      </c>
      <c r="R176" s="206">
        <f t="shared" si="3"/>
        <v>23</v>
      </c>
      <c r="S176" s="32">
        <v>3.2500000000000001E-2</v>
      </c>
      <c r="T176" s="32">
        <v>5.0500000000000003E-2</v>
      </c>
      <c r="U176" s="203"/>
    </row>
    <row r="177" spans="1:21" ht="16.8">
      <c r="A177" s="215" t="s">
        <v>3533</v>
      </c>
      <c r="B177" s="216">
        <v>60</v>
      </c>
      <c r="C177" s="217" t="s">
        <v>3534</v>
      </c>
      <c r="D177" s="203" t="s">
        <v>3535</v>
      </c>
      <c r="E177" s="203" t="s">
        <v>5210</v>
      </c>
      <c r="F177" s="221">
        <v>2021</v>
      </c>
      <c r="G177" s="203">
        <v>1974</v>
      </c>
      <c r="H177" s="204">
        <v>417456491403</v>
      </c>
      <c r="I177" s="204">
        <v>215735271772</v>
      </c>
      <c r="J177" s="204">
        <v>132145271772</v>
      </c>
      <c r="K177" s="204">
        <f t="shared" si="5"/>
        <v>201721219631</v>
      </c>
      <c r="L177" s="204">
        <v>81727998486</v>
      </c>
      <c r="M177" s="204">
        <f>137154082+1714885638</f>
        <v>1852039720</v>
      </c>
      <c r="N177" s="204">
        <v>21856476940</v>
      </c>
      <c r="O177" s="205">
        <f t="shared" si="0"/>
        <v>5.2356299135615576E-2</v>
      </c>
      <c r="P177" s="205">
        <f t="shared" si="1"/>
        <v>0.51678504518387192</v>
      </c>
      <c r="Q177" s="206">
        <f t="shared" si="2"/>
        <v>26.75744616359847</v>
      </c>
      <c r="R177" s="206">
        <f t="shared" si="3"/>
        <v>47</v>
      </c>
      <c r="S177" s="32">
        <v>1.84E-2</v>
      </c>
      <c r="T177" s="32">
        <v>2.58E-2</v>
      </c>
      <c r="U177" s="203"/>
    </row>
    <row r="178" spans="1:21" ht="16.8">
      <c r="A178" s="215" t="s">
        <v>3536</v>
      </c>
      <c r="B178" s="216"/>
      <c r="C178" s="217"/>
      <c r="D178" s="203"/>
      <c r="E178" s="203" t="s">
        <v>5210</v>
      </c>
      <c r="F178" s="221">
        <v>2022</v>
      </c>
      <c r="G178" s="203">
        <v>1974</v>
      </c>
      <c r="H178" s="204">
        <v>389916025681</v>
      </c>
      <c r="I178" s="204">
        <v>160966453345</v>
      </c>
      <c r="J178" s="204">
        <v>81376453345</v>
      </c>
      <c r="K178" s="204">
        <f t="shared" si="5"/>
        <v>228949572336</v>
      </c>
      <c r="L178" s="204">
        <v>84766350967</v>
      </c>
      <c r="M178" s="204">
        <f>16296720+2096221208</f>
        <v>2112517928</v>
      </c>
      <c r="N178" s="204">
        <v>29416605852</v>
      </c>
      <c r="O178" s="205">
        <f t="shared" si="0"/>
        <v>7.5443438880520533E-2</v>
      </c>
      <c r="P178" s="205">
        <f t="shared" si="1"/>
        <v>0.41282338437838578</v>
      </c>
      <c r="Q178" s="206">
        <f t="shared" si="2"/>
        <v>26.689197234119021</v>
      </c>
      <c r="R178" s="206">
        <f t="shared" si="3"/>
        <v>48</v>
      </c>
      <c r="S178" s="32">
        <v>3.15E-2</v>
      </c>
      <c r="T178" s="32">
        <v>8.0199999999999994E-2</v>
      </c>
      <c r="U178" s="203"/>
    </row>
    <row r="179" spans="1:21" ht="16.8">
      <c r="A179" s="215" t="s">
        <v>3537</v>
      </c>
      <c r="B179" s="216"/>
      <c r="C179" s="217"/>
      <c r="D179" s="203"/>
      <c r="E179" s="203" t="s">
        <v>5210</v>
      </c>
      <c r="F179" s="221">
        <v>2023</v>
      </c>
      <c r="G179" s="203">
        <v>1974</v>
      </c>
      <c r="H179" s="204">
        <v>455998582638</v>
      </c>
      <c r="I179" s="204">
        <v>220855290434</v>
      </c>
      <c r="J179" s="204">
        <v>36765290434</v>
      </c>
      <c r="K179" s="204">
        <f t="shared" si="5"/>
        <v>235143292204</v>
      </c>
      <c r="L179" s="204">
        <v>76328280982</v>
      </c>
      <c r="M179" s="204">
        <v>2788355528</v>
      </c>
      <c r="N179" s="204">
        <v>11956940403</v>
      </c>
      <c r="O179" s="205">
        <f t="shared" si="0"/>
        <v>2.6221442035691944E-2</v>
      </c>
      <c r="P179" s="205">
        <f t="shared" si="1"/>
        <v>0.4843332826964698</v>
      </c>
      <c r="Q179" s="206">
        <f t="shared" si="2"/>
        <v>26.845755538205967</v>
      </c>
      <c r="R179" s="206">
        <f t="shared" si="3"/>
        <v>49</v>
      </c>
      <c r="S179" s="32">
        <v>3.2500000000000001E-2</v>
      </c>
      <c r="T179" s="32">
        <v>5.0500000000000003E-2</v>
      </c>
      <c r="U179" s="203"/>
    </row>
    <row r="180" spans="1:21" ht="16.8">
      <c r="A180" s="215" t="s">
        <v>3538</v>
      </c>
      <c r="B180" s="216">
        <v>61</v>
      </c>
      <c r="C180" s="217" t="s">
        <v>3539</v>
      </c>
      <c r="D180" s="203" t="s">
        <v>3540</v>
      </c>
      <c r="E180" s="203" t="s">
        <v>5210</v>
      </c>
      <c r="F180" s="221">
        <v>2021</v>
      </c>
      <c r="G180" s="203">
        <v>1998</v>
      </c>
      <c r="H180" s="204">
        <v>9005778911345</v>
      </c>
      <c r="I180" s="204">
        <v>6586901713878</v>
      </c>
      <c r="J180" s="204">
        <v>6120492799994</v>
      </c>
      <c r="K180" s="204">
        <f t="shared" si="5"/>
        <v>2418877197467</v>
      </c>
      <c r="L180" s="204">
        <v>21318535820136</v>
      </c>
      <c r="M180" s="204">
        <f>219066075994+127199563622</f>
        <v>346265639616</v>
      </c>
      <c r="N180" s="204">
        <v>901050511024</v>
      </c>
      <c r="O180" s="205">
        <f t="shared" si="0"/>
        <v>0.10005247962382295</v>
      </c>
      <c r="P180" s="205">
        <f t="shared" si="1"/>
        <v>0.7314083299979941</v>
      </c>
      <c r="Q180" s="206">
        <f t="shared" si="2"/>
        <v>29.828887588466511</v>
      </c>
      <c r="R180" s="206">
        <f t="shared" si="3"/>
        <v>23</v>
      </c>
      <c r="S180" s="32">
        <v>1.84E-2</v>
      </c>
      <c r="T180" s="32">
        <v>2.58E-2</v>
      </c>
      <c r="U180" s="203"/>
    </row>
    <row r="181" spans="1:21" ht="16.8">
      <c r="A181" s="215" t="s">
        <v>3541</v>
      </c>
      <c r="B181" s="216"/>
      <c r="C181" s="217"/>
      <c r="D181" s="203"/>
      <c r="E181" s="203" t="s">
        <v>5210</v>
      </c>
      <c r="F181" s="221">
        <v>2022</v>
      </c>
      <c r="G181" s="203">
        <v>1998</v>
      </c>
      <c r="H181" s="204">
        <v>8329093955830</v>
      </c>
      <c r="I181" s="204">
        <v>6606025072604</v>
      </c>
      <c r="J181" s="204">
        <v>5992464511354</v>
      </c>
      <c r="K181" s="204">
        <f t="shared" si="5"/>
        <v>1723068883226</v>
      </c>
      <c r="L181" s="204">
        <v>23187514531782</v>
      </c>
      <c r="M181" s="204">
        <f>209785898048+123433305087</f>
        <v>333219203135</v>
      </c>
      <c r="N181" s="204">
        <v>-651831083741</v>
      </c>
      <c r="O181" s="205">
        <f t="shared" si="0"/>
        <v>-7.8259542658267997E-2</v>
      </c>
      <c r="P181" s="205">
        <f t="shared" si="1"/>
        <v>0.79312649222549259</v>
      </c>
      <c r="Q181" s="206">
        <f t="shared" si="2"/>
        <v>29.750775797383621</v>
      </c>
      <c r="R181" s="206">
        <f t="shared" si="3"/>
        <v>24</v>
      </c>
      <c r="S181" s="32">
        <v>3.15E-2</v>
      </c>
      <c r="T181" s="32">
        <v>8.0199999999999994E-2</v>
      </c>
      <c r="U181" s="203"/>
    </row>
    <row r="182" spans="1:21" ht="16.8">
      <c r="A182" s="215" t="s">
        <v>3542</v>
      </c>
      <c r="B182" s="216"/>
      <c r="C182" s="217"/>
      <c r="D182" s="203"/>
      <c r="E182" s="203" t="s">
        <v>5210</v>
      </c>
      <c r="F182" s="221">
        <v>2023</v>
      </c>
      <c r="G182" s="203">
        <v>1998</v>
      </c>
      <c r="H182" s="204">
        <v>6178691063726</v>
      </c>
      <c r="I182" s="204">
        <v>5380921223677</v>
      </c>
      <c r="J182" s="204">
        <v>5007005374944</v>
      </c>
      <c r="K182" s="204">
        <f t="shared" si="5"/>
        <v>797769840049</v>
      </c>
      <c r="L182" s="204">
        <v>13703621127260</v>
      </c>
      <c r="M182" s="204">
        <f>122841658513+623223853484</f>
        <v>746065511997</v>
      </c>
      <c r="N182" s="204">
        <v>-925299043177</v>
      </c>
      <c r="O182" s="205">
        <f t="shared" si="0"/>
        <v>-0.14975648298864894</v>
      </c>
      <c r="P182" s="205">
        <f t="shared" si="1"/>
        <v>0.87088368202570199</v>
      </c>
      <c r="Q182" s="206">
        <f t="shared" si="2"/>
        <v>29.452127562978855</v>
      </c>
      <c r="R182" s="206">
        <f t="shared" si="3"/>
        <v>25</v>
      </c>
      <c r="S182" s="32">
        <v>3.2500000000000001E-2</v>
      </c>
      <c r="T182" s="32">
        <v>5.0500000000000003E-2</v>
      </c>
      <c r="U182" s="203"/>
    </row>
    <row r="183" spans="1:21" ht="16.8">
      <c r="A183" s="215" t="s">
        <v>3543</v>
      </c>
      <c r="B183" s="216">
        <v>62</v>
      </c>
      <c r="C183" s="217" t="s">
        <v>3544</v>
      </c>
      <c r="D183" s="203" t="s">
        <v>5403</v>
      </c>
      <c r="E183" s="203" t="s">
        <v>5210</v>
      </c>
      <c r="F183" s="221">
        <v>2021</v>
      </c>
      <c r="G183" s="203">
        <v>1988</v>
      </c>
      <c r="H183" s="204">
        <v>1068255007852</v>
      </c>
      <c r="I183" s="204">
        <v>282581993390</v>
      </c>
      <c r="J183" s="204">
        <v>282581993390</v>
      </c>
      <c r="K183" s="204">
        <f t="shared" si="5"/>
        <v>785673014462</v>
      </c>
      <c r="L183" s="204">
        <v>768359616822</v>
      </c>
      <c r="M183" s="204">
        <f>32994429430+13302639386</f>
        <v>46297068816</v>
      </c>
      <c r="N183" s="204">
        <v>20193713066</v>
      </c>
      <c r="O183" s="205">
        <f t="shared" si="0"/>
        <v>1.8903457430641608E-2</v>
      </c>
      <c r="P183" s="205">
        <f t="shared" si="1"/>
        <v>0.26452672003682287</v>
      </c>
      <c r="Q183" s="206">
        <f t="shared" si="2"/>
        <v>27.6970475993622</v>
      </c>
      <c r="R183" s="206">
        <f t="shared" si="3"/>
        <v>33</v>
      </c>
      <c r="S183" s="32">
        <v>1.84E-2</v>
      </c>
      <c r="T183" s="32">
        <v>2.58E-2</v>
      </c>
      <c r="U183" s="203"/>
    </row>
    <row r="184" spans="1:21" ht="16.8">
      <c r="A184" s="219" t="s">
        <v>3546</v>
      </c>
      <c r="B184" s="220"/>
      <c r="C184" s="220"/>
      <c r="E184" s="203" t="s">
        <v>5210</v>
      </c>
      <c r="F184" s="221">
        <v>2022</v>
      </c>
      <c r="G184" s="203">
        <v>1988</v>
      </c>
      <c r="H184" s="204">
        <v>1065475624310</v>
      </c>
      <c r="I184" s="204">
        <v>269677130032</v>
      </c>
      <c r="J184" s="204">
        <v>269677130032</v>
      </c>
      <c r="K184" s="204">
        <f t="shared" si="5"/>
        <v>795798494278</v>
      </c>
      <c r="L184" s="204">
        <v>771276505025</v>
      </c>
      <c r="M184" s="204">
        <f>22936236302+15285818592</f>
        <v>38222054894</v>
      </c>
      <c r="N184" s="204">
        <v>23895479816</v>
      </c>
      <c r="O184" s="205">
        <f t="shared" si="0"/>
        <v>2.2427054426021869E-2</v>
      </c>
      <c r="P184" s="205">
        <f t="shared" si="1"/>
        <v>0.25310492692560882</v>
      </c>
      <c r="Q184" s="206">
        <f t="shared" si="2"/>
        <v>27.69444241099205</v>
      </c>
      <c r="R184" s="206">
        <f t="shared" si="3"/>
        <v>34</v>
      </c>
      <c r="S184" s="32">
        <v>3.15E-2</v>
      </c>
      <c r="T184" s="32">
        <v>8.0199999999999994E-2</v>
      </c>
    </row>
    <row r="185" spans="1:21" ht="16.8">
      <c r="A185" s="219" t="s">
        <v>3547</v>
      </c>
      <c r="B185" s="220"/>
      <c r="C185" s="220"/>
      <c r="E185" s="203" t="s">
        <v>5210</v>
      </c>
      <c r="F185" s="221">
        <v>2023</v>
      </c>
      <c r="G185" s="203">
        <v>1988</v>
      </c>
      <c r="H185" s="204">
        <v>1026374176514</v>
      </c>
      <c r="I185" s="204">
        <v>220352735197</v>
      </c>
      <c r="J185" s="204">
        <v>220352735197</v>
      </c>
      <c r="K185" s="204">
        <f t="shared" si="5"/>
        <v>806021441317</v>
      </c>
      <c r="L185" s="204">
        <v>461031858201</v>
      </c>
      <c r="M185" s="204">
        <f>22885871943+16306322107</f>
        <v>39192194050</v>
      </c>
      <c r="N185" s="204">
        <v>12116744013</v>
      </c>
      <c r="O185" s="205">
        <f t="shared" si="0"/>
        <v>1.1805386661376826E-2</v>
      </c>
      <c r="P185" s="205">
        <f t="shared" si="1"/>
        <v>0.21469045133755305</v>
      </c>
      <c r="Q185" s="206">
        <f t="shared" si="2"/>
        <v>27.657053490650355</v>
      </c>
      <c r="R185" s="206">
        <f t="shared" si="3"/>
        <v>35</v>
      </c>
      <c r="S185" s="32">
        <v>3.2500000000000001E-2</v>
      </c>
      <c r="T185" s="32">
        <v>5.0500000000000003E-2</v>
      </c>
    </row>
    <row r="186" spans="1:21" ht="16.8">
      <c r="A186" s="215" t="s">
        <v>3553</v>
      </c>
      <c r="B186" s="216">
        <v>63</v>
      </c>
      <c r="C186" s="217" t="s">
        <v>3554</v>
      </c>
      <c r="D186" s="203" t="s">
        <v>3555</v>
      </c>
      <c r="E186" s="203" t="s">
        <v>5210</v>
      </c>
      <c r="F186" s="221">
        <v>2021</v>
      </c>
      <c r="G186" s="203">
        <v>1977</v>
      </c>
      <c r="H186" s="204">
        <v>1853261375752</v>
      </c>
      <c r="I186" s="204">
        <v>1279580524672</v>
      </c>
      <c r="J186" s="204">
        <v>1182852743920</v>
      </c>
      <c r="K186" s="204">
        <f t="shared" si="5"/>
        <v>573680851080</v>
      </c>
      <c r="L186" s="204">
        <v>930440139439</v>
      </c>
      <c r="M186" s="204">
        <f>3574053547+43736291183</f>
        <v>47310344730</v>
      </c>
      <c r="N186" s="204">
        <v>34359788557</v>
      </c>
      <c r="O186" s="205">
        <f t="shared" si="0"/>
        <v>1.8540174098787221E-2</v>
      </c>
      <c r="P186" s="205">
        <f t="shared" si="1"/>
        <v>0.69044795376085744</v>
      </c>
      <c r="Q186" s="206">
        <f t="shared" si="2"/>
        <v>28.247968108736085</v>
      </c>
      <c r="R186" s="206">
        <f t="shared" si="3"/>
        <v>44</v>
      </c>
      <c r="S186" s="32">
        <v>1.84E-2</v>
      </c>
      <c r="T186" s="32">
        <v>2.58E-2</v>
      </c>
      <c r="U186" s="203"/>
    </row>
    <row r="187" spans="1:21" ht="16.8">
      <c r="A187" s="219" t="s">
        <v>3556</v>
      </c>
      <c r="B187" s="220"/>
      <c r="C187" s="220"/>
      <c r="E187" s="203" t="s">
        <v>5210</v>
      </c>
      <c r="F187" s="221">
        <v>2022</v>
      </c>
      <c r="G187" s="203">
        <v>1977</v>
      </c>
      <c r="H187" s="204">
        <v>1730564685254</v>
      </c>
      <c r="I187" s="204">
        <v>1301575884207</v>
      </c>
      <c r="J187" s="204">
        <v>1221362611541</v>
      </c>
      <c r="K187" s="204">
        <f t="shared" si="5"/>
        <v>428988801047</v>
      </c>
      <c r="L187" s="204">
        <v>1185608421970</v>
      </c>
      <c r="M187" s="204">
        <f>4140041538+160426807631</f>
        <v>164566849169</v>
      </c>
      <c r="N187" s="204">
        <v>-141330139358</v>
      </c>
      <c r="O187" s="205">
        <f t="shared" si="0"/>
        <v>-8.1667065416428833E-2</v>
      </c>
      <c r="P187" s="205">
        <f t="shared" si="1"/>
        <v>0.75211050779992306</v>
      </c>
      <c r="Q187" s="206">
        <f t="shared" si="2"/>
        <v>28.179468878840115</v>
      </c>
      <c r="R187" s="206">
        <f t="shared" si="3"/>
        <v>45</v>
      </c>
      <c r="S187" s="32">
        <v>3.15E-2</v>
      </c>
      <c r="T187" s="32">
        <v>8.0199999999999994E-2</v>
      </c>
    </row>
    <row r="188" spans="1:21" ht="16.8">
      <c r="A188" s="219" t="s">
        <v>3557</v>
      </c>
      <c r="B188" s="220"/>
      <c r="C188" s="220"/>
      <c r="E188" s="203" t="s">
        <v>5210</v>
      </c>
      <c r="F188" s="221">
        <v>2023</v>
      </c>
      <c r="G188" s="203">
        <v>1977</v>
      </c>
      <c r="H188" s="204">
        <v>1753387255588</v>
      </c>
      <c r="I188" s="204">
        <v>1320905700735</v>
      </c>
      <c r="J188" s="204">
        <v>1247326685062</v>
      </c>
      <c r="K188" s="204">
        <f t="shared" si="5"/>
        <v>432481554853</v>
      </c>
      <c r="L188" s="204">
        <v>1643645360726</v>
      </c>
      <c r="M188" s="204">
        <f>1808373720+63425923853</f>
        <v>65234297573</v>
      </c>
      <c r="N188" s="204">
        <v>3761800851</v>
      </c>
      <c r="O188" s="205">
        <f t="shared" si="0"/>
        <v>2.145447811948694E-3</v>
      </c>
      <c r="P188" s="205">
        <f t="shared" si="1"/>
        <v>0.75334510190222248</v>
      </c>
      <c r="Q188" s="206">
        <f t="shared" si="2"/>
        <v>28.192570607674799</v>
      </c>
      <c r="R188" s="206">
        <f t="shared" si="3"/>
        <v>46</v>
      </c>
      <c r="S188" s="32">
        <v>3.2500000000000001E-2</v>
      </c>
      <c r="T188" s="32">
        <v>5.0500000000000003E-2</v>
      </c>
    </row>
    <row r="189" spans="1:21" ht="16.8">
      <c r="A189" s="215" t="s">
        <v>5404</v>
      </c>
      <c r="B189" s="216">
        <v>64</v>
      </c>
      <c r="C189" s="217" t="s">
        <v>5126</v>
      </c>
      <c r="D189" s="203" t="s">
        <v>5405</v>
      </c>
      <c r="E189" s="203" t="s">
        <v>5210</v>
      </c>
      <c r="F189" s="221">
        <v>2021</v>
      </c>
      <c r="G189" s="203">
        <v>2013</v>
      </c>
      <c r="H189" s="204">
        <v>370503776637</v>
      </c>
      <c r="I189" s="204">
        <v>214301598696</v>
      </c>
      <c r="J189" s="204">
        <v>112194817381</v>
      </c>
      <c r="K189" s="204">
        <f t="shared" si="5"/>
        <v>156202177941</v>
      </c>
      <c r="L189" s="204">
        <v>436477960728</v>
      </c>
      <c r="M189" s="204">
        <f>5459389290+5219724246</f>
        <v>10679113536</v>
      </c>
      <c r="N189" s="204">
        <v>11687278725</v>
      </c>
      <c r="O189" s="205">
        <f t="shared" si="0"/>
        <v>3.1544290401257037E-2</v>
      </c>
      <c r="P189" s="205">
        <f t="shared" si="1"/>
        <v>0.57840597642803881</v>
      </c>
      <c r="Q189" s="206">
        <f t="shared" si="2"/>
        <v>26.638129474982829</v>
      </c>
      <c r="R189" s="206">
        <f t="shared" si="3"/>
        <v>8</v>
      </c>
      <c r="S189" s="32">
        <v>1.84E-2</v>
      </c>
      <c r="T189" s="32">
        <v>2.58E-2</v>
      </c>
      <c r="U189" s="203"/>
    </row>
    <row r="190" spans="1:21" ht="16.8">
      <c r="A190" s="219" t="s">
        <v>5406</v>
      </c>
      <c r="B190" s="220"/>
      <c r="C190" s="220"/>
      <c r="E190" s="203" t="s">
        <v>5210</v>
      </c>
      <c r="F190" s="221">
        <v>2022</v>
      </c>
      <c r="G190" s="203">
        <v>2013</v>
      </c>
      <c r="H190" s="204">
        <v>441303420330</v>
      </c>
      <c r="I190" s="204">
        <v>158636277808</v>
      </c>
      <c r="J190" s="204">
        <v>86529496493</v>
      </c>
      <c r="K190" s="204">
        <f t="shared" si="5"/>
        <v>282667142522</v>
      </c>
      <c r="L190" s="204">
        <v>340366420420</v>
      </c>
      <c r="M190" s="204">
        <f>6248487343+5128778251</f>
        <v>11377265594</v>
      </c>
      <c r="N190" s="204">
        <v>-2378171783</v>
      </c>
      <c r="O190" s="205">
        <f t="shared" si="0"/>
        <v>-5.3889720166266537E-3</v>
      </c>
      <c r="P190" s="205">
        <f t="shared" si="1"/>
        <v>0.35947212393997352</v>
      </c>
      <c r="Q190" s="206">
        <f t="shared" si="2"/>
        <v>26.812998503769716</v>
      </c>
      <c r="R190" s="206">
        <f t="shared" si="3"/>
        <v>9</v>
      </c>
      <c r="S190" s="32">
        <v>3.15E-2</v>
      </c>
      <c r="T190" s="32">
        <v>8.0199999999999994E-2</v>
      </c>
    </row>
    <row r="191" spans="1:21" ht="16.8">
      <c r="A191" s="219" t="s">
        <v>5407</v>
      </c>
      <c r="B191" s="220"/>
      <c r="C191" s="220"/>
      <c r="E191" s="203" t="s">
        <v>5210</v>
      </c>
      <c r="F191" s="221">
        <v>2023</v>
      </c>
      <c r="G191" s="203">
        <v>2013</v>
      </c>
      <c r="H191" s="204">
        <v>398523886986</v>
      </c>
      <c r="I191" s="204">
        <v>152389616017</v>
      </c>
      <c r="J191" s="204">
        <v>107126834698</v>
      </c>
      <c r="K191" s="204">
        <f t="shared" si="5"/>
        <v>246134270969</v>
      </c>
      <c r="L191" s="204">
        <v>258764636574</v>
      </c>
      <c r="M191" s="204">
        <f>144314405+5323581478</f>
        <v>5467895883</v>
      </c>
      <c r="N191" s="204">
        <v>-36532871553</v>
      </c>
      <c r="O191" s="205">
        <f t="shared" si="0"/>
        <v>-9.1670468812534156E-2</v>
      </c>
      <c r="P191" s="205">
        <f t="shared" si="1"/>
        <v>0.3823851492805333</v>
      </c>
      <c r="Q191" s="206">
        <f t="shared" si="2"/>
        <v>26.711033275628647</v>
      </c>
      <c r="R191" s="206">
        <f t="shared" si="3"/>
        <v>10</v>
      </c>
      <c r="S191" s="32">
        <v>3.2500000000000001E-2</v>
      </c>
      <c r="T191" s="32">
        <v>5.0500000000000003E-2</v>
      </c>
    </row>
    <row r="192" spans="1:21" ht="16.8">
      <c r="A192" s="215" t="s">
        <v>3643</v>
      </c>
      <c r="B192" s="216">
        <v>65</v>
      </c>
      <c r="C192" s="217" t="s">
        <v>3644</v>
      </c>
      <c r="D192" s="203" t="s">
        <v>3645</v>
      </c>
      <c r="E192" s="203" t="s">
        <v>5210</v>
      </c>
      <c r="F192" s="221">
        <v>2021</v>
      </c>
      <c r="G192" s="203">
        <v>1994</v>
      </c>
      <c r="H192" s="204">
        <v>977329911244</v>
      </c>
      <c r="I192" s="204">
        <v>506849887799</v>
      </c>
      <c r="J192" s="204">
        <v>498539511553</v>
      </c>
      <c r="K192" s="204">
        <f t="shared" si="5"/>
        <v>470480023445</v>
      </c>
      <c r="L192" s="204">
        <v>944249368667</v>
      </c>
      <c r="M192" s="204">
        <f>95120132862+52149263750</f>
        <v>147269396612</v>
      </c>
      <c r="N192" s="204">
        <v>10547201488</v>
      </c>
      <c r="O192" s="205">
        <f t="shared" si="0"/>
        <v>1.0791853770826408E-2</v>
      </c>
      <c r="P192" s="205">
        <f t="shared" si="1"/>
        <v>0.51860674882430768</v>
      </c>
      <c r="Q192" s="206">
        <f t="shared" si="2"/>
        <v>27.608090109823053</v>
      </c>
      <c r="R192" s="206">
        <f t="shared" si="3"/>
        <v>27</v>
      </c>
      <c r="S192" s="32">
        <v>1.84E-2</v>
      </c>
      <c r="T192" s="32">
        <v>2.58E-2</v>
      </c>
      <c r="U192" s="203"/>
    </row>
    <row r="193" spans="1:21" ht="16.8">
      <c r="A193" s="219" t="s">
        <v>3646</v>
      </c>
      <c r="B193" s="220"/>
      <c r="C193" s="220"/>
      <c r="E193" s="203" t="s">
        <v>5210</v>
      </c>
      <c r="F193" s="221">
        <v>2022</v>
      </c>
      <c r="G193" s="203">
        <v>1994</v>
      </c>
      <c r="H193" s="204">
        <v>943636589565</v>
      </c>
      <c r="I193" s="204">
        <v>474415090095</v>
      </c>
      <c r="J193" s="204">
        <v>468897273849</v>
      </c>
      <c r="K193" s="204">
        <f t="shared" si="5"/>
        <v>469221499470</v>
      </c>
      <c r="L193" s="204">
        <v>1106894928357</v>
      </c>
      <c r="M193" s="204">
        <f>101688991345+47522079617</f>
        <v>149211070962</v>
      </c>
      <c r="N193" s="204">
        <v>984102116</v>
      </c>
      <c r="O193" s="205">
        <f t="shared" si="0"/>
        <v>1.0428825321977541E-3</v>
      </c>
      <c r="P193" s="205">
        <f t="shared" si="1"/>
        <v>0.5027519018880956</v>
      </c>
      <c r="Q193" s="206">
        <f t="shared" si="2"/>
        <v>27.573006960291302</v>
      </c>
      <c r="R193" s="206">
        <f t="shared" si="3"/>
        <v>28</v>
      </c>
      <c r="S193" s="32">
        <v>3.15E-2</v>
      </c>
      <c r="T193" s="32">
        <v>8.0199999999999994E-2</v>
      </c>
    </row>
    <row r="194" spans="1:21" ht="16.8">
      <c r="A194" s="219" t="s">
        <v>3647</v>
      </c>
      <c r="B194" s="220"/>
      <c r="C194" s="220"/>
      <c r="E194" s="203" t="s">
        <v>5210</v>
      </c>
      <c r="F194" s="221">
        <v>2023</v>
      </c>
      <c r="G194" s="203">
        <v>1994</v>
      </c>
      <c r="H194" s="204">
        <v>925099363365</v>
      </c>
      <c r="I194" s="204">
        <v>499176446174</v>
      </c>
      <c r="J194" s="204">
        <v>499176446174</v>
      </c>
      <c r="K194" s="204">
        <f t="shared" si="5"/>
        <v>425922917191</v>
      </c>
      <c r="L194" s="204">
        <v>895892526013</v>
      </c>
      <c r="M194" s="204">
        <f>88311361042+40574578922</f>
        <v>128885939964</v>
      </c>
      <c r="N194" s="204">
        <v>-7384653188</v>
      </c>
      <c r="O194" s="205">
        <f t="shared" si="0"/>
        <v>-7.9825513673890281E-3</v>
      </c>
      <c r="P194" s="205">
        <f t="shared" si="1"/>
        <v>0.53959224915934656</v>
      </c>
      <c r="Q194" s="206">
        <f t="shared" si="2"/>
        <v>27.55316698854379</v>
      </c>
      <c r="R194" s="206">
        <f t="shared" si="3"/>
        <v>29</v>
      </c>
      <c r="S194" s="32">
        <v>3.2500000000000001E-2</v>
      </c>
      <c r="T194" s="32">
        <v>5.0500000000000003E-2</v>
      </c>
    </row>
    <row r="195" spans="1:21" ht="16.8">
      <c r="A195" s="215" t="s">
        <v>3653</v>
      </c>
      <c r="B195" s="216">
        <v>66</v>
      </c>
      <c r="C195" s="217" t="s">
        <v>3654</v>
      </c>
      <c r="D195" s="203" t="s">
        <v>3655</v>
      </c>
      <c r="E195" s="203" t="s">
        <v>5210</v>
      </c>
      <c r="F195" s="221">
        <v>2021</v>
      </c>
      <c r="G195" s="203">
        <v>2002</v>
      </c>
      <c r="H195" s="204">
        <v>5239796337934</v>
      </c>
      <c r="I195" s="204">
        <v>3959710612136</v>
      </c>
      <c r="J195" s="204">
        <v>3149325642729</v>
      </c>
      <c r="K195" s="204">
        <f t="shared" si="5"/>
        <v>1280085725798</v>
      </c>
      <c r="L195" s="204">
        <v>1685160077273</v>
      </c>
      <c r="M195" s="204">
        <v>72923372683</v>
      </c>
      <c r="N195" s="204">
        <v>124382542551</v>
      </c>
      <c r="O195" s="205">
        <f t="shared" si="0"/>
        <v>2.3738049063189888E-2</v>
      </c>
      <c r="P195" s="205">
        <f t="shared" si="1"/>
        <v>0.75569933576793846</v>
      </c>
      <c r="Q195" s="206">
        <f t="shared" si="2"/>
        <v>29.287303746699678</v>
      </c>
      <c r="R195" s="206">
        <f t="shared" si="3"/>
        <v>19</v>
      </c>
      <c r="S195" s="32">
        <v>1.84E-2</v>
      </c>
      <c r="T195" s="32">
        <v>2.58E-2</v>
      </c>
      <c r="U195" s="203"/>
    </row>
    <row r="196" spans="1:21" ht="16.8">
      <c r="A196" s="219" t="s">
        <v>3656</v>
      </c>
      <c r="B196" s="220"/>
      <c r="C196" s="220"/>
      <c r="E196" s="203" t="s">
        <v>5210</v>
      </c>
      <c r="F196" s="221">
        <v>2022</v>
      </c>
      <c r="G196" s="203">
        <v>2002</v>
      </c>
      <c r="H196" s="204">
        <v>3839437190918</v>
      </c>
      <c r="I196" s="204">
        <v>2617975889289</v>
      </c>
      <c r="J196" s="204">
        <v>1920485759953</v>
      </c>
      <c r="K196" s="204">
        <f t="shared" si="5"/>
        <v>1221461301629</v>
      </c>
      <c r="L196" s="204">
        <v>2500285148588</v>
      </c>
      <c r="M196" s="204">
        <f>90438689583+47425669578</f>
        <v>137864359161</v>
      </c>
      <c r="N196" s="204">
        <v>34721831250</v>
      </c>
      <c r="O196" s="205">
        <f t="shared" si="0"/>
        <v>9.0434690095029507E-3</v>
      </c>
      <c r="P196" s="205">
        <f t="shared" si="1"/>
        <v>0.6818644918796154</v>
      </c>
      <c r="Q196" s="206">
        <f t="shared" si="2"/>
        <v>28.9763469069214</v>
      </c>
      <c r="R196" s="206">
        <f t="shared" si="3"/>
        <v>20</v>
      </c>
      <c r="S196" s="32">
        <v>3.15E-2</v>
      </c>
      <c r="T196" s="32">
        <v>8.0199999999999994E-2</v>
      </c>
    </row>
    <row r="197" spans="1:21" ht="16.8">
      <c r="A197" s="219" t="s">
        <v>3657</v>
      </c>
      <c r="B197" s="220"/>
      <c r="C197" s="220"/>
      <c r="E197" s="203" t="s">
        <v>5210</v>
      </c>
      <c r="F197" s="221">
        <v>2023</v>
      </c>
      <c r="G197" s="203">
        <v>2002</v>
      </c>
      <c r="H197" s="204">
        <v>3610466990626</v>
      </c>
      <c r="I197" s="204">
        <v>2819970290942</v>
      </c>
      <c r="J197" s="204">
        <v>2130115788942</v>
      </c>
      <c r="K197" s="204">
        <f t="shared" si="5"/>
        <v>790496699684</v>
      </c>
      <c r="L197" s="204">
        <v>583802824495</v>
      </c>
      <c r="M197" s="204">
        <f>56003456301+75221012034</f>
        <v>131224468335</v>
      </c>
      <c r="N197" s="204">
        <v>-402796465319</v>
      </c>
      <c r="O197" s="205">
        <f t="shared" si="0"/>
        <v>-0.11156353634164129</v>
      </c>
      <c r="P197" s="205">
        <f t="shared" si="1"/>
        <v>0.78105416785795345</v>
      </c>
      <c r="Q197" s="206">
        <f t="shared" si="2"/>
        <v>28.914858240191229</v>
      </c>
      <c r="R197" s="206">
        <f t="shared" si="3"/>
        <v>21</v>
      </c>
      <c r="S197" s="32">
        <v>3.2500000000000001E-2</v>
      </c>
      <c r="T197" s="32">
        <v>5.0500000000000003E-2</v>
      </c>
    </row>
    <row r="198" spans="1:21" ht="16.8">
      <c r="A198" s="215" t="s">
        <v>3658</v>
      </c>
      <c r="B198" s="216">
        <v>67</v>
      </c>
      <c r="C198" s="217" t="s">
        <v>3659</v>
      </c>
      <c r="D198" s="203" t="s">
        <v>3660</v>
      </c>
      <c r="E198" s="203" t="s">
        <v>5210</v>
      </c>
      <c r="F198" s="221">
        <v>2021</v>
      </c>
      <c r="G198" s="203">
        <v>1990</v>
      </c>
      <c r="H198" s="204">
        <v>1842122946875</v>
      </c>
      <c r="I198" s="204">
        <v>1221349500304</v>
      </c>
      <c r="J198" s="204">
        <v>1153943246205</v>
      </c>
      <c r="K198" s="204">
        <f t="shared" si="5"/>
        <v>620773446571</v>
      </c>
      <c r="L198" s="204">
        <v>522660069694</v>
      </c>
      <c r="M198" s="204">
        <f>18724388117-131602678118</f>
        <v>-112878290001</v>
      </c>
      <c r="N198" s="204">
        <v>-890496621802</v>
      </c>
      <c r="O198" s="205">
        <f t="shared" si="0"/>
        <v>-0.48340781124986765</v>
      </c>
      <c r="P198" s="205">
        <f t="shared" si="1"/>
        <v>0.66301193542804093</v>
      </c>
      <c r="Q198" s="206">
        <f t="shared" si="2"/>
        <v>28.241939797937587</v>
      </c>
      <c r="R198" s="206">
        <f t="shared" si="3"/>
        <v>31</v>
      </c>
      <c r="S198" s="32">
        <v>1.84E-2</v>
      </c>
      <c r="T198" s="32">
        <v>2.58E-2</v>
      </c>
      <c r="U198" s="203"/>
    </row>
    <row r="199" spans="1:21" ht="16.8">
      <c r="A199" s="219" t="s">
        <v>3661</v>
      </c>
      <c r="B199" s="220"/>
      <c r="C199" s="220"/>
      <c r="E199" s="203" t="s">
        <v>5210</v>
      </c>
      <c r="F199" s="221">
        <v>2022</v>
      </c>
      <c r="G199" s="203">
        <v>1990</v>
      </c>
      <c r="H199" s="204">
        <v>1418433171599</v>
      </c>
      <c r="I199" s="204">
        <v>979756498983</v>
      </c>
      <c r="J199" s="204">
        <v>944827303850</v>
      </c>
      <c r="K199" s="204">
        <f t="shared" si="5"/>
        <v>438676672616</v>
      </c>
      <c r="L199" s="204">
        <v>172746936983</v>
      </c>
      <c r="M199" s="204">
        <f>-20428196170-9646397956</f>
        <v>-30074594126</v>
      </c>
      <c r="N199" s="204">
        <v>8120979910</v>
      </c>
      <c r="O199" s="205">
        <f t="shared" si="0"/>
        <v>5.7253172532937997E-3</v>
      </c>
      <c r="P199" s="205">
        <f t="shared" si="1"/>
        <v>0.69073151883392592</v>
      </c>
      <c r="Q199" s="206">
        <f t="shared" si="2"/>
        <v>27.980573978065067</v>
      </c>
      <c r="R199" s="206">
        <f t="shared" si="3"/>
        <v>32</v>
      </c>
      <c r="S199" s="32">
        <v>3.15E-2</v>
      </c>
      <c r="T199" s="32">
        <v>8.0199999999999994E-2</v>
      </c>
    </row>
    <row r="200" spans="1:21" ht="16.8">
      <c r="A200" s="219" t="s">
        <v>3662</v>
      </c>
      <c r="B200" s="220"/>
      <c r="C200" s="220"/>
      <c r="E200" s="203" t="s">
        <v>5210</v>
      </c>
      <c r="F200" s="221">
        <v>2023</v>
      </c>
      <c r="G200" s="203">
        <v>1990</v>
      </c>
      <c r="H200" s="204">
        <v>1333502496106</v>
      </c>
      <c r="I200" s="204">
        <v>957819146574</v>
      </c>
      <c r="J200" s="204">
        <v>923908005787</v>
      </c>
      <c r="K200" s="204">
        <f t="shared" si="5"/>
        <v>375683349532</v>
      </c>
      <c r="L200" s="204">
        <v>102441564617</v>
      </c>
      <c r="M200" s="204">
        <f>-1629552163-48827464372</f>
        <v>-50457016535</v>
      </c>
      <c r="N200" s="204">
        <v>-62753025320</v>
      </c>
      <c r="O200" s="205">
        <f t="shared" si="0"/>
        <v>-4.7058798542370155E-2</v>
      </c>
      <c r="P200" s="205">
        <f t="shared" si="1"/>
        <v>0.71827323111201968</v>
      </c>
      <c r="Q200" s="206">
        <f t="shared" si="2"/>
        <v>27.918830052412247</v>
      </c>
      <c r="R200" s="206">
        <f t="shared" si="3"/>
        <v>33</v>
      </c>
      <c r="S200" s="32">
        <v>3.2500000000000001E-2</v>
      </c>
      <c r="T200" s="32">
        <v>5.0500000000000003E-2</v>
      </c>
    </row>
    <row r="201" spans="1:21" ht="16.8">
      <c r="A201" s="215" t="s">
        <v>5408</v>
      </c>
      <c r="B201" s="216">
        <v>68</v>
      </c>
      <c r="C201" s="217" t="s">
        <v>5409</v>
      </c>
      <c r="D201" s="203" t="s">
        <v>5410</v>
      </c>
      <c r="E201" s="203" t="s">
        <v>178</v>
      </c>
      <c r="F201" s="221">
        <v>2021</v>
      </c>
      <c r="G201" s="203">
        <v>2012</v>
      </c>
      <c r="H201" s="204">
        <v>838407306812</v>
      </c>
      <c r="I201" s="204">
        <v>417790975678</v>
      </c>
      <c r="J201" s="204">
        <v>395163880044</v>
      </c>
      <c r="K201" s="204">
        <f t="shared" si="5"/>
        <v>420616331134</v>
      </c>
      <c r="L201" s="204">
        <v>801896949862</v>
      </c>
      <c r="M201" s="204">
        <f>10731553849-31379594791</f>
        <v>-20648040942</v>
      </c>
      <c r="N201" s="204">
        <v>98498127256</v>
      </c>
      <c r="O201" s="205">
        <f t="shared" si="0"/>
        <v>0.11748242942983642</v>
      </c>
      <c r="P201" s="205">
        <f t="shared" si="1"/>
        <v>0.49831504602056531</v>
      </c>
      <c r="Q201" s="206">
        <f t="shared" si="2"/>
        <v>27.45476986566128</v>
      </c>
      <c r="R201" s="206">
        <f t="shared" si="3"/>
        <v>9</v>
      </c>
      <c r="S201" s="32">
        <v>1.84E-2</v>
      </c>
      <c r="T201" s="32">
        <v>2.58E-2</v>
      </c>
      <c r="U201" s="203"/>
    </row>
    <row r="202" spans="1:21" ht="16.8">
      <c r="A202" s="215" t="s">
        <v>5411</v>
      </c>
      <c r="B202" s="216"/>
      <c r="C202" s="217"/>
      <c r="D202" s="203"/>
      <c r="E202" s="203" t="s">
        <v>178</v>
      </c>
      <c r="F202" s="221">
        <v>2022</v>
      </c>
      <c r="G202" s="203">
        <v>2012</v>
      </c>
      <c r="H202" s="204">
        <v>244935441614</v>
      </c>
      <c r="I202" s="204">
        <v>146664145258</v>
      </c>
      <c r="J202" s="204">
        <v>119941372272</v>
      </c>
      <c r="K202" s="204">
        <f t="shared" si="5"/>
        <v>98271296356</v>
      </c>
      <c r="L202" s="204">
        <v>318396504481</v>
      </c>
      <c r="M202" s="204">
        <f>87029984+51624842674</f>
        <v>51711872658</v>
      </c>
      <c r="N202" s="204">
        <v>-159875703415</v>
      </c>
      <c r="O202" s="205">
        <f t="shared" si="0"/>
        <v>-0.65272588712152235</v>
      </c>
      <c r="P202" s="205">
        <f t="shared" si="1"/>
        <v>0.59878694684426992</v>
      </c>
      <c r="Q202" s="206">
        <f t="shared" si="2"/>
        <v>26.224260509151634</v>
      </c>
      <c r="R202" s="206">
        <f t="shared" si="3"/>
        <v>10</v>
      </c>
      <c r="S202" s="32">
        <v>3.15E-2</v>
      </c>
      <c r="T202" s="32">
        <v>8.0199999999999994E-2</v>
      </c>
      <c r="U202" s="203"/>
    </row>
    <row r="203" spans="1:21" ht="16.8">
      <c r="A203" s="225" t="s">
        <v>5412</v>
      </c>
      <c r="B203" s="216"/>
      <c r="C203" s="217"/>
      <c r="D203" s="226"/>
      <c r="E203" s="203" t="s">
        <v>178</v>
      </c>
      <c r="F203" s="221">
        <v>2023</v>
      </c>
      <c r="G203" s="203">
        <v>2012</v>
      </c>
      <c r="H203" s="227">
        <v>190886157648</v>
      </c>
      <c r="I203" s="227">
        <v>6706915173</v>
      </c>
      <c r="J203" s="227">
        <v>3622115173</v>
      </c>
      <c r="K203" s="227">
        <f t="shared" si="5"/>
        <v>184179242475</v>
      </c>
      <c r="L203" s="227">
        <v>99752233</v>
      </c>
      <c r="M203" s="227">
        <v>4776793741</v>
      </c>
      <c r="N203" s="227">
        <v>-11061947836</v>
      </c>
      <c r="O203" s="205">
        <f t="shared" si="0"/>
        <v>-5.795049768039532E-2</v>
      </c>
      <c r="P203" s="205">
        <f t="shared" si="1"/>
        <v>3.5135681160117227E-2</v>
      </c>
      <c r="Q203" s="206">
        <f t="shared" si="2"/>
        <v>25.974943054038061</v>
      </c>
      <c r="R203" s="206">
        <f t="shared" si="3"/>
        <v>11</v>
      </c>
      <c r="S203" s="32">
        <v>3.2500000000000001E-2</v>
      </c>
      <c r="T203" s="32">
        <v>5.0500000000000003E-2</v>
      </c>
      <c r="U203" s="226"/>
    </row>
    <row r="204" spans="1:21" ht="16.8">
      <c r="A204" s="215" t="s">
        <v>3712</v>
      </c>
      <c r="B204" s="216">
        <v>69</v>
      </c>
      <c r="C204" s="217" t="s">
        <v>3713</v>
      </c>
      <c r="D204" s="203" t="s">
        <v>3714</v>
      </c>
      <c r="E204" s="203" t="s">
        <v>178</v>
      </c>
      <c r="F204" s="221">
        <v>2021</v>
      </c>
      <c r="G204" s="203">
        <v>1994</v>
      </c>
      <c r="H204" s="204">
        <v>2338303036988</v>
      </c>
      <c r="I204" s="204">
        <v>1761113857139</v>
      </c>
      <c r="J204" s="204">
        <v>1721938102989</v>
      </c>
      <c r="K204" s="204">
        <f t="shared" si="5"/>
        <v>577189179849</v>
      </c>
      <c r="L204" s="204">
        <v>5447191976125</v>
      </c>
      <c r="M204" s="204">
        <f>61487568081+37550944591</f>
        <v>99038512672</v>
      </c>
      <c r="N204" s="204">
        <v>18846825024</v>
      </c>
      <c r="O204" s="205">
        <f t="shared" si="0"/>
        <v>8.0600438548276664E-3</v>
      </c>
      <c r="P204" s="205">
        <f t="shared" si="1"/>
        <v>0.753158948725275</v>
      </c>
      <c r="Q204" s="206">
        <f t="shared" si="2"/>
        <v>28.480446584346609</v>
      </c>
      <c r="R204" s="206">
        <f t="shared" si="3"/>
        <v>27</v>
      </c>
      <c r="S204" s="32">
        <v>1.84E-2</v>
      </c>
      <c r="T204" s="32">
        <v>2.58E-2</v>
      </c>
      <c r="U204" s="203"/>
    </row>
    <row r="205" spans="1:21" ht="16.8">
      <c r="A205" s="215" t="s">
        <v>3715</v>
      </c>
      <c r="B205" s="216"/>
      <c r="C205" s="217"/>
      <c r="D205" s="203"/>
      <c r="E205" s="203" t="s">
        <v>178</v>
      </c>
      <c r="F205" s="221">
        <v>2022</v>
      </c>
      <c r="G205" s="203">
        <v>1994</v>
      </c>
      <c r="H205" s="204">
        <v>2669702132199</v>
      </c>
      <c r="I205" s="204">
        <v>2090127064333</v>
      </c>
      <c r="J205" s="204">
        <v>2061049299499</v>
      </c>
      <c r="K205" s="204">
        <f t="shared" si="5"/>
        <v>579575067866</v>
      </c>
      <c r="L205" s="204">
        <v>6447640217235</v>
      </c>
      <c r="M205" s="204">
        <f>47242720715+42332193597</f>
        <v>89574914312</v>
      </c>
      <c r="N205" s="204">
        <v>11515033390</v>
      </c>
      <c r="O205" s="205">
        <f t="shared" si="0"/>
        <v>4.3132277759074236E-3</v>
      </c>
      <c r="P205" s="205">
        <f t="shared" si="1"/>
        <v>0.78290646702648758</v>
      </c>
      <c r="Q205" s="206">
        <f t="shared" si="2"/>
        <v>28.61298802114316</v>
      </c>
      <c r="R205" s="206">
        <f t="shared" si="3"/>
        <v>28</v>
      </c>
      <c r="S205" s="32">
        <v>3.15E-2</v>
      </c>
      <c r="T205" s="32">
        <v>8.0199999999999994E-2</v>
      </c>
      <c r="U205" s="203"/>
    </row>
    <row r="206" spans="1:21" ht="16.8">
      <c r="A206" s="225" t="s">
        <v>3716</v>
      </c>
      <c r="B206" s="216"/>
      <c r="C206" s="217"/>
      <c r="D206" s="226"/>
      <c r="E206" s="203" t="s">
        <v>178</v>
      </c>
      <c r="F206" s="221">
        <v>2023</v>
      </c>
      <c r="G206" s="203">
        <v>1994</v>
      </c>
      <c r="H206" s="227">
        <v>2080800553021</v>
      </c>
      <c r="I206" s="227">
        <v>1579737439513</v>
      </c>
      <c r="J206" s="227">
        <v>1569857427428</v>
      </c>
      <c r="K206" s="227">
        <f t="shared" si="5"/>
        <v>501063113508</v>
      </c>
      <c r="L206" s="227">
        <v>1247023214781</v>
      </c>
      <c r="M206" s="227">
        <f>11453099728+35539303582</f>
        <v>46992403310</v>
      </c>
      <c r="N206" s="227">
        <v>-61653570940</v>
      </c>
      <c r="O206" s="205">
        <f t="shared" si="0"/>
        <v>-2.9629735944893213E-2</v>
      </c>
      <c r="P206" s="205">
        <f t="shared" si="1"/>
        <v>0.75919695293211353</v>
      </c>
      <c r="Q206" s="206">
        <f t="shared" si="2"/>
        <v>28.363773816854078</v>
      </c>
      <c r="R206" s="206">
        <f t="shared" si="3"/>
        <v>29</v>
      </c>
      <c r="S206" s="32">
        <v>3.2500000000000001E-2</v>
      </c>
      <c r="T206" s="32">
        <v>5.0500000000000003E-2</v>
      </c>
      <c r="U206" s="226"/>
    </row>
    <row r="207" spans="1:21" ht="16.8">
      <c r="A207" s="200" t="s">
        <v>5413</v>
      </c>
      <c r="B207" s="228">
        <v>70</v>
      </c>
      <c r="C207" s="229" t="s">
        <v>5135</v>
      </c>
      <c r="D207" s="203" t="s">
        <v>5414</v>
      </c>
      <c r="E207" s="203" t="s">
        <v>5210</v>
      </c>
      <c r="F207" s="203">
        <v>2021</v>
      </c>
      <c r="G207" s="203">
        <v>2004</v>
      </c>
      <c r="H207" s="204">
        <v>1124822321892</v>
      </c>
      <c r="I207" s="204">
        <v>553007358532</v>
      </c>
      <c r="J207" s="204">
        <v>437707358532</v>
      </c>
      <c r="K207" s="204">
        <f t="shared" si="5"/>
        <v>571814963360</v>
      </c>
      <c r="L207" s="204">
        <v>1905792806244</v>
      </c>
      <c r="M207" s="204">
        <f>803515297+5312154372</f>
        <v>6115669669</v>
      </c>
      <c r="N207" s="204">
        <v>-16269677119</v>
      </c>
      <c r="O207" s="205">
        <f t="shared" si="0"/>
        <v>-1.4464219639270403E-2</v>
      </c>
      <c r="P207" s="205">
        <f t="shared" si="1"/>
        <v>0.49163974413471595</v>
      </c>
      <c r="Q207" s="206">
        <f t="shared" si="2"/>
        <v>27.748646203015713</v>
      </c>
      <c r="R207" s="206">
        <f t="shared" si="3"/>
        <v>17</v>
      </c>
      <c r="S207" s="32">
        <v>1.84E-2</v>
      </c>
      <c r="T207" s="32">
        <v>2.58E-2</v>
      </c>
      <c r="U207" s="203"/>
    </row>
    <row r="208" spans="1:21" ht="16.8">
      <c r="A208" s="200" t="s">
        <v>5415</v>
      </c>
      <c r="B208" s="228"/>
      <c r="C208" s="229"/>
      <c r="D208" s="203"/>
      <c r="E208" s="203" t="s">
        <v>5210</v>
      </c>
      <c r="F208" s="203">
        <v>2022</v>
      </c>
      <c r="G208" s="203">
        <v>2004</v>
      </c>
      <c r="H208" s="204">
        <v>935660487481</v>
      </c>
      <c r="I208" s="204">
        <v>404372318898</v>
      </c>
      <c r="J208" s="204">
        <v>338529649161</v>
      </c>
      <c r="K208" s="204">
        <f t="shared" si="5"/>
        <v>531288168583</v>
      </c>
      <c r="L208" s="204">
        <v>1710499476186</v>
      </c>
      <c r="M208" s="204">
        <f>22227147135+54177609779</f>
        <v>76404756914</v>
      </c>
      <c r="N208" s="204">
        <v>2805177087</v>
      </c>
      <c r="O208" s="205">
        <f t="shared" si="0"/>
        <v>2.9980715489569751E-3</v>
      </c>
      <c r="P208" s="205">
        <f t="shared" si="1"/>
        <v>0.43217847104632745</v>
      </c>
      <c r="Q208" s="206">
        <f t="shared" si="2"/>
        <v>27.56451852057242</v>
      </c>
      <c r="R208" s="206">
        <f t="shared" si="3"/>
        <v>18</v>
      </c>
      <c r="S208" s="32">
        <v>3.15E-2</v>
      </c>
      <c r="T208" s="32">
        <v>8.0199999999999994E-2</v>
      </c>
      <c r="U208" s="203"/>
    </row>
    <row r="209" spans="1:21" ht="16.8">
      <c r="A209" s="200" t="s">
        <v>5416</v>
      </c>
      <c r="B209" s="228"/>
      <c r="C209" s="229"/>
      <c r="D209" s="203"/>
      <c r="E209" s="203" t="s">
        <v>5210</v>
      </c>
      <c r="F209" s="203">
        <v>2023</v>
      </c>
      <c r="G209" s="203">
        <v>2004</v>
      </c>
      <c r="H209" s="204">
        <v>904406175973</v>
      </c>
      <c r="I209" s="204">
        <v>373003574394</v>
      </c>
      <c r="J209" s="204">
        <v>346416657813</v>
      </c>
      <c r="K209" s="204">
        <f t="shared" si="5"/>
        <v>531402601579</v>
      </c>
      <c r="L209" s="204">
        <v>761387124989</v>
      </c>
      <c r="M209" s="204">
        <f>5336181546+18131455158</f>
        <v>23467636704</v>
      </c>
      <c r="N209" s="204">
        <v>478172346</v>
      </c>
      <c r="O209" s="205">
        <f t="shared" si="0"/>
        <v>5.2871415377671554E-4</v>
      </c>
      <c r="P209" s="205">
        <f t="shared" si="1"/>
        <v>0.41242926497345767</v>
      </c>
      <c r="Q209" s="206">
        <f t="shared" si="2"/>
        <v>27.530544406133853</v>
      </c>
      <c r="R209" s="206">
        <f t="shared" si="3"/>
        <v>19</v>
      </c>
      <c r="S209" s="32">
        <v>3.2500000000000001E-2</v>
      </c>
      <c r="T209" s="32">
        <v>5.0500000000000003E-2</v>
      </c>
      <c r="U209" s="203"/>
    </row>
    <row r="210" spans="1:21" ht="16.8">
      <c r="A210" s="260" t="s">
        <v>3726</v>
      </c>
      <c r="B210" s="228">
        <v>71</v>
      </c>
      <c r="C210" s="229" t="s">
        <v>3726</v>
      </c>
      <c r="D210" s="203" t="s">
        <v>3727</v>
      </c>
      <c r="E210" s="203" t="s">
        <v>5210</v>
      </c>
      <c r="F210" s="203">
        <v>2021</v>
      </c>
      <c r="G210" s="203">
        <v>1984</v>
      </c>
      <c r="H210" s="204">
        <v>749101035092</v>
      </c>
      <c r="I210" s="204">
        <v>412363927884</v>
      </c>
      <c r="J210" s="204">
        <v>412363927884</v>
      </c>
      <c r="K210" s="204">
        <f t="shared" si="5"/>
        <v>336737107208</v>
      </c>
      <c r="L210" s="204">
        <v>895836126639</v>
      </c>
      <c r="M210" s="204">
        <f>41993659050+26200197629</f>
        <v>68193856679</v>
      </c>
      <c r="N210" s="204">
        <v>15201049511</v>
      </c>
      <c r="O210" s="205">
        <f t="shared" si="0"/>
        <v>2.0292388875331215E-2</v>
      </c>
      <c r="P210" s="205">
        <f t="shared" si="1"/>
        <v>0.55047838484611888</v>
      </c>
      <c r="Q210" s="206">
        <f t="shared" si="2"/>
        <v>27.342139704680097</v>
      </c>
      <c r="R210" s="206">
        <f t="shared" si="3"/>
        <v>37</v>
      </c>
      <c r="S210" s="32">
        <v>1.84E-2</v>
      </c>
      <c r="T210" s="32">
        <v>2.58E-2</v>
      </c>
      <c r="U210" s="203"/>
    </row>
    <row r="211" spans="1:21" ht="16.8">
      <c r="A211" s="257"/>
      <c r="B211" s="228"/>
      <c r="C211" s="229"/>
      <c r="D211" s="203"/>
      <c r="E211" s="203" t="s">
        <v>5210</v>
      </c>
      <c r="F211" s="203">
        <v>2022</v>
      </c>
      <c r="G211" s="203">
        <v>1984</v>
      </c>
      <c r="H211" s="204">
        <v>641562410234</v>
      </c>
      <c r="I211" s="204">
        <v>305627839531</v>
      </c>
      <c r="J211" s="204">
        <v>305627839531</v>
      </c>
      <c r="K211" s="204">
        <f t="shared" si="5"/>
        <v>335934570703</v>
      </c>
      <c r="L211" s="204">
        <v>1033094121863</v>
      </c>
      <c r="M211" s="204">
        <f>46236445144+25110394180</f>
        <v>71346839324</v>
      </c>
      <c r="N211" s="204">
        <v>14959332695</v>
      </c>
      <c r="O211" s="205">
        <f t="shared" si="0"/>
        <v>2.3317034253212892E-2</v>
      </c>
      <c r="P211" s="205">
        <f t="shared" si="1"/>
        <v>0.47638052768635081</v>
      </c>
      <c r="Q211" s="206">
        <f t="shared" si="2"/>
        <v>27.187172304241876</v>
      </c>
      <c r="R211" s="206">
        <f t="shared" si="3"/>
        <v>38</v>
      </c>
      <c r="S211" s="32">
        <v>3.15E-2</v>
      </c>
      <c r="T211" s="32">
        <v>8.0199999999999994E-2</v>
      </c>
      <c r="U211" s="203"/>
    </row>
    <row r="212" spans="1:21" ht="16.8">
      <c r="A212" s="257"/>
      <c r="B212" s="228"/>
      <c r="C212" s="229"/>
      <c r="D212" s="203"/>
      <c r="E212" s="203" t="s">
        <v>5210</v>
      </c>
      <c r="F212" s="203">
        <v>2023</v>
      </c>
      <c r="G212" s="203">
        <v>1984</v>
      </c>
      <c r="H212" s="204">
        <v>461911203713</v>
      </c>
      <c r="I212" s="204">
        <v>174752762325</v>
      </c>
      <c r="J212" s="204">
        <v>174752762325</v>
      </c>
      <c r="K212" s="204">
        <f t="shared" si="5"/>
        <v>287158441388</v>
      </c>
      <c r="L212" s="204">
        <v>567046033540</v>
      </c>
      <c r="M212" s="204">
        <f>14210364499+19936600659</f>
        <v>34146965158</v>
      </c>
      <c r="N212" s="204">
        <v>-48776129315</v>
      </c>
      <c r="O212" s="205">
        <f t="shared" si="0"/>
        <v>-0.10559633306774292</v>
      </c>
      <c r="P212" s="205">
        <f t="shared" si="1"/>
        <v>0.37832544636345172</v>
      </c>
      <c r="Q212" s="206">
        <f t="shared" si="2"/>
        <v>26.858638509799999</v>
      </c>
      <c r="R212" s="206">
        <f t="shared" si="3"/>
        <v>39</v>
      </c>
      <c r="S212" s="32">
        <v>3.2500000000000001E-2</v>
      </c>
      <c r="T212" s="32">
        <v>5.0500000000000003E-2</v>
      </c>
      <c r="U212" s="203"/>
    </row>
    <row r="213" spans="1:21" ht="16.8">
      <c r="A213" s="261" t="s">
        <v>3741</v>
      </c>
      <c r="B213" s="228">
        <v>72</v>
      </c>
      <c r="C213" s="229" t="s">
        <v>3741</v>
      </c>
      <c r="D213" s="203" t="s">
        <v>5417</v>
      </c>
      <c r="E213" s="203" t="s">
        <v>5210</v>
      </c>
      <c r="F213" s="221">
        <v>2021</v>
      </c>
      <c r="G213" s="203">
        <v>1976</v>
      </c>
      <c r="H213" s="204">
        <v>2303481940568</v>
      </c>
      <c r="I213" s="204">
        <v>288881279277</v>
      </c>
      <c r="J213" s="204">
        <v>274343416279</v>
      </c>
      <c r="K213" s="204">
        <f t="shared" si="5"/>
        <v>2014600661291</v>
      </c>
      <c r="L213" s="204">
        <v>522034004870</v>
      </c>
      <c r="M213" s="204">
        <f>65198616934+51172675186</f>
        <v>116371292120</v>
      </c>
      <c r="N213" s="204">
        <v>132055251176</v>
      </c>
      <c r="O213" s="205">
        <f t="shared" si="0"/>
        <v>5.7328537658705235E-2</v>
      </c>
      <c r="P213" s="205">
        <f t="shared" si="1"/>
        <v>0.12541069855566861</v>
      </c>
      <c r="Q213" s="206">
        <f t="shared" si="2"/>
        <v>28.465442981295123</v>
      </c>
      <c r="R213" s="206">
        <f t="shared" si="3"/>
        <v>45</v>
      </c>
      <c r="S213" s="32">
        <v>1.84E-2</v>
      </c>
      <c r="T213" s="32">
        <v>2.58E-2</v>
      </c>
      <c r="U213" s="203"/>
    </row>
    <row r="214" spans="1:21" ht="16.8">
      <c r="A214" s="257"/>
      <c r="B214" s="228"/>
      <c r="C214" s="229"/>
      <c r="D214" s="203"/>
      <c r="E214" s="203" t="s">
        <v>5210</v>
      </c>
      <c r="F214" s="221">
        <v>2022</v>
      </c>
      <c r="G214" s="203">
        <v>1976</v>
      </c>
      <c r="H214" s="204">
        <v>2723736901130</v>
      </c>
      <c r="I214" s="204">
        <v>226175289738</v>
      </c>
      <c r="J214" s="204">
        <v>207106350124</v>
      </c>
      <c r="K214" s="204">
        <f t="shared" si="5"/>
        <v>2497561611392</v>
      </c>
      <c r="L214" s="204">
        <v>912134986057</v>
      </c>
      <c r="M214" s="204">
        <f>117233179460+121501443370</f>
        <v>238734622830</v>
      </c>
      <c r="N214" s="204">
        <v>-46422663104</v>
      </c>
      <c r="O214" s="205">
        <f t="shared" si="0"/>
        <v>-1.7043739828446931E-2</v>
      </c>
      <c r="P214" s="205">
        <f t="shared" si="1"/>
        <v>8.3038596585509564E-2</v>
      </c>
      <c r="Q214" s="206">
        <f t="shared" si="2"/>
        <v>28.633025914062884</v>
      </c>
      <c r="R214" s="206">
        <f t="shared" si="3"/>
        <v>46</v>
      </c>
      <c r="S214" s="32">
        <v>3.15E-2</v>
      </c>
      <c r="T214" s="32">
        <v>8.0199999999999994E-2</v>
      </c>
      <c r="U214" s="203"/>
    </row>
    <row r="215" spans="1:21" ht="16.8">
      <c r="A215" s="257"/>
      <c r="B215" s="228"/>
      <c r="C215" s="229"/>
      <c r="D215" s="203"/>
      <c r="E215" s="203" t="s">
        <v>5210</v>
      </c>
      <c r="F215" s="221">
        <v>2023</v>
      </c>
      <c r="G215" s="203">
        <v>1976</v>
      </c>
      <c r="H215" s="204">
        <v>2974588196170</v>
      </c>
      <c r="I215" s="204">
        <v>488226767884</v>
      </c>
      <c r="J215" s="204">
        <v>488226767884</v>
      </c>
      <c r="K215" s="204">
        <f t="shared" si="5"/>
        <v>2486361428286</v>
      </c>
      <c r="L215" s="204">
        <v>477533713075</v>
      </c>
      <c r="M215" s="204">
        <f>40784397319+93509679408</f>
        <v>134294076727</v>
      </c>
      <c r="N215" s="204">
        <v>-11200183106</v>
      </c>
      <c r="O215" s="205">
        <f t="shared" si="0"/>
        <v>-3.7652886273202642E-3</v>
      </c>
      <c r="P215" s="205">
        <f t="shared" si="1"/>
        <v>0.16413255741168734</v>
      </c>
      <c r="Q215" s="206">
        <f t="shared" si="2"/>
        <v>28.721126723889544</v>
      </c>
      <c r="R215" s="206">
        <f t="shared" si="3"/>
        <v>47</v>
      </c>
      <c r="S215" s="32">
        <v>3.2500000000000001E-2</v>
      </c>
      <c r="T215" s="32">
        <v>5.0500000000000003E-2</v>
      </c>
      <c r="U215" s="203"/>
    </row>
    <row r="216" spans="1:21" ht="15.6">
      <c r="A216" s="211"/>
      <c r="B216" s="212">
        <v>73</v>
      </c>
      <c r="C216" s="211" t="s">
        <v>2052</v>
      </c>
      <c r="D216" s="211" t="s">
        <v>5418</v>
      </c>
      <c r="E216" s="211" t="s">
        <v>3225</v>
      </c>
      <c r="F216" s="230">
        <v>2021</v>
      </c>
      <c r="G216" s="211">
        <v>1998</v>
      </c>
      <c r="H216" s="213"/>
      <c r="I216" s="213"/>
      <c r="J216" s="213"/>
      <c r="K216" s="213"/>
      <c r="L216" s="213"/>
      <c r="M216" s="213"/>
      <c r="N216" s="213"/>
      <c r="O216" s="205" t="e">
        <f t="shared" si="0"/>
        <v>#DIV/0!</v>
      </c>
      <c r="P216" s="205" t="e">
        <f t="shared" si="1"/>
        <v>#DIV/0!</v>
      </c>
      <c r="Q216" s="206" t="e">
        <f t="shared" si="2"/>
        <v>#NUM!</v>
      </c>
      <c r="R216" s="206">
        <f t="shared" si="3"/>
        <v>23</v>
      </c>
      <c r="S216" s="213"/>
      <c r="T216" s="213"/>
      <c r="U216" s="211"/>
    </row>
    <row r="217" spans="1:21" ht="16.8">
      <c r="A217" s="260" t="s">
        <v>5137</v>
      </c>
      <c r="B217" s="228">
        <v>74</v>
      </c>
      <c r="C217" s="229" t="s">
        <v>5137</v>
      </c>
      <c r="D217" s="203" t="s">
        <v>5419</v>
      </c>
      <c r="E217" s="203" t="s">
        <v>5210</v>
      </c>
      <c r="F217" s="221">
        <v>2021</v>
      </c>
      <c r="G217" s="203">
        <v>2014</v>
      </c>
      <c r="H217" s="204">
        <v>1098617835895</v>
      </c>
      <c r="I217" s="204">
        <v>798989941838</v>
      </c>
      <c r="J217" s="204">
        <v>97451170507</v>
      </c>
      <c r="K217" s="204">
        <f t="shared" ref="K217:K267" si="6">H217-I217</f>
        <v>299627894057</v>
      </c>
      <c r="L217" s="204">
        <v>143283066499</v>
      </c>
      <c r="M217" s="204">
        <v>4777121445</v>
      </c>
      <c r="N217" s="204">
        <v>27767900449</v>
      </c>
      <c r="O217" s="205">
        <f t="shared" si="0"/>
        <v>2.5275304607064387E-2</v>
      </c>
      <c r="P217" s="205">
        <f t="shared" si="1"/>
        <v>0.72726831454278629</v>
      </c>
      <c r="Q217" s="206">
        <f t="shared" si="2"/>
        <v>27.725073992836013</v>
      </c>
      <c r="R217" s="206">
        <f t="shared" si="3"/>
        <v>7</v>
      </c>
      <c r="S217" s="32">
        <v>1.84E-2</v>
      </c>
      <c r="T217" s="32">
        <v>2.58E-2</v>
      </c>
      <c r="U217" s="203"/>
    </row>
    <row r="218" spans="1:21" ht="16.8">
      <c r="A218" s="257"/>
      <c r="B218" s="228"/>
      <c r="C218" s="229"/>
      <c r="D218" s="203"/>
      <c r="E218" s="203" t="s">
        <v>5210</v>
      </c>
      <c r="F218" s="221">
        <v>2022</v>
      </c>
      <c r="G218" s="203">
        <v>2014</v>
      </c>
      <c r="H218" s="204">
        <v>1336055881755</v>
      </c>
      <c r="I218" s="204">
        <v>1014626572568</v>
      </c>
      <c r="J218" s="204">
        <v>129317622058</v>
      </c>
      <c r="K218" s="204">
        <f t="shared" si="6"/>
        <v>321429309187</v>
      </c>
      <c r="L218" s="204">
        <v>153137757382</v>
      </c>
      <c r="M218" s="204">
        <v>6454940424</v>
      </c>
      <c r="N218" s="204">
        <v>21801415130</v>
      </c>
      <c r="O218" s="205">
        <f t="shared" si="0"/>
        <v>1.6317741965524948E-2</v>
      </c>
      <c r="P218" s="205">
        <f t="shared" si="1"/>
        <v>0.7594192626398375</v>
      </c>
      <c r="Q218" s="206">
        <f t="shared" si="2"/>
        <v>27.920743017829178</v>
      </c>
      <c r="R218" s="206">
        <f t="shared" si="3"/>
        <v>8</v>
      </c>
      <c r="S218" s="32">
        <v>3.15E-2</v>
      </c>
      <c r="T218" s="32">
        <v>8.0199999999999994E-2</v>
      </c>
      <c r="U218" s="203"/>
    </row>
    <row r="219" spans="1:21" ht="16.8">
      <c r="A219" s="257"/>
      <c r="B219" s="228"/>
      <c r="C219" s="229"/>
      <c r="D219" s="203"/>
      <c r="E219" s="203" t="s">
        <v>5210</v>
      </c>
      <c r="F219" s="221">
        <v>2023</v>
      </c>
      <c r="G219" s="203">
        <v>2014</v>
      </c>
      <c r="H219" s="204">
        <v>1250101118689</v>
      </c>
      <c r="I219" s="204">
        <v>929025124145</v>
      </c>
      <c r="J219" s="204">
        <v>190235253279</v>
      </c>
      <c r="K219" s="204">
        <f t="shared" si="6"/>
        <v>321075994544</v>
      </c>
      <c r="L219" s="204">
        <v>142661691649</v>
      </c>
      <c r="M219" s="204">
        <v>6484537953</v>
      </c>
      <c r="N219" s="204">
        <v>-1665558769</v>
      </c>
      <c r="O219" s="205">
        <f t="shared" si="0"/>
        <v>-1.3323392356825476E-3</v>
      </c>
      <c r="P219" s="205">
        <f t="shared" si="1"/>
        <v>0.74315998142556883</v>
      </c>
      <c r="Q219" s="206">
        <f t="shared" si="2"/>
        <v>27.854245558922138</v>
      </c>
      <c r="R219" s="206">
        <f t="shared" si="3"/>
        <v>9</v>
      </c>
      <c r="S219" s="32">
        <v>3.2500000000000001E-2</v>
      </c>
      <c r="T219" s="32">
        <v>5.0500000000000003E-2</v>
      </c>
      <c r="U219" s="203"/>
    </row>
    <row r="220" spans="1:21" ht="16.8">
      <c r="A220" s="200" t="s">
        <v>5420</v>
      </c>
      <c r="B220" s="228">
        <v>75</v>
      </c>
      <c r="C220" s="229" t="s">
        <v>3746</v>
      </c>
      <c r="D220" s="203" t="s">
        <v>5421</v>
      </c>
      <c r="E220" s="203" t="s">
        <v>5210</v>
      </c>
      <c r="F220" s="221">
        <v>2021</v>
      </c>
      <c r="G220" s="203">
        <v>1993</v>
      </c>
      <c r="H220" s="204">
        <v>2838339379135</v>
      </c>
      <c r="I220" s="204">
        <v>2383068543372</v>
      </c>
      <c r="J220" s="204">
        <v>2341539684975</v>
      </c>
      <c r="K220" s="204">
        <f t="shared" si="6"/>
        <v>455270835763</v>
      </c>
      <c r="L220" s="204">
        <v>1626523010460</v>
      </c>
      <c r="M220" s="204">
        <f>148426035871+139907428420</f>
        <v>288333464291</v>
      </c>
      <c r="N220" s="204">
        <v>2511778987</v>
      </c>
      <c r="O220" s="205">
        <f t="shared" si="0"/>
        <v>8.8494667179845102E-4</v>
      </c>
      <c r="P220" s="205">
        <f t="shared" si="1"/>
        <v>0.83959957744667368</v>
      </c>
      <c r="Q220" s="206">
        <f t="shared" si="2"/>
        <v>28.674240271426257</v>
      </c>
      <c r="R220" s="206">
        <f t="shared" si="3"/>
        <v>28</v>
      </c>
      <c r="S220" s="32">
        <v>1.84E-2</v>
      </c>
      <c r="T220" s="32">
        <v>2.58E-2</v>
      </c>
      <c r="U220" s="203"/>
    </row>
    <row r="221" spans="1:21" ht="16.8">
      <c r="A221" s="200" t="s">
        <v>5422</v>
      </c>
      <c r="B221" s="228"/>
      <c r="C221" s="229"/>
      <c r="D221" s="203"/>
      <c r="E221" s="203" t="s">
        <v>5210</v>
      </c>
      <c r="F221" s="221">
        <v>2022</v>
      </c>
      <c r="G221" s="203">
        <v>1993</v>
      </c>
      <c r="H221" s="204">
        <v>3006065063958</v>
      </c>
      <c r="I221" s="204">
        <v>2573203819247</v>
      </c>
      <c r="J221" s="204">
        <v>1503524419340</v>
      </c>
      <c r="K221" s="204">
        <f t="shared" si="6"/>
        <v>432861244711</v>
      </c>
      <c r="L221" s="204">
        <v>2014424647092</v>
      </c>
      <c r="M221" s="204">
        <f>156942769660+117135333153</f>
        <v>274078102813</v>
      </c>
      <c r="N221" s="204">
        <v>-1229591052</v>
      </c>
      <c r="O221" s="205">
        <f t="shared" si="0"/>
        <v>-4.0903673933824725E-4</v>
      </c>
      <c r="P221" s="205">
        <f t="shared" si="1"/>
        <v>0.85600403334548458</v>
      </c>
      <c r="Q221" s="206">
        <f t="shared" si="2"/>
        <v>28.731653051721693</v>
      </c>
      <c r="R221" s="206">
        <f t="shared" si="3"/>
        <v>29</v>
      </c>
      <c r="S221" s="32">
        <v>3.15E-2</v>
      </c>
      <c r="T221" s="32">
        <v>8.0199999999999994E-2</v>
      </c>
      <c r="U221" s="203"/>
    </row>
    <row r="222" spans="1:21" ht="16.8">
      <c r="A222" s="200" t="s">
        <v>5423</v>
      </c>
      <c r="B222" s="228"/>
      <c r="C222" s="229"/>
      <c r="D222" s="203"/>
      <c r="E222" s="203" t="s">
        <v>5210</v>
      </c>
      <c r="F222" s="221">
        <v>2023</v>
      </c>
      <c r="G222" s="203">
        <v>1993</v>
      </c>
      <c r="H222" s="204">
        <v>2850460549706</v>
      </c>
      <c r="I222" s="204">
        <v>2583330815919</v>
      </c>
      <c r="J222" s="204">
        <v>1517748460774</v>
      </c>
      <c r="K222" s="204">
        <f t="shared" si="6"/>
        <v>267129733787</v>
      </c>
      <c r="L222" s="204">
        <v>1567371979837</v>
      </c>
      <c r="M222" s="204">
        <f>124491488446+130496898117</f>
        <v>254988386563</v>
      </c>
      <c r="N222" s="204">
        <v>-144246908185</v>
      </c>
      <c r="O222" s="205">
        <f t="shared" si="0"/>
        <v>-5.0604772691864759E-2</v>
      </c>
      <c r="P222" s="205">
        <f t="shared" si="1"/>
        <v>0.90628541278547003</v>
      </c>
      <c r="Q222" s="206">
        <f t="shared" si="2"/>
        <v>28.678501693541886</v>
      </c>
      <c r="R222" s="206">
        <f t="shared" si="3"/>
        <v>30</v>
      </c>
      <c r="S222" s="32">
        <v>3.2500000000000001E-2</v>
      </c>
      <c r="T222" s="32">
        <v>5.0500000000000003E-2</v>
      </c>
      <c r="U222" s="203"/>
    </row>
    <row r="223" spans="1:21" ht="16.8">
      <c r="A223" s="260" t="s">
        <v>4902</v>
      </c>
      <c r="B223" s="228">
        <v>76</v>
      </c>
      <c r="C223" s="229" t="s">
        <v>4902</v>
      </c>
      <c r="D223" s="203" t="s">
        <v>5424</v>
      </c>
      <c r="E223" s="203" t="s">
        <v>5210</v>
      </c>
      <c r="F223" s="221">
        <v>2021</v>
      </c>
      <c r="G223" s="203">
        <v>2006</v>
      </c>
      <c r="H223" s="204">
        <v>1805139780000</v>
      </c>
      <c r="I223" s="204">
        <v>437270840000</v>
      </c>
      <c r="J223" s="204">
        <v>261863330000</v>
      </c>
      <c r="K223" s="204">
        <f t="shared" si="6"/>
        <v>1367868940000</v>
      </c>
      <c r="L223" s="204">
        <v>180243750000</v>
      </c>
      <c r="M223" s="204">
        <v>62277590000</v>
      </c>
      <c r="N223" s="204">
        <v>-22632920000</v>
      </c>
      <c r="O223" s="205">
        <f t="shared" si="0"/>
        <v>-1.2538042898816401E-2</v>
      </c>
      <c r="P223" s="205">
        <f t="shared" si="1"/>
        <v>0.24223655411327757</v>
      </c>
      <c r="Q223" s="206">
        <f t="shared" si="2"/>
        <v>28.221659145158249</v>
      </c>
      <c r="R223" s="206">
        <f t="shared" si="3"/>
        <v>15</v>
      </c>
      <c r="S223" s="32">
        <v>1.84E-2</v>
      </c>
      <c r="T223" s="32">
        <v>2.58E-2</v>
      </c>
      <c r="U223" s="203"/>
    </row>
    <row r="224" spans="1:21" ht="16.8">
      <c r="A224" s="257"/>
      <c r="B224" s="228"/>
      <c r="C224" s="229"/>
      <c r="D224" s="203"/>
      <c r="E224" s="203" t="s">
        <v>5210</v>
      </c>
      <c r="F224" s="221">
        <v>2022</v>
      </c>
      <c r="G224" s="203">
        <v>2006</v>
      </c>
      <c r="H224" s="204">
        <v>999441050000</v>
      </c>
      <c r="I224" s="204">
        <v>130483300000</v>
      </c>
      <c r="J224" s="204">
        <v>130483300000</v>
      </c>
      <c r="K224" s="204">
        <f t="shared" si="6"/>
        <v>868957750000</v>
      </c>
      <c r="L224" s="204">
        <v>153713854808</v>
      </c>
      <c r="M224" s="204">
        <v>409465590000</v>
      </c>
      <c r="N224" s="204">
        <v>-92816360000</v>
      </c>
      <c r="O224" s="205">
        <f t="shared" si="0"/>
        <v>-9.286826871880037E-2</v>
      </c>
      <c r="P224" s="205">
        <f t="shared" si="1"/>
        <v>0.13055627442959242</v>
      </c>
      <c r="Q224" s="206">
        <f t="shared" si="2"/>
        <v>27.630462009657762</v>
      </c>
      <c r="R224" s="206">
        <f t="shared" si="3"/>
        <v>16</v>
      </c>
      <c r="S224" s="32">
        <v>3.15E-2</v>
      </c>
      <c r="T224" s="32">
        <v>8.0199999999999994E-2</v>
      </c>
      <c r="U224" s="203"/>
    </row>
    <row r="225" spans="1:21" ht="16.8">
      <c r="A225" s="257"/>
      <c r="B225" s="228"/>
      <c r="C225" s="229"/>
      <c r="D225" s="203"/>
      <c r="E225" s="203" t="s">
        <v>5210</v>
      </c>
      <c r="F225" s="221">
        <v>2023</v>
      </c>
      <c r="G225" s="203">
        <v>2006</v>
      </c>
      <c r="H225" s="204">
        <v>1006767027229</v>
      </c>
      <c r="I225" s="204">
        <v>22315253474</v>
      </c>
      <c r="J225" s="204">
        <v>9657552082</v>
      </c>
      <c r="K225" s="204">
        <f t="shared" si="6"/>
        <v>984451773755</v>
      </c>
      <c r="L225" s="204">
        <v>142330616942</v>
      </c>
      <c r="M225" s="204">
        <v>30306713166</v>
      </c>
      <c r="N225" s="204">
        <v>-40524521307</v>
      </c>
      <c r="O225" s="205">
        <f t="shared" si="0"/>
        <v>-4.0252134020060892E-2</v>
      </c>
      <c r="P225" s="205">
        <f t="shared" si="1"/>
        <v>2.2165260552304673E-2</v>
      </c>
      <c r="Q225" s="206">
        <f t="shared" si="2"/>
        <v>27.637765349600755</v>
      </c>
      <c r="R225" s="206">
        <f t="shared" si="3"/>
        <v>17</v>
      </c>
      <c r="S225" s="32">
        <v>3.2500000000000001E-2</v>
      </c>
      <c r="T225" s="32">
        <v>5.0500000000000003E-2</v>
      </c>
      <c r="U225" s="203"/>
    </row>
    <row r="226" spans="1:21" ht="16.8">
      <c r="A226" s="200" t="s">
        <v>5425</v>
      </c>
      <c r="B226" s="228">
        <v>77</v>
      </c>
      <c r="C226" s="229" t="s">
        <v>3756</v>
      </c>
      <c r="D226" s="203" t="s">
        <v>5426</v>
      </c>
      <c r="E226" s="203" t="s">
        <v>5210</v>
      </c>
      <c r="F226" s="221">
        <v>2021</v>
      </c>
      <c r="G226" s="203">
        <v>1955</v>
      </c>
      <c r="H226" s="204">
        <v>1215935258927</v>
      </c>
      <c r="I226" s="204">
        <v>726704226363</v>
      </c>
      <c r="J226" s="204">
        <v>726704226363</v>
      </c>
      <c r="K226" s="204">
        <f t="shared" si="6"/>
        <v>489231032564</v>
      </c>
      <c r="L226" s="204">
        <v>2127113291305</v>
      </c>
      <c r="M226" s="204">
        <f>26726948808+41117639330</f>
        <v>67844588138</v>
      </c>
      <c r="N226" s="204">
        <v>66979107976</v>
      </c>
      <c r="O226" s="205">
        <f t="shared" si="0"/>
        <v>5.5084436020965126E-2</v>
      </c>
      <c r="P226" s="205">
        <f t="shared" si="1"/>
        <v>0.59765042672113888</v>
      </c>
      <c r="Q226" s="206">
        <f t="shared" si="2"/>
        <v>27.82653465704119</v>
      </c>
      <c r="R226" s="206">
        <f t="shared" si="3"/>
        <v>66</v>
      </c>
      <c r="S226" s="32">
        <v>1.84E-2</v>
      </c>
      <c r="T226" s="32">
        <v>2.58E-2</v>
      </c>
      <c r="U226" s="203"/>
    </row>
    <row r="227" spans="1:21" ht="16.8">
      <c r="A227" s="200" t="s">
        <v>5427</v>
      </c>
      <c r="B227" s="228"/>
      <c r="C227" s="229"/>
      <c r="D227" s="203"/>
      <c r="E227" s="203" t="s">
        <v>5210</v>
      </c>
      <c r="F227" s="221">
        <v>2022</v>
      </c>
      <c r="G227" s="203">
        <v>1955</v>
      </c>
      <c r="H227" s="204">
        <v>1047597639383</v>
      </c>
      <c r="I227" s="204">
        <v>555736885584</v>
      </c>
      <c r="J227" s="204">
        <v>555736885584</v>
      </c>
      <c r="K227" s="204">
        <f t="shared" si="6"/>
        <v>491860753799</v>
      </c>
      <c r="L227" s="204">
        <v>2087710406510</v>
      </c>
      <c r="M227" s="204">
        <f>26794697015+42181009275</f>
        <v>68975706290</v>
      </c>
      <c r="N227" s="204">
        <v>31950212288</v>
      </c>
      <c r="O227" s="205">
        <f t="shared" si="0"/>
        <v>3.0498553153305699E-2</v>
      </c>
      <c r="P227" s="205">
        <f t="shared" si="1"/>
        <v>0.53048695862975637</v>
      </c>
      <c r="Q227" s="206">
        <f t="shared" si="2"/>
        <v>27.677520696220231</v>
      </c>
      <c r="R227" s="206">
        <f t="shared" si="3"/>
        <v>67</v>
      </c>
      <c r="S227" s="32">
        <v>3.15E-2</v>
      </c>
      <c r="T227" s="32">
        <v>8.0199999999999994E-2</v>
      </c>
      <c r="U227" s="203"/>
    </row>
    <row r="228" spans="1:21" ht="16.8">
      <c r="A228" s="200" t="s">
        <v>5428</v>
      </c>
      <c r="B228" s="228"/>
      <c r="C228" s="229"/>
      <c r="D228" s="203"/>
      <c r="E228" s="203" t="s">
        <v>5210</v>
      </c>
      <c r="F228" s="221">
        <v>2023</v>
      </c>
      <c r="G228" s="203">
        <v>1955</v>
      </c>
      <c r="H228" s="204">
        <v>955342703130</v>
      </c>
      <c r="I228" s="204">
        <v>475607595533</v>
      </c>
      <c r="J228" s="204">
        <v>475607595533</v>
      </c>
      <c r="K228" s="204">
        <f t="shared" si="6"/>
        <v>479735107597</v>
      </c>
      <c r="L228" s="204">
        <v>1467791489154</v>
      </c>
      <c r="M228" s="204">
        <f>24626645792+43053385641</f>
        <v>67680031433</v>
      </c>
      <c r="N228" s="204">
        <v>961317011</v>
      </c>
      <c r="O228" s="205">
        <f t="shared" si="0"/>
        <v>1.0062535756545021E-3</v>
      </c>
      <c r="P228" s="205">
        <f t="shared" si="1"/>
        <v>0.49783977411955049</v>
      </c>
      <c r="Q228" s="206">
        <f t="shared" si="2"/>
        <v>27.585335964500388</v>
      </c>
      <c r="R228" s="206">
        <f t="shared" si="3"/>
        <v>68</v>
      </c>
      <c r="S228" s="32">
        <v>3.2500000000000001E-2</v>
      </c>
      <c r="T228" s="32">
        <v>5.0500000000000003E-2</v>
      </c>
      <c r="U228" s="203"/>
    </row>
    <row r="229" spans="1:21" ht="16.8">
      <c r="A229" s="200" t="s">
        <v>5429</v>
      </c>
      <c r="B229" s="228">
        <v>78</v>
      </c>
      <c r="C229" s="229" t="s">
        <v>3818</v>
      </c>
      <c r="D229" s="203" t="s">
        <v>5430</v>
      </c>
      <c r="E229" s="203" t="s">
        <v>5210</v>
      </c>
      <c r="F229" s="221">
        <v>2021</v>
      </c>
      <c r="G229" s="203">
        <v>2007</v>
      </c>
      <c r="H229" s="204">
        <v>51653704011340</v>
      </c>
      <c r="I229" s="204">
        <v>34799493690860</v>
      </c>
      <c r="J229" s="204">
        <v>15522180566553</v>
      </c>
      <c r="K229" s="204">
        <f t="shared" si="6"/>
        <v>16854210320480</v>
      </c>
      <c r="L229" s="204">
        <v>12874919725450</v>
      </c>
      <c r="M229" s="204">
        <f>607756237934+365729158499</f>
        <v>973485396433</v>
      </c>
      <c r="N229" s="204">
        <v>79659307309</v>
      </c>
      <c r="O229" s="205">
        <f t="shared" si="0"/>
        <v>1.5421799623800778E-3</v>
      </c>
      <c r="P229" s="205">
        <f t="shared" si="1"/>
        <v>0.67370761413780034</v>
      </c>
      <c r="Q229" s="206">
        <f t="shared" si="2"/>
        <v>31.575583022598401</v>
      </c>
      <c r="R229" s="206">
        <f t="shared" si="3"/>
        <v>14</v>
      </c>
      <c r="S229" s="32">
        <v>1.84E-2</v>
      </c>
      <c r="T229" s="32">
        <v>2.58E-2</v>
      </c>
      <c r="U229" s="203"/>
    </row>
    <row r="230" spans="1:21" ht="16.8">
      <c r="A230" s="200" t="s">
        <v>5431</v>
      </c>
      <c r="B230" s="228"/>
      <c r="C230" s="229"/>
      <c r="D230" s="203"/>
      <c r="E230" s="203" t="s">
        <v>5210</v>
      </c>
      <c r="F230" s="221">
        <v>2022</v>
      </c>
      <c r="G230" s="203">
        <v>2007</v>
      </c>
      <c r="H230" s="204">
        <v>68036964433312</v>
      </c>
      <c r="I230" s="204">
        <v>53136669609828</v>
      </c>
      <c r="J230" s="204">
        <v>30417318604359</v>
      </c>
      <c r="K230" s="204">
        <f t="shared" si="6"/>
        <v>14900294823484</v>
      </c>
      <c r="L230" s="204">
        <v>40141863488029</v>
      </c>
      <c r="M230" s="204">
        <f>936343663352+534452104416</f>
        <v>1470795767768</v>
      </c>
      <c r="N230" s="204">
        <v>-2262974843785</v>
      </c>
      <c r="O230" s="205">
        <f t="shared" si="0"/>
        <v>-3.3260961341141357E-2</v>
      </c>
      <c r="P230" s="205">
        <f t="shared" si="1"/>
        <v>0.7809970661155986</v>
      </c>
      <c r="Q230" s="206">
        <f t="shared" si="2"/>
        <v>31.851072268018157</v>
      </c>
      <c r="R230" s="206">
        <f t="shared" si="3"/>
        <v>15</v>
      </c>
      <c r="S230" s="32">
        <v>3.15E-2</v>
      </c>
      <c r="T230" s="32">
        <v>8.0199999999999994E-2</v>
      </c>
      <c r="U230" s="203"/>
    </row>
    <row r="231" spans="1:21" ht="16.8">
      <c r="A231" s="200" t="s">
        <v>5432</v>
      </c>
      <c r="B231" s="228"/>
      <c r="C231" s="229"/>
      <c r="D231" s="203"/>
      <c r="E231" s="203" t="s">
        <v>5210</v>
      </c>
      <c r="F231" s="221">
        <v>2023</v>
      </c>
      <c r="G231" s="203">
        <v>2007</v>
      </c>
      <c r="H231" s="204">
        <v>86925420916769</v>
      </c>
      <c r="I231" s="204">
        <v>71672280613334</v>
      </c>
      <c r="J231" s="204">
        <v>38861475794473</v>
      </c>
      <c r="K231" s="204">
        <f t="shared" si="6"/>
        <v>15253140303435</v>
      </c>
      <c r="L231" s="204">
        <v>58340618715308</v>
      </c>
      <c r="M231" s="204">
        <f>1950124205949+1099316843401</f>
        <v>3049441049350</v>
      </c>
      <c r="N231" s="204">
        <v>231413415351</v>
      </c>
      <c r="O231" s="205">
        <f t="shared" si="0"/>
        <v>2.6622064398466143E-3</v>
      </c>
      <c r="P231" s="205">
        <f t="shared" si="1"/>
        <v>0.82452612662019931</v>
      </c>
      <c r="Q231" s="206">
        <f t="shared" si="2"/>
        <v>32.096071636108924</v>
      </c>
      <c r="R231" s="206">
        <f t="shared" si="3"/>
        <v>16</v>
      </c>
      <c r="S231" s="32">
        <v>3.2500000000000001E-2</v>
      </c>
      <c r="T231" s="32">
        <v>5.0500000000000003E-2</v>
      </c>
      <c r="U231" s="203"/>
    </row>
    <row r="232" spans="1:21" ht="16.8">
      <c r="A232" s="260" t="s">
        <v>3822</v>
      </c>
      <c r="B232" s="228">
        <v>79</v>
      </c>
      <c r="C232" s="229" t="s">
        <v>3822</v>
      </c>
      <c r="D232" s="203" t="s">
        <v>5433</v>
      </c>
      <c r="E232" s="203" t="s">
        <v>5210</v>
      </c>
      <c r="F232" s="221">
        <v>2021</v>
      </c>
      <c r="G232" s="203">
        <v>1984</v>
      </c>
      <c r="H232" s="204">
        <v>5527280532996</v>
      </c>
      <c r="I232" s="204">
        <v>5129235853063</v>
      </c>
      <c r="J232" s="204">
        <v>5111112492206</v>
      </c>
      <c r="K232" s="204">
        <f t="shared" si="6"/>
        <v>398044679933</v>
      </c>
      <c r="L232" s="204">
        <v>12454210705965</v>
      </c>
      <c r="M232" s="204">
        <f>816169616337+100511220543</f>
        <v>916680836880</v>
      </c>
      <c r="N232" s="204">
        <v>20625506938</v>
      </c>
      <c r="O232" s="205">
        <f t="shared" si="0"/>
        <v>3.7315831564677568E-3</v>
      </c>
      <c r="P232" s="205">
        <f t="shared" si="1"/>
        <v>0.9279854392125011</v>
      </c>
      <c r="Q232" s="206">
        <f t="shared" si="2"/>
        <v>29.340717044320971</v>
      </c>
      <c r="R232" s="206">
        <f t="shared" si="3"/>
        <v>37</v>
      </c>
      <c r="S232" s="32">
        <v>1.84E-2</v>
      </c>
      <c r="T232" s="32">
        <v>2.58E-2</v>
      </c>
      <c r="U232" s="203"/>
    </row>
    <row r="233" spans="1:21" ht="16.8">
      <c r="A233" s="257"/>
      <c r="B233" s="228"/>
      <c r="C233" s="229"/>
      <c r="D233" s="203"/>
      <c r="E233" s="203" t="s">
        <v>5210</v>
      </c>
      <c r="F233" s="221">
        <v>2022</v>
      </c>
      <c r="G233" s="203">
        <v>1984</v>
      </c>
      <c r="H233" s="204">
        <v>3053521621409</v>
      </c>
      <c r="I233" s="204">
        <v>2634819184941</v>
      </c>
      <c r="J233" s="204">
        <v>2614073439602</v>
      </c>
      <c r="K233" s="204">
        <f t="shared" si="6"/>
        <v>418702436468</v>
      </c>
      <c r="L233" s="204">
        <v>7133722584680</v>
      </c>
      <c r="M233" s="204">
        <f>444433987353+68183196999</f>
        <v>512617184352</v>
      </c>
      <c r="N233" s="204">
        <v>35154236209</v>
      </c>
      <c r="O233" s="205">
        <f t="shared" si="0"/>
        <v>1.1512686192403192E-2</v>
      </c>
      <c r="P233" s="205">
        <f t="shared" si="1"/>
        <v>0.86287883683797328</v>
      </c>
      <c r="Q233" s="206">
        <f t="shared" si="2"/>
        <v>28.74731667044551</v>
      </c>
      <c r="R233" s="206">
        <f t="shared" si="3"/>
        <v>38</v>
      </c>
      <c r="S233" s="32">
        <v>3.15E-2</v>
      </c>
      <c r="T233" s="32">
        <v>8.0199999999999994E-2</v>
      </c>
      <c r="U233" s="203"/>
    </row>
    <row r="234" spans="1:21" ht="16.8">
      <c r="A234" s="200" t="s">
        <v>5434</v>
      </c>
      <c r="B234" s="228"/>
      <c r="C234" s="229"/>
      <c r="D234" s="203"/>
      <c r="E234" s="203" t="s">
        <v>5210</v>
      </c>
      <c r="F234" s="221">
        <v>2023</v>
      </c>
      <c r="G234" s="203">
        <v>1984</v>
      </c>
      <c r="H234" s="204">
        <v>1855798198593</v>
      </c>
      <c r="I234" s="204">
        <v>1431817704339</v>
      </c>
      <c r="J234" s="204">
        <v>1411741175184</v>
      </c>
      <c r="K234" s="204">
        <f t="shared" si="6"/>
        <v>423980494254</v>
      </c>
      <c r="L234" s="204">
        <v>3552262700338</v>
      </c>
      <c r="M234" s="204">
        <f>207099870598+43118151871</f>
        <v>250218022469</v>
      </c>
      <c r="N234" s="204">
        <v>31189485627</v>
      </c>
      <c r="O234" s="205">
        <f t="shared" si="0"/>
        <v>1.6806507114106885E-2</v>
      </c>
      <c r="P234" s="205">
        <f t="shared" si="1"/>
        <v>0.77153739314142733</v>
      </c>
      <c r="Q234" s="206">
        <f t="shared" si="2"/>
        <v>28.249336015174752</v>
      </c>
      <c r="R234" s="206">
        <f t="shared" si="3"/>
        <v>39</v>
      </c>
      <c r="S234" s="32">
        <v>3.2500000000000001E-2</v>
      </c>
      <c r="T234" s="32">
        <v>5.0500000000000003E-2</v>
      </c>
      <c r="U234" s="203"/>
    </row>
    <row r="235" spans="1:21" ht="16.8">
      <c r="A235" s="200" t="s">
        <v>5435</v>
      </c>
      <c r="B235" s="228">
        <v>80</v>
      </c>
      <c r="C235" s="229" t="s">
        <v>2547</v>
      </c>
      <c r="D235" s="203" t="s">
        <v>5436</v>
      </c>
      <c r="E235" s="203" t="s">
        <v>5210</v>
      </c>
      <c r="F235" s="221">
        <v>2021</v>
      </c>
      <c r="G235" s="203">
        <v>1975</v>
      </c>
      <c r="H235" s="204">
        <v>6648568758458</v>
      </c>
      <c r="I235" s="204">
        <v>4849530414623</v>
      </c>
      <c r="J235" s="204">
        <v>4451760389174</v>
      </c>
      <c r="K235" s="204">
        <f t="shared" si="6"/>
        <v>1799038343835</v>
      </c>
      <c r="L235" s="204">
        <v>10602405091846</v>
      </c>
      <c r="M235" s="204">
        <f>226323299363+144021443626</f>
        <v>370344742989</v>
      </c>
      <c r="N235" s="204">
        <v>335784640284</v>
      </c>
      <c r="O235" s="205">
        <f t="shared" si="0"/>
        <v>5.050480072975562E-2</v>
      </c>
      <c r="P235" s="205">
        <f t="shared" si="1"/>
        <v>0.72940968061037992</v>
      </c>
      <c r="Q235" s="206">
        <f t="shared" si="2"/>
        <v>29.52542272314021</v>
      </c>
      <c r="R235" s="206">
        <f t="shared" si="3"/>
        <v>46</v>
      </c>
      <c r="S235" s="32">
        <v>1.84E-2</v>
      </c>
      <c r="T235" s="32">
        <v>2.58E-2</v>
      </c>
      <c r="U235" s="203"/>
    </row>
    <row r="236" spans="1:21" ht="16.8">
      <c r="A236" s="200" t="s">
        <v>5437</v>
      </c>
      <c r="B236" s="228"/>
      <c r="C236" s="229"/>
      <c r="D236" s="203"/>
      <c r="E236" s="203" t="s">
        <v>5210</v>
      </c>
      <c r="F236" s="221">
        <v>2022</v>
      </c>
      <c r="G236" s="203">
        <v>1975</v>
      </c>
      <c r="H236" s="204">
        <v>4709948359444</v>
      </c>
      <c r="I236" s="204">
        <v>2878316817228</v>
      </c>
      <c r="J236" s="204">
        <v>2582316817228</v>
      </c>
      <c r="K236" s="204">
        <f t="shared" si="6"/>
        <v>1831631542216</v>
      </c>
      <c r="L236" s="204">
        <v>11473997020173</v>
      </c>
      <c r="M236" s="204">
        <f>237294217947+127626813648</f>
        <v>364921031595</v>
      </c>
      <c r="N236" s="204">
        <v>384245471187</v>
      </c>
      <c r="O236" s="205">
        <f t="shared" si="0"/>
        <v>8.1581673908704896E-2</v>
      </c>
      <c r="P236" s="205">
        <f t="shared" si="1"/>
        <v>0.61111430477929474</v>
      </c>
      <c r="Q236" s="206">
        <f t="shared" si="2"/>
        <v>29.180698059872142</v>
      </c>
      <c r="R236" s="206">
        <f t="shared" si="3"/>
        <v>47</v>
      </c>
      <c r="S236" s="32">
        <v>3.15E-2</v>
      </c>
      <c r="T236" s="32">
        <v>8.0199999999999994E-2</v>
      </c>
      <c r="U236" s="203"/>
    </row>
    <row r="237" spans="1:21" ht="16.8">
      <c r="A237" s="200" t="s">
        <v>5438</v>
      </c>
      <c r="B237" s="228"/>
      <c r="C237" s="229"/>
      <c r="D237" s="203"/>
      <c r="E237" s="203" t="s">
        <v>5210</v>
      </c>
      <c r="F237" s="221">
        <v>2023</v>
      </c>
      <c r="G237" s="203">
        <v>1975</v>
      </c>
      <c r="H237" s="204">
        <v>3883213708312</v>
      </c>
      <c r="I237" s="204">
        <v>2439830109387</v>
      </c>
      <c r="J237" s="204">
        <v>2439830109387</v>
      </c>
      <c r="K237" s="204">
        <f t="shared" si="6"/>
        <v>1443383598925</v>
      </c>
      <c r="L237" s="204">
        <v>10218324294638</v>
      </c>
      <c r="M237" s="204">
        <f>213742602871+136341929431</f>
        <v>350084532302</v>
      </c>
      <c r="N237" s="204">
        <v>420446531421</v>
      </c>
      <c r="O237" s="205">
        <f t="shared" si="0"/>
        <v>0.10827282838465374</v>
      </c>
      <c r="P237" s="205">
        <f t="shared" si="1"/>
        <v>0.62830178626650279</v>
      </c>
      <c r="Q237" s="206">
        <f t="shared" si="2"/>
        <v>28.987684202071151</v>
      </c>
      <c r="R237" s="206">
        <f t="shared" si="3"/>
        <v>48</v>
      </c>
      <c r="S237" s="32">
        <v>3.2500000000000001E-2</v>
      </c>
      <c r="T237" s="32">
        <v>5.0500000000000003E-2</v>
      </c>
      <c r="U237" s="203"/>
    </row>
    <row r="238" spans="1:21" ht="16.8">
      <c r="A238" s="200" t="s">
        <v>5439</v>
      </c>
      <c r="B238" s="228">
        <v>81</v>
      </c>
      <c r="C238" s="229" t="s">
        <v>5084</v>
      </c>
      <c r="D238" s="203" t="s">
        <v>5440</v>
      </c>
      <c r="E238" s="203" t="s">
        <v>5210</v>
      </c>
      <c r="F238" s="221">
        <v>2021</v>
      </c>
      <c r="G238" s="203">
        <v>2001</v>
      </c>
      <c r="H238" s="204">
        <v>6270874257951</v>
      </c>
      <c r="I238" s="204">
        <v>2832541850486</v>
      </c>
      <c r="J238" s="204">
        <v>1879797646334</v>
      </c>
      <c r="K238" s="204">
        <f t="shared" si="6"/>
        <v>3438332407465</v>
      </c>
      <c r="L238" s="204">
        <v>5739677018726</v>
      </c>
      <c r="M238" s="204">
        <f>167573012952+295519839638</f>
        <v>463092852590</v>
      </c>
      <c r="N238" s="204">
        <v>450456324306</v>
      </c>
      <c r="O238" s="205">
        <f t="shared" si="0"/>
        <v>7.1833097870660542E-2</v>
      </c>
      <c r="P238" s="205">
        <f t="shared" si="1"/>
        <v>0.45169807812595647</v>
      </c>
      <c r="Q238" s="206">
        <f t="shared" si="2"/>
        <v>29.466936895933113</v>
      </c>
      <c r="R238" s="206">
        <f t="shared" si="3"/>
        <v>20</v>
      </c>
      <c r="S238" s="32">
        <v>1.84E-2</v>
      </c>
      <c r="T238" s="32">
        <v>2.58E-2</v>
      </c>
      <c r="U238" s="203"/>
    </row>
    <row r="239" spans="1:21" ht="16.8">
      <c r="A239" s="200" t="s">
        <v>5441</v>
      </c>
      <c r="B239" s="228"/>
      <c r="C239" s="229"/>
      <c r="D239" s="203"/>
      <c r="E239" s="203" t="s">
        <v>5210</v>
      </c>
      <c r="F239" s="221">
        <v>2022</v>
      </c>
      <c r="G239" s="203">
        <v>2001</v>
      </c>
      <c r="H239" s="204">
        <v>7617072451214</v>
      </c>
      <c r="I239" s="204">
        <v>2002179307108</v>
      </c>
      <c r="J239" s="204">
        <v>1996521994156</v>
      </c>
      <c r="K239" s="204">
        <f t="shared" si="6"/>
        <v>5614893144106</v>
      </c>
      <c r="L239" s="204">
        <v>3670718806632</v>
      </c>
      <c r="M239" s="204">
        <f>239862372812+317901867940</f>
        <v>557764240752</v>
      </c>
      <c r="N239" s="204">
        <v>194430985905</v>
      </c>
      <c r="O239" s="205">
        <f t="shared" si="0"/>
        <v>2.5525684198265938E-2</v>
      </c>
      <c r="P239" s="205">
        <f t="shared" si="1"/>
        <v>0.26285417657920468</v>
      </c>
      <c r="Q239" s="206">
        <f t="shared" si="2"/>
        <v>29.66141321905209</v>
      </c>
      <c r="R239" s="206">
        <f t="shared" si="3"/>
        <v>21</v>
      </c>
      <c r="S239" s="32">
        <v>3.15E-2</v>
      </c>
      <c r="T239" s="32">
        <v>8.0199999999999994E-2</v>
      </c>
      <c r="U239" s="203"/>
    </row>
    <row r="240" spans="1:21" ht="16.8">
      <c r="A240" s="200" t="s">
        <v>5442</v>
      </c>
      <c r="B240" s="228"/>
      <c r="C240" s="229"/>
      <c r="D240" s="203"/>
      <c r="E240" s="203" t="s">
        <v>5210</v>
      </c>
      <c r="F240" s="221">
        <v>2023</v>
      </c>
      <c r="G240" s="203">
        <v>2001</v>
      </c>
      <c r="H240" s="204">
        <v>7101278142672</v>
      </c>
      <c r="I240" s="204">
        <v>1480743623283</v>
      </c>
      <c r="J240" s="204">
        <v>1123000270553</v>
      </c>
      <c r="K240" s="204">
        <f t="shared" si="6"/>
        <v>5620534519389</v>
      </c>
      <c r="L240" s="204">
        <v>1026200764186</v>
      </c>
      <c r="M240" s="204">
        <f>16557023750+138154848029</f>
        <v>154711871779</v>
      </c>
      <c r="N240" s="204">
        <v>2055354533</v>
      </c>
      <c r="O240" s="205">
        <f t="shared" si="0"/>
        <v>2.8943444992659184E-4</v>
      </c>
      <c r="P240" s="205">
        <f t="shared" si="1"/>
        <v>0.2085179024864727</v>
      </c>
      <c r="Q240" s="206">
        <f t="shared" si="2"/>
        <v>29.591295903868794</v>
      </c>
      <c r="R240" s="206">
        <f t="shared" si="3"/>
        <v>22</v>
      </c>
      <c r="S240" s="32">
        <v>3.2500000000000001E-2</v>
      </c>
      <c r="T240" s="32">
        <v>5.0500000000000003E-2</v>
      </c>
      <c r="U240" s="203"/>
    </row>
    <row r="241" spans="1:21" ht="16.8">
      <c r="A241" s="260" t="s">
        <v>5104</v>
      </c>
      <c r="B241" s="228">
        <v>82</v>
      </c>
      <c r="C241" s="229" t="s">
        <v>5104</v>
      </c>
      <c r="D241" s="203" t="s">
        <v>5443</v>
      </c>
      <c r="E241" s="203" t="s">
        <v>5210</v>
      </c>
      <c r="F241" s="221">
        <v>2021</v>
      </c>
      <c r="G241" s="203">
        <v>2001</v>
      </c>
      <c r="H241" s="204">
        <v>2103161348305</v>
      </c>
      <c r="I241" s="204">
        <v>1391418845622</v>
      </c>
      <c r="J241" s="204">
        <v>1391705319961</v>
      </c>
      <c r="K241" s="204">
        <f t="shared" si="6"/>
        <v>711742502683</v>
      </c>
      <c r="L241" s="204">
        <v>2094061386593</v>
      </c>
      <c r="M241" s="204">
        <f>16454597686+44128991814</f>
        <v>60583589500</v>
      </c>
      <c r="N241" s="204">
        <v>58632584776</v>
      </c>
      <c r="O241" s="205">
        <f t="shared" si="0"/>
        <v>2.7878310346114783E-2</v>
      </c>
      <c r="P241" s="205">
        <f t="shared" si="1"/>
        <v>0.66158445082845674</v>
      </c>
      <c r="Q241" s="206">
        <f t="shared" si="2"/>
        <v>28.374462732628075</v>
      </c>
      <c r="R241" s="206">
        <f t="shared" si="3"/>
        <v>20</v>
      </c>
      <c r="S241" s="32">
        <v>1.84E-2</v>
      </c>
      <c r="T241" s="32">
        <v>2.58E-2</v>
      </c>
      <c r="U241" s="203"/>
    </row>
    <row r="242" spans="1:21" ht="16.8">
      <c r="A242" s="257"/>
      <c r="B242" s="228"/>
      <c r="C242" s="229"/>
      <c r="D242" s="203"/>
      <c r="E242" s="203" t="s">
        <v>5210</v>
      </c>
      <c r="F242" s="221">
        <v>2022</v>
      </c>
      <c r="G242" s="203">
        <v>2001</v>
      </c>
      <c r="H242" s="204">
        <v>1453742310456</v>
      </c>
      <c r="I242" s="204">
        <v>791467287089</v>
      </c>
      <c r="J242" s="204">
        <v>790330478771</v>
      </c>
      <c r="K242" s="204">
        <f t="shared" si="6"/>
        <v>662275023367</v>
      </c>
      <c r="L242" s="204">
        <v>1293296167260</v>
      </c>
      <c r="M242" s="204">
        <f>32100371899+47153114372</f>
        <v>79253486271</v>
      </c>
      <c r="N242" s="204">
        <v>18890525502</v>
      </c>
      <c r="O242" s="205">
        <f t="shared" si="0"/>
        <v>1.2994411297057556E-2</v>
      </c>
      <c r="P242" s="205">
        <f t="shared" si="1"/>
        <v>0.54443437560865782</v>
      </c>
      <c r="Q242" s="206">
        <f t="shared" si="2"/>
        <v>28.005162251311127</v>
      </c>
      <c r="R242" s="206">
        <f t="shared" si="3"/>
        <v>21</v>
      </c>
      <c r="S242" s="32">
        <v>3.15E-2</v>
      </c>
      <c r="T242" s="32">
        <v>8.0199999999999994E-2</v>
      </c>
      <c r="U242" s="203"/>
    </row>
    <row r="243" spans="1:21" ht="16.8">
      <c r="A243" s="257"/>
      <c r="B243" s="228"/>
      <c r="C243" s="229"/>
      <c r="D243" s="203"/>
      <c r="E243" s="203" t="s">
        <v>5210</v>
      </c>
      <c r="F243" s="221">
        <v>2023</v>
      </c>
      <c r="G243" s="203">
        <v>2001</v>
      </c>
      <c r="H243" s="204">
        <v>1441231456029</v>
      </c>
      <c r="I243" s="204">
        <v>798152736426</v>
      </c>
      <c r="J243" s="204">
        <v>795160959770</v>
      </c>
      <c r="K243" s="204">
        <f t="shared" si="6"/>
        <v>643078719603</v>
      </c>
      <c r="L243" s="204">
        <v>1495874871666</v>
      </c>
      <c r="M243" s="204">
        <f>41994295197+42568905074</f>
        <v>84563200271</v>
      </c>
      <c r="N243" s="204">
        <v>14924023192</v>
      </c>
      <c r="O243" s="205">
        <f t="shared" si="0"/>
        <v>1.035504958594222E-2</v>
      </c>
      <c r="P243" s="205">
        <f t="shared" si="1"/>
        <v>0.55379913690278204</v>
      </c>
      <c r="Q243" s="206">
        <f t="shared" si="2"/>
        <v>27.996519041858178</v>
      </c>
      <c r="R243" s="206">
        <f t="shared" si="3"/>
        <v>22</v>
      </c>
      <c r="S243" s="32">
        <v>3.2500000000000001E-2</v>
      </c>
      <c r="T243" s="32">
        <v>5.0500000000000003E-2</v>
      </c>
      <c r="U243" s="203"/>
    </row>
    <row r="244" spans="1:21" ht="16.8">
      <c r="A244" s="260" t="s">
        <v>5120</v>
      </c>
      <c r="B244" s="228">
        <v>83</v>
      </c>
      <c r="C244" s="229" t="s">
        <v>5120</v>
      </c>
      <c r="D244" s="203" t="s">
        <v>5444</v>
      </c>
      <c r="E244" s="203" t="s">
        <v>5210</v>
      </c>
      <c r="F244" s="221">
        <v>2021</v>
      </c>
      <c r="G244" s="203">
        <v>2012</v>
      </c>
      <c r="H244" s="204">
        <v>9852288693810</v>
      </c>
      <c r="I244" s="204">
        <v>7983647069052</v>
      </c>
      <c r="J244" s="204">
        <v>5806302142450</v>
      </c>
      <c r="K244" s="204">
        <f t="shared" si="6"/>
        <v>1868641624758</v>
      </c>
      <c r="L244" s="204">
        <v>5756915772482</v>
      </c>
      <c r="M244" s="204">
        <f>161436881540+67026074654</f>
        <v>228462956194</v>
      </c>
      <c r="N244" s="204">
        <v>319490805969</v>
      </c>
      <c r="O244" s="205">
        <f t="shared" si="0"/>
        <v>3.2428080002337913E-2</v>
      </c>
      <c r="P244" s="205">
        <f t="shared" si="1"/>
        <v>0.81033426010628062</v>
      </c>
      <c r="Q244" s="206">
        <f t="shared" si="2"/>
        <v>29.918724898823896</v>
      </c>
      <c r="R244" s="206">
        <f t="shared" si="3"/>
        <v>9</v>
      </c>
      <c r="S244" s="32">
        <v>1.84E-2</v>
      </c>
      <c r="T244" s="32">
        <v>2.58E-2</v>
      </c>
      <c r="U244" s="203"/>
    </row>
    <row r="245" spans="1:21" ht="16.8">
      <c r="A245" s="257"/>
      <c r="B245" s="228"/>
      <c r="C245" s="229"/>
      <c r="D245" s="203"/>
      <c r="E245" s="203" t="s">
        <v>5210</v>
      </c>
      <c r="F245" s="221">
        <v>2022</v>
      </c>
      <c r="G245" s="203">
        <v>2012</v>
      </c>
      <c r="H245" s="204">
        <v>10083298563494</v>
      </c>
      <c r="I245" s="204">
        <v>8539184530124</v>
      </c>
      <c r="J245" s="204">
        <v>5359236905095</v>
      </c>
      <c r="K245" s="204">
        <f t="shared" si="6"/>
        <v>1544114033370</v>
      </c>
      <c r="L245" s="204">
        <v>7391638154845</v>
      </c>
      <c r="M245" s="204">
        <f>174856435727+66632775226</f>
        <v>241489210953</v>
      </c>
      <c r="N245" s="204">
        <v>-236614365871</v>
      </c>
      <c r="O245" s="205">
        <f t="shared" si="0"/>
        <v>-2.3465968440887851E-2</v>
      </c>
      <c r="P245" s="205">
        <f t="shared" si="1"/>
        <v>0.84686419591299467</v>
      </c>
      <c r="Q245" s="206">
        <f t="shared" si="2"/>
        <v>29.941901563482816</v>
      </c>
      <c r="R245" s="206">
        <f t="shared" si="3"/>
        <v>10</v>
      </c>
      <c r="S245" s="32">
        <v>3.15E-2</v>
      </c>
      <c r="T245" s="32">
        <v>8.0199999999999994E-2</v>
      </c>
      <c r="U245" s="203"/>
    </row>
    <row r="246" spans="1:21" ht="16.8">
      <c r="A246" s="257"/>
      <c r="B246" s="228"/>
      <c r="C246" s="229"/>
      <c r="D246" s="203"/>
      <c r="E246" s="203" t="s">
        <v>5210</v>
      </c>
      <c r="F246" s="221">
        <v>2023</v>
      </c>
      <c r="G246" s="203">
        <v>2012</v>
      </c>
      <c r="H246" s="204">
        <v>10992014791325</v>
      </c>
      <c r="I246" s="204">
        <v>9400546884454</v>
      </c>
      <c r="J246" s="204">
        <v>6703635464809</v>
      </c>
      <c r="K246" s="204">
        <f t="shared" si="6"/>
        <v>1591467906871</v>
      </c>
      <c r="L246" s="204">
        <v>6124801832432</v>
      </c>
      <c r="M246" s="204">
        <f>126484271061+64595025780</f>
        <v>191079296841</v>
      </c>
      <c r="N246" s="204">
        <v>47353873501</v>
      </c>
      <c r="O246" s="205">
        <f t="shared" si="0"/>
        <v>4.3080249071691676E-3</v>
      </c>
      <c r="P246" s="205">
        <f t="shared" si="1"/>
        <v>0.85521599660446224</v>
      </c>
      <c r="Q246" s="206">
        <f t="shared" si="2"/>
        <v>30.028190197052197</v>
      </c>
      <c r="R246" s="206">
        <f t="shared" si="3"/>
        <v>11</v>
      </c>
      <c r="S246" s="32">
        <v>3.2500000000000001E-2</v>
      </c>
      <c r="T246" s="32">
        <v>5.0500000000000003E-2</v>
      </c>
      <c r="U246" s="203"/>
    </row>
    <row r="247" spans="1:21" ht="16.8">
      <c r="A247" s="260" t="s">
        <v>5067</v>
      </c>
      <c r="B247" s="228">
        <v>84</v>
      </c>
      <c r="C247" s="229" t="s">
        <v>5067</v>
      </c>
      <c r="D247" s="203" t="s">
        <v>5068</v>
      </c>
      <c r="E247" s="203" t="s">
        <v>5210</v>
      </c>
      <c r="F247" s="221">
        <v>2021</v>
      </c>
      <c r="G247" s="203">
        <v>1995</v>
      </c>
      <c r="H247" s="204">
        <v>976612415331</v>
      </c>
      <c r="I247" s="204">
        <v>307875600855</v>
      </c>
      <c r="J247" s="204">
        <v>115701731526</v>
      </c>
      <c r="K247" s="204">
        <f t="shared" si="6"/>
        <v>668736814476</v>
      </c>
      <c r="L247" s="204">
        <v>473174997084</v>
      </c>
      <c r="M247" s="204">
        <f>2161163311+13202814249</f>
        <v>15363977560</v>
      </c>
      <c r="N247" s="204">
        <v>28813656259</v>
      </c>
      <c r="O247" s="205">
        <f t="shared" si="0"/>
        <v>2.9503675979005738E-2</v>
      </c>
      <c r="P247" s="205">
        <f t="shared" si="1"/>
        <v>0.31524850188460152</v>
      </c>
      <c r="Q247" s="206">
        <f t="shared" si="2"/>
        <v>27.607355701303938</v>
      </c>
      <c r="R247" s="206">
        <f t="shared" si="3"/>
        <v>26</v>
      </c>
      <c r="S247" s="32">
        <v>1.84E-2</v>
      </c>
      <c r="T247" s="32">
        <v>2.58E-2</v>
      </c>
      <c r="U247" s="203"/>
    </row>
    <row r="248" spans="1:21" ht="16.8">
      <c r="A248" s="257"/>
      <c r="B248" s="228"/>
      <c r="C248" s="229"/>
      <c r="D248" s="203"/>
      <c r="E248" s="203" t="s">
        <v>5210</v>
      </c>
      <c r="F248" s="221">
        <v>2022</v>
      </c>
      <c r="G248" s="203">
        <v>1995</v>
      </c>
      <c r="H248" s="204">
        <v>1053445887828</v>
      </c>
      <c r="I248" s="204">
        <v>321963823486</v>
      </c>
      <c r="J248" s="204">
        <v>212741734316</v>
      </c>
      <c r="K248" s="204">
        <f t="shared" si="6"/>
        <v>731482064342</v>
      </c>
      <c r="L248" s="204">
        <v>961625809112</v>
      </c>
      <c r="M248" s="204">
        <f>2491847148+16999024767</f>
        <v>19490871915</v>
      </c>
      <c r="N248" s="204">
        <v>89028136264</v>
      </c>
      <c r="O248" s="205">
        <f t="shared" si="0"/>
        <v>8.4511352023556391E-2</v>
      </c>
      <c r="P248" s="205">
        <f t="shared" si="1"/>
        <v>0.30562919956888018</v>
      </c>
      <c r="Q248" s="206">
        <f t="shared" si="2"/>
        <v>27.683087704683526</v>
      </c>
      <c r="R248" s="206">
        <f t="shared" si="3"/>
        <v>27</v>
      </c>
      <c r="S248" s="32">
        <v>3.15E-2</v>
      </c>
      <c r="T248" s="32">
        <v>8.0199999999999994E-2</v>
      </c>
      <c r="U248" s="203"/>
    </row>
    <row r="249" spans="1:21" ht="16.8">
      <c r="A249" s="257"/>
      <c r="B249" s="228"/>
      <c r="C249" s="229"/>
      <c r="D249" s="203"/>
      <c r="E249" s="203" t="s">
        <v>5210</v>
      </c>
      <c r="F249" s="221">
        <v>2023</v>
      </c>
      <c r="G249" s="203">
        <v>1995</v>
      </c>
      <c r="H249" s="204">
        <v>1011341063201</v>
      </c>
      <c r="I249" s="204">
        <v>303993128522</v>
      </c>
      <c r="J249" s="204">
        <v>228222696148</v>
      </c>
      <c r="K249" s="204">
        <f t="shared" si="6"/>
        <v>707347934679</v>
      </c>
      <c r="L249" s="204">
        <v>599354540320</v>
      </c>
      <c r="M249" s="204">
        <f>5839595312+11683135646</f>
        <v>17522730958</v>
      </c>
      <c r="N249" s="204">
        <v>-2739764685</v>
      </c>
      <c r="O249" s="205">
        <f t="shared" si="0"/>
        <v>-2.7090412766671997E-3</v>
      </c>
      <c r="P249" s="205">
        <f t="shared" si="1"/>
        <v>0.30058418429073769</v>
      </c>
      <c r="Q249" s="206">
        <f t="shared" si="2"/>
        <v>27.642298351401802</v>
      </c>
      <c r="R249" s="206">
        <f t="shared" si="3"/>
        <v>28</v>
      </c>
      <c r="S249" s="32">
        <v>3.2500000000000001E-2</v>
      </c>
      <c r="T249" s="32">
        <v>5.0500000000000003E-2</v>
      </c>
      <c r="U249" s="203"/>
    </row>
    <row r="250" spans="1:21" ht="16.8">
      <c r="A250" s="200" t="s">
        <v>5445</v>
      </c>
      <c r="B250" s="228">
        <v>85</v>
      </c>
      <c r="C250" s="229" t="s">
        <v>5087</v>
      </c>
      <c r="D250" s="203" t="s">
        <v>5446</v>
      </c>
      <c r="E250" s="203" t="s">
        <v>5210</v>
      </c>
      <c r="F250" s="221">
        <v>2021</v>
      </c>
      <c r="G250" s="203">
        <v>2007</v>
      </c>
      <c r="H250" s="204">
        <v>2315226187742</v>
      </c>
      <c r="I250" s="204">
        <v>1256658460895</v>
      </c>
      <c r="J250" s="204">
        <v>1255363148949</v>
      </c>
      <c r="K250" s="204">
        <f t="shared" si="6"/>
        <v>1058567726847</v>
      </c>
      <c r="L250" s="204">
        <v>180690909115</v>
      </c>
      <c r="M250" s="204">
        <v>100603310955</v>
      </c>
      <c r="N250" s="204">
        <v>54469549309</v>
      </c>
      <c r="O250" s="205">
        <f t="shared" si="0"/>
        <v>2.3526664304934806E-2</v>
      </c>
      <c r="P250" s="205">
        <f t="shared" si="1"/>
        <v>0.54277999598846849</v>
      </c>
      <c r="Q250" s="206">
        <f t="shared" si="2"/>
        <v>28.470528503982017</v>
      </c>
      <c r="R250" s="206">
        <f t="shared" si="3"/>
        <v>14</v>
      </c>
      <c r="S250" s="32">
        <v>1.84E-2</v>
      </c>
      <c r="T250" s="32">
        <v>2.58E-2</v>
      </c>
      <c r="U250" s="203"/>
    </row>
    <row r="251" spans="1:21" ht="16.8">
      <c r="A251" s="200" t="s">
        <v>5447</v>
      </c>
      <c r="B251" s="228"/>
      <c r="C251" s="229"/>
      <c r="D251" s="203"/>
      <c r="E251" s="203" t="s">
        <v>5210</v>
      </c>
      <c r="F251" s="221">
        <v>2022</v>
      </c>
      <c r="G251" s="203">
        <v>2007</v>
      </c>
      <c r="H251" s="204">
        <v>6409144848072</v>
      </c>
      <c r="I251" s="204">
        <v>3272783700813</v>
      </c>
      <c r="J251" s="204">
        <v>3272783520643</v>
      </c>
      <c r="K251" s="204">
        <f t="shared" si="6"/>
        <v>3136361147259</v>
      </c>
      <c r="L251" s="204">
        <v>452087667139</v>
      </c>
      <c r="M251" s="204">
        <v>304562311970</v>
      </c>
      <c r="N251" s="204">
        <v>77762818412</v>
      </c>
      <c r="O251" s="205">
        <f t="shared" si="0"/>
        <v>1.213310359733758E-2</v>
      </c>
      <c r="P251" s="205">
        <f t="shared" si="1"/>
        <v>0.51064280467892986</v>
      </c>
      <c r="Q251" s="206">
        <f t="shared" si="2"/>
        <v>29.488746968924222</v>
      </c>
      <c r="R251" s="206">
        <f t="shared" si="3"/>
        <v>15</v>
      </c>
      <c r="S251" s="32">
        <v>3.15E-2</v>
      </c>
      <c r="T251" s="32">
        <v>8.0199999999999994E-2</v>
      </c>
      <c r="U251" s="203"/>
    </row>
    <row r="252" spans="1:21" ht="16.8">
      <c r="A252" s="200" t="s">
        <v>5448</v>
      </c>
      <c r="B252" s="228"/>
      <c r="C252" s="229"/>
      <c r="D252" s="203"/>
      <c r="E252" s="203" t="s">
        <v>5210</v>
      </c>
      <c r="F252" s="221">
        <v>2023</v>
      </c>
      <c r="G252" s="203">
        <v>2007</v>
      </c>
      <c r="H252" s="204">
        <v>7446062695121</v>
      </c>
      <c r="I252" s="204">
        <v>4140717286256</v>
      </c>
      <c r="J252" s="204">
        <v>4126428950224</v>
      </c>
      <c r="K252" s="204">
        <f t="shared" si="6"/>
        <v>3305345408865</v>
      </c>
      <c r="L252" s="204">
        <v>714513630828</v>
      </c>
      <c r="M252" s="204">
        <v>334004296891</v>
      </c>
      <c r="N252" s="204">
        <v>228984261606</v>
      </c>
      <c r="O252" s="205">
        <f t="shared" si="0"/>
        <v>3.0752395055180095E-2</v>
      </c>
      <c r="P252" s="205">
        <f t="shared" si="1"/>
        <v>0.55609487265923596</v>
      </c>
      <c r="Q252" s="206">
        <f t="shared" si="2"/>
        <v>29.638706511316901</v>
      </c>
      <c r="R252" s="206">
        <f t="shared" si="3"/>
        <v>16</v>
      </c>
      <c r="S252" s="32">
        <v>3.2500000000000001E-2</v>
      </c>
      <c r="T252" s="32">
        <v>5.0500000000000003E-2</v>
      </c>
      <c r="U252" s="203"/>
    </row>
    <row r="253" spans="1:21" ht="16.8">
      <c r="A253" s="260" t="s">
        <v>5091</v>
      </c>
      <c r="B253" s="228">
        <v>86</v>
      </c>
      <c r="C253" s="229" t="s">
        <v>5091</v>
      </c>
      <c r="D253" s="203" t="s">
        <v>5449</v>
      </c>
      <c r="E253" s="203" t="s">
        <v>5210</v>
      </c>
      <c r="F253" s="221">
        <v>2021</v>
      </c>
      <c r="G253" s="203">
        <v>1961</v>
      </c>
      <c r="H253" s="204">
        <v>23123789280402</v>
      </c>
      <c r="I253" s="204">
        <v>17136396187466</v>
      </c>
      <c r="J253" s="204">
        <v>10923217163650</v>
      </c>
      <c r="K253" s="204">
        <f t="shared" si="6"/>
        <v>5987393092936</v>
      </c>
      <c r="L253" s="204">
        <v>18847758909185</v>
      </c>
      <c r="M253" s="204">
        <f>360858347287+387450215643</f>
        <v>748308562930</v>
      </c>
      <c r="N253" s="204">
        <v>654788979016</v>
      </c>
      <c r="O253" s="205">
        <f t="shared" si="0"/>
        <v>2.8316681624968375E-2</v>
      </c>
      <c r="P253" s="205">
        <f t="shared" si="1"/>
        <v>0.74107214780708675</v>
      </c>
      <c r="Q253" s="206">
        <f t="shared" si="2"/>
        <v>30.771883042514368</v>
      </c>
      <c r="R253" s="206">
        <f t="shared" si="3"/>
        <v>60</v>
      </c>
      <c r="S253" s="32">
        <v>1.84E-2</v>
      </c>
      <c r="T253" s="32">
        <v>2.58E-2</v>
      </c>
      <c r="U253" s="203"/>
    </row>
    <row r="254" spans="1:21" ht="16.8">
      <c r="A254" s="257"/>
      <c r="B254" s="228"/>
      <c r="C254" s="229"/>
      <c r="D254" s="203"/>
      <c r="E254" s="203" t="s">
        <v>5210</v>
      </c>
      <c r="F254" s="221">
        <v>2022</v>
      </c>
      <c r="G254" s="203">
        <v>1961</v>
      </c>
      <c r="H254" s="204">
        <v>17419623160026</v>
      </c>
      <c r="I254" s="204">
        <v>11416179720742</v>
      </c>
      <c r="J254" s="204">
        <v>6165114622354</v>
      </c>
      <c r="K254" s="204">
        <f t="shared" si="6"/>
        <v>6003443439284</v>
      </c>
      <c r="L254" s="204">
        <v>16822823680023</v>
      </c>
      <c r="M254" s="204">
        <f>408238567370+348744839303</f>
        <v>756983406673</v>
      </c>
      <c r="N254" s="204">
        <v>971604931564</v>
      </c>
      <c r="O254" s="205">
        <f t="shared" si="0"/>
        <v>5.5776460985310423E-2</v>
      </c>
      <c r="P254" s="205">
        <f t="shared" si="1"/>
        <v>0.65536318529206117</v>
      </c>
      <c r="Q254" s="206">
        <f t="shared" si="2"/>
        <v>30.48861845451421</v>
      </c>
      <c r="R254" s="206">
        <f t="shared" si="3"/>
        <v>61</v>
      </c>
      <c r="S254" s="32">
        <v>3.15E-2</v>
      </c>
      <c r="T254" s="32">
        <v>8.0199999999999994E-2</v>
      </c>
      <c r="U254" s="203"/>
    </row>
    <row r="255" spans="1:21" ht="16.8">
      <c r="A255" s="257"/>
      <c r="B255" s="228"/>
      <c r="C255" s="229"/>
      <c r="D255" s="203"/>
      <c r="E255" s="203" t="s">
        <v>5210</v>
      </c>
      <c r="F255" s="221">
        <v>2023</v>
      </c>
      <c r="G255" s="203">
        <v>1961</v>
      </c>
      <c r="H255" s="204">
        <v>13722932430964</v>
      </c>
      <c r="I255" s="204">
        <v>7771052569049</v>
      </c>
      <c r="J255" s="204">
        <v>6458680884042</v>
      </c>
      <c r="K255" s="204">
        <f t="shared" si="6"/>
        <v>5951879861915</v>
      </c>
      <c r="L255" s="204">
        <v>16757537132187</v>
      </c>
      <c r="M255" s="204">
        <f>420242788855+327729790359</f>
        <v>747972579214</v>
      </c>
      <c r="N255" s="204">
        <v>792669867091</v>
      </c>
      <c r="O255" s="205">
        <f t="shared" si="0"/>
        <v>5.7762425857497066E-2</v>
      </c>
      <c r="P255" s="205">
        <f t="shared" si="1"/>
        <v>0.56628221469010787</v>
      </c>
      <c r="Q255" s="206">
        <f t="shared" si="2"/>
        <v>30.250089449423701</v>
      </c>
      <c r="R255" s="206">
        <f t="shared" si="3"/>
        <v>62</v>
      </c>
      <c r="S255" s="32">
        <v>3.2500000000000001E-2</v>
      </c>
      <c r="T255" s="32">
        <v>5.0500000000000003E-2</v>
      </c>
      <c r="U255" s="203"/>
    </row>
    <row r="256" spans="1:21" ht="31.2">
      <c r="A256" s="211"/>
      <c r="B256" s="212">
        <v>87</v>
      </c>
      <c r="C256" s="211" t="s">
        <v>5109</v>
      </c>
      <c r="D256" s="211" t="s">
        <v>5450</v>
      </c>
      <c r="E256" s="211" t="s">
        <v>5210</v>
      </c>
      <c r="F256" s="230">
        <v>2021</v>
      </c>
      <c r="G256" s="211">
        <v>1958</v>
      </c>
      <c r="H256" s="213"/>
      <c r="I256" s="213"/>
      <c r="J256" s="213"/>
      <c r="K256" s="213">
        <f t="shared" si="6"/>
        <v>0</v>
      </c>
      <c r="L256" s="213"/>
      <c r="M256" s="213"/>
      <c r="N256" s="213"/>
      <c r="O256" s="205" t="e">
        <f t="shared" si="0"/>
        <v>#DIV/0!</v>
      </c>
      <c r="P256" s="205" t="e">
        <f t="shared" si="1"/>
        <v>#DIV/0!</v>
      </c>
      <c r="Q256" s="206" t="e">
        <f t="shared" si="2"/>
        <v>#NUM!</v>
      </c>
      <c r="R256" s="206">
        <f t="shared" si="3"/>
        <v>63</v>
      </c>
      <c r="S256" s="213"/>
      <c r="T256" s="213"/>
      <c r="U256" s="211" t="s">
        <v>5451</v>
      </c>
    </row>
    <row r="257" spans="1:21" ht="16.8">
      <c r="A257" s="260" t="s">
        <v>5452</v>
      </c>
      <c r="B257" s="228">
        <v>88</v>
      </c>
      <c r="C257" s="229" t="s">
        <v>5097</v>
      </c>
      <c r="D257" s="203" t="s">
        <v>5453</v>
      </c>
      <c r="E257" s="203" t="s">
        <v>5210</v>
      </c>
      <c r="F257" s="221">
        <v>2021</v>
      </c>
      <c r="G257" s="203">
        <v>2007</v>
      </c>
      <c r="H257" s="204">
        <v>3885404322670</v>
      </c>
      <c r="I257" s="204">
        <v>1103440717048</v>
      </c>
      <c r="J257" s="204">
        <v>609628153491</v>
      </c>
      <c r="K257" s="204">
        <f t="shared" si="6"/>
        <v>2781963605622</v>
      </c>
      <c r="L257" s="204">
        <v>691109131943</v>
      </c>
      <c r="M257" s="204">
        <v>24468997926</v>
      </c>
      <c r="N257" s="204">
        <v>131373156894</v>
      </c>
      <c r="O257" s="205">
        <f t="shared" ref="O257:O267" si="7">N257/H257</f>
        <v>3.3811965495452491E-2</v>
      </c>
      <c r="P257" s="205">
        <f t="shared" ref="P257:P267" si="8">I257/H257</f>
        <v>0.28399636830839003</v>
      </c>
      <c r="Q257" s="206">
        <f t="shared" ref="Q257:Q267" si="9">LN(H257)</f>
        <v>28.988248167092294</v>
      </c>
      <c r="R257" s="206">
        <f t="shared" ref="R257:R267" si="10">F257-G257</f>
        <v>14</v>
      </c>
      <c r="S257" s="32">
        <v>1.84E-2</v>
      </c>
      <c r="T257" s="32">
        <v>2.58E-2</v>
      </c>
      <c r="U257" s="203"/>
    </row>
    <row r="258" spans="1:21" ht="16.8">
      <c r="A258" s="257"/>
      <c r="B258" s="228"/>
      <c r="C258" s="229"/>
      <c r="D258" s="203"/>
      <c r="E258" s="203" t="s">
        <v>5210</v>
      </c>
      <c r="F258" s="221">
        <v>2022</v>
      </c>
      <c r="G258" s="203">
        <v>2007</v>
      </c>
      <c r="H258" s="204">
        <v>3940584933142</v>
      </c>
      <c r="I258" s="204">
        <v>582891655393</v>
      </c>
      <c r="J258" s="204">
        <v>365337595236</v>
      </c>
      <c r="K258" s="204">
        <f t="shared" si="6"/>
        <v>3357693277749</v>
      </c>
      <c r="L258" s="204">
        <v>1175592436552</v>
      </c>
      <c r="M258" s="204">
        <v>28053101755</v>
      </c>
      <c r="N258" s="204">
        <v>583473805281</v>
      </c>
      <c r="O258" s="205">
        <f t="shared" si="7"/>
        <v>0.14806781611880421</v>
      </c>
      <c r="P258" s="205">
        <f t="shared" si="8"/>
        <v>0.14792008427242173</v>
      </c>
      <c r="Q258" s="206">
        <f t="shared" si="9"/>
        <v>29.002350288407591</v>
      </c>
      <c r="R258" s="206">
        <f t="shared" si="10"/>
        <v>15</v>
      </c>
      <c r="S258" s="32">
        <v>3.15E-2</v>
      </c>
      <c r="T258" s="32">
        <v>8.0199999999999994E-2</v>
      </c>
      <c r="U258" s="203"/>
    </row>
    <row r="259" spans="1:21" ht="16.8">
      <c r="A259" s="200" t="s">
        <v>5454</v>
      </c>
      <c r="B259" s="228"/>
      <c r="C259" s="229"/>
      <c r="D259" s="203"/>
      <c r="E259" s="203" t="s">
        <v>5210</v>
      </c>
      <c r="F259" s="221">
        <v>2023</v>
      </c>
      <c r="G259" s="203">
        <v>2007</v>
      </c>
      <c r="H259" s="204">
        <v>3481462627130</v>
      </c>
      <c r="I259" s="204">
        <v>254548282453</v>
      </c>
      <c r="J259" s="204">
        <v>163622258490</v>
      </c>
      <c r="K259" s="204">
        <f t="shared" si="6"/>
        <v>3226914344677</v>
      </c>
      <c r="L259" s="204">
        <v>748752815653</v>
      </c>
      <c r="M259" s="204">
        <v>33364926312</v>
      </c>
      <c r="N259" s="204">
        <v>236522121928</v>
      </c>
      <c r="O259" s="205">
        <f t="shared" si="7"/>
        <v>6.7937573158147274E-2</v>
      </c>
      <c r="P259" s="205">
        <f t="shared" si="8"/>
        <v>7.3115328158165807E-2</v>
      </c>
      <c r="Q259" s="206">
        <f t="shared" si="9"/>
        <v>28.878473616567963</v>
      </c>
      <c r="R259" s="206">
        <f t="shared" si="10"/>
        <v>16</v>
      </c>
      <c r="S259" s="32">
        <v>3.2500000000000001E-2</v>
      </c>
      <c r="T259" s="32">
        <v>5.0500000000000003E-2</v>
      </c>
      <c r="U259" s="203"/>
    </row>
    <row r="260" spans="1:21" ht="16.8">
      <c r="A260" s="260" t="s">
        <v>5115</v>
      </c>
      <c r="B260" s="228">
        <v>89</v>
      </c>
      <c r="C260" s="229" t="s">
        <v>5115</v>
      </c>
      <c r="D260" s="203" t="s">
        <v>5455</v>
      </c>
      <c r="E260" s="203" t="s">
        <v>5210</v>
      </c>
      <c r="F260" s="221">
        <v>2021</v>
      </c>
      <c r="G260" s="203">
        <v>2018</v>
      </c>
      <c r="H260" s="204">
        <v>67957198718651</v>
      </c>
      <c r="I260" s="204">
        <v>50548049490150</v>
      </c>
      <c r="J260" s="204">
        <v>10457422068212</v>
      </c>
      <c r="K260" s="204">
        <f t="shared" si="6"/>
        <v>17409149228501</v>
      </c>
      <c r="L260" s="204">
        <v>37757423718797</v>
      </c>
      <c r="M260" s="204">
        <f>224928362+615369329470</f>
        <v>615594257832</v>
      </c>
      <c r="N260" s="204">
        <v>3178918482220</v>
      </c>
      <c r="O260" s="205">
        <f t="shared" si="7"/>
        <v>4.6778244868229672E-2</v>
      </c>
      <c r="P260" s="205">
        <f t="shared" si="8"/>
        <v>0.74382185321416106</v>
      </c>
      <c r="Q260" s="206">
        <f t="shared" si="9"/>
        <v>31.849899192321974</v>
      </c>
      <c r="R260" s="206">
        <f t="shared" si="10"/>
        <v>3</v>
      </c>
      <c r="S260" s="32">
        <v>1.84E-2</v>
      </c>
      <c r="T260" s="32">
        <v>2.58E-2</v>
      </c>
      <c r="U260" s="203"/>
    </row>
    <row r="261" spans="1:21" ht="16.8">
      <c r="A261" s="257"/>
      <c r="B261" s="228"/>
      <c r="C261" s="229"/>
      <c r="D261" s="203"/>
      <c r="E261" s="203" t="s">
        <v>5210</v>
      </c>
      <c r="F261" s="221">
        <v>2022</v>
      </c>
      <c r="G261" s="203">
        <v>2018</v>
      </c>
      <c r="H261" s="204">
        <v>66217960515834</v>
      </c>
      <c r="I261" s="204">
        <v>48575214944157</v>
      </c>
      <c r="J261" s="204">
        <v>13138480832135</v>
      </c>
      <c r="K261" s="204">
        <f t="shared" si="6"/>
        <v>17642745571677</v>
      </c>
      <c r="L261" s="204">
        <v>47287247083691</v>
      </c>
      <c r="M261" s="204">
        <f>674280026384+200810470</f>
        <v>674480836854</v>
      </c>
      <c r="N261" s="204">
        <v>2549816412465</v>
      </c>
      <c r="O261" s="205">
        <f t="shared" si="7"/>
        <v>3.8506417180506326E-2</v>
      </c>
      <c r="P261" s="205">
        <f t="shared" si="8"/>
        <v>0.73356555480958563</v>
      </c>
      <c r="Q261" s="206">
        <f t="shared" si="9"/>
        <v>31.823972848960164</v>
      </c>
      <c r="R261" s="206">
        <f t="shared" si="10"/>
        <v>4</v>
      </c>
      <c r="S261" s="32">
        <v>3.15E-2</v>
      </c>
      <c r="T261" s="32">
        <v>8.0199999999999994E-2</v>
      </c>
      <c r="U261" s="203"/>
    </row>
    <row r="262" spans="1:21" ht="16.8">
      <c r="A262" s="257"/>
      <c r="B262" s="228"/>
      <c r="C262" s="229"/>
      <c r="D262" s="203"/>
      <c r="E262" s="203" t="s">
        <v>5210</v>
      </c>
      <c r="F262" s="221">
        <v>2023</v>
      </c>
      <c r="G262" s="203">
        <v>2018</v>
      </c>
      <c r="H262" s="204">
        <v>68841099128120</v>
      </c>
      <c r="I262" s="204">
        <v>43067973348059</v>
      </c>
      <c r="J262" s="204">
        <v>11479894580236</v>
      </c>
      <c r="K262" s="204">
        <f t="shared" si="6"/>
        <v>25773125780061</v>
      </c>
      <c r="L262" s="204">
        <v>45862195704877</v>
      </c>
      <c r="M262" s="204">
        <f>651321108993+651108470</f>
        <v>651972217463</v>
      </c>
      <c r="N262" s="204">
        <v>1083723307336</v>
      </c>
      <c r="O262" s="205">
        <f t="shared" si="7"/>
        <v>1.5742388210843138E-2</v>
      </c>
      <c r="P262" s="205">
        <f t="shared" si="8"/>
        <v>0.62561426086334415</v>
      </c>
      <c r="Q262" s="206">
        <f t="shared" si="9"/>
        <v>31.862822053561043</v>
      </c>
      <c r="R262" s="206">
        <f t="shared" si="10"/>
        <v>5</v>
      </c>
      <c r="S262" s="32">
        <v>3.2500000000000001E-2</v>
      </c>
      <c r="T262" s="32">
        <v>5.0500000000000003E-2</v>
      </c>
      <c r="U262" s="203"/>
    </row>
    <row r="263" spans="1:21" ht="16.8">
      <c r="A263" s="260" t="s">
        <v>5128</v>
      </c>
      <c r="B263" s="228">
        <v>90</v>
      </c>
      <c r="C263" s="229" t="s">
        <v>5128</v>
      </c>
      <c r="D263" s="203" t="s">
        <v>5456</v>
      </c>
      <c r="E263" s="203" t="s">
        <v>5210</v>
      </c>
      <c r="F263" s="221">
        <v>2021</v>
      </c>
      <c r="G263" s="203">
        <v>2000</v>
      </c>
      <c r="H263" s="204">
        <v>627289568707</v>
      </c>
      <c r="I263" s="204">
        <v>169766180730</v>
      </c>
      <c r="J263" s="204">
        <v>146443605786</v>
      </c>
      <c r="K263" s="204">
        <f t="shared" si="6"/>
        <v>457523387977</v>
      </c>
      <c r="L263" s="204">
        <v>414055498793</v>
      </c>
      <c r="M263" s="204">
        <f>1697961995+7496424085</f>
        <v>9194386080</v>
      </c>
      <c r="N263" s="204">
        <v>18248740099</v>
      </c>
      <c r="O263" s="205">
        <f t="shared" si="7"/>
        <v>2.9091413295163186E-2</v>
      </c>
      <c r="P263" s="205">
        <f t="shared" si="8"/>
        <v>0.27063447122184792</v>
      </c>
      <c r="Q263" s="206">
        <f t="shared" si="9"/>
        <v>27.164674103036305</v>
      </c>
      <c r="R263" s="206">
        <f t="shared" si="10"/>
        <v>21</v>
      </c>
      <c r="S263" s="32">
        <v>1.84E-2</v>
      </c>
      <c r="T263" s="32">
        <v>2.58E-2</v>
      </c>
      <c r="U263" s="203"/>
    </row>
    <row r="264" spans="1:21" ht="16.8">
      <c r="A264" s="257"/>
      <c r="B264" s="228"/>
      <c r="C264" s="229"/>
      <c r="D264" s="203"/>
      <c r="E264" s="203" t="s">
        <v>5210</v>
      </c>
      <c r="F264" s="221">
        <v>2022</v>
      </c>
      <c r="G264" s="203">
        <v>2000</v>
      </c>
      <c r="H264" s="204">
        <v>1039401920342</v>
      </c>
      <c r="I264" s="204">
        <v>248975990052</v>
      </c>
      <c r="J264" s="204">
        <v>215452235108</v>
      </c>
      <c r="K264" s="204">
        <f t="shared" si="6"/>
        <v>790425930290</v>
      </c>
      <c r="L264" s="204">
        <v>537632072010</v>
      </c>
      <c r="M264" s="204">
        <f>8648947463+9347088607</f>
        <v>17996036070</v>
      </c>
      <c r="N264" s="204">
        <v>13663627705</v>
      </c>
      <c r="O264" s="205">
        <f t="shared" si="7"/>
        <v>1.3145663325794301E-2</v>
      </c>
      <c r="P264" s="205">
        <f t="shared" si="8"/>
        <v>0.23953774298404037</v>
      </c>
      <c r="Q264" s="206">
        <f t="shared" si="9"/>
        <v>27.669666587067631</v>
      </c>
      <c r="R264" s="206">
        <f t="shared" si="10"/>
        <v>22</v>
      </c>
      <c r="S264" s="32">
        <v>3.15E-2</v>
      </c>
      <c r="T264" s="32">
        <v>8.0199999999999994E-2</v>
      </c>
      <c r="U264" s="203"/>
    </row>
    <row r="265" spans="1:21" ht="16.8">
      <c r="A265" s="257"/>
      <c r="B265" s="228"/>
      <c r="C265" s="229"/>
      <c r="D265" s="203"/>
      <c r="E265" s="203" t="s">
        <v>5210</v>
      </c>
      <c r="F265" s="221">
        <v>2023</v>
      </c>
      <c r="G265" s="203">
        <v>2000</v>
      </c>
      <c r="H265" s="204">
        <v>1010420763603</v>
      </c>
      <c r="I265" s="204">
        <v>215105614075</v>
      </c>
      <c r="J265" s="204">
        <v>181502537351</v>
      </c>
      <c r="K265" s="204">
        <f t="shared" si="6"/>
        <v>795315149528</v>
      </c>
      <c r="L265" s="204">
        <v>329315674707</v>
      </c>
      <c r="M265" s="204">
        <f>2968512626+6811334702</f>
        <v>9779847328</v>
      </c>
      <c r="N265" s="204">
        <v>4954219238</v>
      </c>
      <c r="O265" s="205">
        <f t="shared" si="7"/>
        <v>4.9031249321659235E-3</v>
      </c>
      <c r="P265" s="205">
        <f t="shared" si="8"/>
        <v>0.21288716723117163</v>
      </c>
      <c r="Q265" s="206">
        <f t="shared" si="9"/>
        <v>27.641387957655752</v>
      </c>
      <c r="R265" s="206">
        <f t="shared" si="10"/>
        <v>23</v>
      </c>
      <c r="S265" s="32">
        <v>3.2500000000000001E-2</v>
      </c>
      <c r="T265" s="32">
        <v>5.0500000000000003E-2</v>
      </c>
      <c r="U265" s="203"/>
    </row>
    <row r="266" spans="1:21" ht="31.2">
      <c r="A266" s="211"/>
      <c r="B266" s="212">
        <v>91</v>
      </c>
      <c r="C266" s="211" t="s">
        <v>5122</v>
      </c>
      <c r="D266" s="211" t="s">
        <v>5457</v>
      </c>
      <c r="E266" s="211" t="s">
        <v>5210</v>
      </c>
      <c r="F266" s="230">
        <v>2021</v>
      </c>
      <c r="G266" s="211">
        <v>2009</v>
      </c>
      <c r="H266" s="213"/>
      <c r="I266" s="213"/>
      <c r="J266" s="213"/>
      <c r="K266" s="213">
        <f t="shared" si="6"/>
        <v>0</v>
      </c>
      <c r="L266" s="213"/>
      <c r="M266" s="213"/>
      <c r="N266" s="213"/>
      <c r="O266" s="205" t="e">
        <f t="shared" si="7"/>
        <v>#DIV/0!</v>
      </c>
      <c r="P266" s="205" t="e">
        <f t="shared" si="8"/>
        <v>#DIV/0!</v>
      </c>
      <c r="Q266" s="213" t="e">
        <f t="shared" si="9"/>
        <v>#NUM!</v>
      </c>
      <c r="R266" s="213">
        <f t="shared" si="10"/>
        <v>12</v>
      </c>
      <c r="S266" s="213"/>
      <c r="T266" s="213"/>
      <c r="U266" s="211" t="s">
        <v>5458</v>
      </c>
    </row>
    <row r="267" spans="1:21" ht="15.6">
      <c r="A267" s="211"/>
      <c r="B267" s="212">
        <v>92</v>
      </c>
      <c r="C267" s="211" t="s">
        <v>5086</v>
      </c>
      <c r="D267" s="211" t="s">
        <v>5459</v>
      </c>
      <c r="E267" s="211" t="s">
        <v>5210</v>
      </c>
      <c r="F267" s="230">
        <v>2021</v>
      </c>
      <c r="G267" s="211">
        <v>2006</v>
      </c>
      <c r="H267" s="213"/>
      <c r="I267" s="213"/>
      <c r="J267" s="213"/>
      <c r="K267" s="213">
        <f t="shared" si="6"/>
        <v>0</v>
      </c>
      <c r="L267" s="213"/>
      <c r="M267" s="213"/>
      <c r="N267" s="213"/>
      <c r="O267" s="205" t="e">
        <f t="shared" si="7"/>
        <v>#DIV/0!</v>
      </c>
      <c r="P267" s="205" t="e">
        <f t="shared" si="8"/>
        <v>#DIV/0!</v>
      </c>
      <c r="Q267" s="213" t="e">
        <f t="shared" si="9"/>
        <v>#NUM!</v>
      </c>
      <c r="R267" s="213">
        <f t="shared" si="10"/>
        <v>15</v>
      </c>
      <c r="S267" s="213"/>
      <c r="T267" s="213"/>
      <c r="U267" s="211" t="s">
        <v>5451</v>
      </c>
    </row>
    <row r="268" spans="1:21" ht="13.2">
      <c r="A268" s="231"/>
      <c r="B268" s="232"/>
      <c r="C268" s="231"/>
      <c r="D268" s="231"/>
      <c r="E268" s="231"/>
      <c r="F268" s="231"/>
      <c r="G268" s="231"/>
      <c r="H268" s="233"/>
      <c r="I268" s="233"/>
      <c r="J268" s="233"/>
      <c r="K268" s="233"/>
      <c r="L268" s="233"/>
      <c r="M268" s="233"/>
      <c r="N268" s="233"/>
      <c r="O268" s="234"/>
      <c r="P268" s="234"/>
      <c r="Q268" s="233"/>
      <c r="R268" s="233"/>
      <c r="S268" s="233"/>
      <c r="T268" s="233"/>
      <c r="U268" s="231"/>
    </row>
    <row r="269" spans="1:21" ht="13.2">
      <c r="A269" s="231"/>
      <c r="B269" s="232"/>
      <c r="C269" s="231"/>
      <c r="D269" s="231"/>
      <c r="E269" s="231"/>
      <c r="F269" s="231"/>
      <c r="G269" s="231"/>
      <c r="H269" s="233"/>
      <c r="I269" s="233"/>
      <c r="J269" s="233"/>
      <c r="K269" s="233"/>
      <c r="L269" s="233"/>
      <c r="M269" s="233"/>
      <c r="N269" s="233"/>
      <c r="O269" s="234"/>
      <c r="P269" s="234"/>
      <c r="Q269" s="233"/>
      <c r="R269" s="233"/>
      <c r="S269" s="233"/>
      <c r="T269" s="233"/>
      <c r="U269" s="231"/>
    </row>
    <row r="270" spans="1:21" ht="13.2">
      <c r="A270" s="231"/>
      <c r="B270" s="232"/>
      <c r="C270" s="231"/>
      <c r="D270" s="231"/>
      <c r="E270" s="231"/>
      <c r="F270" s="231"/>
      <c r="G270" s="231"/>
      <c r="H270" s="233"/>
      <c r="I270" s="233"/>
      <c r="J270" s="233"/>
      <c r="K270" s="233"/>
      <c r="L270" s="233"/>
      <c r="M270" s="233"/>
      <c r="N270" s="233"/>
      <c r="O270" s="234"/>
      <c r="P270" s="234"/>
      <c r="Q270" s="233"/>
      <c r="R270" s="233"/>
      <c r="S270" s="233"/>
      <c r="T270" s="233"/>
      <c r="U270" s="231"/>
    </row>
    <row r="271" spans="1:21" ht="13.2">
      <c r="A271" s="231"/>
      <c r="B271" s="232"/>
      <c r="C271" s="231"/>
      <c r="D271" s="231"/>
      <c r="E271" s="231"/>
      <c r="F271" s="231"/>
      <c r="G271" s="231"/>
      <c r="H271" s="233"/>
      <c r="I271" s="233"/>
      <c r="J271" s="233"/>
      <c r="K271" s="233"/>
      <c r="L271" s="233"/>
      <c r="M271" s="233"/>
      <c r="N271" s="233"/>
      <c r="O271" s="234"/>
      <c r="P271" s="234"/>
      <c r="Q271" s="233"/>
      <c r="R271" s="233"/>
      <c r="S271" s="233"/>
      <c r="T271" s="233"/>
      <c r="U271" s="231"/>
    </row>
    <row r="272" spans="1:21" ht="13.2">
      <c r="A272" s="231"/>
      <c r="B272" s="232"/>
      <c r="C272" s="231"/>
      <c r="D272" s="231"/>
      <c r="E272" s="231"/>
      <c r="F272" s="231"/>
      <c r="G272" s="231"/>
      <c r="H272" s="233"/>
      <c r="I272" s="233"/>
      <c r="J272" s="233"/>
      <c r="K272" s="233"/>
      <c r="L272" s="233"/>
      <c r="M272" s="233"/>
      <c r="N272" s="233"/>
      <c r="O272" s="234"/>
      <c r="P272" s="234"/>
      <c r="Q272" s="233"/>
      <c r="R272" s="233"/>
      <c r="S272" s="233"/>
      <c r="T272" s="233"/>
      <c r="U272" s="231"/>
    </row>
    <row r="273" spans="1:21" ht="13.2">
      <c r="A273" s="231"/>
      <c r="B273" s="232"/>
      <c r="C273" s="231"/>
      <c r="D273" s="231"/>
      <c r="E273" s="231"/>
      <c r="F273" s="231"/>
      <c r="G273" s="231"/>
      <c r="H273" s="233"/>
      <c r="I273" s="233"/>
      <c r="J273" s="233"/>
      <c r="K273" s="233"/>
      <c r="L273" s="233"/>
      <c r="M273" s="233"/>
      <c r="N273" s="233"/>
      <c r="O273" s="234"/>
      <c r="P273" s="234"/>
      <c r="Q273" s="233"/>
      <c r="R273" s="233"/>
      <c r="S273" s="233"/>
      <c r="T273" s="233"/>
      <c r="U273" s="231"/>
    </row>
    <row r="274" spans="1:21" ht="13.2">
      <c r="A274" s="231"/>
      <c r="B274" s="232"/>
      <c r="C274" s="231"/>
      <c r="D274" s="231"/>
      <c r="E274" s="231"/>
      <c r="F274" s="231"/>
      <c r="G274" s="231"/>
      <c r="H274" s="233"/>
      <c r="I274" s="233"/>
      <c r="J274" s="233"/>
      <c r="K274" s="233"/>
      <c r="L274" s="233"/>
      <c r="M274" s="233"/>
      <c r="N274" s="233"/>
      <c r="O274" s="234"/>
      <c r="P274" s="234"/>
      <c r="Q274" s="233"/>
      <c r="R274" s="233"/>
      <c r="S274" s="233"/>
      <c r="T274" s="233"/>
      <c r="U274" s="231"/>
    </row>
    <row r="275" spans="1:21" ht="13.2">
      <c r="A275" s="231"/>
      <c r="B275" s="232"/>
      <c r="C275" s="231"/>
      <c r="D275" s="231"/>
      <c r="E275" s="231"/>
      <c r="F275" s="231"/>
      <c r="G275" s="231"/>
      <c r="H275" s="233"/>
      <c r="I275" s="233"/>
      <c r="J275" s="233"/>
      <c r="K275" s="233"/>
      <c r="L275" s="233"/>
      <c r="M275" s="233"/>
      <c r="N275" s="233"/>
      <c r="O275" s="234"/>
      <c r="P275" s="234"/>
      <c r="Q275" s="233"/>
      <c r="R275" s="233"/>
      <c r="S275" s="233"/>
      <c r="T275" s="233"/>
      <c r="U275" s="231"/>
    </row>
    <row r="276" spans="1:21" ht="13.2">
      <c r="A276" s="231"/>
      <c r="B276" s="232"/>
      <c r="C276" s="231"/>
      <c r="D276" s="231"/>
      <c r="E276" s="231"/>
      <c r="F276" s="231"/>
      <c r="G276" s="231"/>
      <c r="H276" s="233"/>
      <c r="I276" s="233"/>
      <c r="J276" s="233"/>
      <c r="K276" s="233"/>
      <c r="L276" s="233"/>
      <c r="M276" s="233"/>
      <c r="N276" s="233"/>
      <c r="O276" s="234"/>
      <c r="P276" s="234"/>
      <c r="Q276" s="233"/>
      <c r="R276" s="233"/>
      <c r="S276" s="233"/>
      <c r="T276" s="233"/>
      <c r="U276" s="231"/>
    </row>
    <row r="277" spans="1:21" ht="13.2">
      <c r="A277" s="231"/>
      <c r="B277" s="232"/>
      <c r="C277" s="231"/>
      <c r="D277" s="231"/>
      <c r="E277" s="231"/>
      <c r="F277" s="231"/>
      <c r="G277" s="231"/>
      <c r="H277" s="233"/>
      <c r="I277" s="233"/>
      <c r="J277" s="233"/>
      <c r="K277" s="233"/>
      <c r="L277" s="233"/>
      <c r="M277" s="233"/>
      <c r="N277" s="233"/>
      <c r="O277" s="234"/>
      <c r="P277" s="234"/>
      <c r="Q277" s="233"/>
      <c r="R277" s="233"/>
      <c r="S277" s="233"/>
      <c r="T277" s="233"/>
      <c r="U277" s="231"/>
    </row>
    <row r="278" spans="1:21" ht="13.2">
      <c r="A278" s="231"/>
      <c r="B278" s="232"/>
      <c r="C278" s="231"/>
      <c r="D278" s="231"/>
      <c r="E278" s="231"/>
      <c r="F278" s="231"/>
      <c r="G278" s="231"/>
      <c r="H278" s="233"/>
      <c r="I278" s="233"/>
      <c r="J278" s="233"/>
      <c r="K278" s="233"/>
      <c r="L278" s="233"/>
      <c r="M278" s="233"/>
      <c r="N278" s="233"/>
      <c r="O278" s="234"/>
      <c r="P278" s="234"/>
      <c r="Q278" s="233"/>
      <c r="R278" s="233"/>
      <c r="S278" s="233"/>
      <c r="T278" s="233"/>
      <c r="U278" s="231"/>
    </row>
    <row r="279" spans="1:21" ht="13.2">
      <c r="A279" s="231"/>
      <c r="B279" s="232"/>
      <c r="C279" s="231"/>
      <c r="D279" s="231"/>
      <c r="E279" s="231"/>
      <c r="F279" s="231"/>
      <c r="G279" s="231"/>
      <c r="H279" s="233"/>
      <c r="I279" s="233"/>
      <c r="J279" s="233"/>
      <c r="K279" s="233"/>
      <c r="L279" s="233"/>
      <c r="M279" s="233"/>
      <c r="N279" s="233"/>
      <c r="O279" s="234"/>
      <c r="P279" s="234"/>
      <c r="Q279" s="233"/>
      <c r="R279" s="233"/>
      <c r="S279" s="233"/>
      <c r="T279" s="233"/>
      <c r="U279" s="231"/>
    </row>
    <row r="280" spans="1:21" ht="13.2">
      <c r="A280" s="231"/>
      <c r="B280" s="232"/>
      <c r="C280" s="231"/>
      <c r="D280" s="231"/>
      <c r="E280" s="231"/>
      <c r="F280" s="231"/>
      <c r="G280" s="231"/>
      <c r="H280" s="233"/>
      <c r="I280" s="233"/>
      <c r="J280" s="233"/>
      <c r="K280" s="233"/>
      <c r="L280" s="233"/>
      <c r="M280" s="233"/>
      <c r="N280" s="233"/>
      <c r="O280" s="234"/>
      <c r="P280" s="234"/>
      <c r="Q280" s="233"/>
      <c r="R280" s="233"/>
      <c r="S280" s="233"/>
      <c r="T280" s="233"/>
      <c r="U280" s="231"/>
    </row>
    <row r="281" spans="1:21" ht="13.2">
      <c r="A281" s="231"/>
      <c r="B281" s="232"/>
      <c r="C281" s="231"/>
      <c r="D281" s="231"/>
      <c r="E281" s="231"/>
      <c r="F281" s="231"/>
      <c r="G281" s="231"/>
      <c r="H281" s="233"/>
      <c r="I281" s="233"/>
      <c r="J281" s="233"/>
      <c r="K281" s="233"/>
      <c r="L281" s="233"/>
      <c r="M281" s="233"/>
      <c r="N281" s="233"/>
      <c r="O281" s="234"/>
      <c r="P281" s="234"/>
      <c r="Q281" s="233"/>
      <c r="R281" s="233"/>
      <c r="S281" s="233"/>
      <c r="T281" s="233"/>
      <c r="U281" s="231"/>
    </row>
    <row r="282" spans="1:21" ht="13.2">
      <c r="A282" s="231"/>
      <c r="B282" s="232"/>
      <c r="C282" s="231"/>
      <c r="D282" s="231"/>
      <c r="E282" s="231"/>
      <c r="F282" s="231"/>
      <c r="G282" s="231"/>
      <c r="H282" s="233"/>
      <c r="I282" s="233"/>
      <c r="J282" s="233"/>
      <c r="K282" s="233"/>
      <c r="L282" s="233"/>
      <c r="M282" s="233"/>
      <c r="N282" s="233"/>
      <c r="O282" s="234"/>
      <c r="P282" s="234"/>
      <c r="Q282" s="233"/>
      <c r="R282" s="233"/>
      <c r="S282" s="233"/>
      <c r="T282" s="233"/>
      <c r="U282" s="231"/>
    </row>
    <row r="283" spans="1:21" ht="13.2">
      <c r="A283" s="231"/>
      <c r="B283" s="232"/>
      <c r="C283" s="231"/>
      <c r="D283" s="231"/>
      <c r="E283" s="231"/>
      <c r="F283" s="231"/>
      <c r="G283" s="231"/>
      <c r="H283" s="233"/>
      <c r="I283" s="233"/>
      <c r="J283" s="233"/>
      <c r="K283" s="233"/>
      <c r="L283" s="233"/>
      <c r="M283" s="233"/>
      <c r="N283" s="233"/>
      <c r="O283" s="234"/>
      <c r="P283" s="234"/>
      <c r="Q283" s="233"/>
      <c r="R283" s="233"/>
      <c r="S283" s="233"/>
      <c r="T283" s="233"/>
      <c r="U283" s="231"/>
    </row>
    <row r="284" spans="1:21" ht="13.2">
      <c r="A284" s="231"/>
      <c r="B284" s="232"/>
      <c r="C284" s="231"/>
      <c r="D284" s="231"/>
      <c r="E284" s="231"/>
      <c r="F284" s="231"/>
      <c r="G284" s="231"/>
      <c r="H284" s="233"/>
      <c r="I284" s="233"/>
      <c r="J284" s="233"/>
      <c r="K284" s="233"/>
      <c r="L284" s="233"/>
      <c r="M284" s="233"/>
      <c r="N284" s="233"/>
      <c r="O284" s="234"/>
      <c r="P284" s="234"/>
      <c r="Q284" s="233"/>
      <c r="R284" s="233"/>
      <c r="S284" s="233"/>
      <c r="T284" s="233"/>
      <c r="U284" s="231"/>
    </row>
    <row r="285" spans="1:21" ht="13.2">
      <c r="A285" s="231"/>
      <c r="B285" s="232"/>
      <c r="C285" s="231"/>
      <c r="D285" s="231"/>
      <c r="E285" s="231"/>
      <c r="F285" s="231"/>
      <c r="G285" s="231"/>
      <c r="H285" s="233"/>
      <c r="I285" s="233"/>
      <c r="J285" s="233"/>
      <c r="K285" s="233"/>
      <c r="L285" s="233"/>
      <c r="M285" s="233"/>
      <c r="N285" s="233"/>
      <c r="O285" s="234"/>
      <c r="P285" s="234"/>
      <c r="Q285" s="233"/>
      <c r="R285" s="233"/>
      <c r="S285" s="233"/>
      <c r="T285" s="233"/>
      <c r="U285" s="231"/>
    </row>
    <row r="286" spans="1:21" ht="13.2">
      <c r="A286" s="231"/>
      <c r="B286" s="232"/>
      <c r="C286" s="231"/>
      <c r="D286" s="231"/>
      <c r="E286" s="231"/>
      <c r="F286" s="231"/>
      <c r="G286" s="231"/>
      <c r="H286" s="233"/>
      <c r="I286" s="233"/>
      <c r="J286" s="233"/>
      <c r="K286" s="233"/>
      <c r="L286" s="233"/>
      <c r="M286" s="233"/>
      <c r="N286" s="233"/>
      <c r="O286" s="234"/>
      <c r="P286" s="234"/>
      <c r="Q286" s="233"/>
      <c r="R286" s="233"/>
      <c r="S286" s="233"/>
      <c r="T286" s="233"/>
      <c r="U286" s="231"/>
    </row>
    <row r="287" spans="1:21" ht="13.2">
      <c r="A287" s="231"/>
      <c r="B287" s="232"/>
      <c r="C287" s="231"/>
      <c r="D287" s="231"/>
      <c r="E287" s="231"/>
      <c r="F287" s="231"/>
      <c r="G287" s="231"/>
      <c r="H287" s="233"/>
      <c r="I287" s="233"/>
      <c r="J287" s="233"/>
      <c r="K287" s="233"/>
      <c r="L287" s="233"/>
      <c r="M287" s="233"/>
      <c r="N287" s="233"/>
      <c r="O287" s="234"/>
      <c r="P287" s="234"/>
      <c r="Q287" s="233"/>
      <c r="R287" s="233"/>
      <c r="S287" s="233"/>
      <c r="T287" s="233"/>
      <c r="U287" s="231"/>
    </row>
    <row r="288" spans="1:21" ht="13.2">
      <c r="A288" s="231"/>
      <c r="B288" s="232"/>
      <c r="C288" s="231"/>
      <c r="D288" s="231"/>
      <c r="E288" s="231"/>
      <c r="F288" s="231"/>
      <c r="G288" s="231"/>
      <c r="H288" s="233"/>
      <c r="I288" s="233"/>
      <c r="J288" s="233"/>
      <c r="K288" s="233"/>
      <c r="L288" s="233"/>
      <c r="M288" s="233"/>
      <c r="N288" s="233"/>
      <c r="O288" s="234"/>
      <c r="P288" s="234"/>
      <c r="Q288" s="233"/>
      <c r="R288" s="233"/>
      <c r="S288" s="233"/>
      <c r="T288" s="233"/>
      <c r="U288" s="231"/>
    </row>
    <row r="289" spans="1:21" ht="13.2">
      <c r="A289" s="231"/>
      <c r="B289" s="232"/>
      <c r="C289" s="231"/>
      <c r="D289" s="231"/>
      <c r="E289" s="231"/>
      <c r="F289" s="231"/>
      <c r="G289" s="231"/>
      <c r="H289" s="233"/>
      <c r="I289" s="233"/>
      <c r="J289" s="233"/>
      <c r="K289" s="233"/>
      <c r="L289" s="233"/>
      <c r="M289" s="233"/>
      <c r="N289" s="233"/>
      <c r="O289" s="234"/>
      <c r="P289" s="234"/>
      <c r="Q289" s="233"/>
      <c r="R289" s="233"/>
      <c r="S289" s="233"/>
      <c r="T289" s="233"/>
      <c r="U289" s="231"/>
    </row>
    <row r="290" spans="1:21" ht="13.2">
      <c r="A290" s="231"/>
      <c r="B290" s="232"/>
      <c r="C290" s="231"/>
      <c r="D290" s="231"/>
      <c r="E290" s="231"/>
      <c r="F290" s="231"/>
      <c r="G290" s="231"/>
      <c r="H290" s="233"/>
      <c r="I290" s="233"/>
      <c r="J290" s="233"/>
      <c r="K290" s="233"/>
      <c r="L290" s="233"/>
      <c r="M290" s="233"/>
      <c r="N290" s="233"/>
      <c r="O290" s="234"/>
      <c r="P290" s="234"/>
      <c r="Q290" s="233"/>
      <c r="R290" s="233"/>
      <c r="S290" s="233"/>
      <c r="T290" s="233"/>
      <c r="U290" s="231"/>
    </row>
    <row r="291" spans="1:21" ht="13.2">
      <c r="A291" s="231"/>
      <c r="B291" s="232"/>
      <c r="C291" s="231"/>
      <c r="D291" s="231"/>
      <c r="E291" s="231"/>
      <c r="F291" s="231"/>
      <c r="G291" s="231"/>
      <c r="H291" s="233"/>
      <c r="I291" s="233"/>
      <c r="J291" s="233"/>
      <c r="K291" s="233"/>
      <c r="L291" s="233"/>
      <c r="M291" s="233"/>
      <c r="N291" s="233"/>
      <c r="O291" s="234"/>
      <c r="P291" s="234"/>
      <c r="Q291" s="233"/>
      <c r="R291" s="233"/>
      <c r="S291" s="233"/>
      <c r="T291" s="233"/>
      <c r="U291" s="231"/>
    </row>
    <row r="292" spans="1:21" ht="13.2">
      <c r="A292" s="231"/>
      <c r="B292" s="232"/>
      <c r="C292" s="231"/>
      <c r="D292" s="231"/>
      <c r="E292" s="231"/>
      <c r="F292" s="231"/>
      <c r="G292" s="231"/>
      <c r="H292" s="233"/>
      <c r="I292" s="233"/>
      <c r="J292" s="233"/>
      <c r="K292" s="233"/>
      <c r="L292" s="233"/>
      <c r="M292" s="233"/>
      <c r="N292" s="233"/>
      <c r="O292" s="234"/>
      <c r="P292" s="234"/>
      <c r="Q292" s="233"/>
      <c r="R292" s="233"/>
      <c r="S292" s="233"/>
      <c r="T292" s="233"/>
      <c r="U292" s="231"/>
    </row>
    <row r="293" spans="1:21" ht="13.2">
      <c r="A293" s="231"/>
      <c r="B293" s="232"/>
      <c r="C293" s="231"/>
      <c r="D293" s="231"/>
      <c r="E293" s="231"/>
      <c r="F293" s="231"/>
      <c r="G293" s="231"/>
      <c r="H293" s="233"/>
      <c r="I293" s="233"/>
      <c r="J293" s="233"/>
      <c r="K293" s="233"/>
      <c r="L293" s="233"/>
      <c r="M293" s="233"/>
      <c r="N293" s="233"/>
      <c r="O293" s="234"/>
      <c r="P293" s="234"/>
      <c r="Q293" s="233"/>
      <c r="R293" s="233"/>
      <c r="S293" s="233"/>
      <c r="T293" s="233"/>
      <c r="U293" s="231"/>
    </row>
    <row r="294" spans="1:21" ht="13.2">
      <c r="A294" s="231"/>
      <c r="B294" s="232"/>
      <c r="C294" s="231"/>
      <c r="D294" s="231"/>
      <c r="E294" s="231"/>
      <c r="F294" s="231"/>
      <c r="G294" s="231"/>
      <c r="H294" s="233"/>
      <c r="I294" s="233"/>
      <c r="J294" s="233"/>
      <c r="K294" s="233"/>
      <c r="L294" s="233"/>
      <c r="M294" s="233"/>
      <c r="N294" s="233"/>
      <c r="O294" s="234"/>
      <c r="P294" s="234"/>
      <c r="Q294" s="233"/>
      <c r="R294" s="233"/>
      <c r="S294" s="233"/>
      <c r="T294" s="233"/>
      <c r="U294" s="231"/>
    </row>
    <row r="295" spans="1:21" ht="13.2">
      <c r="A295" s="231"/>
      <c r="B295" s="232"/>
      <c r="C295" s="231"/>
      <c r="D295" s="231"/>
      <c r="E295" s="231"/>
      <c r="F295" s="231"/>
      <c r="G295" s="231"/>
      <c r="H295" s="233"/>
      <c r="I295" s="233"/>
      <c r="J295" s="233"/>
      <c r="K295" s="233"/>
      <c r="L295" s="233"/>
      <c r="M295" s="233"/>
      <c r="N295" s="233"/>
      <c r="O295" s="234"/>
      <c r="P295" s="234"/>
      <c r="Q295" s="233"/>
      <c r="R295" s="233"/>
      <c r="S295" s="233"/>
      <c r="T295" s="233"/>
      <c r="U295" s="231"/>
    </row>
    <row r="296" spans="1:21" ht="13.2">
      <c r="A296" s="231"/>
      <c r="B296" s="232"/>
      <c r="C296" s="231"/>
      <c r="D296" s="231"/>
      <c r="E296" s="231"/>
      <c r="F296" s="231"/>
      <c r="G296" s="231"/>
      <c r="H296" s="233"/>
      <c r="I296" s="233"/>
      <c r="J296" s="233"/>
      <c r="K296" s="233"/>
      <c r="L296" s="233"/>
      <c r="M296" s="233"/>
      <c r="N296" s="233"/>
      <c r="O296" s="234"/>
      <c r="P296" s="234"/>
      <c r="Q296" s="233"/>
      <c r="R296" s="233"/>
      <c r="S296" s="233"/>
      <c r="T296" s="233"/>
      <c r="U296" s="231"/>
    </row>
    <row r="297" spans="1:21" ht="13.2">
      <c r="A297" s="231"/>
      <c r="B297" s="232"/>
      <c r="C297" s="231"/>
      <c r="D297" s="231"/>
      <c r="E297" s="231"/>
      <c r="F297" s="231"/>
      <c r="G297" s="231"/>
      <c r="H297" s="233"/>
      <c r="I297" s="233"/>
      <c r="J297" s="233"/>
      <c r="K297" s="233"/>
      <c r="L297" s="233"/>
      <c r="M297" s="233"/>
      <c r="N297" s="233"/>
      <c r="O297" s="234"/>
      <c r="P297" s="234"/>
      <c r="Q297" s="233"/>
      <c r="R297" s="233"/>
      <c r="S297" s="233"/>
      <c r="T297" s="233"/>
      <c r="U297" s="231"/>
    </row>
    <row r="298" spans="1:21" ht="13.2">
      <c r="A298" s="231"/>
      <c r="B298" s="232"/>
      <c r="C298" s="231"/>
      <c r="D298" s="231"/>
      <c r="E298" s="231"/>
      <c r="F298" s="231"/>
      <c r="G298" s="231"/>
      <c r="H298" s="233"/>
      <c r="I298" s="233"/>
      <c r="J298" s="233"/>
      <c r="K298" s="233"/>
      <c r="L298" s="233"/>
      <c r="M298" s="233"/>
      <c r="N298" s="233"/>
      <c r="O298" s="234"/>
      <c r="P298" s="234"/>
      <c r="Q298" s="233"/>
      <c r="R298" s="233"/>
      <c r="S298" s="233"/>
      <c r="T298" s="233"/>
      <c r="U298" s="231"/>
    </row>
    <row r="299" spans="1:21" ht="13.2">
      <c r="A299" s="231"/>
      <c r="B299" s="232"/>
      <c r="C299" s="231"/>
      <c r="D299" s="231"/>
      <c r="E299" s="231"/>
      <c r="F299" s="231"/>
      <c r="G299" s="231"/>
      <c r="H299" s="233"/>
      <c r="I299" s="233"/>
      <c r="J299" s="233"/>
      <c r="K299" s="233"/>
      <c r="L299" s="233"/>
      <c r="M299" s="233"/>
      <c r="N299" s="233"/>
      <c r="O299" s="234"/>
      <c r="P299" s="234"/>
      <c r="Q299" s="233"/>
      <c r="R299" s="233"/>
      <c r="S299" s="233"/>
      <c r="T299" s="233"/>
      <c r="U299" s="231"/>
    </row>
    <row r="300" spans="1:21" ht="13.2">
      <c r="A300" s="231"/>
      <c r="B300" s="232"/>
      <c r="C300" s="231"/>
      <c r="D300" s="231"/>
      <c r="E300" s="231"/>
      <c r="F300" s="231"/>
      <c r="G300" s="231"/>
      <c r="H300" s="233"/>
      <c r="I300" s="233"/>
      <c r="J300" s="233"/>
      <c r="K300" s="233"/>
      <c r="L300" s="233"/>
      <c r="M300" s="233"/>
      <c r="N300" s="233"/>
      <c r="O300" s="234"/>
      <c r="P300" s="234"/>
      <c r="Q300" s="233"/>
      <c r="R300" s="233"/>
      <c r="S300" s="233"/>
      <c r="T300" s="233"/>
      <c r="U300" s="231"/>
    </row>
    <row r="301" spans="1:21" ht="13.2">
      <c r="A301" s="231"/>
      <c r="B301" s="232"/>
      <c r="C301" s="231"/>
      <c r="D301" s="231"/>
      <c r="E301" s="231"/>
      <c r="F301" s="231"/>
      <c r="G301" s="231"/>
      <c r="H301" s="233"/>
      <c r="I301" s="233"/>
      <c r="J301" s="233"/>
      <c r="K301" s="233"/>
      <c r="L301" s="233"/>
      <c r="M301" s="233"/>
      <c r="N301" s="233"/>
      <c r="O301" s="234"/>
      <c r="P301" s="234"/>
      <c r="Q301" s="233"/>
      <c r="R301" s="233"/>
      <c r="S301" s="233"/>
      <c r="T301" s="233"/>
      <c r="U301" s="231"/>
    </row>
    <row r="302" spans="1:21" ht="13.2">
      <c r="A302" s="231"/>
      <c r="B302" s="232"/>
      <c r="C302" s="231"/>
      <c r="D302" s="231"/>
      <c r="E302" s="231"/>
      <c r="F302" s="231"/>
      <c r="G302" s="231"/>
      <c r="H302" s="233"/>
      <c r="I302" s="233"/>
      <c r="J302" s="233"/>
      <c r="K302" s="233"/>
      <c r="L302" s="233"/>
      <c r="M302" s="233"/>
      <c r="N302" s="233"/>
      <c r="O302" s="234"/>
      <c r="P302" s="234"/>
      <c r="Q302" s="233"/>
      <c r="R302" s="233"/>
      <c r="S302" s="233"/>
      <c r="T302" s="233"/>
      <c r="U302" s="231"/>
    </row>
    <row r="303" spans="1:21" ht="13.2">
      <c r="A303" s="231"/>
      <c r="B303" s="232"/>
      <c r="C303" s="231"/>
      <c r="D303" s="231"/>
      <c r="E303" s="231"/>
      <c r="F303" s="231"/>
      <c r="G303" s="231"/>
      <c r="H303" s="233"/>
      <c r="I303" s="233"/>
      <c r="J303" s="233"/>
      <c r="K303" s="233"/>
      <c r="L303" s="233"/>
      <c r="M303" s="233"/>
      <c r="N303" s="233"/>
      <c r="O303" s="234"/>
      <c r="P303" s="234"/>
      <c r="Q303" s="233"/>
      <c r="R303" s="233"/>
      <c r="S303" s="233"/>
      <c r="T303" s="233"/>
      <c r="U303" s="231"/>
    </row>
    <row r="304" spans="1:21" ht="13.2">
      <c r="A304" s="231"/>
      <c r="B304" s="232"/>
      <c r="C304" s="231"/>
      <c r="D304" s="231"/>
      <c r="E304" s="231"/>
      <c r="F304" s="231"/>
      <c r="G304" s="231"/>
      <c r="H304" s="233"/>
      <c r="I304" s="233"/>
      <c r="J304" s="233"/>
      <c r="K304" s="233"/>
      <c r="L304" s="233"/>
      <c r="M304" s="233"/>
      <c r="N304" s="233"/>
      <c r="O304" s="234"/>
      <c r="P304" s="234"/>
      <c r="Q304" s="233"/>
      <c r="R304" s="233"/>
      <c r="S304" s="233"/>
      <c r="T304" s="233"/>
      <c r="U304" s="231"/>
    </row>
    <row r="305" spans="1:21" ht="13.2">
      <c r="A305" s="231"/>
      <c r="B305" s="232"/>
      <c r="C305" s="231"/>
      <c r="D305" s="231"/>
      <c r="E305" s="231"/>
      <c r="F305" s="231"/>
      <c r="G305" s="231"/>
      <c r="H305" s="233"/>
      <c r="I305" s="233"/>
      <c r="J305" s="233"/>
      <c r="K305" s="233"/>
      <c r="L305" s="233"/>
      <c r="M305" s="233"/>
      <c r="N305" s="233"/>
      <c r="O305" s="234"/>
      <c r="P305" s="234"/>
      <c r="Q305" s="233"/>
      <c r="R305" s="233"/>
      <c r="S305" s="233"/>
      <c r="T305" s="233"/>
      <c r="U305" s="231"/>
    </row>
    <row r="306" spans="1:21" ht="13.2">
      <c r="A306" s="231"/>
      <c r="B306" s="232"/>
      <c r="C306" s="231"/>
      <c r="D306" s="231"/>
      <c r="E306" s="231"/>
      <c r="F306" s="231"/>
      <c r="G306" s="231"/>
      <c r="H306" s="233"/>
      <c r="I306" s="233"/>
      <c r="J306" s="233"/>
      <c r="K306" s="233"/>
      <c r="L306" s="233"/>
      <c r="M306" s="233"/>
      <c r="N306" s="233"/>
      <c r="O306" s="234"/>
      <c r="P306" s="234"/>
      <c r="Q306" s="233"/>
      <c r="R306" s="233"/>
      <c r="S306" s="233"/>
      <c r="T306" s="233"/>
      <c r="U306" s="231"/>
    </row>
    <row r="307" spans="1:21" ht="13.2">
      <c r="A307" s="231"/>
      <c r="B307" s="232"/>
      <c r="C307" s="231"/>
      <c r="D307" s="231"/>
      <c r="E307" s="231"/>
      <c r="F307" s="231"/>
      <c r="G307" s="231"/>
      <c r="H307" s="233"/>
      <c r="I307" s="233"/>
      <c r="J307" s="233"/>
      <c r="K307" s="233"/>
      <c r="L307" s="233"/>
      <c r="M307" s="233"/>
      <c r="N307" s="233"/>
      <c r="O307" s="234"/>
      <c r="P307" s="234"/>
      <c r="Q307" s="233"/>
      <c r="R307" s="233"/>
      <c r="S307" s="233"/>
      <c r="T307" s="233"/>
      <c r="U307" s="231"/>
    </row>
    <row r="308" spans="1:21" ht="13.2">
      <c r="A308" s="231"/>
      <c r="B308" s="232"/>
      <c r="C308" s="231"/>
      <c r="D308" s="231"/>
      <c r="E308" s="231"/>
      <c r="F308" s="231"/>
      <c r="G308" s="231"/>
      <c r="H308" s="233"/>
      <c r="I308" s="233"/>
      <c r="J308" s="233"/>
      <c r="K308" s="233"/>
      <c r="L308" s="233"/>
      <c r="M308" s="233"/>
      <c r="N308" s="233"/>
      <c r="O308" s="234"/>
      <c r="P308" s="234"/>
      <c r="Q308" s="233"/>
      <c r="R308" s="233"/>
      <c r="S308" s="233"/>
      <c r="T308" s="233"/>
      <c r="U308" s="231"/>
    </row>
    <row r="309" spans="1:21" ht="13.2">
      <c r="A309" s="231"/>
      <c r="B309" s="232"/>
      <c r="C309" s="231"/>
      <c r="D309" s="231"/>
      <c r="E309" s="231"/>
      <c r="F309" s="231"/>
      <c r="G309" s="231"/>
      <c r="H309" s="233"/>
      <c r="I309" s="233"/>
      <c r="J309" s="233"/>
      <c r="K309" s="233"/>
      <c r="L309" s="233"/>
      <c r="M309" s="233"/>
      <c r="N309" s="233"/>
      <c r="O309" s="234"/>
      <c r="P309" s="234"/>
      <c r="Q309" s="233"/>
      <c r="R309" s="233"/>
      <c r="S309" s="233"/>
      <c r="T309" s="233"/>
      <c r="U309" s="231"/>
    </row>
    <row r="310" spans="1:21" ht="13.2">
      <c r="A310" s="231"/>
      <c r="B310" s="232"/>
      <c r="C310" s="231"/>
      <c r="D310" s="231"/>
      <c r="E310" s="231"/>
      <c r="F310" s="231"/>
      <c r="G310" s="231"/>
      <c r="H310" s="233"/>
      <c r="I310" s="233"/>
      <c r="J310" s="233"/>
      <c r="K310" s="233"/>
      <c r="L310" s="233"/>
      <c r="M310" s="233"/>
      <c r="N310" s="233"/>
      <c r="O310" s="234"/>
      <c r="P310" s="234"/>
      <c r="Q310" s="233"/>
      <c r="R310" s="233"/>
      <c r="S310" s="233"/>
      <c r="T310" s="233"/>
      <c r="U310" s="231"/>
    </row>
    <row r="311" spans="1:21" ht="13.2">
      <c r="A311" s="231"/>
      <c r="B311" s="232"/>
      <c r="C311" s="231"/>
      <c r="D311" s="231"/>
      <c r="E311" s="231"/>
      <c r="F311" s="231"/>
      <c r="G311" s="231"/>
      <c r="H311" s="233"/>
      <c r="I311" s="233"/>
      <c r="J311" s="233"/>
      <c r="K311" s="233"/>
      <c r="L311" s="233"/>
      <c r="M311" s="233"/>
      <c r="N311" s="233"/>
      <c r="O311" s="234"/>
      <c r="P311" s="234"/>
      <c r="Q311" s="233"/>
      <c r="R311" s="233"/>
      <c r="S311" s="233"/>
      <c r="T311" s="233"/>
      <c r="U311" s="231"/>
    </row>
    <row r="312" spans="1:21" ht="13.2">
      <c r="A312" s="231"/>
      <c r="B312" s="232"/>
      <c r="C312" s="231"/>
      <c r="D312" s="231"/>
      <c r="E312" s="231"/>
      <c r="F312" s="231"/>
      <c r="G312" s="231"/>
      <c r="H312" s="233"/>
      <c r="I312" s="233"/>
      <c r="J312" s="233"/>
      <c r="K312" s="233"/>
      <c r="L312" s="233"/>
      <c r="M312" s="233"/>
      <c r="N312" s="233"/>
      <c r="O312" s="234"/>
      <c r="P312" s="234"/>
      <c r="Q312" s="233"/>
      <c r="R312" s="233"/>
      <c r="S312" s="233"/>
      <c r="T312" s="233"/>
      <c r="U312" s="231"/>
    </row>
    <row r="313" spans="1:21" ht="13.2">
      <c r="A313" s="231"/>
      <c r="B313" s="232"/>
      <c r="C313" s="231"/>
      <c r="D313" s="231"/>
      <c r="E313" s="231"/>
      <c r="F313" s="231"/>
      <c r="G313" s="231"/>
      <c r="H313" s="233"/>
      <c r="I313" s="233"/>
      <c r="J313" s="233"/>
      <c r="K313" s="233"/>
      <c r="L313" s="233"/>
      <c r="M313" s="233"/>
      <c r="N313" s="233"/>
      <c r="O313" s="234"/>
      <c r="P313" s="234"/>
      <c r="Q313" s="233"/>
      <c r="R313" s="233"/>
      <c r="S313" s="233"/>
      <c r="T313" s="233"/>
      <c r="U313" s="231"/>
    </row>
    <row r="314" spans="1:21" ht="13.2">
      <c r="A314" s="231"/>
      <c r="B314" s="232"/>
      <c r="C314" s="231"/>
      <c r="D314" s="231"/>
      <c r="E314" s="231"/>
      <c r="F314" s="231"/>
      <c r="G314" s="231"/>
      <c r="H314" s="233"/>
      <c r="I314" s="233"/>
      <c r="J314" s="233"/>
      <c r="K314" s="233"/>
      <c r="L314" s="233"/>
      <c r="M314" s="233"/>
      <c r="N314" s="233"/>
      <c r="O314" s="234"/>
      <c r="P314" s="234"/>
      <c r="Q314" s="233"/>
      <c r="R314" s="233"/>
      <c r="S314" s="233"/>
      <c r="T314" s="233"/>
      <c r="U314" s="231"/>
    </row>
    <row r="315" spans="1:21" ht="13.2">
      <c r="A315" s="231"/>
      <c r="B315" s="232"/>
      <c r="C315" s="231"/>
      <c r="D315" s="231"/>
      <c r="E315" s="231"/>
      <c r="F315" s="231"/>
      <c r="G315" s="231"/>
      <c r="H315" s="233"/>
      <c r="I315" s="233"/>
      <c r="J315" s="233"/>
      <c r="K315" s="233"/>
      <c r="L315" s="233"/>
      <c r="M315" s="233"/>
      <c r="N315" s="233"/>
      <c r="O315" s="234"/>
      <c r="P315" s="234"/>
      <c r="Q315" s="233"/>
      <c r="R315" s="233"/>
      <c r="S315" s="233"/>
      <c r="T315" s="233"/>
      <c r="U315" s="231"/>
    </row>
    <row r="316" spans="1:21" ht="13.2">
      <c r="A316" s="231"/>
      <c r="B316" s="232"/>
      <c r="C316" s="231"/>
      <c r="D316" s="231"/>
      <c r="E316" s="231"/>
      <c r="F316" s="231"/>
      <c r="G316" s="231"/>
      <c r="H316" s="233"/>
      <c r="I316" s="233"/>
      <c r="J316" s="233"/>
      <c r="K316" s="233"/>
      <c r="L316" s="233"/>
      <c r="M316" s="233"/>
      <c r="N316" s="233"/>
      <c r="O316" s="234"/>
      <c r="P316" s="234"/>
      <c r="Q316" s="233"/>
      <c r="R316" s="233"/>
      <c r="S316" s="233"/>
      <c r="T316" s="233"/>
      <c r="U316" s="231"/>
    </row>
    <row r="317" spans="1:21" ht="13.2">
      <c r="A317" s="231"/>
      <c r="B317" s="232"/>
      <c r="C317" s="231"/>
      <c r="D317" s="231"/>
      <c r="E317" s="231"/>
      <c r="F317" s="231"/>
      <c r="G317" s="231"/>
      <c r="H317" s="233"/>
      <c r="I317" s="233"/>
      <c r="J317" s="233"/>
      <c r="K317" s="233"/>
      <c r="L317" s="233"/>
      <c r="M317" s="233"/>
      <c r="N317" s="233"/>
      <c r="O317" s="234"/>
      <c r="P317" s="234"/>
      <c r="Q317" s="233"/>
      <c r="R317" s="233"/>
      <c r="S317" s="233"/>
      <c r="T317" s="233"/>
      <c r="U317" s="231"/>
    </row>
    <row r="318" spans="1:21" ht="13.2">
      <c r="A318" s="231"/>
      <c r="B318" s="232"/>
      <c r="C318" s="231"/>
      <c r="D318" s="231"/>
      <c r="E318" s="231"/>
      <c r="F318" s="231"/>
      <c r="G318" s="231"/>
      <c r="H318" s="233"/>
      <c r="I318" s="233"/>
      <c r="J318" s="233"/>
      <c r="K318" s="233"/>
      <c r="L318" s="233"/>
      <c r="M318" s="233"/>
      <c r="N318" s="233"/>
      <c r="O318" s="234"/>
      <c r="P318" s="234"/>
      <c r="Q318" s="233"/>
      <c r="R318" s="233"/>
      <c r="S318" s="233"/>
      <c r="T318" s="233"/>
      <c r="U318" s="231"/>
    </row>
    <row r="319" spans="1:21" ht="13.2">
      <c r="A319" s="231"/>
      <c r="B319" s="232"/>
      <c r="C319" s="231"/>
      <c r="D319" s="231"/>
      <c r="E319" s="231"/>
      <c r="F319" s="231"/>
      <c r="G319" s="231"/>
      <c r="H319" s="233"/>
      <c r="I319" s="233"/>
      <c r="J319" s="233"/>
      <c r="K319" s="233"/>
      <c r="L319" s="233"/>
      <c r="M319" s="233"/>
      <c r="N319" s="233"/>
      <c r="O319" s="234"/>
      <c r="P319" s="234"/>
      <c r="Q319" s="233"/>
      <c r="R319" s="233"/>
      <c r="S319" s="233"/>
      <c r="T319" s="233"/>
      <c r="U319" s="231"/>
    </row>
    <row r="320" spans="1:21" ht="13.2">
      <c r="A320" s="231"/>
      <c r="B320" s="232"/>
      <c r="C320" s="231"/>
      <c r="D320" s="231"/>
      <c r="E320" s="231"/>
      <c r="F320" s="231"/>
      <c r="G320" s="231"/>
      <c r="H320" s="233"/>
      <c r="I320" s="233"/>
      <c r="J320" s="233"/>
      <c r="K320" s="233"/>
      <c r="L320" s="233"/>
      <c r="M320" s="233"/>
      <c r="N320" s="233"/>
      <c r="O320" s="234"/>
      <c r="P320" s="234"/>
      <c r="Q320" s="233"/>
      <c r="R320" s="233"/>
      <c r="S320" s="233"/>
      <c r="T320" s="233"/>
      <c r="U320" s="231"/>
    </row>
    <row r="321" spans="1:21" ht="13.2">
      <c r="A321" s="231"/>
      <c r="B321" s="232"/>
      <c r="C321" s="231"/>
      <c r="D321" s="231"/>
      <c r="E321" s="231"/>
      <c r="F321" s="231"/>
      <c r="G321" s="231"/>
      <c r="H321" s="233"/>
      <c r="I321" s="233"/>
      <c r="J321" s="233"/>
      <c r="K321" s="233"/>
      <c r="L321" s="233"/>
      <c r="M321" s="233"/>
      <c r="N321" s="233"/>
      <c r="O321" s="234"/>
      <c r="P321" s="234"/>
      <c r="Q321" s="233"/>
      <c r="R321" s="233"/>
      <c r="S321" s="233"/>
      <c r="T321" s="233"/>
      <c r="U321" s="231"/>
    </row>
    <row r="322" spans="1:21" ht="13.2">
      <c r="A322" s="231"/>
      <c r="B322" s="232"/>
      <c r="C322" s="231"/>
      <c r="D322" s="231"/>
      <c r="E322" s="231"/>
      <c r="F322" s="231"/>
      <c r="G322" s="231"/>
      <c r="H322" s="233"/>
      <c r="I322" s="233"/>
      <c r="J322" s="233"/>
      <c r="K322" s="233"/>
      <c r="L322" s="233"/>
      <c r="M322" s="233"/>
      <c r="N322" s="233"/>
      <c r="O322" s="234"/>
      <c r="P322" s="234"/>
      <c r="Q322" s="233"/>
      <c r="R322" s="233"/>
      <c r="S322" s="233"/>
      <c r="T322" s="233"/>
      <c r="U322" s="231"/>
    </row>
    <row r="323" spans="1:21" ht="13.2">
      <c r="A323" s="231"/>
      <c r="B323" s="232"/>
      <c r="C323" s="231"/>
      <c r="D323" s="231"/>
      <c r="E323" s="231"/>
      <c r="F323" s="231"/>
      <c r="G323" s="231"/>
      <c r="H323" s="233"/>
      <c r="I323" s="233"/>
      <c r="J323" s="233"/>
      <c r="K323" s="233"/>
      <c r="L323" s="233"/>
      <c r="M323" s="233"/>
      <c r="N323" s="233"/>
      <c r="O323" s="234"/>
      <c r="P323" s="234"/>
      <c r="Q323" s="233"/>
      <c r="R323" s="233"/>
      <c r="S323" s="233"/>
      <c r="T323" s="233"/>
      <c r="U323" s="231"/>
    </row>
    <row r="324" spans="1:21" ht="13.2">
      <c r="A324" s="231"/>
      <c r="B324" s="232"/>
      <c r="C324" s="231"/>
      <c r="D324" s="231"/>
      <c r="E324" s="231"/>
      <c r="F324" s="231"/>
      <c r="G324" s="231"/>
      <c r="H324" s="233"/>
      <c r="I324" s="233"/>
      <c r="J324" s="233"/>
      <c r="K324" s="233"/>
      <c r="L324" s="233"/>
      <c r="M324" s="233"/>
      <c r="N324" s="233"/>
      <c r="O324" s="234"/>
      <c r="P324" s="234"/>
      <c r="Q324" s="233"/>
      <c r="R324" s="233"/>
      <c r="S324" s="233"/>
      <c r="T324" s="233"/>
      <c r="U324" s="231"/>
    </row>
    <row r="325" spans="1:21" ht="13.2">
      <c r="A325" s="231"/>
      <c r="B325" s="232"/>
      <c r="C325" s="231"/>
      <c r="D325" s="231"/>
      <c r="E325" s="231"/>
      <c r="F325" s="231"/>
      <c r="G325" s="231"/>
      <c r="H325" s="233"/>
      <c r="I325" s="233"/>
      <c r="J325" s="233"/>
      <c r="K325" s="233"/>
      <c r="L325" s="233"/>
      <c r="M325" s="233"/>
      <c r="N325" s="233"/>
      <c r="O325" s="234"/>
      <c r="P325" s="234"/>
      <c r="Q325" s="233"/>
      <c r="R325" s="233"/>
      <c r="S325" s="233"/>
      <c r="T325" s="233"/>
      <c r="U325" s="231"/>
    </row>
    <row r="326" spans="1:21" ht="13.2">
      <c r="A326" s="231"/>
      <c r="B326" s="232"/>
      <c r="C326" s="231"/>
      <c r="D326" s="231"/>
      <c r="E326" s="231"/>
      <c r="F326" s="231"/>
      <c r="G326" s="231"/>
      <c r="H326" s="233"/>
      <c r="I326" s="233"/>
      <c r="J326" s="233"/>
      <c r="K326" s="233"/>
      <c r="L326" s="233"/>
      <c r="M326" s="233"/>
      <c r="N326" s="233"/>
      <c r="O326" s="234"/>
      <c r="P326" s="234"/>
      <c r="Q326" s="233"/>
      <c r="R326" s="233"/>
      <c r="S326" s="233"/>
      <c r="T326" s="233"/>
      <c r="U326" s="231"/>
    </row>
    <row r="327" spans="1:21" ht="13.2">
      <c r="A327" s="231"/>
      <c r="B327" s="232"/>
      <c r="C327" s="231"/>
      <c r="D327" s="231"/>
      <c r="E327" s="231"/>
      <c r="F327" s="231"/>
      <c r="G327" s="231"/>
      <c r="H327" s="233"/>
      <c r="I327" s="233"/>
      <c r="J327" s="233"/>
      <c r="K327" s="233"/>
      <c r="L327" s="233"/>
      <c r="M327" s="233"/>
      <c r="N327" s="233"/>
      <c r="O327" s="234"/>
      <c r="P327" s="234"/>
      <c r="Q327" s="233"/>
      <c r="R327" s="233"/>
      <c r="S327" s="233"/>
      <c r="T327" s="233"/>
      <c r="U327" s="231"/>
    </row>
    <row r="328" spans="1:21" ht="13.2">
      <c r="A328" s="231"/>
      <c r="B328" s="232"/>
      <c r="C328" s="231"/>
      <c r="D328" s="231"/>
      <c r="E328" s="231"/>
      <c r="F328" s="231"/>
      <c r="G328" s="231"/>
      <c r="H328" s="233"/>
      <c r="I328" s="233"/>
      <c r="J328" s="233"/>
      <c r="K328" s="233"/>
      <c r="L328" s="233"/>
      <c r="M328" s="233"/>
      <c r="N328" s="233"/>
      <c r="O328" s="234"/>
      <c r="P328" s="234"/>
      <c r="Q328" s="233"/>
      <c r="R328" s="233"/>
      <c r="S328" s="233"/>
      <c r="T328" s="233"/>
      <c r="U328" s="231"/>
    </row>
    <row r="329" spans="1:21" ht="13.2">
      <c r="A329" s="231"/>
      <c r="B329" s="232"/>
      <c r="C329" s="231"/>
      <c r="D329" s="231"/>
      <c r="E329" s="231"/>
      <c r="F329" s="231"/>
      <c r="G329" s="231"/>
      <c r="H329" s="233"/>
      <c r="I329" s="233"/>
      <c r="J329" s="233"/>
      <c r="K329" s="233"/>
      <c r="L329" s="233"/>
      <c r="M329" s="233"/>
      <c r="N329" s="233"/>
      <c r="O329" s="234"/>
      <c r="P329" s="234"/>
      <c r="Q329" s="233"/>
      <c r="R329" s="233"/>
      <c r="S329" s="233"/>
      <c r="T329" s="233"/>
      <c r="U329" s="231"/>
    </row>
    <row r="330" spans="1:21" ht="13.2">
      <c r="A330" s="231"/>
      <c r="B330" s="232"/>
      <c r="C330" s="231"/>
      <c r="D330" s="231"/>
      <c r="E330" s="231"/>
      <c r="F330" s="231"/>
      <c r="G330" s="231"/>
      <c r="H330" s="233"/>
      <c r="I330" s="233"/>
      <c r="J330" s="233"/>
      <c r="K330" s="233"/>
      <c r="L330" s="233"/>
      <c r="M330" s="233"/>
      <c r="N330" s="233"/>
      <c r="O330" s="234"/>
      <c r="P330" s="234"/>
      <c r="Q330" s="233"/>
      <c r="R330" s="233"/>
      <c r="S330" s="233"/>
      <c r="T330" s="233"/>
      <c r="U330" s="231"/>
    </row>
    <row r="331" spans="1:21" ht="13.2">
      <c r="A331" s="231"/>
      <c r="B331" s="232"/>
      <c r="C331" s="231"/>
      <c r="D331" s="231"/>
      <c r="E331" s="231"/>
      <c r="F331" s="231"/>
      <c r="G331" s="231"/>
      <c r="H331" s="233"/>
      <c r="I331" s="233"/>
      <c r="J331" s="233"/>
      <c r="K331" s="233"/>
      <c r="L331" s="233"/>
      <c r="M331" s="233"/>
      <c r="N331" s="233"/>
      <c r="O331" s="234"/>
      <c r="P331" s="234"/>
      <c r="Q331" s="233"/>
      <c r="R331" s="233"/>
      <c r="S331" s="233"/>
      <c r="T331" s="233"/>
      <c r="U331" s="231"/>
    </row>
    <row r="332" spans="1:21" ht="13.2">
      <c r="A332" s="231"/>
      <c r="B332" s="232"/>
      <c r="C332" s="231"/>
      <c r="D332" s="231"/>
      <c r="E332" s="231"/>
      <c r="F332" s="231"/>
      <c r="G332" s="231"/>
      <c r="H332" s="233"/>
      <c r="I332" s="233"/>
      <c r="J332" s="233"/>
      <c r="K332" s="233"/>
      <c r="L332" s="233"/>
      <c r="M332" s="233"/>
      <c r="N332" s="233"/>
      <c r="O332" s="234"/>
      <c r="P332" s="234"/>
      <c r="Q332" s="233"/>
      <c r="R332" s="233"/>
      <c r="S332" s="233"/>
      <c r="T332" s="233"/>
      <c r="U332" s="231"/>
    </row>
    <row r="333" spans="1:21" ht="13.2">
      <c r="A333" s="231"/>
      <c r="B333" s="232"/>
      <c r="C333" s="231"/>
      <c r="D333" s="231"/>
      <c r="E333" s="231"/>
      <c r="F333" s="231"/>
      <c r="G333" s="231"/>
      <c r="H333" s="233"/>
      <c r="I333" s="233"/>
      <c r="J333" s="233"/>
      <c r="K333" s="233"/>
      <c r="L333" s="233"/>
      <c r="M333" s="233"/>
      <c r="N333" s="233"/>
      <c r="O333" s="234"/>
      <c r="P333" s="234"/>
      <c r="Q333" s="233"/>
      <c r="R333" s="233"/>
      <c r="S333" s="233"/>
      <c r="T333" s="233"/>
      <c r="U333" s="231"/>
    </row>
    <row r="334" spans="1:21" ht="13.2">
      <c r="A334" s="231"/>
      <c r="B334" s="232"/>
      <c r="C334" s="231"/>
      <c r="D334" s="231"/>
      <c r="E334" s="231"/>
      <c r="F334" s="231"/>
      <c r="G334" s="231"/>
      <c r="H334" s="233"/>
      <c r="I334" s="233"/>
      <c r="J334" s="233"/>
      <c r="K334" s="233"/>
      <c r="L334" s="233"/>
      <c r="M334" s="233"/>
      <c r="N334" s="233"/>
      <c r="O334" s="234"/>
      <c r="P334" s="234"/>
      <c r="Q334" s="233"/>
      <c r="R334" s="233"/>
      <c r="S334" s="233"/>
      <c r="T334" s="233"/>
      <c r="U334" s="231"/>
    </row>
    <row r="335" spans="1:21" ht="13.2">
      <c r="A335" s="231"/>
      <c r="B335" s="232"/>
      <c r="C335" s="231"/>
      <c r="D335" s="231"/>
      <c r="E335" s="231"/>
      <c r="F335" s="231"/>
      <c r="G335" s="231"/>
      <c r="H335" s="233"/>
      <c r="I335" s="233"/>
      <c r="J335" s="233"/>
      <c r="K335" s="233"/>
      <c r="L335" s="233"/>
      <c r="M335" s="233"/>
      <c r="N335" s="233"/>
      <c r="O335" s="234"/>
      <c r="P335" s="234"/>
      <c r="Q335" s="233"/>
      <c r="R335" s="233"/>
      <c r="S335" s="233"/>
      <c r="T335" s="233"/>
      <c r="U335" s="231"/>
    </row>
    <row r="336" spans="1:21" ht="13.2">
      <c r="A336" s="231"/>
      <c r="B336" s="232"/>
      <c r="C336" s="231"/>
      <c r="D336" s="231"/>
      <c r="E336" s="231"/>
      <c r="F336" s="231"/>
      <c r="G336" s="231"/>
      <c r="H336" s="233"/>
      <c r="I336" s="233"/>
      <c r="J336" s="233"/>
      <c r="K336" s="233"/>
      <c r="L336" s="233"/>
      <c r="M336" s="233"/>
      <c r="N336" s="233"/>
      <c r="O336" s="234"/>
      <c r="P336" s="234"/>
      <c r="Q336" s="233"/>
      <c r="R336" s="233"/>
      <c r="S336" s="233"/>
      <c r="T336" s="233"/>
      <c r="U336" s="231"/>
    </row>
    <row r="337" spans="1:21" ht="13.2">
      <c r="A337" s="231"/>
      <c r="B337" s="232"/>
      <c r="C337" s="231"/>
      <c r="D337" s="231"/>
      <c r="E337" s="231"/>
      <c r="F337" s="231"/>
      <c r="G337" s="231"/>
      <c r="H337" s="233"/>
      <c r="I337" s="233"/>
      <c r="J337" s="233"/>
      <c r="K337" s="233"/>
      <c r="L337" s="233"/>
      <c r="M337" s="233"/>
      <c r="N337" s="233"/>
      <c r="O337" s="234"/>
      <c r="P337" s="234"/>
      <c r="Q337" s="233"/>
      <c r="R337" s="233"/>
      <c r="S337" s="233"/>
      <c r="T337" s="233"/>
      <c r="U337" s="231"/>
    </row>
    <row r="338" spans="1:21" ht="13.2">
      <c r="A338" s="231"/>
      <c r="B338" s="232"/>
      <c r="C338" s="231"/>
      <c r="D338" s="231"/>
      <c r="E338" s="231"/>
      <c r="F338" s="231"/>
      <c r="G338" s="231"/>
      <c r="H338" s="233"/>
      <c r="I338" s="233"/>
      <c r="J338" s="233"/>
      <c r="K338" s="233"/>
      <c r="L338" s="233"/>
      <c r="M338" s="233"/>
      <c r="N338" s="233"/>
      <c r="O338" s="234"/>
      <c r="P338" s="234"/>
      <c r="Q338" s="233"/>
      <c r="R338" s="233"/>
      <c r="S338" s="233"/>
      <c r="T338" s="233"/>
      <c r="U338" s="231"/>
    </row>
    <row r="339" spans="1:21" ht="13.2">
      <c r="A339" s="231"/>
      <c r="B339" s="232"/>
      <c r="C339" s="231"/>
      <c r="D339" s="231"/>
      <c r="E339" s="231"/>
      <c r="F339" s="231"/>
      <c r="G339" s="231"/>
      <c r="H339" s="233"/>
      <c r="I339" s="233"/>
      <c r="J339" s="233"/>
      <c r="K339" s="233"/>
      <c r="L339" s="233"/>
      <c r="M339" s="233"/>
      <c r="N339" s="233"/>
      <c r="O339" s="234"/>
      <c r="P339" s="234"/>
      <c r="Q339" s="233"/>
      <c r="R339" s="233"/>
      <c r="S339" s="233"/>
      <c r="T339" s="233"/>
      <c r="U339" s="231"/>
    </row>
    <row r="340" spans="1:21" ht="13.2">
      <c r="A340" s="231"/>
      <c r="B340" s="232"/>
      <c r="C340" s="231"/>
      <c r="D340" s="231"/>
      <c r="E340" s="231"/>
      <c r="F340" s="231"/>
      <c r="G340" s="231"/>
      <c r="H340" s="233"/>
      <c r="I340" s="233"/>
      <c r="J340" s="233"/>
      <c r="K340" s="233"/>
      <c r="L340" s="233"/>
      <c r="M340" s="233"/>
      <c r="N340" s="233"/>
      <c r="O340" s="234"/>
      <c r="P340" s="234"/>
      <c r="Q340" s="233"/>
      <c r="R340" s="233"/>
      <c r="S340" s="233"/>
      <c r="T340" s="233"/>
      <c r="U340" s="231"/>
    </row>
    <row r="341" spans="1:21" ht="13.2">
      <c r="A341" s="231"/>
      <c r="B341" s="232"/>
      <c r="C341" s="231"/>
      <c r="D341" s="231"/>
      <c r="E341" s="231"/>
      <c r="F341" s="231"/>
      <c r="G341" s="231"/>
      <c r="H341" s="233"/>
      <c r="I341" s="233"/>
      <c r="J341" s="233"/>
      <c r="K341" s="233"/>
      <c r="L341" s="233"/>
      <c r="M341" s="233"/>
      <c r="N341" s="233"/>
      <c r="O341" s="234"/>
      <c r="P341" s="234"/>
      <c r="Q341" s="233"/>
      <c r="R341" s="233"/>
      <c r="S341" s="233"/>
      <c r="T341" s="233"/>
      <c r="U341" s="231"/>
    </row>
    <row r="342" spans="1:21" ht="13.2">
      <c r="A342" s="231"/>
      <c r="B342" s="232"/>
      <c r="C342" s="231"/>
      <c r="D342" s="231"/>
      <c r="E342" s="231"/>
      <c r="F342" s="231"/>
      <c r="G342" s="231"/>
      <c r="H342" s="233"/>
      <c r="I342" s="233"/>
      <c r="J342" s="233"/>
      <c r="K342" s="233"/>
      <c r="L342" s="233"/>
      <c r="M342" s="233"/>
      <c r="N342" s="233"/>
      <c r="O342" s="234"/>
      <c r="P342" s="234"/>
      <c r="Q342" s="233"/>
      <c r="R342" s="233"/>
      <c r="S342" s="233"/>
      <c r="T342" s="233"/>
      <c r="U342" s="231"/>
    </row>
    <row r="343" spans="1:21" ht="13.2">
      <c r="A343" s="231"/>
      <c r="B343" s="232"/>
      <c r="C343" s="231"/>
      <c r="D343" s="231"/>
      <c r="E343" s="231"/>
      <c r="F343" s="231"/>
      <c r="G343" s="231"/>
      <c r="H343" s="233"/>
      <c r="I343" s="233"/>
      <c r="J343" s="233"/>
      <c r="K343" s="233"/>
      <c r="L343" s="233"/>
      <c r="M343" s="233"/>
      <c r="N343" s="233"/>
      <c r="O343" s="234"/>
      <c r="P343" s="234"/>
      <c r="Q343" s="233"/>
      <c r="R343" s="233"/>
      <c r="S343" s="233"/>
      <c r="T343" s="233"/>
      <c r="U343" s="231"/>
    </row>
    <row r="344" spans="1:21" ht="13.2">
      <c r="A344" s="231"/>
      <c r="B344" s="232"/>
      <c r="C344" s="231"/>
      <c r="D344" s="231"/>
      <c r="E344" s="231"/>
      <c r="F344" s="231"/>
      <c r="G344" s="231"/>
      <c r="H344" s="233"/>
      <c r="I344" s="233"/>
      <c r="J344" s="233"/>
      <c r="K344" s="233"/>
      <c r="L344" s="233"/>
      <c r="M344" s="233"/>
      <c r="N344" s="233"/>
      <c r="O344" s="234"/>
      <c r="P344" s="234"/>
      <c r="Q344" s="233"/>
      <c r="R344" s="233"/>
      <c r="S344" s="233"/>
      <c r="T344" s="233"/>
      <c r="U344" s="231"/>
    </row>
    <row r="345" spans="1:21" ht="13.2">
      <c r="A345" s="231"/>
      <c r="B345" s="232"/>
      <c r="C345" s="231"/>
      <c r="D345" s="231"/>
      <c r="E345" s="231"/>
      <c r="F345" s="231"/>
      <c r="G345" s="231"/>
      <c r="H345" s="233"/>
      <c r="I345" s="233"/>
      <c r="J345" s="233"/>
      <c r="K345" s="233"/>
      <c r="L345" s="233"/>
      <c r="M345" s="233"/>
      <c r="N345" s="233"/>
      <c r="O345" s="234"/>
      <c r="P345" s="234"/>
      <c r="Q345" s="233"/>
      <c r="R345" s="233"/>
      <c r="S345" s="233"/>
      <c r="T345" s="233"/>
      <c r="U345" s="231"/>
    </row>
    <row r="346" spans="1:21" ht="13.2">
      <c r="A346" s="231"/>
      <c r="B346" s="232"/>
      <c r="C346" s="231"/>
      <c r="D346" s="231"/>
      <c r="E346" s="231"/>
      <c r="F346" s="231"/>
      <c r="G346" s="231"/>
      <c r="H346" s="233"/>
      <c r="I346" s="233"/>
      <c r="J346" s="233"/>
      <c r="K346" s="233"/>
      <c r="L346" s="233"/>
      <c r="M346" s="233"/>
      <c r="N346" s="233"/>
      <c r="O346" s="234"/>
      <c r="P346" s="234"/>
      <c r="Q346" s="233"/>
      <c r="R346" s="233"/>
      <c r="S346" s="233"/>
      <c r="T346" s="233"/>
      <c r="U346" s="231"/>
    </row>
    <row r="347" spans="1:21" ht="13.2">
      <c r="A347" s="231"/>
      <c r="B347" s="232"/>
      <c r="C347" s="231"/>
      <c r="D347" s="231"/>
      <c r="E347" s="231"/>
      <c r="F347" s="231"/>
      <c r="G347" s="231"/>
      <c r="H347" s="233"/>
      <c r="I347" s="233"/>
      <c r="J347" s="233"/>
      <c r="K347" s="233"/>
      <c r="L347" s="233"/>
      <c r="M347" s="233"/>
      <c r="N347" s="233"/>
      <c r="O347" s="234"/>
      <c r="P347" s="234"/>
      <c r="Q347" s="233"/>
      <c r="R347" s="233"/>
      <c r="S347" s="233"/>
      <c r="T347" s="233"/>
      <c r="U347" s="231"/>
    </row>
    <row r="348" spans="1:21" ht="13.2">
      <c r="A348" s="231"/>
      <c r="B348" s="232"/>
      <c r="C348" s="231"/>
      <c r="D348" s="231"/>
      <c r="E348" s="231"/>
      <c r="F348" s="231"/>
      <c r="G348" s="231"/>
      <c r="H348" s="233"/>
      <c r="I348" s="233"/>
      <c r="J348" s="233"/>
      <c r="K348" s="233"/>
      <c r="L348" s="233"/>
      <c r="M348" s="233"/>
      <c r="N348" s="233"/>
      <c r="O348" s="234"/>
      <c r="P348" s="234"/>
      <c r="Q348" s="233"/>
      <c r="R348" s="233"/>
      <c r="S348" s="233"/>
      <c r="T348" s="233"/>
      <c r="U348" s="231"/>
    </row>
    <row r="349" spans="1:21" ht="13.2">
      <c r="A349" s="231"/>
      <c r="B349" s="232"/>
      <c r="C349" s="231"/>
      <c r="D349" s="231"/>
      <c r="E349" s="231"/>
      <c r="F349" s="231"/>
      <c r="G349" s="231"/>
      <c r="H349" s="233"/>
      <c r="I349" s="233"/>
      <c r="J349" s="233"/>
      <c r="K349" s="233"/>
      <c r="L349" s="233"/>
      <c r="M349" s="233"/>
      <c r="N349" s="233"/>
      <c r="O349" s="234"/>
      <c r="P349" s="234"/>
      <c r="Q349" s="233"/>
      <c r="R349" s="233"/>
      <c r="S349" s="233"/>
      <c r="T349" s="233"/>
      <c r="U349" s="231"/>
    </row>
    <row r="350" spans="1:21" ht="13.2">
      <c r="A350" s="231"/>
      <c r="B350" s="232"/>
      <c r="C350" s="231"/>
      <c r="D350" s="231"/>
      <c r="E350" s="231"/>
      <c r="F350" s="231"/>
      <c r="G350" s="231"/>
      <c r="H350" s="233"/>
      <c r="I350" s="233"/>
      <c r="J350" s="233"/>
      <c r="K350" s="233"/>
      <c r="L350" s="233"/>
      <c r="M350" s="233"/>
      <c r="N350" s="233"/>
      <c r="O350" s="234"/>
      <c r="P350" s="234"/>
      <c r="Q350" s="233"/>
      <c r="R350" s="233"/>
      <c r="S350" s="233"/>
      <c r="T350" s="233"/>
      <c r="U350" s="231"/>
    </row>
    <row r="351" spans="1:21" ht="13.2">
      <c r="A351" s="231"/>
      <c r="B351" s="232"/>
      <c r="C351" s="231"/>
      <c r="D351" s="231"/>
      <c r="E351" s="231"/>
      <c r="F351" s="231"/>
      <c r="G351" s="231"/>
      <c r="H351" s="233"/>
      <c r="I351" s="233"/>
      <c r="J351" s="233"/>
      <c r="K351" s="233"/>
      <c r="L351" s="233"/>
      <c r="M351" s="233"/>
      <c r="N351" s="233"/>
      <c r="O351" s="234"/>
      <c r="P351" s="234"/>
      <c r="Q351" s="233"/>
      <c r="R351" s="233"/>
      <c r="S351" s="233"/>
      <c r="T351" s="233"/>
      <c r="U351" s="231"/>
    </row>
    <row r="352" spans="1:21" ht="13.2">
      <c r="A352" s="231"/>
      <c r="B352" s="232"/>
      <c r="C352" s="231"/>
      <c r="D352" s="231"/>
      <c r="E352" s="231"/>
      <c r="F352" s="231"/>
      <c r="G352" s="231"/>
      <c r="H352" s="233"/>
      <c r="I352" s="233"/>
      <c r="J352" s="233"/>
      <c r="K352" s="233"/>
      <c r="L352" s="233"/>
      <c r="M352" s="233"/>
      <c r="N352" s="233"/>
      <c r="O352" s="234"/>
      <c r="P352" s="234"/>
      <c r="Q352" s="233"/>
      <c r="R352" s="233"/>
      <c r="S352" s="233"/>
      <c r="T352" s="233"/>
      <c r="U352" s="231"/>
    </row>
    <row r="353" spans="1:21" ht="13.2">
      <c r="A353" s="231"/>
      <c r="B353" s="232"/>
      <c r="C353" s="231"/>
      <c r="D353" s="231"/>
      <c r="E353" s="231"/>
      <c r="F353" s="231"/>
      <c r="G353" s="231"/>
      <c r="H353" s="233"/>
      <c r="I353" s="233"/>
      <c r="J353" s="233"/>
      <c r="K353" s="233"/>
      <c r="L353" s="233"/>
      <c r="M353" s="233"/>
      <c r="N353" s="233"/>
      <c r="O353" s="234"/>
      <c r="P353" s="234"/>
      <c r="Q353" s="233"/>
      <c r="R353" s="233"/>
      <c r="S353" s="233"/>
      <c r="T353" s="233"/>
      <c r="U353" s="231"/>
    </row>
    <row r="354" spans="1:21" ht="13.2">
      <c r="A354" s="231"/>
      <c r="B354" s="232"/>
      <c r="C354" s="231"/>
      <c r="D354" s="231"/>
      <c r="E354" s="231"/>
      <c r="F354" s="231"/>
      <c r="G354" s="231"/>
      <c r="H354" s="233"/>
      <c r="I354" s="233"/>
      <c r="J354" s="233"/>
      <c r="K354" s="233"/>
      <c r="L354" s="233"/>
      <c r="M354" s="233"/>
      <c r="N354" s="233"/>
      <c r="O354" s="234"/>
      <c r="P354" s="234"/>
      <c r="Q354" s="233"/>
      <c r="R354" s="233"/>
      <c r="S354" s="233"/>
      <c r="T354" s="233"/>
      <c r="U354" s="231"/>
    </row>
    <row r="355" spans="1:21" ht="13.2">
      <c r="A355" s="231"/>
      <c r="B355" s="232"/>
      <c r="C355" s="231"/>
      <c r="D355" s="231"/>
      <c r="E355" s="231"/>
      <c r="F355" s="231"/>
      <c r="G355" s="231"/>
      <c r="H355" s="233"/>
      <c r="I355" s="233"/>
      <c r="J355" s="233"/>
      <c r="K355" s="233"/>
      <c r="L355" s="233"/>
      <c r="M355" s="233"/>
      <c r="N355" s="233"/>
      <c r="O355" s="234"/>
      <c r="P355" s="234"/>
      <c r="Q355" s="233"/>
      <c r="R355" s="233"/>
      <c r="S355" s="233"/>
      <c r="T355" s="233"/>
      <c r="U355" s="231"/>
    </row>
    <row r="356" spans="1:21" ht="13.2">
      <c r="A356" s="231"/>
      <c r="B356" s="232"/>
      <c r="C356" s="231"/>
      <c r="D356" s="231"/>
      <c r="E356" s="231"/>
      <c r="F356" s="231"/>
      <c r="G356" s="231"/>
      <c r="H356" s="233"/>
      <c r="I356" s="233"/>
      <c r="J356" s="233"/>
      <c r="K356" s="233"/>
      <c r="L356" s="233"/>
      <c r="M356" s="233"/>
      <c r="N356" s="233"/>
      <c r="O356" s="234"/>
      <c r="P356" s="234"/>
      <c r="Q356" s="233"/>
      <c r="R356" s="233"/>
      <c r="S356" s="233"/>
      <c r="T356" s="233"/>
      <c r="U356" s="231"/>
    </row>
    <row r="357" spans="1:21" ht="13.2">
      <c r="A357" s="231"/>
      <c r="B357" s="232"/>
      <c r="C357" s="231"/>
      <c r="D357" s="231"/>
      <c r="E357" s="231"/>
      <c r="F357" s="231"/>
      <c r="G357" s="231"/>
      <c r="H357" s="233"/>
      <c r="I357" s="233"/>
      <c r="J357" s="233"/>
      <c r="K357" s="233"/>
      <c r="L357" s="233"/>
      <c r="M357" s="233"/>
      <c r="N357" s="233"/>
      <c r="O357" s="234"/>
      <c r="P357" s="234"/>
      <c r="Q357" s="233"/>
      <c r="R357" s="233"/>
      <c r="S357" s="233"/>
      <c r="T357" s="233"/>
      <c r="U357" s="231"/>
    </row>
    <row r="358" spans="1:21" ht="13.2">
      <c r="A358" s="231"/>
      <c r="B358" s="232"/>
      <c r="C358" s="231"/>
      <c r="D358" s="231"/>
      <c r="E358" s="231"/>
      <c r="F358" s="231"/>
      <c r="G358" s="231"/>
      <c r="H358" s="233"/>
      <c r="I358" s="233"/>
      <c r="J358" s="233"/>
      <c r="K358" s="233"/>
      <c r="L358" s="233"/>
      <c r="M358" s="233"/>
      <c r="N358" s="233"/>
      <c r="O358" s="234"/>
      <c r="P358" s="234"/>
      <c r="Q358" s="233"/>
      <c r="R358" s="233"/>
      <c r="S358" s="233"/>
      <c r="T358" s="233"/>
      <c r="U358" s="231"/>
    </row>
    <row r="359" spans="1:21" ht="13.2">
      <c r="A359" s="231"/>
      <c r="B359" s="232"/>
      <c r="C359" s="231"/>
      <c r="D359" s="231"/>
      <c r="E359" s="231"/>
      <c r="F359" s="231"/>
      <c r="G359" s="231"/>
      <c r="H359" s="233"/>
      <c r="I359" s="233"/>
      <c r="J359" s="233"/>
      <c r="K359" s="233"/>
      <c r="L359" s="233"/>
      <c r="M359" s="233"/>
      <c r="N359" s="233"/>
      <c r="O359" s="234"/>
      <c r="P359" s="234"/>
      <c r="Q359" s="233"/>
      <c r="R359" s="233"/>
      <c r="S359" s="233"/>
      <c r="T359" s="233"/>
      <c r="U359" s="231"/>
    </row>
    <row r="360" spans="1:21" ht="13.2">
      <c r="A360" s="231"/>
      <c r="B360" s="232"/>
      <c r="C360" s="231"/>
      <c r="D360" s="231"/>
      <c r="E360" s="231"/>
      <c r="F360" s="231"/>
      <c r="G360" s="231"/>
      <c r="H360" s="233"/>
      <c r="I360" s="233"/>
      <c r="J360" s="233"/>
      <c r="K360" s="233"/>
      <c r="L360" s="233"/>
      <c r="M360" s="233"/>
      <c r="N360" s="233"/>
      <c r="O360" s="234"/>
      <c r="P360" s="234"/>
      <c r="Q360" s="233"/>
      <c r="R360" s="233"/>
      <c r="S360" s="233"/>
      <c r="T360" s="233"/>
      <c r="U360" s="231"/>
    </row>
    <row r="361" spans="1:21" ht="13.2">
      <c r="A361" s="231"/>
      <c r="B361" s="232"/>
      <c r="C361" s="231"/>
      <c r="D361" s="231"/>
      <c r="E361" s="231"/>
      <c r="F361" s="231"/>
      <c r="G361" s="231"/>
      <c r="H361" s="233"/>
      <c r="I361" s="233"/>
      <c r="J361" s="233"/>
      <c r="K361" s="233"/>
      <c r="L361" s="233"/>
      <c r="M361" s="233"/>
      <c r="N361" s="233"/>
      <c r="O361" s="234"/>
      <c r="P361" s="234"/>
      <c r="Q361" s="233"/>
      <c r="R361" s="233"/>
      <c r="S361" s="233"/>
      <c r="T361" s="233"/>
      <c r="U361" s="231"/>
    </row>
    <row r="362" spans="1:21" ht="13.2">
      <c r="A362" s="231"/>
      <c r="B362" s="232"/>
      <c r="C362" s="231"/>
      <c r="D362" s="231"/>
      <c r="E362" s="231"/>
      <c r="F362" s="231"/>
      <c r="G362" s="231"/>
      <c r="H362" s="233"/>
      <c r="I362" s="233"/>
      <c r="J362" s="233"/>
      <c r="K362" s="233"/>
      <c r="L362" s="233"/>
      <c r="M362" s="233"/>
      <c r="N362" s="233"/>
      <c r="O362" s="234"/>
      <c r="P362" s="234"/>
      <c r="Q362" s="233"/>
      <c r="R362" s="233"/>
      <c r="S362" s="233"/>
      <c r="T362" s="233"/>
      <c r="U362" s="231"/>
    </row>
    <row r="363" spans="1:21" ht="13.2">
      <c r="A363" s="231"/>
      <c r="B363" s="232"/>
      <c r="C363" s="231"/>
      <c r="D363" s="231"/>
      <c r="E363" s="231"/>
      <c r="F363" s="231"/>
      <c r="G363" s="231"/>
      <c r="H363" s="233"/>
      <c r="I363" s="233"/>
      <c r="J363" s="233"/>
      <c r="K363" s="233"/>
      <c r="L363" s="233"/>
      <c r="M363" s="233"/>
      <c r="N363" s="233"/>
      <c r="O363" s="234"/>
      <c r="P363" s="234"/>
      <c r="Q363" s="233"/>
      <c r="R363" s="233"/>
      <c r="S363" s="233"/>
      <c r="T363" s="233"/>
      <c r="U363" s="231"/>
    </row>
    <row r="364" spans="1:21" ht="13.2">
      <c r="A364" s="231"/>
      <c r="B364" s="232"/>
      <c r="C364" s="231"/>
      <c r="D364" s="231"/>
      <c r="E364" s="231"/>
      <c r="F364" s="231"/>
      <c r="G364" s="231"/>
      <c r="H364" s="233"/>
      <c r="I364" s="233"/>
      <c r="J364" s="233"/>
      <c r="K364" s="233"/>
      <c r="L364" s="233"/>
      <c r="M364" s="233"/>
      <c r="N364" s="233"/>
      <c r="O364" s="234"/>
      <c r="P364" s="234"/>
      <c r="Q364" s="233"/>
      <c r="R364" s="233"/>
      <c r="S364" s="233"/>
      <c r="T364" s="233"/>
      <c r="U364" s="231"/>
    </row>
    <row r="365" spans="1:21" ht="13.2">
      <c r="A365" s="231"/>
      <c r="B365" s="232"/>
      <c r="C365" s="231"/>
      <c r="D365" s="231"/>
      <c r="E365" s="231"/>
      <c r="F365" s="231"/>
      <c r="G365" s="231"/>
      <c r="H365" s="233"/>
      <c r="I365" s="233"/>
      <c r="J365" s="233"/>
      <c r="K365" s="233"/>
      <c r="L365" s="233"/>
      <c r="M365" s="233"/>
      <c r="N365" s="233"/>
      <c r="O365" s="234"/>
      <c r="P365" s="234"/>
      <c r="Q365" s="233"/>
      <c r="R365" s="233"/>
      <c r="S365" s="233"/>
      <c r="T365" s="233"/>
      <c r="U365" s="231"/>
    </row>
    <row r="366" spans="1:21" ht="13.2">
      <c r="A366" s="231"/>
      <c r="B366" s="232"/>
      <c r="C366" s="231"/>
      <c r="D366" s="231"/>
      <c r="E366" s="231"/>
      <c r="F366" s="231"/>
      <c r="G366" s="231"/>
      <c r="H366" s="233"/>
      <c r="I366" s="233"/>
      <c r="J366" s="233"/>
      <c r="K366" s="233"/>
      <c r="L366" s="233"/>
      <c r="M366" s="233"/>
      <c r="N366" s="233"/>
      <c r="O366" s="234"/>
      <c r="P366" s="234"/>
      <c r="Q366" s="233"/>
      <c r="R366" s="233"/>
      <c r="S366" s="233"/>
      <c r="T366" s="233"/>
      <c r="U366" s="231"/>
    </row>
    <row r="367" spans="1:21" ht="13.2">
      <c r="A367" s="231"/>
      <c r="B367" s="232"/>
      <c r="C367" s="231"/>
      <c r="D367" s="231"/>
      <c r="E367" s="231"/>
      <c r="F367" s="231"/>
      <c r="G367" s="231"/>
      <c r="H367" s="233"/>
      <c r="I367" s="233"/>
      <c r="J367" s="233"/>
      <c r="K367" s="233"/>
      <c r="L367" s="233"/>
      <c r="M367" s="233"/>
      <c r="N367" s="233"/>
      <c r="O367" s="234"/>
      <c r="P367" s="234"/>
      <c r="Q367" s="233"/>
      <c r="R367" s="233"/>
      <c r="S367" s="233"/>
      <c r="T367" s="233"/>
      <c r="U367" s="231"/>
    </row>
    <row r="368" spans="1:21" ht="13.2">
      <c r="A368" s="231"/>
      <c r="B368" s="232"/>
      <c r="C368" s="231"/>
      <c r="D368" s="231"/>
      <c r="E368" s="231"/>
      <c r="F368" s="231"/>
      <c r="G368" s="231"/>
      <c r="H368" s="233"/>
      <c r="I368" s="233"/>
      <c r="J368" s="233"/>
      <c r="K368" s="233"/>
      <c r="L368" s="233"/>
      <c r="M368" s="233"/>
      <c r="N368" s="233"/>
      <c r="O368" s="234"/>
      <c r="P368" s="234"/>
      <c r="Q368" s="233"/>
      <c r="R368" s="233"/>
      <c r="S368" s="233"/>
      <c r="T368" s="233"/>
      <c r="U368" s="231"/>
    </row>
    <row r="369" spans="1:21" ht="13.2">
      <c r="A369" s="231"/>
      <c r="B369" s="232"/>
      <c r="C369" s="231"/>
      <c r="D369" s="231"/>
      <c r="E369" s="231"/>
      <c r="F369" s="231"/>
      <c r="G369" s="231"/>
      <c r="H369" s="233"/>
      <c r="I369" s="233"/>
      <c r="J369" s="233"/>
      <c r="K369" s="233"/>
      <c r="L369" s="233"/>
      <c r="M369" s="233"/>
      <c r="N369" s="233"/>
      <c r="O369" s="234"/>
      <c r="P369" s="234"/>
      <c r="Q369" s="233"/>
      <c r="R369" s="233"/>
      <c r="S369" s="233"/>
      <c r="T369" s="233"/>
      <c r="U369" s="231"/>
    </row>
    <row r="370" spans="1:21" ht="13.2">
      <c r="A370" s="231"/>
      <c r="B370" s="232"/>
      <c r="C370" s="231"/>
      <c r="D370" s="231"/>
      <c r="E370" s="231"/>
      <c r="F370" s="231"/>
      <c r="G370" s="231"/>
      <c r="H370" s="233"/>
      <c r="I370" s="233"/>
      <c r="J370" s="233"/>
      <c r="K370" s="233"/>
      <c r="L370" s="233"/>
      <c r="M370" s="233"/>
      <c r="N370" s="233"/>
      <c r="O370" s="234"/>
      <c r="P370" s="234"/>
      <c r="Q370" s="233"/>
      <c r="R370" s="233"/>
      <c r="S370" s="233"/>
      <c r="T370" s="233"/>
      <c r="U370" s="231"/>
    </row>
    <row r="371" spans="1:21" ht="13.2">
      <c r="A371" s="231"/>
      <c r="B371" s="232"/>
      <c r="C371" s="231"/>
      <c r="D371" s="231"/>
      <c r="E371" s="231"/>
      <c r="F371" s="231"/>
      <c r="G371" s="231"/>
      <c r="H371" s="233"/>
      <c r="I371" s="233"/>
      <c r="J371" s="233"/>
      <c r="K371" s="233"/>
      <c r="L371" s="233"/>
      <c r="M371" s="233"/>
      <c r="N371" s="233"/>
      <c r="O371" s="234"/>
      <c r="P371" s="234"/>
      <c r="Q371" s="233"/>
      <c r="R371" s="233"/>
      <c r="S371" s="233"/>
      <c r="T371" s="233"/>
      <c r="U371" s="231"/>
    </row>
    <row r="372" spans="1:21" ht="13.2">
      <c r="A372" s="231"/>
      <c r="B372" s="232"/>
      <c r="C372" s="231"/>
      <c r="D372" s="231"/>
      <c r="E372" s="231"/>
      <c r="F372" s="231"/>
      <c r="G372" s="231"/>
      <c r="H372" s="233"/>
      <c r="I372" s="233"/>
      <c r="J372" s="233"/>
      <c r="K372" s="233"/>
      <c r="L372" s="233"/>
      <c r="M372" s="233"/>
      <c r="N372" s="233"/>
      <c r="O372" s="234"/>
      <c r="P372" s="234"/>
      <c r="Q372" s="233"/>
      <c r="R372" s="233"/>
      <c r="S372" s="233"/>
      <c r="T372" s="233"/>
      <c r="U372" s="231"/>
    </row>
    <row r="373" spans="1:21" ht="13.2">
      <c r="A373" s="231"/>
      <c r="B373" s="232"/>
      <c r="C373" s="231"/>
      <c r="D373" s="231"/>
      <c r="E373" s="231"/>
      <c r="F373" s="231"/>
      <c r="G373" s="231"/>
      <c r="H373" s="233"/>
      <c r="I373" s="233"/>
      <c r="J373" s="233"/>
      <c r="K373" s="233"/>
      <c r="L373" s="233"/>
      <c r="M373" s="233"/>
      <c r="N373" s="233"/>
      <c r="O373" s="234"/>
      <c r="P373" s="234"/>
      <c r="Q373" s="233"/>
      <c r="R373" s="233"/>
      <c r="S373" s="233"/>
      <c r="T373" s="233"/>
      <c r="U373" s="231"/>
    </row>
    <row r="374" spans="1:21" ht="13.2">
      <c r="A374" s="231"/>
      <c r="B374" s="232"/>
      <c r="C374" s="231"/>
      <c r="D374" s="231"/>
      <c r="E374" s="231"/>
      <c r="F374" s="231"/>
      <c r="G374" s="231"/>
      <c r="H374" s="233"/>
      <c r="I374" s="233"/>
      <c r="J374" s="233"/>
      <c r="K374" s="233"/>
      <c r="L374" s="233"/>
      <c r="M374" s="233"/>
      <c r="N374" s="233"/>
      <c r="O374" s="234"/>
      <c r="P374" s="234"/>
      <c r="Q374" s="233"/>
      <c r="R374" s="233"/>
      <c r="S374" s="233"/>
      <c r="T374" s="233"/>
      <c r="U374" s="231"/>
    </row>
    <row r="375" spans="1:21" ht="13.2">
      <c r="A375" s="231"/>
      <c r="B375" s="232"/>
      <c r="C375" s="231"/>
      <c r="D375" s="231"/>
      <c r="E375" s="231"/>
      <c r="F375" s="231"/>
      <c r="G375" s="231"/>
      <c r="H375" s="233"/>
      <c r="I375" s="233"/>
      <c r="J375" s="233"/>
      <c r="K375" s="233"/>
      <c r="L375" s="233"/>
      <c r="M375" s="233"/>
      <c r="N375" s="233"/>
      <c r="O375" s="234"/>
      <c r="P375" s="234"/>
      <c r="Q375" s="233"/>
      <c r="R375" s="233"/>
      <c r="S375" s="233"/>
      <c r="T375" s="233"/>
      <c r="U375" s="231"/>
    </row>
    <row r="376" spans="1:21" ht="13.2">
      <c r="A376" s="231"/>
      <c r="B376" s="232"/>
      <c r="C376" s="231"/>
      <c r="D376" s="231"/>
      <c r="E376" s="231"/>
      <c r="F376" s="231"/>
      <c r="G376" s="231"/>
      <c r="H376" s="233"/>
      <c r="I376" s="233"/>
      <c r="J376" s="233"/>
      <c r="K376" s="233"/>
      <c r="L376" s="233"/>
      <c r="M376" s="233"/>
      <c r="N376" s="233"/>
      <c r="O376" s="234"/>
      <c r="P376" s="234"/>
      <c r="Q376" s="233"/>
      <c r="R376" s="233"/>
      <c r="S376" s="233"/>
      <c r="T376" s="233"/>
      <c r="U376" s="231"/>
    </row>
    <row r="377" spans="1:21" ht="13.2">
      <c r="A377" s="231"/>
      <c r="B377" s="232"/>
      <c r="C377" s="231"/>
      <c r="D377" s="231"/>
      <c r="E377" s="231"/>
      <c r="F377" s="231"/>
      <c r="G377" s="231"/>
      <c r="H377" s="233"/>
      <c r="I377" s="233"/>
      <c r="J377" s="233"/>
      <c r="K377" s="233"/>
      <c r="L377" s="233"/>
      <c r="M377" s="233"/>
      <c r="N377" s="233"/>
      <c r="O377" s="234"/>
      <c r="P377" s="234"/>
      <c r="Q377" s="233"/>
      <c r="R377" s="233"/>
      <c r="S377" s="233"/>
      <c r="T377" s="233"/>
      <c r="U377" s="231"/>
    </row>
    <row r="378" spans="1:21" ht="13.2">
      <c r="A378" s="231"/>
      <c r="B378" s="232"/>
      <c r="C378" s="231"/>
      <c r="D378" s="231"/>
      <c r="E378" s="231"/>
      <c r="F378" s="231"/>
      <c r="G378" s="231"/>
      <c r="H378" s="233"/>
      <c r="I378" s="233"/>
      <c r="J378" s="233"/>
      <c r="K378" s="233"/>
      <c r="L378" s="233"/>
      <c r="M378" s="233"/>
      <c r="N378" s="233"/>
      <c r="O378" s="234"/>
      <c r="P378" s="234"/>
      <c r="Q378" s="233"/>
      <c r="R378" s="233"/>
      <c r="S378" s="233"/>
      <c r="T378" s="233"/>
      <c r="U378" s="231"/>
    </row>
    <row r="379" spans="1:21" ht="13.2">
      <c r="A379" s="231"/>
      <c r="B379" s="232"/>
      <c r="C379" s="231"/>
      <c r="D379" s="231"/>
      <c r="E379" s="231"/>
      <c r="F379" s="231"/>
      <c r="G379" s="231"/>
      <c r="H379" s="233"/>
      <c r="I379" s="233"/>
      <c r="J379" s="233"/>
      <c r="K379" s="233"/>
      <c r="L379" s="233"/>
      <c r="M379" s="233"/>
      <c r="N379" s="233"/>
      <c r="O379" s="234"/>
      <c r="P379" s="234"/>
      <c r="Q379" s="233"/>
      <c r="R379" s="233"/>
      <c r="S379" s="233"/>
      <c r="T379" s="233"/>
      <c r="U379" s="231"/>
    </row>
    <row r="380" spans="1:21" ht="13.2">
      <c r="A380" s="231"/>
      <c r="B380" s="232"/>
      <c r="C380" s="231"/>
      <c r="D380" s="231"/>
      <c r="E380" s="231"/>
      <c r="F380" s="231"/>
      <c r="G380" s="231"/>
      <c r="H380" s="233"/>
      <c r="I380" s="233"/>
      <c r="J380" s="233"/>
      <c r="K380" s="233"/>
      <c r="L380" s="233"/>
      <c r="M380" s="233"/>
      <c r="N380" s="233"/>
      <c r="O380" s="234"/>
      <c r="P380" s="234"/>
      <c r="Q380" s="233"/>
      <c r="R380" s="233"/>
      <c r="S380" s="233"/>
      <c r="T380" s="233"/>
      <c r="U380" s="231"/>
    </row>
    <row r="381" spans="1:21" ht="13.2">
      <c r="A381" s="231"/>
      <c r="B381" s="232"/>
      <c r="C381" s="231"/>
      <c r="D381" s="231"/>
      <c r="E381" s="231"/>
      <c r="F381" s="231"/>
      <c r="G381" s="231"/>
      <c r="H381" s="233"/>
      <c r="I381" s="233"/>
      <c r="J381" s="233"/>
      <c r="K381" s="233"/>
      <c r="L381" s="233"/>
      <c r="M381" s="233"/>
      <c r="N381" s="233"/>
      <c r="O381" s="234"/>
      <c r="P381" s="234"/>
      <c r="Q381" s="233"/>
      <c r="R381" s="233"/>
      <c r="S381" s="233"/>
      <c r="T381" s="233"/>
      <c r="U381" s="231"/>
    </row>
    <row r="382" spans="1:21" ht="13.2">
      <c r="A382" s="231"/>
      <c r="B382" s="232"/>
      <c r="C382" s="231"/>
      <c r="D382" s="231"/>
      <c r="E382" s="231"/>
      <c r="F382" s="231"/>
      <c r="G382" s="231"/>
      <c r="H382" s="233"/>
      <c r="I382" s="233"/>
      <c r="J382" s="233"/>
      <c r="K382" s="233"/>
      <c r="L382" s="233"/>
      <c r="M382" s="233"/>
      <c r="N382" s="233"/>
      <c r="O382" s="234"/>
      <c r="P382" s="234"/>
      <c r="Q382" s="233"/>
      <c r="R382" s="233"/>
      <c r="S382" s="233"/>
      <c r="T382" s="233"/>
      <c r="U382" s="231"/>
    </row>
    <row r="383" spans="1:21" ht="13.2">
      <c r="A383" s="231"/>
      <c r="B383" s="232"/>
      <c r="C383" s="231"/>
      <c r="D383" s="231"/>
      <c r="E383" s="231"/>
      <c r="F383" s="231"/>
      <c r="G383" s="231"/>
      <c r="H383" s="233"/>
      <c r="I383" s="233"/>
      <c r="J383" s="233"/>
      <c r="K383" s="233"/>
      <c r="L383" s="233"/>
      <c r="M383" s="233"/>
      <c r="N383" s="233"/>
      <c r="O383" s="234"/>
      <c r="P383" s="234"/>
      <c r="Q383" s="233"/>
      <c r="R383" s="233"/>
      <c r="S383" s="233"/>
      <c r="T383" s="233"/>
      <c r="U383" s="231"/>
    </row>
    <row r="384" spans="1:21" ht="13.2">
      <c r="A384" s="231"/>
      <c r="B384" s="232"/>
      <c r="C384" s="231"/>
      <c r="D384" s="231"/>
      <c r="E384" s="231"/>
      <c r="F384" s="231"/>
      <c r="G384" s="231"/>
      <c r="H384" s="233"/>
      <c r="I384" s="233"/>
      <c r="J384" s="233"/>
      <c r="K384" s="233"/>
      <c r="L384" s="233"/>
      <c r="M384" s="233"/>
      <c r="N384" s="233"/>
      <c r="O384" s="234"/>
      <c r="P384" s="234"/>
      <c r="Q384" s="233"/>
      <c r="R384" s="233"/>
      <c r="S384" s="233"/>
      <c r="T384" s="233"/>
      <c r="U384" s="231"/>
    </row>
    <row r="385" spans="1:21" ht="13.2">
      <c r="A385" s="231"/>
      <c r="B385" s="232"/>
      <c r="C385" s="231"/>
      <c r="D385" s="231"/>
      <c r="E385" s="231"/>
      <c r="F385" s="231"/>
      <c r="G385" s="231"/>
      <c r="H385" s="233"/>
      <c r="I385" s="233"/>
      <c r="J385" s="233"/>
      <c r="K385" s="233"/>
      <c r="L385" s="233"/>
      <c r="M385" s="233"/>
      <c r="N385" s="233"/>
      <c r="O385" s="234"/>
      <c r="P385" s="234"/>
      <c r="Q385" s="233"/>
      <c r="R385" s="233"/>
      <c r="S385" s="233"/>
      <c r="T385" s="233"/>
      <c r="U385" s="231"/>
    </row>
    <row r="386" spans="1:21" ht="13.2">
      <c r="A386" s="231"/>
      <c r="B386" s="232"/>
      <c r="C386" s="231"/>
      <c r="D386" s="231"/>
      <c r="E386" s="231"/>
      <c r="F386" s="231"/>
      <c r="G386" s="231"/>
      <c r="H386" s="233"/>
      <c r="I386" s="233"/>
      <c r="J386" s="233"/>
      <c r="K386" s="233"/>
      <c r="L386" s="233"/>
      <c r="M386" s="233"/>
      <c r="N386" s="233"/>
      <c r="O386" s="234"/>
      <c r="P386" s="234"/>
      <c r="Q386" s="233"/>
      <c r="R386" s="233"/>
      <c r="S386" s="233"/>
      <c r="T386" s="233"/>
      <c r="U386" s="231"/>
    </row>
    <row r="387" spans="1:21" ht="13.2">
      <c r="A387" s="231"/>
      <c r="B387" s="232"/>
      <c r="C387" s="231"/>
      <c r="D387" s="231"/>
      <c r="E387" s="231"/>
      <c r="F387" s="231"/>
      <c r="G387" s="231"/>
      <c r="H387" s="233"/>
      <c r="I387" s="233"/>
      <c r="J387" s="233"/>
      <c r="K387" s="233"/>
      <c r="L387" s="233"/>
      <c r="M387" s="233"/>
      <c r="N387" s="233"/>
      <c r="O387" s="234"/>
      <c r="P387" s="234"/>
      <c r="Q387" s="233"/>
      <c r="R387" s="233"/>
      <c r="S387" s="233"/>
      <c r="T387" s="233"/>
      <c r="U387" s="231"/>
    </row>
    <row r="388" spans="1:21" ht="13.2">
      <c r="A388" s="231"/>
      <c r="B388" s="232"/>
      <c r="C388" s="231"/>
      <c r="D388" s="231"/>
      <c r="E388" s="231"/>
      <c r="F388" s="231"/>
      <c r="G388" s="231"/>
      <c r="H388" s="233"/>
      <c r="I388" s="233"/>
      <c r="J388" s="233"/>
      <c r="K388" s="233"/>
      <c r="L388" s="233"/>
      <c r="M388" s="233"/>
      <c r="N388" s="233"/>
      <c r="O388" s="234"/>
      <c r="P388" s="234"/>
      <c r="Q388" s="233"/>
      <c r="R388" s="233"/>
      <c r="S388" s="233"/>
      <c r="T388" s="233"/>
      <c r="U388" s="231"/>
    </row>
    <row r="389" spans="1:21" ht="13.2">
      <c r="A389" s="231"/>
      <c r="B389" s="232"/>
      <c r="C389" s="231"/>
      <c r="D389" s="231"/>
      <c r="E389" s="231"/>
      <c r="F389" s="231"/>
      <c r="G389" s="231"/>
      <c r="H389" s="233"/>
      <c r="I389" s="233"/>
      <c r="J389" s="233"/>
      <c r="K389" s="233"/>
      <c r="L389" s="233"/>
      <c r="M389" s="233"/>
      <c r="N389" s="233"/>
      <c r="O389" s="234"/>
      <c r="P389" s="234"/>
      <c r="Q389" s="233"/>
      <c r="R389" s="233"/>
      <c r="S389" s="233"/>
      <c r="T389" s="233"/>
      <c r="U389" s="231"/>
    </row>
    <row r="390" spans="1:21" ht="13.2">
      <c r="A390" s="231"/>
      <c r="B390" s="232"/>
      <c r="C390" s="231"/>
      <c r="D390" s="231"/>
      <c r="E390" s="231"/>
      <c r="F390" s="231"/>
      <c r="G390" s="231"/>
      <c r="H390" s="233"/>
      <c r="I390" s="233"/>
      <c r="J390" s="233"/>
      <c r="K390" s="233"/>
      <c r="L390" s="233"/>
      <c r="M390" s="233"/>
      <c r="N390" s="233"/>
      <c r="O390" s="234"/>
      <c r="P390" s="234"/>
      <c r="Q390" s="233"/>
      <c r="R390" s="233"/>
      <c r="S390" s="233"/>
      <c r="T390" s="233"/>
      <c r="U390" s="231"/>
    </row>
    <row r="391" spans="1:21" ht="13.2">
      <c r="A391" s="231"/>
      <c r="B391" s="232"/>
      <c r="C391" s="231"/>
      <c r="D391" s="231"/>
      <c r="E391" s="231"/>
      <c r="F391" s="231"/>
      <c r="G391" s="231"/>
      <c r="H391" s="233"/>
      <c r="I391" s="233"/>
      <c r="J391" s="233"/>
      <c r="K391" s="233"/>
      <c r="L391" s="233"/>
      <c r="M391" s="233"/>
      <c r="N391" s="233"/>
      <c r="O391" s="234"/>
      <c r="P391" s="234"/>
      <c r="Q391" s="233"/>
      <c r="R391" s="233"/>
      <c r="S391" s="233"/>
      <c r="T391" s="233"/>
      <c r="U391" s="231"/>
    </row>
    <row r="392" spans="1:21" ht="13.2">
      <c r="A392" s="231"/>
      <c r="B392" s="232"/>
      <c r="C392" s="231"/>
      <c r="D392" s="231"/>
      <c r="E392" s="231"/>
      <c r="F392" s="231"/>
      <c r="G392" s="231"/>
      <c r="H392" s="233"/>
      <c r="I392" s="233"/>
      <c r="J392" s="233"/>
      <c r="K392" s="233"/>
      <c r="L392" s="233"/>
      <c r="M392" s="233"/>
      <c r="N392" s="233"/>
      <c r="O392" s="234"/>
      <c r="P392" s="234"/>
      <c r="Q392" s="233"/>
      <c r="R392" s="233"/>
      <c r="S392" s="233"/>
      <c r="T392" s="233"/>
      <c r="U392" s="231"/>
    </row>
    <row r="393" spans="1:21" ht="13.2">
      <c r="A393" s="231"/>
      <c r="B393" s="232"/>
      <c r="C393" s="231"/>
      <c r="D393" s="231"/>
      <c r="E393" s="231"/>
      <c r="F393" s="231"/>
      <c r="G393" s="231"/>
      <c r="H393" s="233"/>
      <c r="I393" s="233"/>
      <c r="J393" s="233"/>
      <c r="K393" s="233"/>
      <c r="L393" s="233"/>
      <c r="M393" s="233"/>
      <c r="N393" s="233"/>
      <c r="O393" s="234"/>
      <c r="P393" s="234"/>
      <c r="Q393" s="233"/>
      <c r="R393" s="233"/>
      <c r="S393" s="233"/>
      <c r="T393" s="233"/>
      <c r="U393" s="231"/>
    </row>
    <row r="394" spans="1:21" ht="13.2">
      <c r="A394" s="231"/>
      <c r="B394" s="232"/>
      <c r="C394" s="231"/>
      <c r="D394" s="231"/>
      <c r="E394" s="231"/>
      <c r="F394" s="231"/>
      <c r="G394" s="231"/>
      <c r="H394" s="233"/>
      <c r="I394" s="233"/>
      <c r="J394" s="233"/>
      <c r="K394" s="233"/>
      <c r="L394" s="233"/>
      <c r="M394" s="233"/>
      <c r="N394" s="233"/>
      <c r="O394" s="234"/>
      <c r="P394" s="234"/>
      <c r="Q394" s="233"/>
      <c r="R394" s="233"/>
      <c r="S394" s="233"/>
      <c r="T394" s="233"/>
      <c r="U394" s="231"/>
    </row>
    <row r="395" spans="1:21" ht="13.2">
      <c r="A395" s="231"/>
      <c r="B395" s="232"/>
      <c r="C395" s="231"/>
      <c r="D395" s="231"/>
      <c r="E395" s="231"/>
      <c r="F395" s="231"/>
      <c r="G395" s="231"/>
      <c r="H395" s="233"/>
      <c r="I395" s="233"/>
      <c r="J395" s="233"/>
      <c r="K395" s="233"/>
      <c r="L395" s="233"/>
      <c r="M395" s="233"/>
      <c r="N395" s="233"/>
      <c r="O395" s="234"/>
      <c r="P395" s="234"/>
      <c r="Q395" s="233"/>
      <c r="R395" s="233"/>
      <c r="S395" s="233"/>
      <c r="T395" s="233"/>
      <c r="U395" s="231"/>
    </row>
    <row r="396" spans="1:21" ht="13.2">
      <c r="A396" s="231"/>
      <c r="B396" s="232"/>
      <c r="C396" s="231"/>
      <c r="D396" s="231"/>
      <c r="E396" s="231"/>
      <c r="F396" s="231"/>
      <c r="G396" s="231"/>
      <c r="H396" s="233"/>
      <c r="I396" s="233"/>
      <c r="J396" s="233"/>
      <c r="K396" s="233"/>
      <c r="L396" s="233"/>
      <c r="M396" s="233"/>
      <c r="N396" s="233"/>
      <c r="O396" s="234"/>
      <c r="P396" s="234"/>
      <c r="Q396" s="233"/>
      <c r="R396" s="233"/>
      <c r="S396" s="233"/>
      <c r="T396" s="233"/>
      <c r="U396" s="231"/>
    </row>
    <row r="397" spans="1:21" ht="13.2">
      <c r="A397" s="231"/>
      <c r="B397" s="232"/>
      <c r="C397" s="231"/>
      <c r="D397" s="231"/>
      <c r="E397" s="231"/>
      <c r="F397" s="231"/>
      <c r="G397" s="231"/>
      <c r="H397" s="233"/>
      <c r="I397" s="233"/>
      <c r="J397" s="233"/>
      <c r="K397" s="233"/>
      <c r="L397" s="233"/>
      <c r="M397" s="233"/>
      <c r="N397" s="233"/>
      <c r="O397" s="234"/>
      <c r="P397" s="234"/>
      <c r="Q397" s="233"/>
      <c r="R397" s="233"/>
      <c r="S397" s="233"/>
      <c r="T397" s="233"/>
      <c r="U397" s="231"/>
    </row>
    <row r="398" spans="1:21" ht="13.2">
      <c r="A398" s="231"/>
      <c r="B398" s="232"/>
      <c r="C398" s="231"/>
      <c r="D398" s="231"/>
      <c r="E398" s="231"/>
      <c r="F398" s="231"/>
      <c r="G398" s="231"/>
      <c r="H398" s="233"/>
      <c r="I398" s="233"/>
      <c r="J398" s="233"/>
      <c r="K398" s="233"/>
      <c r="L398" s="233"/>
      <c r="M398" s="233"/>
      <c r="N398" s="233"/>
      <c r="O398" s="234"/>
      <c r="P398" s="234"/>
      <c r="Q398" s="233"/>
      <c r="R398" s="233"/>
      <c r="S398" s="233"/>
      <c r="T398" s="233"/>
      <c r="U398" s="231"/>
    </row>
    <row r="399" spans="1:21" ht="13.2">
      <c r="A399" s="231"/>
      <c r="B399" s="232"/>
      <c r="C399" s="231"/>
      <c r="D399" s="231"/>
      <c r="E399" s="231"/>
      <c r="F399" s="231"/>
      <c r="G399" s="231"/>
      <c r="H399" s="233"/>
      <c r="I399" s="233"/>
      <c r="J399" s="233"/>
      <c r="K399" s="233"/>
      <c r="L399" s="233"/>
      <c r="M399" s="233"/>
      <c r="N399" s="233"/>
      <c r="O399" s="234"/>
      <c r="P399" s="234"/>
      <c r="Q399" s="233"/>
      <c r="R399" s="233"/>
      <c r="S399" s="233"/>
      <c r="T399" s="233"/>
      <c r="U399" s="231"/>
    </row>
    <row r="400" spans="1:21" ht="13.2">
      <c r="A400" s="231"/>
      <c r="B400" s="232"/>
      <c r="C400" s="231"/>
      <c r="D400" s="231"/>
      <c r="E400" s="231"/>
      <c r="F400" s="231"/>
      <c r="G400" s="231"/>
      <c r="H400" s="233"/>
      <c r="I400" s="233"/>
      <c r="J400" s="233"/>
      <c r="K400" s="233"/>
      <c r="L400" s="233"/>
      <c r="M400" s="233"/>
      <c r="N400" s="233"/>
      <c r="O400" s="234"/>
      <c r="P400" s="234"/>
      <c r="Q400" s="233"/>
      <c r="R400" s="233"/>
      <c r="S400" s="233"/>
      <c r="T400" s="233"/>
      <c r="U400" s="231"/>
    </row>
    <row r="401" spans="1:21" ht="13.2">
      <c r="A401" s="231"/>
      <c r="B401" s="232"/>
      <c r="C401" s="231"/>
      <c r="D401" s="231"/>
      <c r="E401" s="231"/>
      <c r="F401" s="231"/>
      <c r="G401" s="231"/>
      <c r="H401" s="233"/>
      <c r="I401" s="233"/>
      <c r="J401" s="233"/>
      <c r="K401" s="233"/>
      <c r="L401" s="233"/>
      <c r="M401" s="233"/>
      <c r="N401" s="233"/>
      <c r="O401" s="234"/>
      <c r="P401" s="234"/>
      <c r="Q401" s="233"/>
      <c r="R401" s="233"/>
      <c r="S401" s="233"/>
      <c r="T401" s="233"/>
      <c r="U401" s="231"/>
    </row>
    <row r="402" spans="1:21" ht="13.2">
      <c r="A402" s="231"/>
      <c r="B402" s="232"/>
      <c r="C402" s="231"/>
      <c r="D402" s="231"/>
      <c r="E402" s="231"/>
      <c r="F402" s="231"/>
      <c r="G402" s="231"/>
      <c r="H402" s="233"/>
      <c r="I402" s="233"/>
      <c r="J402" s="233"/>
      <c r="K402" s="233"/>
      <c r="L402" s="233"/>
      <c r="M402" s="233"/>
      <c r="N402" s="233"/>
      <c r="O402" s="234"/>
      <c r="P402" s="234"/>
      <c r="Q402" s="233"/>
      <c r="R402" s="233"/>
      <c r="S402" s="233"/>
      <c r="T402" s="233"/>
      <c r="U402" s="231"/>
    </row>
    <row r="403" spans="1:21" ht="13.2">
      <c r="A403" s="231"/>
      <c r="B403" s="232"/>
      <c r="C403" s="231"/>
      <c r="D403" s="231"/>
      <c r="E403" s="231"/>
      <c r="F403" s="231"/>
      <c r="G403" s="231"/>
      <c r="H403" s="233"/>
      <c r="I403" s="233"/>
      <c r="J403" s="233"/>
      <c r="K403" s="233"/>
      <c r="L403" s="233"/>
      <c r="M403" s="233"/>
      <c r="N403" s="233"/>
      <c r="O403" s="234"/>
      <c r="P403" s="234"/>
      <c r="Q403" s="233"/>
      <c r="R403" s="233"/>
      <c r="S403" s="233"/>
      <c r="T403" s="233"/>
      <c r="U403" s="231"/>
    </row>
    <row r="404" spans="1:21" ht="13.2">
      <c r="A404" s="231"/>
      <c r="B404" s="232"/>
      <c r="C404" s="231"/>
      <c r="D404" s="231"/>
      <c r="E404" s="231"/>
      <c r="F404" s="231"/>
      <c r="G404" s="231"/>
      <c r="H404" s="233"/>
      <c r="I404" s="233"/>
      <c r="J404" s="233"/>
      <c r="K404" s="233"/>
      <c r="L404" s="233"/>
      <c r="M404" s="233"/>
      <c r="N404" s="233"/>
      <c r="O404" s="234"/>
      <c r="P404" s="234"/>
      <c r="Q404" s="233"/>
      <c r="R404" s="233"/>
      <c r="S404" s="233"/>
      <c r="T404" s="233"/>
      <c r="U404" s="231"/>
    </row>
    <row r="405" spans="1:21" ht="13.2">
      <c r="A405" s="231"/>
      <c r="B405" s="232"/>
      <c r="C405" s="231"/>
      <c r="D405" s="231"/>
      <c r="E405" s="231"/>
      <c r="F405" s="231"/>
      <c r="G405" s="231"/>
      <c r="H405" s="233"/>
      <c r="I405" s="233"/>
      <c r="J405" s="233"/>
      <c r="K405" s="233"/>
      <c r="L405" s="233"/>
      <c r="M405" s="233"/>
      <c r="N405" s="233"/>
      <c r="O405" s="234"/>
      <c r="P405" s="234"/>
      <c r="Q405" s="233"/>
      <c r="R405" s="233"/>
      <c r="S405" s="233"/>
      <c r="T405" s="233"/>
      <c r="U405" s="231"/>
    </row>
    <row r="406" spans="1:21" ht="13.2">
      <c r="A406" s="231"/>
      <c r="B406" s="232"/>
      <c r="C406" s="231"/>
      <c r="D406" s="231"/>
      <c r="E406" s="231"/>
      <c r="F406" s="231"/>
      <c r="G406" s="231"/>
      <c r="H406" s="233"/>
      <c r="I406" s="233"/>
      <c r="J406" s="233"/>
      <c r="K406" s="233"/>
      <c r="L406" s="233"/>
      <c r="M406" s="233"/>
      <c r="N406" s="233"/>
      <c r="O406" s="234"/>
      <c r="P406" s="234"/>
      <c r="Q406" s="233"/>
      <c r="R406" s="233"/>
      <c r="S406" s="233"/>
      <c r="T406" s="233"/>
      <c r="U406" s="231"/>
    </row>
    <row r="407" spans="1:21" ht="13.2">
      <c r="A407" s="231"/>
      <c r="B407" s="232"/>
      <c r="C407" s="231"/>
      <c r="D407" s="231"/>
      <c r="E407" s="231"/>
      <c r="F407" s="231"/>
      <c r="G407" s="231"/>
      <c r="H407" s="233"/>
      <c r="I407" s="233"/>
      <c r="J407" s="233"/>
      <c r="K407" s="233"/>
      <c r="L407" s="233"/>
      <c r="M407" s="233"/>
      <c r="N407" s="233"/>
      <c r="O407" s="234"/>
      <c r="P407" s="234"/>
      <c r="Q407" s="233"/>
      <c r="R407" s="233"/>
      <c r="S407" s="233"/>
      <c r="T407" s="233"/>
      <c r="U407" s="231"/>
    </row>
    <row r="408" spans="1:21" ht="13.2">
      <c r="A408" s="231"/>
      <c r="B408" s="232"/>
      <c r="C408" s="231"/>
      <c r="D408" s="231"/>
      <c r="E408" s="231"/>
      <c r="F408" s="231"/>
      <c r="G408" s="231"/>
      <c r="H408" s="233"/>
      <c r="I408" s="233"/>
      <c r="J408" s="233"/>
      <c r="K408" s="233"/>
      <c r="L408" s="233"/>
      <c r="M408" s="233"/>
      <c r="N408" s="233"/>
      <c r="O408" s="234"/>
      <c r="P408" s="234"/>
      <c r="Q408" s="233"/>
      <c r="R408" s="233"/>
      <c r="S408" s="233"/>
      <c r="T408" s="233"/>
      <c r="U408" s="231"/>
    </row>
    <row r="409" spans="1:21" ht="13.2">
      <c r="A409" s="231"/>
      <c r="B409" s="232"/>
      <c r="C409" s="231"/>
      <c r="D409" s="231"/>
      <c r="E409" s="231"/>
      <c r="F409" s="231"/>
      <c r="G409" s="231"/>
      <c r="H409" s="233"/>
      <c r="I409" s="233"/>
      <c r="J409" s="233"/>
      <c r="K409" s="233"/>
      <c r="L409" s="233"/>
      <c r="M409" s="233"/>
      <c r="N409" s="233"/>
      <c r="O409" s="234"/>
      <c r="P409" s="234"/>
      <c r="Q409" s="233"/>
      <c r="R409" s="233"/>
      <c r="S409" s="233"/>
      <c r="T409" s="233"/>
      <c r="U409" s="231"/>
    </row>
    <row r="410" spans="1:21" ht="13.2">
      <c r="A410" s="231"/>
      <c r="B410" s="232"/>
      <c r="C410" s="231"/>
      <c r="D410" s="231"/>
      <c r="E410" s="231"/>
      <c r="F410" s="231"/>
      <c r="G410" s="231"/>
      <c r="H410" s="233"/>
      <c r="I410" s="233"/>
      <c r="J410" s="233"/>
      <c r="K410" s="233"/>
      <c r="L410" s="233"/>
      <c r="M410" s="233"/>
      <c r="N410" s="233"/>
      <c r="O410" s="234"/>
      <c r="P410" s="234"/>
      <c r="Q410" s="233"/>
      <c r="R410" s="233"/>
      <c r="S410" s="233"/>
      <c r="T410" s="233"/>
      <c r="U410" s="231"/>
    </row>
    <row r="411" spans="1:21" ht="13.2">
      <c r="A411" s="231"/>
      <c r="B411" s="232"/>
      <c r="C411" s="231"/>
      <c r="D411" s="231"/>
      <c r="E411" s="231"/>
      <c r="F411" s="231"/>
      <c r="G411" s="231"/>
      <c r="H411" s="233"/>
      <c r="I411" s="233"/>
      <c r="J411" s="233"/>
      <c r="K411" s="233"/>
      <c r="L411" s="233"/>
      <c r="M411" s="233"/>
      <c r="N411" s="233"/>
      <c r="O411" s="234"/>
      <c r="P411" s="234"/>
      <c r="Q411" s="233"/>
      <c r="R411" s="233"/>
      <c r="S411" s="233"/>
      <c r="T411" s="233"/>
      <c r="U411" s="231"/>
    </row>
    <row r="412" spans="1:21" ht="13.2">
      <c r="A412" s="231"/>
      <c r="B412" s="232"/>
      <c r="C412" s="231"/>
      <c r="D412" s="231"/>
      <c r="E412" s="231"/>
      <c r="F412" s="231"/>
      <c r="G412" s="231"/>
      <c r="H412" s="233"/>
      <c r="I412" s="233"/>
      <c r="J412" s="233"/>
      <c r="K412" s="233"/>
      <c r="L412" s="233"/>
      <c r="M412" s="233"/>
      <c r="N412" s="233"/>
      <c r="O412" s="234"/>
      <c r="P412" s="234"/>
      <c r="Q412" s="233"/>
      <c r="R412" s="233"/>
      <c r="S412" s="233"/>
      <c r="T412" s="233"/>
      <c r="U412" s="231"/>
    </row>
    <row r="413" spans="1:21" ht="13.2">
      <c r="A413" s="231"/>
      <c r="B413" s="232"/>
      <c r="C413" s="231"/>
      <c r="D413" s="231"/>
      <c r="E413" s="231"/>
      <c r="F413" s="231"/>
      <c r="G413" s="231"/>
      <c r="H413" s="233"/>
      <c r="I413" s="233"/>
      <c r="J413" s="233"/>
      <c r="K413" s="233"/>
      <c r="L413" s="233"/>
      <c r="M413" s="233"/>
      <c r="N413" s="233"/>
      <c r="O413" s="234"/>
      <c r="P413" s="234"/>
      <c r="Q413" s="233"/>
      <c r="R413" s="233"/>
      <c r="S413" s="233"/>
      <c r="T413" s="233"/>
      <c r="U413" s="231"/>
    </row>
    <row r="414" spans="1:21" ht="13.2">
      <c r="A414" s="231"/>
      <c r="B414" s="232"/>
      <c r="C414" s="231"/>
      <c r="D414" s="231"/>
      <c r="E414" s="231"/>
      <c r="F414" s="231"/>
      <c r="G414" s="231"/>
      <c r="H414" s="233"/>
      <c r="I414" s="233"/>
      <c r="J414" s="233"/>
      <c r="K414" s="233"/>
      <c r="L414" s="233"/>
      <c r="M414" s="233"/>
      <c r="N414" s="233"/>
      <c r="O414" s="234"/>
      <c r="P414" s="234"/>
      <c r="Q414" s="233"/>
      <c r="R414" s="233"/>
      <c r="S414" s="233"/>
      <c r="T414" s="233"/>
      <c r="U414" s="231"/>
    </row>
    <row r="415" spans="1:21" ht="13.2">
      <c r="A415" s="231"/>
      <c r="B415" s="232"/>
      <c r="C415" s="231"/>
      <c r="D415" s="231"/>
      <c r="E415" s="231"/>
      <c r="F415" s="231"/>
      <c r="G415" s="231"/>
      <c r="H415" s="233"/>
      <c r="I415" s="233"/>
      <c r="J415" s="233"/>
      <c r="K415" s="233"/>
      <c r="L415" s="233"/>
      <c r="M415" s="233"/>
      <c r="N415" s="233"/>
      <c r="O415" s="234"/>
      <c r="P415" s="234"/>
      <c r="Q415" s="233"/>
      <c r="R415" s="233"/>
      <c r="S415" s="233"/>
      <c r="T415" s="233"/>
      <c r="U415" s="231"/>
    </row>
    <row r="416" spans="1:21" ht="13.2">
      <c r="A416" s="231"/>
      <c r="B416" s="232"/>
      <c r="C416" s="231"/>
      <c r="D416" s="231"/>
      <c r="E416" s="231"/>
      <c r="F416" s="231"/>
      <c r="G416" s="231"/>
      <c r="H416" s="233"/>
      <c r="I416" s="233"/>
      <c r="J416" s="233"/>
      <c r="K416" s="233"/>
      <c r="L416" s="233"/>
      <c r="M416" s="233"/>
      <c r="N416" s="233"/>
      <c r="O416" s="234"/>
      <c r="P416" s="234"/>
      <c r="Q416" s="233"/>
      <c r="R416" s="233"/>
      <c r="S416" s="233"/>
      <c r="T416" s="233"/>
      <c r="U416" s="231"/>
    </row>
    <row r="417" spans="1:21" ht="13.2">
      <c r="A417" s="231"/>
      <c r="B417" s="232"/>
      <c r="C417" s="231"/>
      <c r="D417" s="231"/>
      <c r="E417" s="231"/>
      <c r="F417" s="231"/>
      <c r="G417" s="231"/>
      <c r="H417" s="233"/>
      <c r="I417" s="233"/>
      <c r="J417" s="233"/>
      <c r="K417" s="233"/>
      <c r="L417" s="233"/>
      <c r="M417" s="233"/>
      <c r="N417" s="233"/>
      <c r="O417" s="234"/>
      <c r="P417" s="234"/>
      <c r="Q417" s="233"/>
      <c r="R417" s="233"/>
      <c r="S417" s="233"/>
      <c r="T417" s="233"/>
      <c r="U417" s="231"/>
    </row>
    <row r="418" spans="1:21" ht="13.2">
      <c r="A418" s="231"/>
      <c r="B418" s="232"/>
      <c r="C418" s="231"/>
      <c r="D418" s="231"/>
      <c r="E418" s="231"/>
      <c r="F418" s="231"/>
      <c r="G418" s="231"/>
      <c r="H418" s="233"/>
      <c r="I418" s="233"/>
      <c r="J418" s="233"/>
      <c r="K418" s="233"/>
      <c r="L418" s="233"/>
      <c r="M418" s="233"/>
      <c r="N418" s="233"/>
      <c r="O418" s="234"/>
      <c r="P418" s="234"/>
      <c r="Q418" s="233"/>
      <c r="R418" s="233"/>
      <c r="S418" s="233"/>
      <c r="T418" s="233"/>
      <c r="U418" s="231"/>
    </row>
    <row r="419" spans="1:21" ht="13.2">
      <c r="A419" s="231"/>
      <c r="B419" s="232"/>
      <c r="C419" s="231"/>
      <c r="D419" s="231"/>
      <c r="E419" s="231"/>
      <c r="F419" s="231"/>
      <c r="G419" s="231"/>
      <c r="H419" s="233"/>
      <c r="I419" s="233"/>
      <c r="J419" s="233"/>
      <c r="K419" s="233"/>
      <c r="L419" s="233"/>
      <c r="M419" s="233"/>
      <c r="N419" s="233"/>
      <c r="O419" s="234"/>
      <c r="P419" s="234"/>
      <c r="Q419" s="233"/>
      <c r="R419" s="233"/>
      <c r="S419" s="233"/>
      <c r="T419" s="233"/>
      <c r="U419" s="231"/>
    </row>
    <row r="420" spans="1:21" ht="13.2">
      <c r="A420" s="231"/>
      <c r="B420" s="232"/>
      <c r="C420" s="231"/>
      <c r="D420" s="231"/>
      <c r="E420" s="231"/>
      <c r="F420" s="231"/>
      <c r="G420" s="231"/>
      <c r="H420" s="233"/>
      <c r="I420" s="233"/>
      <c r="J420" s="233"/>
      <c r="K420" s="233"/>
      <c r="L420" s="233"/>
      <c r="M420" s="233"/>
      <c r="N420" s="233"/>
      <c r="O420" s="234"/>
      <c r="P420" s="234"/>
      <c r="Q420" s="233"/>
      <c r="R420" s="233"/>
      <c r="S420" s="233"/>
      <c r="T420" s="233"/>
      <c r="U420" s="231"/>
    </row>
    <row r="421" spans="1:21" ht="13.2">
      <c r="A421" s="231"/>
      <c r="B421" s="232"/>
      <c r="C421" s="231"/>
      <c r="D421" s="231"/>
      <c r="E421" s="231"/>
      <c r="F421" s="231"/>
      <c r="G421" s="231"/>
      <c r="H421" s="233"/>
      <c r="I421" s="233"/>
      <c r="J421" s="233"/>
      <c r="K421" s="233"/>
      <c r="L421" s="233"/>
      <c r="M421" s="233"/>
      <c r="N421" s="233"/>
      <c r="O421" s="234"/>
      <c r="P421" s="234"/>
      <c r="Q421" s="233"/>
      <c r="R421" s="233"/>
      <c r="S421" s="233"/>
      <c r="T421" s="233"/>
      <c r="U421" s="231"/>
    </row>
    <row r="422" spans="1:21" ht="13.2">
      <c r="A422" s="231"/>
      <c r="B422" s="232"/>
      <c r="C422" s="231"/>
      <c r="D422" s="231"/>
      <c r="E422" s="231"/>
      <c r="F422" s="231"/>
      <c r="G422" s="231"/>
      <c r="H422" s="233"/>
      <c r="I422" s="233"/>
      <c r="J422" s="233"/>
      <c r="K422" s="233"/>
      <c r="L422" s="233"/>
      <c r="M422" s="233"/>
      <c r="N422" s="233"/>
      <c r="O422" s="234"/>
      <c r="P422" s="234"/>
      <c r="Q422" s="233"/>
      <c r="R422" s="233"/>
      <c r="S422" s="233"/>
      <c r="T422" s="233"/>
      <c r="U422" s="231"/>
    </row>
    <row r="423" spans="1:21" ht="13.2">
      <c r="A423" s="231"/>
      <c r="B423" s="232"/>
      <c r="C423" s="231"/>
      <c r="D423" s="231"/>
      <c r="E423" s="231"/>
      <c r="F423" s="231"/>
      <c r="G423" s="231"/>
      <c r="H423" s="233"/>
      <c r="I423" s="233"/>
      <c r="J423" s="233"/>
      <c r="K423" s="233"/>
      <c r="L423" s="233"/>
      <c r="M423" s="233"/>
      <c r="N423" s="233"/>
      <c r="O423" s="234"/>
      <c r="P423" s="234"/>
      <c r="Q423" s="233"/>
      <c r="R423" s="233"/>
      <c r="S423" s="233"/>
      <c r="T423" s="233"/>
      <c r="U423" s="231"/>
    </row>
    <row r="424" spans="1:21" ht="13.2">
      <c r="A424" s="231"/>
      <c r="B424" s="232"/>
      <c r="C424" s="231"/>
      <c r="D424" s="231"/>
      <c r="E424" s="231"/>
      <c r="F424" s="231"/>
      <c r="G424" s="231"/>
      <c r="H424" s="233"/>
      <c r="I424" s="233"/>
      <c r="J424" s="233"/>
      <c r="K424" s="233"/>
      <c r="L424" s="233"/>
      <c r="M424" s="233"/>
      <c r="N424" s="233"/>
      <c r="O424" s="234"/>
      <c r="P424" s="234"/>
      <c r="Q424" s="233"/>
      <c r="R424" s="233"/>
      <c r="S424" s="233"/>
      <c r="T424" s="233"/>
      <c r="U424" s="231"/>
    </row>
    <row r="425" spans="1:21" ht="13.2">
      <c r="A425" s="231"/>
      <c r="B425" s="232"/>
      <c r="C425" s="231"/>
      <c r="D425" s="231"/>
      <c r="E425" s="231"/>
      <c r="F425" s="231"/>
      <c r="G425" s="231"/>
      <c r="H425" s="233"/>
      <c r="I425" s="233"/>
      <c r="J425" s="233"/>
      <c r="K425" s="233"/>
      <c r="L425" s="233"/>
      <c r="M425" s="233"/>
      <c r="N425" s="233"/>
      <c r="O425" s="234"/>
      <c r="P425" s="234"/>
      <c r="Q425" s="233"/>
      <c r="R425" s="233"/>
      <c r="S425" s="233"/>
      <c r="T425" s="233"/>
      <c r="U425" s="231"/>
    </row>
    <row r="426" spans="1:21" ht="13.2">
      <c r="A426" s="231"/>
      <c r="B426" s="232"/>
      <c r="C426" s="231"/>
      <c r="D426" s="231"/>
      <c r="E426" s="231"/>
      <c r="F426" s="231"/>
      <c r="G426" s="231"/>
      <c r="H426" s="233"/>
      <c r="I426" s="233"/>
      <c r="J426" s="233"/>
      <c r="K426" s="233"/>
      <c r="L426" s="233"/>
      <c r="M426" s="233"/>
      <c r="N426" s="233"/>
      <c r="O426" s="234"/>
      <c r="P426" s="234"/>
      <c r="Q426" s="233"/>
      <c r="R426" s="233"/>
      <c r="S426" s="233"/>
      <c r="T426" s="233"/>
      <c r="U426" s="231"/>
    </row>
    <row r="427" spans="1:21" ht="13.2">
      <c r="A427" s="231"/>
      <c r="B427" s="232"/>
      <c r="C427" s="231"/>
      <c r="D427" s="231"/>
      <c r="E427" s="231"/>
      <c r="F427" s="231"/>
      <c r="G427" s="231"/>
      <c r="H427" s="233"/>
      <c r="I427" s="233"/>
      <c r="J427" s="233"/>
      <c r="K427" s="233"/>
      <c r="L427" s="233"/>
      <c r="M427" s="233"/>
      <c r="N427" s="233"/>
      <c r="O427" s="234"/>
      <c r="P427" s="234"/>
      <c r="Q427" s="233"/>
      <c r="R427" s="233"/>
      <c r="S427" s="233"/>
      <c r="T427" s="233"/>
      <c r="U427" s="231"/>
    </row>
    <row r="428" spans="1:21" ht="13.2">
      <c r="A428" s="231"/>
      <c r="B428" s="232"/>
      <c r="C428" s="231"/>
      <c r="D428" s="231"/>
      <c r="E428" s="231"/>
      <c r="F428" s="231"/>
      <c r="G428" s="231"/>
      <c r="H428" s="233"/>
      <c r="I428" s="233"/>
      <c r="J428" s="233"/>
      <c r="K428" s="233"/>
      <c r="L428" s="233"/>
      <c r="M428" s="233"/>
      <c r="N428" s="233"/>
      <c r="O428" s="234"/>
      <c r="P428" s="234"/>
      <c r="Q428" s="233"/>
      <c r="R428" s="233"/>
      <c r="S428" s="233"/>
      <c r="T428" s="233"/>
      <c r="U428" s="231"/>
    </row>
    <row r="429" spans="1:21" ht="13.2">
      <c r="A429" s="231"/>
      <c r="B429" s="232"/>
      <c r="C429" s="231"/>
      <c r="D429" s="231"/>
      <c r="E429" s="231"/>
      <c r="F429" s="231"/>
      <c r="G429" s="231"/>
      <c r="H429" s="233"/>
      <c r="I429" s="233"/>
      <c r="J429" s="233"/>
      <c r="K429" s="233"/>
      <c r="L429" s="233"/>
      <c r="M429" s="233"/>
      <c r="N429" s="233"/>
      <c r="O429" s="234"/>
      <c r="P429" s="234"/>
      <c r="Q429" s="233"/>
      <c r="R429" s="233"/>
      <c r="S429" s="233"/>
      <c r="T429" s="233"/>
      <c r="U429" s="231"/>
    </row>
    <row r="430" spans="1:21" ht="13.2">
      <c r="A430" s="231"/>
      <c r="B430" s="232"/>
      <c r="C430" s="231"/>
      <c r="D430" s="231"/>
      <c r="E430" s="231"/>
      <c r="F430" s="231"/>
      <c r="G430" s="231"/>
      <c r="H430" s="233"/>
      <c r="I430" s="233"/>
      <c r="J430" s="233"/>
      <c r="K430" s="233"/>
      <c r="L430" s="233"/>
      <c r="M430" s="233"/>
      <c r="N430" s="233"/>
      <c r="O430" s="234"/>
      <c r="P430" s="234"/>
      <c r="Q430" s="233"/>
      <c r="R430" s="233"/>
      <c r="S430" s="233"/>
      <c r="T430" s="233"/>
      <c r="U430" s="231"/>
    </row>
    <row r="431" spans="1:21" ht="13.2">
      <c r="A431" s="231"/>
      <c r="B431" s="232"/>
      <c r="C431" s="231"/>
      <c r="D431" s="231"/>
      <c r="E431" s="231"/>
      <c r="F431" s="231"/>
      <c r="G431" s="231"/>
      <c r="H431" s="233"/>
      <c r="I431" s="233"/>
      <c r="J431" s="233"/>
      <c r="K431" s="233"/>
      <c r="L431" s="233"/>
      <c r="M431" s="233"/>
      <c r="N431" s="233"/>
      <c r="O431" s="234"/>
      <c r="P431" s="234"/>
      <c r="Q431" s="233"/>
      <c r="R431" s="233"/>
      <c r="S431" s="233"/>
      <c r="T431" s="233"/>
      <c r="U431" s="231"/>
    </row>
    <row r="432" spans="1:21" ht="13.2">
      <c r="A432" s="231"/>
      <c r="B432" s="232"/>
      <c r="C432" s="231"/>
      <c r="D432" s="231"/>
      <c r="E432" s="231"/>
      <c r="F432" s="231"/>
      <c r="G432" s="231"/>
      <c r="H432" s="233"/>
      <c r="I432" s="233"/>
      <c r="J432" s="233"/>
      <c r="K432" s="233"/>
      <c r="L432" s="233"/>
      <c r="M432" s="233"/>
      <c r="N432" s="233"/>
      <c r="O432" s="234"/>
      <c r="P432" s="234"/>
      <c r="Q432" s="233"/>
      <c r="R432" s="233"/>
      <c r="S432" s="233"/>
      <c r="T432" s="233"/>
      <c r="U432" s="231"/>
    </row>
    <row r="433" spans="1:21" ht="13.2">
      <c r="A433" s="231"/>
      <c r="B433" s="232"/>
      <c r="C433" s="231"/>
      <c r="D433" s="231"/>
      <c r="E433" s="231"/>
      <c r="F433" s="231"/>
      <c r="G433" s="231"/>
      <c r="H433" s="233"/>
      <c r="I433" s="233"/>
      <c r="J433" s="233"/>
      <c r="K433" s="233"/>
      <c r="L433" s="233"/>
      <c r="M433" s="233"/>
      <c r="N433" s="233"/>
      <c r="O433" s="234"/>
      <c r="P433" s="234"/>
      <c r="Q433" s="233"/>
      <c r="R433" s="233"/>
      <c r="S433" s="233"/>
      <c r="T433" s="233"/>
      <c r="U433" s="231"/>
    </row>
    <row r="434" spans="1:21" ht="13.2">
      <c r="A434" s="231"/>
      <c r="B434" s="232"/>
      <c r="C434" s="231"/>
      <c r="D434" s="231"/>
      <c r="E434" s="231"/>
      <c r="F434" s="231"/>
      <c r="G434" s="231"/>
      <c r="H434" s="233"/>
      <c r="I434" s="233"/>
      <c r="J434" s="233"/>
      <c r="K434" s="233"/>
      <c r="L434" s="233"/>
      <c r="M434" s="233"/>
      <c r="N434" s="233"/>
      <c r="O434" s="234"/>
      <c r="P434" s="234"/>
      <c r="Q434" s="233"/>
      <c r="R434" s="233"/>
      <c r="S434" s="233"/>
      <c r="T434" s="233"/>
      <c r="U434" s="231"/>
    </row>
    <row r="435" spans="1:21" ht="13.2">
      <c r="A435" s="231"/>
      <c r="B435" s="232"/>
      <c r="C435" s="231"/>
      <c r="D435" s="231"/>
      <c r="E435" s="231"/>
      <c r="F435" s="231"/>
      <c r="G435" s="231"/>
      <c r="H435" s="233"/>
      <c r="I435" s="233"/>
      <c r="J435" s="233"/>
      <c r="K435" s="233"/>
      <c r="L435" s="233"/>
      <c r="M435" s="233"/>
      <c r="N435" s="233"/>
      <c r="O435" s="234"/>
      <c r="P435" s="234"/>
      <c r="Q435" s="233"/>
      <c r="R435" s="233"/>
      <c r="S435" s="233"/>
      <c r="T435" s="233"/>
      <c r="U435" s="231"/>
    </row>
    <row r="436" spans="1:21" ht="13.2">
      <c r="A436" s="231"/>
      <c r="B436" s="232"/>
      <c r="C436" s="231"/>
      <c r="D436" s="231"/>
      <c r="E436" s="231"/>
      <c r="F436" s="231"/>
      <c r="G436" s="231"/>
      <c r="H436" s="233"/>
      <c r="I436" s="233"/>
      <c r="J436" s="233"/>
      <c r="K436" s="233"/>
      <c r="L436" s="233"/>
      <c r="M436" s="233"/>
      <c r="N436" s="233"/>
      <c r="O436" s="234"/>
      <c r="P436" s="234"/>
      <c r="Q436" s="233"/>
      <c r="R436" s="233"/>
      <c r="S436" s="233"/>
      <c r="T436" s="233"/>
      <c r="U436" s="231"/>
    </row>
    <row r="437" spans="1:21" ht="13.2">
      <c r="A437" s="231"/>
      <c r="B437" s="232"/>
      <c r="C437" s="231"/>
      <c r="D437" s="231"/>
      <c r="E437" s="231"/>
      <c r="F437" s="231"/>
      <c r="G437" s="231"/>
      <c r="H437" s="233"/>
      <c r="I437" s="233"/>
      <c r="J437" s="233"/>
      <c r="K437" s="233"/>
      <c r="L437" s="233"/>
      <c r="M437" s="233"/>
      <c r="N437" s="233"/>
      <c r="O437" s="234"/>
      <c r="P437" s="234"/>
      <c r="Q437" s="233"/>
      <c r="R437" s="233"/>
      <c r="S437" s="233"/>
      <c r="T437" s="233"/>
      <c r="U437" s="231"/>
    </row>
    <row r="438" spans="1:21" ht="13.2">
      <c r="A438" s="231"/>
      <c r="B438" s="232"/>
      <c r="C438" s="231"/>
      <c r="D438" s="231"/>
      <c r="E438" s="231"/>
      <c r="F438" s="231"/>
      <c r="G438" s="231"/>
      <c r="H438" s="233"/>
      <c r="I438" s="233"/>
      <c r="J438" s="233"/>
      <c r="K438" s="233"/>
      <c r="L438" s="233"/>
      <c r="M438" s="233"/>
      <c r="N438" s="233"/>
      <c r="O438" s="234"/>
      <c r="P438" s="234"/>
      <c r="Q438" s="233"/>
      <c r="R438" s="233"/>
      <c r="S438" s="233"/>
      <c r="T438" s="233"/>
      <c r="U438" s="231"/>
    </row>
    <row r="439" spans="1:21" ht="13.2">
      <c r="A439" s="231"/>
      <c r="B439" s="232"/>
      <c r="C439" s="231"/>
      <c r="D439" s="231"/>
      <c r="E439" s="231"/>
      <c r="F439" s="231"/>
      <c r="G439" s="231"/>
      <c r="H439" s="233"/>
      <c r="I439" s="233"/>
      <c r="J439" s="233"/>
      <c r="K439" s="233"/>
      <c r="L439" s="233"/>
      <c r="M439" s="233"/>
      <c r="N439" s="233"/>
      <c r="O439" s="234"/>
      <c r="P439" s="234"/>
      <c r="Q439" s="233"/>
      <c r="R439" s="233"/>
      <c r="S439" s="233"/>
      <c r="T439" s="233"/>
      <c r="U439" s="231"/>
    </row>
    <row r="440" spans="1:21" ht="13.2">
      <c r="A440" s="231"/>
      <c r="B440" s="232"/>
      <c r="C440" s="231"/>
      <c r="D440" s="231"/>
      <c r="E440" s="231"/>
      <c r="F440" s="231"/>
      <c r="G440" s="231"/>
      <c r="H440" s="233"/>
      <c r="I440" s="233"/>
      <c r="J440" s="233"/>
      <c r="K440" s="233"/>
      <c r="L440" s="233"/>
      <c r="M440" s="233"/>
      <c r="N440" s="233"/>
      <c r="O440" s="234"/>
      <c r="P440" s="234"/>
      <c r="Q440" s="233"/>
      <c r="R440" s="233"/>
      <c r="S440" s="233"/>
      <c r="T440" s="233"/>
      <c r="U440" s="231"/>
    </row>
    <row r="441" spans="1:21" ht="13.2">
      <c r="A441" s="231"/>
      <c r="B441" s="232"/>
      <c r="C441" s="231"/>
      <c r="D441" s="231"/>
      <c r="E441" s="231"/>
      <c r="F441" s="231"/>
      <c r="G441" s="231"/>
      <c r="H441" s="233"/>
      <c r="I441" s="233"/>
      <c r="J441" s="233"/>
      <c r="K441" s="233"/>
      <c r="L441" s="233"/>
      <c r="M441" s="233"/>
      <c r="N441" s="233"/>
      <c r="O441" s="234"/>
      <c r="P441" s="234"/>
      <c r="Q441" s="233"/>
      <c r="R441" s="233"/>
      <c r="S441" s="233"/>
      <c r="T441" s="233"/>
      <c r="U441" s="231"/>
    </row>
    <row r="442" spans="1:21" ht="13.2">
      <c r="A442" s="231"/>
      <c r="B442" s="232"/>
      <c r="C442" s="231"/>
      <c r="D442" s="231"/>
      <c r="E442" s="231"/>
      <c r="F442" s="231"/>
      <c r="G442" s="231"/>
      <c r="H442" s="233"/>
      <c r="I442" s="233"/>
      <c r="J442" s="233"/>
      <c r="K442" s="233"/>
      <c r="L442" s="233"/>
      <c r="M442" s="233"/>
      <c r="N442" s="233"/>
      <c r="O442" s="234"/>
      <c r="P442" s="234"/>
      <c r="Q442" s="233"/>
      <c r="R442" s="233"/>
      <c r="S442" s="233"/>
      <c r="T442" s="233"/>
      <c r="U442" s="231"/>
    </row>
    <row r="443" spans="1:21" ht="13.2">
      <c r="A443" s="231"/>
      <c r="B443" s="232"/>
      <c r="C443" s="231"/>
      <c r="D443" s="231"/>
      <c r="E443" s="231"/>
      <c r="F443" s="231"/>
      <c r="G443" s="231"/>
      <c r="H443" s="233"/>
      <c r="I443" s="233"/>
      <c r="J443" s="233"/>
      <c r="K443" s="233"/>
      <c r="L443" s="233"/>
      <c r="M443" s="233"/>
      <c r="N443" s="233"/>
      <c r="O443" s="234"/>
      <c r="P443" s="234"/>
      <c r="Q443" s="233"/>
      <c r="R443" s="233"/>
      <c r="S443" s="233"/>
      <c r="T443" s="233"/>
      <c r="U443" s="231"/>
    </row>
    <row r="444" spans="1:21" ht="13.2">
      <c r="A444" s="231"/>
      <c r="B444" s="232"/>
      <c r="C444" s="231"/>
      <c r="D444" s="231"/>
      <c r="E444" s="231"/>
      <c r="F444" s="231"/>
      <c r="G444" s="231"/>
      <c r="H444" s="233"/>
      <c r="I444" s="233"/>
      <c r="J444" s="233"/>
      <c r="K444" s="233"/>
      <c r="L444" s="233"/>
      <c r="M444" s="233"/>
      <c r="N444" s="233"/>
      <c r="O444" s="234"/>
      <c r="P444" s="234"/>
      <c r="Q444" s="233"/>
      <c r="R444" s="233"/>
      <c r="S444" s="233"/>
      <c r="T444" s="233"/>
      <c r="U444" s="231"/>
    </row>
    <row r="445" spans="1:21" ht="13.2">
      <c r="A445" s="231"/>
      <c r="B445" s="232"/>
      <c r="C445" s="231"/>
      <c r="D445" s="231"/>
      <c r="E445" s="231"/>
      <c r="F445" s="231"/>
      <c r="G445" s="231"/>
      <c r="H445" s="233"/>
      <c r="I445" s="233"/>
      <c r="J445" s="233"/>
      <c r="K445" s="233"/>
      <c r="L445" s="233"/>
      <c r="M445" s="233"/>
      <c r="N445" s="233"/>
      <c r="O445" s="234"/>
      <c r="P445" s="234"/>
      <c r="Q445" s="233"/>
      <c r="R445" s="233"/>
      <c r="S445" s="233"/>
      <c r="T445" s="233"/>
      <c r="U445" s="231"/>
    </row>
    <row r="446" spans="1:21" ht="13.2">
      <c r="A446" s="231"/>
      <c r="B446" s="232"/>
      <c r="C446" s="231"/>
      <c r="D446" s="231"/>
      <c r="E446" s="231"/>
      <c r="F446" s="231"/>
      <c r="G446" s="231"/>
      <c r="H446" s="233"/>
      <c r="I446" s="233"/>
      <c r="J446" s="233"/>
      <c r="K446" s="233"/>
      <c r="L446" s="233"/>
      <c r="M446" s="233"/>
      <c r="N446" s="233"/>
      <c r="O446" s="234"/>
      <c r="P446" s="234"/>
      <c r="Q446" s="233"/>
      <c r="R446" s="233"/>
      <c r="S446" s="233"/>
      <c r="T446" s="233"/>
      <c r="U446" s="231"/>
    </row>
    <row r="447" spans="1:21" ht="13.2">
      <c r="A447" s="231"/>
      <c r="B447" s="232"/>
      <c r="C447" s="231"/>
      <c r="D447" s="231"/>
      <c r="E447" s="231"/>
      <c r="F447" s="231"/>
      <c r="G447" s="231"/>
      <c r="H447" s="233"/>
      <c r="I447" s="233"/>
      <c r="J447" s="233"/>
      <c r="K447" s="233"/>
      <c r="L447" s="233"/>
      <c r="M447" s="233"/>
      <c r="N447" s="233"/>
      <c r="O447" s="234"/>
      <c r="P447" s="234"/>
      <c r="Q447" s="233"/>
      <c r="R447" s="233"/>
      <c r="S447" s="233"/>
      <c r="T447" s="233"/>
      <c r="U447" s="231"/>
    </row>
    <row r="448" spans="1:21" ht="13.2">
      <c r="A448" s="231"/>
      <c r="B448" s="232"/>
      <c r="C448" s="231"/>
      <c r="D448" s="231"/>
      <c r="E448" s="231"/>
      <c r="F448" s="231"/>
      <c r="G448" s="231"/>
      <c r="H448" s="233"/>
      <c r="I448" s="233"/>
      <c r="J448" s="233"/>
      <c r="K448" s="233"/>
      <c r="L448" s="233"/>
      <c r="M448" s="233"/>
      <c r="N448" s="233"/>
      <c r="O448" s="234"/>
      <c r="P448" s="234"/>
      <c r="Q448" s="233"/>
      <c r="R448" s="233"/>
      <c r="S448" s="233"/>
      <c r="T448" s="233"/>
      <c r="U448" s="231"/>
    </row>
    <row r="449" spans="1:21" ht="13.2">
      <c r="A449" s="231"/>
      <c r="B449" s="232"/>
      <c r="C449" s="231"/>
      <c r="D449" s="231"/>
      <c r="E449" s="231"/>
      <c r="F449" s="231"/>
      <c r="G449" s="231"/>
      <c r="H449" s="233"/>
      <c r="I449" s="233"/>
      <c r="J449" s="233"/>
      <c r="K449" s="233"/>
      <c r="L449" s="233"/>
      <c r="M449" s="233"/>
      <c r="N449" s="233"/>
      <c r="O449" s="234"/>
      <c r="P449" s="234"/>
      <c r="Q449" s="233"/>
      <c r="R449" s="233"/>
      <c r="S449" s="233"/>
      <c r="T449" s="233"/>
      <c r="U449" s="231"/>
    </row>
    <row r="450" spans="1:21" ht="13.2">
      <c r="A450" s="231"/>
      <c r="B450" s="232"/>
      <c r="C450" s="231"/>
      <c r="D450" s="231"/>
      <c r="E450" s="231"/>
      <c r="F450" s="231"/>
      <c r="G450" s="231"/>
      <c r="H450" s="233"/>
      <c r="I450" s="233"/>
      <c r="J450" s="233"/>
      <c r="K450" s="233"/>
      <c r="L450" s="233"/>
      <c r="M450" s="233"/>
      <c r="N450" s="233"/>
      <c r="O450" s="234"/>
      <c r="P450" s="234"/>
      <c r="Q450" s="233"/>
      <c r="R450" s="233"/>
      <c r="S450" s="233"/>
      <c r="T450" s="233"/>
      <c r="U450" s="231"/>
    </row>
    <row r="451" spans="1:21" ht="13.2">
      <c r="A451" s="231"/>
      <c r="B451" s="232"/>
      <c r="C451" s="231"/>
      <c r="D451" s="231"/>
      <c r="E451" s="231"/>
      <c r="F451" s="231"/>
      <c r="G451" s="231"/>
      <c r="H451" s="233"/>
      <c r="I451" s="233"/>
      <c r="J451" s="233"/>
      <c r="K451" s="233"/>
      <c r="L451" s="233"/>
      <c r="M451" s="233"/>
      <c r="N451" s="233"/>
      <c r="O451" s="234"/>
      <c r="P451" s="234"/>
      <c r="Q451" s="233"/>
      <c r="R451" s="233"/>
      <c r="S451" s="233"/>
      <c r="T451" s="233"/>
      <c r="U451" s="231"/>
    </row>
    <row r="452" spans="1:21" ht="13.2">
      <c r="A452" s="231"/>
      <c r="B452" s="232"/>
      <c r="C452" s="231"/>
      <c r="D452" s="231"/>
      <c r="E452" s="231"/>
      <c r="F452" s="231"/>
      <c r="G452" s="231"/>
      <c r="H452" s="233"/>
      <c r="I452" s="233"/>
      <c r="J452" s="233"/>
      <c r="K452" s="233"/>
      <c r="L452" s="233"/>
      <c r="M452" s="233"/>
      <c r="N452" s="233"/>
      <c r="O452" s="234"/>
      <c r="P452" s="234"/>
      <c r="Q452" s="233"/>
      <c r="R452" s="233"/>
      <c r="S452" s="233"/>
      <c r="T452" s="233"/>
      <c r="U452" s="231"/>
    </row>
    <row r="453" spans="1:21" ht="13.2">
      <c r="A453" s="231"/>
      <c r="B453" s="232"/>
      <c r="C453" s="231"/>
      <c r="D453" s="231"/>
      <c r="E453" s="231"/>
      <c r="F453" s="231"/>
      <c r="G453" s="231"/>
      <c r="H453" s="233"/>
      <c r="I453" s="233"/>
      <c r="J453" s="233"/>
      <c r="K453" s="233"/>
      <c r="L453" s="233"/>
      <c r="M453" s="233"/>
      <c r="N453" s="233"/>
      <c r="O453" s="234"/>
      <c r="P453" s="234"/>
      <c r="Q453" s="233"/>
      <c r="R453" s="233"/>
      <c r="S453" s="233"/>
      <c r="T453" s="233"/>
      <c r="U453" s="231"/>
    </row>
    <row r="454" spans="1:21" ht="13.2">
      <c r="A454" s="231"/>
      <c r="B454" s="232"/>
      <c r="C454" s="231"/>
      <c r="D454" s="231"/>
      <c r="E454" s="231"/>
      <c r="F454" s="231"/>
      <c r="G454" s="231"/>
      <c r="H454" s="233"/>
      <c r="I454" s="233"/>
      <c r="J454" s="233"/>
      <c r="K454" s="233"/>
      <c r="L454" s="233"/>
      <c r="M454" s="233"/>
      <c r="N454" s="233"/>
      <c r="O454" s="234"/>
      <c r="P454" s="234"/>
      <c r="Q454" s="233"/>
      <c r="R454" s="233"/>
      <c r="S454" s="233"/>
      <c r="T454" s="233"/>
      <c r="U454" s="231"/>
    </row>
    <row r="455" spans="1:21" ht="13.2">
      <c r="A455" s="231"/>
      <c r="B455" s="232"/>
      <c r="C455" s="231"/>
      <c r="D455" s="231"/>
      <c r="E455" s="231"/>
      <c r="F455" s="231"/>
      <c r="G455" s="231"/>
      <c r="H455" s="233"/>
      <c r="I455" s="233"/>
      <c r="J455" s="233"/>
      <c r="K455" s="233"/>
      <c r="L455" s="233"/>
      <c r="M455" s="233"/>
      <c r="N455" s="233"/>
      <c r="O455" s="234"/>
      <c r="P455" s="234"/>
      <c r="Q455" s="233"/>
      <c r="R455" s="233"/>
      <c r="S455" s="233"/>
      <c r="T455" s="233"/>
      <c r="U455" s="231"/>
    </row>
    <row r="456" spans="1:21" ht="13.2">
      <c r="A456" s="231"/>
      <c r="B456" s="232"/>
      <c r="C456" s="231"/>
      <c r="D456" s="231"/>
      <c r="E456" s="231"/>
      <c r="F456" s="231"/>
      <c r="G456" s="231"/>
      <c r="H456" s="233"/>
      <c r="I456" s="233"/>
      <c r="J456" s="233"/>
      <c r="K456" s="233"/>
      <c r="L456" s="233"/>
      <c r="M456" s="233"/>
      <c r="N456" s="233"/>
      <c r="O456" s="234"/>
      <c r="P456" s="234"/>
      <c r="Q456" s="233"/>
      <c r="R456" s="233"/>
      <c r="S456" s="233"/>
      <c r="T456" s="233"/>
      <c r="U456" s="231"/>
    </row>
    <row r="457" spans="1:21" ht="13.2">
      <c r="A457" s="231"/>
      <c r="B457" s="232"/>
      <c r="C457" s="231"/>
      <c r="D457" s="231"/>
      <c r="E457" s="231"/>
      <c r="F457" s="231"/>
      <c r="G457" s="231"/>
      <c r="H457" s="233"/>
      <c r="I457" s="233"/>
      <c r="J457" s="233"/>
      <c r="K457" s="233"/>
      <c r="L457" s="233"/>
      <c r="M457" s="233"/>
      <c r="N457" s="233"/>
      <c r="O457" s="234"/>
      <c r="P457" s="234"/>
      <c r="Q457" s="233"/>
      <c r="R457" s="233"/>
      <c r="S457" s="233"/>
      <c r="T457" s="233"/>
      <c r="U457" s="231"/>
    </row>
    <row r="458" spans="1:21" ht="13.2">
      <c r="A458" s="231"/>
      <c r="B458" s="232"/>
      <c r="C458" s="231"/>
      <c r="D458" s="231"/>
      <c r="E458" s="231"/>
      <c r="F458" s="231"/>
      <c r="G458" s="231"/>
      <c r="H458" s="233"/>
      <c r="I458" s="233"/>
      <c r="J458" s="233"/>
      <c r="K458" s="233"/>
      <c r="L458" s="233"/>
      <c r="M458" s="233"/>
      <c r="N458" s="233"/>
      <c r="O458" s="234"/>
      <c r="P458" s="234"/>
      <c r="Q458" s="233"/>
      <c r="R458" s="233"/>
      <c r="S458" s="233"/>
      <c r="T458" s="233"/>
      <c r="U458" s="231"/>
    </row>
    <row r="459" spans="1:21" ht="13.2">
      <c r="A459" s="231"/>
      <c r="B459" s="232"/>
      <c r="C459" s="231"/>
      <c r="D459" s="231"/>
      <c r="E459" s="231"/>
      <c r="F459" s="231"/>
      <c r="G459" s="231"/>
      <c r="H459" s="233"/>
      <c r="I459" s="233"/>
      <c r="J459" s="233"/>
      <c r="K459" s="233"/>
      <c r="L459" s="233"/>
      <c r="M459" s="233"/>
      <c r="N459" s="233"/>
      <c r="O459" s="234"/>
      <c r="P459" s="234"/>
      <c r="Q459" s="233"/>
      <c r="R459" s="233"/>
      <c r="S459" s="233"/>
      <c r="T459" s="233"/>
      <c r="U459" s="231"/>
    </row>
    <row r="460" spans="1:21" ht="13.2">
      <c r="A460" s="231"/>
      <c r="B460" s="232"/>
      <c r="C460" s="231"/>
      <c r="D460" s="231"/>
      <c r="E460" s="231"/>
      <c r="F460" s="231"/>
      <c r="G460" s="231"/>
      <c r="H460" s="233"/>
      <c r="I460" s="233"/>
      <c r="J460" s="233"/>
      <c r="K460" s="233"/>
      <c r="L460" s="233"/>
      <c r="M460" s="233"/>
      <c r="N460" s="233"/>
      <c r="O460" s="234"/>
      <c r="P460" s="234"/>
      <c r="Q460" s="233"/>
      <c r="R460" s="233"/>
      <c r="S460" s="233"/>
      <c r="T460" s="233"/>
      <c r="U460" s="231"/>
    </row>
    <row r="461" spans="1:21" ht="13.2">
      <c r="A461" s="231"/>
      <c r="B461" s="232"/>
      <c r="C461" s="231"/>
      <c r="D461" s="231"/>
      <c r="E461" s="231"/>
      <c r="F461" s="231"/>
      <c r="G461" s="231"/>
      <c r="H461" s="233"/>
      <c r="I461" s="233"/>
      <c r="J461" s="233"/>
      <c r="K461" s="233"/>
      <c r="L461" s="233"/>
      <c r="M461" s="233"/>
      <c r="N461" s="233"/>
      <c r="O461" s="234"/>
      <c r="P461" s="234"/>
      <c r="Q461" s="233"/>
      <c r="R461" s="233"/>
      <c r="S461" s="233"/>
      <c r="T461" s="233"/>
      <c r="U461" s="231"/>
    </row>
    <row r="462" spans="1:21" ht="13.2">
      <c r="A462" s="231"/>
      <c r="B462" s="232"/>
      <c r="C462" s="231"/>
      <c r="D462" s="231"/>
      <c r="E462" s="231"/>
      <c r="F462" s="231"/>
      <c r="G462" s="231"/>
      <c r="H462" s="233"/>
      <c r="I462" s="233"/>
      <c r="J462" s="233"/>
      <c r="K462" s="233"/>
      <c r="L462" s="233"/>
      <c r="M462" s="233"/>
      <c r="N462" s="233"/>
      <c r="O462" s="234"/>
      <c r="P462" s="234"/>
      <c r="Q462" s="233"/>
      <c r="R462" s="233"/>
      <c r="S462" s="233"/>
      <c r="T462" s="233"/>
      <c r="U462" s="231"/>
    </row>
    <row r="463" spans="1:21" ht="13.2">
      <c r="A463" s="231"/>
      <c r="B463" s="232"/>
      <c r="C463" s="231"/>
      <c r="D463" s="231"/>
      <c r="E463" s="231"/>
      <c r="F463" s="231"/>
      <c r="G463" s="231"/>
      <c r="H463" s="233"/>
      <c r="I463" s="233"/>
      <c r="J463" s="233"/>
      <c r="K463" s="233"/>
      <c r="L463" s="233"/>
      <c r="M463" s="233"/>
      <c r="N463" s="233"/>
      <c r="O463" s="234"/>
      <c r="P463" s="234"/>
      <c r="Q463" s="233"/>
      <c r="R463" s="233"/>
      <c r="S463" s="233"/>
      <c r="T463" s="233"/>
      <c r="U463" s="231"/>
    </row>
    <row r="464" spans="1:21" ht="13.2">
      <c r="A464" s="231"/>
      <c r="B464" s="232"/>
      <c r="C464" s="231"/>
      <c r="D464" s="231"/>
      <c r="E464" s="231"/>
      <c r="F464" s="231"/>
      <c r="G464" s="231"/>
      <c r="H464" s="233"/>
      <c r="I464" s="233"/>
      <c r="J464" s="233"/>
      <c r="K464" s="233"/>
      <c r="L464" s="233"/>
      <c r="M464" s="233"/>
      <c r="N464" s="233"/>
      <c r="O464" s="234"/>
      <c r="P464" s="234"/>
      <c r="Q464" s="233"/>
      <c r="R464" s="233"/>
      <c r="S464" s="233"/>
      <c r="T464" s="233"/>
      <c r="U464" s="231"/>
    </row>
    <row r="465" spans="1:21" ht="13.2">
      <c r="A465" s="231"/>
      <c r="B465" s="232"/>
      <c r="C465" s="231"/>
      <c r="D465" s="231"/>
      <c r="E465" s="231"/>
      <c r="F465" s="231"/>
      <c r="G465" s="231"/>
      <c r="H465" s="233"/>
      <c r="I465" s="233"/>
      <c r="J465" s="233"/>
      <c r="K465" s="233"/>
      <c r="L465" s="233"/>
      <c r="M465" s="233"/>
      <c r="N465" s="233"/>
      <c r="O465" s="234"/>
      <c r="P465" s="234"/>
      <c r="Q465" s="233"/>
      <c r="R465" s="233"/>
      <c r="S465" s="233"/>
      <c r="T465" s="233"/>
      <c r="U465" s="231"/>
    </row>
    <row r="466" spans="1:21" ht="13.2">
      <c r="A466" s="231"/>
      <c r="B466" s="232"/>
      <c r="C466" s="231"/>
      <c r="D466" s="231"/>
      <c r="E466" s="231"/>
      <c r="F466" s="231"/>
      <c r="G466" s="231"/>
      <c r="H466" s="233"/>
      <c r="I466" s="233"/>
      <c r="J466" s="233"/>
      <c r="K466" s="233"/>
      <c r="L466" s="233"/>
      <c r="M466" s="233"/>
      <c r="N466" s="233"/>
      <c r="O466" s="234"/>
      <c r="P466" s="234"/>
      <c r="Q466" s="233"/>
      <c r="R466" s="233"/>
      <c r="S466" s="233"/>
      <c r="T466" s="233"/>
      <c r="U466" s="231"/>
    </row>
    <row r="467" spans="1:21" ht="13.2">
      <c r="A467" s="231"/>
      <c r="B467" s="232"/>
      <c r="C467" s="231"/>
      <c r="D467" s="231"/>
      <c r="E467" s="231"/>
      <c r="F467" s="231"/>
      <c r="G467" s="231"/>
      <c r="H467" s="233"/>
      <c r="I467" s="233"/>
      <c r="J467" s="233"/>
      <c r="K467" s="233"/>
      <c r="L467" s="233"/>
      <c r="M467" s="233"/>
      <c r="N467" s="233"/>
      <c r="O467" s="234"/>
      <c r="P467" s="234"/>
      <c r="Q467" s="233"/>
      <c r="R467" s="233"/>
      <c r="S467" s="233"/>
      <c r="T467" s="233"/>
      <c r="U467" s="231"/>
    </row>
    <row r="468" spans="1:21" ht="13.2">
      <c r="A468" s="231"/>
      <c r="B468" s="232"/>
      <c r="C468" s="231"/>
      <c r="D468" s="231"/>
      <c r="E468" s="231"/>
      <c r="F468" s="231"/>
      <c r="G468" s="231"/>
      <c r="H468" s="233"/>
      <c r="I468" s="233"/>
      <c r="J468" s="233"/>
      <c r="K468" s="233"/>
      <c r="L468" s="233"/>
      <c r="M468" s="233"/>
      <c r="N468" s="233"/>
      <c r="O468" s="234"/>
      <c r="P468" s="234"/>
      <c r="Q468" s="233"/>
      <c r="R468" s="233"/>
      <c r="S468" s="233"/>
      <c r="T468" s="233"/>
      <c r="U468" s="231"/>
    </row>
    <row r="469" spans="1:21" ht="13.2">
      <c r="A469" s="231"/>
      <c r="B469" s="232"/>
      <c r="C469" s="231"/>
      <c r="D469" s="231"/>
      <c r="E469" s="231"/>
      <c r="F469" s="231"/>
      <c r="G469" s="231"/>
      <c r="H469" s="233"/>
      <c r="I469" s="233"/>
      <c r="J469" s="233"/>
      <c r="K469" s="233"/>
      <c r="L469" s="233"/>
      <c r="M469" s="233"/>
      <c r="N469" s="233"/>
      <c r="O469" s="234"/>
      <c r="P469" s="234"/>
      <c r="Q469" s="233"/>
      <c r="R469" s="233"/>
      <c r="S469" s="233"/>
      <c r="T469" s="233"/>
      <c r="U469" s="231"/>
    </row>
    <row r="470" spans="1:21" ht="13.2">
      <c r="A470" s="231"/>
      <c r="B470" s="232"/>
      <c r="C470" s="231"/>
      <c r="D470" s="231"/>
      <c r="E470" s="231"/>
      <c r="F470" s="231"/>
      <c r="G470" s="231"/>
      <c r="H470" s="233"/>
      <c r="I470" s="233"/>
      <c r="J470" s="233"/>
      <c r="K470" s="233"/>
      <c r="L470" s="233"/>
      <c r="M470" s="233"/>
      <c r="N470" s="233"/>
      <c r="O470" s="234"/>
      <c r="P470" s="234"/>
      <c r="Q470" s="233"/>
      <c r="R470" s="233"/>
      <c r="S470" s="233"/>
      <c r="T470" s="233"/>
      <c r="U470" s="231"/>
    </row>
    <row r="471" spans="1:21" ht="13.2">
      <c r="A471" s="231"/>
      <c r="B471" s="232"/>
      <c r="C471" s="231"/>
      <c r="D471" s="231"/>
      <c r="E471" s="231"/>
      <c r="F471" s="231"/>
      <c r="G471" s="231"/>
      <c r="H471" s="233"/>
      <c r="I471" s="233"/>
      <c r="J471" s="233"/>
      <c r="K471" s="233"/>
      <c r="L471" s="233"/>
      <c r="M471" s="233"/>
      <c r="N471" s="233"/>
      <c r="O471" s="234"/>
      <c r="P471" s="234"/>
      <c r="Q471" s="233"/>
      <c r="R471" s="233"/>
      <c r="S471" s="233"/>
      <c r="T471" s="233"/>
      <c r="U471" s="231"/>
    </row>
    <row r="472" spans="1:21" ht="13.2">
      <c r="A472" s="231"/>
      <c r="B472" s="232"/>
      <c r="C472" s="231"/>
      <c r="D472" s="231"/>
      <c r="E472" s="231"/>
      <c r="F472" s="231"/>
      <c r="G472" s="231"/>
      <c r="H472" s="233"/>
      <c r="I472" s="233"/>
      <c r="J472" s="233"/>
      <c r="K472" s="233"/>
      <c r="L472" s="233"/>
      <c r="M472" s="233"/>
      <c r="N472" s="233"/>
      <c r="O472" s="234"/>
      <c r="P472" s="234"/>
      <c r="Q472" s="233"/>
      <c r="R472" s="233"/>
      <c r="S472" s="233"/>
      <c r="T472" s="233"/>
      <c r="U472" s="231"/>
    </row>
    <row r="473" spans="1:21" ht="13.2">
      <c r="A473" s="231"/>
      <c r="B473" s="232"/>
      <c r="C473" s="231"/>
      <c r="D473" s="231"/>
      <c r="E473" s="231"/>
      <c r="F473" s="231"/>
      <c r="G473" s="231"/>
      <c r="H473" s="233"/>
      <c r="I473" s="233"/>
      <c r="J473" s="233"/>
      <c r="K473" s="233"/>
      <c r="L473" s="233"/>
      <c r="M473" s="233"/>
      <c r="N473" s="233"/>
      <c r="O473" s="234"/>
      <c r="P473" s="234"/>
      <c r="Q473" s="233"/>
      <c r="R473" s="233"/>
      <c r="S473" s="233"/>
      <c r="T473" s="233"/>
      <c r="U473" s="231"/>
    </row>
    <row r="474" spans="1:21" ht="13.2">
      <c r="A474" s="231"/>
      <c r="B474" s="232"/>
      <c r="C474" s="231"/>
      <c r="D474" s="231"/>
      <c r="E474" s="231"/>
      <c r="F474" s="231"/>
      <c r="G474" s="231"/>
      <c r="H474" s="233"/>
      <c r="I474" s="233"/>
      <c r="J474" s="233"/>
      <c r="K474" s="233"/>
      <c r="L474" s="233"/>
      <c r="M474" s="233"/>
      <c r="N474" s="233"/>
      <c r="O474" s="234"/>
      <c r="P474" s="234"/>
      <c r="Q474" s="233"/>
      <c r="R474" s="233"/>
      <c r="S474" s="233"/>
      <c r="T474" s="233"/>
      <c r="U474" s="231"/>
    </row>
    <row r="475" spans="1:21" ht="13.2">
      <c r="A475" s="231"/>
      <c r="B475" s="232"/>
      <c r="C475" s="231"/>
      <c r="D475" s="231"/>
      <c r="E475" s="231"/>
      <c r="F475" s="231"/>
      <c r="G475" s="231"/>
      <c r="H475" s="233"/>
      <c r="I475" s="233"/>
      <c r="J475" s="233"/>
      <c r="K475" s="233"/>
      <c r="L475" s="233"/>
      <c r="M475" s="233"/>
      <c r="N475" s="233"/>
      <c r="O475" s="234"/>
      <c r="P475" s="234"/>
      <c r="Q475" s="233"/>
      <c r="R475" s="233"/>
      <c r="S475" s="233"/>
      <c r="T475" s="233"/>
      <c r="U475" s="231"/>
    </row>
    <row r="476" spans="1:21" ht="13.2">
      <c r="A476" s="231"/>
      <c r="B476" s="232"/>
      <c r="C476" s="231"/>
      <c r="D476" s="231"/>
      <c r="E476" s="231"/>
      <c r="F476" s="231"/>
      <c r="G476" s="231"/>
      <c r="H476" s="233"/>
      <c r="I476" s="233"/>
      <c r="J476" s="233"/>
      <c r="K476" s="233"/>
      <c r="L476" s="233"/>
      <c r="M476" s="233"/>
      <c r="N476" s="233"/>
      <c r="O476" s="234"/>
      <c r="P476" s="234"/>
      <c r="Q476" s="233"/>
      <c r="R476" s="233"/>
      <c r="S476" s="233"/>
      <c r="T476" s="233"/>
      <c r="U476" s="231"/>
    </row>
    <row r="477" spans="1:21" ht="13.2">
      <c r="A477" s="231"/>
      <c r="B477" s="232"/>
      <c r="C477" s="231"/>
      <c r="D477" s="231"/>
      <c r="E477" s="231"/>
      <c r="F477" s="231"/>
      <c r="G477" s="231"/>
      <c r="H477" s="233"/>
      <c r="I477" s="233"/>
      <c r="J477" s="233"/>
      <c r="K477" s="233"/>
      <c r="L477" s="233"/>
      <c r="M477" s="233"/>
      <c r="N477" s="233"/>
      <c r="O477" s="234"/>
      <c r="P477" s="234"/>
      <c r="Q477" s="233"/>
      <c r="R477" s="233"/>
      <c r="S477" s="233"/>
      <c r="T477" s="233"/>
      <c r="U477" s="231"/>
    </row>
    <row r="478" spans="1:21" ht="13.2">
      <c r="A478" s="231"/>
      <c r="B478" s="232"/>
      <c r="C478" s="231"/>
      <c r="D478" s="231"/>
      <c r="E478" s="231"/>
      <c r="F478" s="231"/>
      <c r="G478" s="231"/>
      <c r="H478" s="233"/>
      <c r="I478" s="233"/>
      <c r="J478" s="233"/>
      <c r="K478" s="233"/>
      <c r="L478" s="233"/>
      <c r="M478" s="233"/>
      <c r="N478" s="233"/>
      <c r="O478" s="234"/>
      <c r="P478" s="234"/>
      <c r="Q478" s="233"/>
      <c r="R478" s="233"/>
      <c r="S478" s="233"/>
      <c r="T478" s="233"/>
      <c r="U478" s="231"/>
    </row>
    <row r="479" spans="1:21" ht="13.2">
      <c r="A479" s="231"/>
      <c r="B479" s="232"/>
      <c r="C479" s="231"/>
      <c r="D479" s="231"/>
      <c r="E479" s="231"/>
      <c r="F479" s="231"/>
      <c r="G479" s="231"/>
      <c r="H479" s="233"/>
      <c r="I479" s="233"/>
      <c r="J479" s="233"/>
      <c r="K479" s="233"/>
      <c r="L479" s="233"/>
      <c r="M479" s="233"/>
      <c r="N479" s="233"/>
      <c r="O479" s="234"/>
      <c r="P479" s="234"/>
      <c r="Q479" s="233"/>
      <c r="R479" s="233"/>
      <c r="S479" s="233"/>
      <c r="T479" s="233"/>
      <c r="U479" s="231"/>
    </row>
    <row r="480" spans="1:21" ht="13.2">
      <c r="A480" s="231"/>
      <c r="B480" s="232"/>
      <c r="C480" s="231"/>
      <c r="D480" s="231"/>
      <c r="E480" s="231"/>
      <c r="F480" s="231"/>
      <c r="G480" s="231"/>
      <c r="H480" s="233"/>
      <c r="I480" s="233"/>
      <c r="J480" s="233"/>
      <c r="K480" s="233"/>
      <c r="L480" s="233"/>
      <c r="M480" s="233"/>
      <c r="N480" s="233"/>
      <c r="O480" s="234"/>
      <c r="P480" s="234"/>
      <c r="Q480" s="233"/>
      <c r="R480" s="233"/>
      <c r="S480" s="233"/>
      <c r="T480" s="233"/>
      <c r="U480" s="231"/>
    </row>
    <row r="481" spans="1:21" ht="13.2">
      <c r="A481" s="231"/>
      <c r="B481" s="232"/>
      <c r="C481" s="231"/>
      <c r="D481" s="231"/>
      <c r="E481" s="231"/>
      <c r="F481" s="231"/>
      <c r="G481" s="231"/>
      <c r="H481" s="233"/>
      <c r="I481" s="233"/>
      <c r="J481" s="233"/>
      <c r="K481" s="233"/>
      <c r="L481" s="233"/>
      <c r="M481" s="233"/>
      <c r="N481" s="233"/>
      <c r="O481" s="234"/>
      <c r="P481" s="234"/>
      <c r="Q481" s="233"/>
      <c r="R481" s="233"/>
      <c r="S481" s="233"/>
      <c r="T481" s="233"/>
      <c r="U481" s="231"/>
    </row>
    <row r="482" spans="1:21" ht="13.2">
      <c r="A482" s="231"/>
      <c r="B482" s="232"/>
      <c r="C482" s="231"/>
      <c r="D482" s="231"/>
      <c r="E482" s="231"/>
      <c r="F482" s="231"/>
      <c r="G482" s="231"/>
      <c r="H482" s="233"/>
      <c r="I482" s="233"/>
      <c r="J482" s="233"/>
      <c r="K482" s="233"/>
      <c r="L482" s="233"/>
      <c r="M482" s="233"/>
      <c r="N482" s="233"/>
      <c r="O482" s="234"/>
      <c r="P482" s="234"/>
      <c r="Q482" s="233"/>
      <c r="R482" s="233"/>
      <c r="S482" s="233"/>
      <c r="T482" s="233"/>
      <c r="U482" s="231"/>
    </row>
    <row r="483" spans="1:21" ht="13.2">
      <c r="A483" s="231"/>
      <c r="B483" s="232"/>
      <c r="C483" s="231"/>
      <c r="D483" s="231"/>
      <c r="E483" s="231"/>
      <c r="F483" s="231"/>
      <c r="G483" s="231"/>
      <c r="H483" s="233"/>
      <c r="I483" s="233"/>
      <c r="J483" s="233"/>
      <c r="K483" s="233"/>
      <c r="L483" s="233"/>
      <c r="M483" s="233"/>
      <c r="N483" s="233"/>
      <c r="O483" s="234"/>
      <c r="P483" s="234"/>
      <c r="Q483" s="233"/>
      <c r="R483" s="233"/>
      <c r="S483" s="233"/>
      <c r="T483" s="233"/>
      <c r="U483" s="231"/>
    </row>
    <row r="484" spans="1:21" ht="13.2">
      <c r="A484" s="231"/>
      <c r="B484" s="232"/>
      <c r="C484" s="231"/>
      <c r="D484" s="231"/>
      <c r="E484" s="231"/>
      <c r="F484" s="231"/>
      <c r="G484" s="231"/>
      <c r="H484" s="233"/>
      <c r="I484" s="233"/>
      <c r="J484" s="233"/>
      <c r="K484" s="233"/>
      <c r="L484" s="233"/>
      <c r="M484" s="233"/>
      <c r="N484" s="233"/>
      <c r="O484" s="234"/>
      <c r="P484" s="234"/>
      <c r="Q484" s="233"/>
      <c r="R484" s="233"/>
      <c r="S484" s="233"/>
      <c r="T484" s="233"/>
      <c r="U484" s="231"/>
    </row>
    <row r="485" spans="1:21" ht="13.2">
      <c r="A485" s="231"/>
      <c r="B485" s="232"/>
      <c r="C485" s="231"/>
      <c r="D485" s="231"/>
      <c r="E485" s="231"/>
      <c r="F485" s="231"/>
      <c r="G485" s="231"/>
      <c r="H485" s="233"/>
      <c r="I485" s="233"/>
      <c r="J485" s="233"/>
      <c r="K485" s="233"/>
      <c r="L485" s="233"/>
      <c r="M485" s="233"/>
      <c r="N485" s="233"/>
      <c r="O485" s="234"/>
      <c r="P485" s="234"/>
      <c r="Q485" s="233"/>
      <c r="R485" s="233"/>
      <c r="S485" s="233"/>
      <c r="T485" s="233"/>
      <c r="U485" s="231"/>
    </row>
    <row r="486" spans="1:21" ht="13.2">
      <c r="A486" s="231"/>
      <c r="B486" s="232"/>
      <c r="C486" s="231"/>
      <c r="D486" s="231"/>
      <c r="E486" s="231"/>
      <c r="F486" s="231"/>
      <c r="G486" s="231"/>
      <c r="H486" s="233"/>
      <c r="I486" s="233"/>
      <c r="J486" s="233"/>
      <c r="K486" s="233"/>
      <c r="L486" s="233"/>
      <c r="M486" s="233"/>
      <c r="N486" s="233"/>
      <c r="O486" s="234"/>
      <c r="P486" s="234"/>
      <c r="Q486" s="233"/>
      <c r="R486" s="233"/>
      <c r="S486" s="233"/>
      <c r="T486" s="233"/>
      <c r="U486" s="231"/>
    </row>
    <row r="487" spans="1:21" ht="13.2">
      <c r="A487" s="231"/>
      <c r="B487" s="232"/>
      <c r="C487" s="231"/>
      <c r="D487" s="231"/>
      <c r="E487" s="231"/>
      <c r="F487" s="231"/>
      <c r="G487" s="231"/>
      <c r="H487" s="233"/>
      <c r="I487" s="233"/>
      <c r="J487" s="233"/>
      <c r="K487" s="233"/>
      <c r="L487" s="233"/>
      <c r="M487" s="233"/>
      <c r="N487" s="233"/>
      <c r="O487" s="234"/>
      <c r="P487" s="234"/>
      <c r="Q487" s="233"/>
      <c r="R487" s="233"/>
      <c r="S487" s="233"/>
      <c r="T487" s="233"/>
      <c r="U487" s="231"/>
    </row>
    <row r="488" spans="1:21" ht="13.2">
      <c r="A488" s="231"/>
      <c r="B488" s="232"/>
      <c r="C488" s="231"/>
      <c r="D488" s="231"/>
      <c r="E488" s="231"/>
      <c r="F488" s="231"/>
      <c r="G488" s="231"/>
      <c r="H488" s="233"/>
      <c r="I488" s="233"/>
      <c r="J488" s="233"/>
      <c r="K488" s="233"/>
      <c r="L488" s="233"/>
      <c r="M488" s="233"/>
      <c r="N488" s="233"/>
      <c r="O488" s="234"/>
      <c r="P488" s="234"/>
      <c r="Q488" s="233"/>
      <c r="R488" s="233"/>
      <c r="S488" s="233"/>
      <c r="T488" s="233"/>
      <c r="U488" s="231"/>
    </row>
    <row r="489" spans="1:21" ht="13.2">
      <c r="A489" s="231"/>
      <c r="B489" s="232"/>
      <c r="C489" s="231"/>
      <c r="D489" s="231"/>
      <c r="E489" s="231"/>
      <c r="F489" s="231"/>
      <c r="G489" s="231"/>
      <c r="H489" s="233"/>
      <c r="I489" s="233"/>
      <c r="J489" s="233"/>
      <c r="K489" s="233"/>
      <c r="L489" s="233"/>
      <c r="M489" s="233"/>
      <c r="N489" s="233"/>
      <c r="O489" s="234"/>
      <c r="P489" s="234"/>
      <c r="Q489" s="233"/>
      <c r="R489" s="233"/>
      <c r="S489" s="233"/>
      <c r="T489" s="233"/>
      <c r="U489" s="231"/>
    </row>
    <row r="490" spans="1:21" ht="13.2">
      <c r="A490" s="231"/>
      <c r="B490" s="232"/>
      <c r="C490" s="231"/>
      <c r="D490" s="231"/>
      <c r="E490" s="231"/>
      <c r="F490" s="231"/>
      <c r="G490" s="231"/>
      <c r="H490" s="233"/>
      <c r="I490" s="233"/>
      <c r="J490" s="233"/>
      <c r="K490" s="233"/>
      <c r="L490" s="233"/>
      <c r="M490" s="233"/>
      <c r="N490" s="233"/>
      <c r="O490" s="234"/>
      <c r="P490" s="234"/>
      <c r="Q490" s="233"/>
      <c r="R490" s="233"/>
      <c r="S490" s="233"/>
      <c r="T490" s="233"/>
      <c r="U490" s="231"/>
    </row>
    <row r="491" spans="1:21" ht="13.2">
      <c r="A491" s="231"/>
      <c r="B491" s="232"/>
      <c r="C491" s="231"/>
      <c r="D491" s="231"/>
      <c r="E491" s="231"/>
      <c r="F491" s="231"/>
      <c r="G491" s="231"/>
      <c r="H491" s="233"/>
      <c r="I491" s="233"/>
      <c r="J491" s="233"/>
      <c r="K491" s="233"/>
      <c r="L491" s="233"/>
      <c r="M491" s="233"/>
      <c r="N491" s="233"/>
      <c r="O491" s="234"/>
      <c r="P491" s="234"/>
      <c r="Q491" s="233"/>
      <c r="R491" s="233"/>
      <c r="S491" s="233"/>
      <c r="T491" s="233"/>
      <c r="U491" s="231"/>
    </row>
    <row r="492" spans="1:21" ht="13.2">
      <c r="A492" s="231"/>
      <c r="B492" s="232"/>
      <c r="C492" s="231"/>
      <c r="D492" s="231"/>
      <c r="E492" s="231"/>
      <c r="F492" s="231"/>
      <c r="G492" s="231"/>
      <c r="H492" s="233"/>
      <c r="I492" s="233"/>
      <c r="J492" s="233"/>
      <c r="K492" s="233"/>
      <c r="L492" s="233"/>
      <c r="M492" s="233"/>
      <c r="N492" s="233"/>
      <c r="O492" s="234"/>
      <c r="P492" s="234"/>
      <c r="Q492" s="233"/>
      <c r="R492" s="233"/>
      <c r="S492" s="233"/>
      <c r="T492" s="233"/>
      <c r="U492" s="231"/>
    </row>
    <row r="493" spans="1:21" ht="13.2">
      <c r="A493" s="231"/>
      <c r="B493" s="232"/>
      <c r="C493" s="231"/>
      <c r="D493" s="231"/>
      <c r="E493" s="231"/>
      <c r="F493" s="231"/>
      <c r="G493" s="231"/>
      <c r="H493" s="233"/>
      <c r="I493" s="233"/>
      <c r="J493" s="233"/>
      <c r="K493" s="233"/>
      <c r="L493" s="233"/>
      <c r="M493" s="233"/>
      <c r="N493" s="233"/>
      <c r="O493" s="234"/>
      <c r="P493" s="234"/>
      <c r="Q493" s="233"/>
      <c r="R493" s="233"/>
      <c r="S493" s="233"/>
      <c r="T493" s="233"/>
      <c r="U493" s="231"/>
    </row>
    <row r="494" spans="1:21" ht="13.2">
      <c r="A494" s="231"/>
      <c r="B494" s="232"/>
      <c r="C494" s="231"/>
      <c r="D494" s="231"/>
      <c r="E494" s="231"/>
      <c r="F494" s="231"/>
      <c r="G494" s="231"/>
      <c r="H494" s="233"/>
      <c r="I494" s="233"/>
      <c r="J494" s="233"/>
      <c r="K494" s="233"/>
      <c r="L494" s="233"/>
      <c r="M494" s="233"/>
      <c r="N494" s="233"/>
      <c r="O494" s="234"/>
      <c r="P494" s="234"/>
      <c r="Q494" s="233"/>
      <c r="R494" s="233"/>
      <c r="S494" s="233"/>
      <c r="T494" s="233"/>
      <c r="U494" s="231"/>
    </row>
    <row r="495" spans="1:21" ht="13.2">
      <c r="A495" s="231"/>
      <c r="B495" s="232"/>
      <c r="C495" s="231"/>
      <c r="D495" s="231"/>
      <c r="E495" s="231"/>
      <c r="F495" s="231"/>
      <c r="G495" s="231"/>
      <c r="H495" s="233"/>
      <c r="I495" s="233"/>
      <c r="J495" s="233"/>
      <c r="K495" s="233"/>
      <c r="L495" s="233"/>
      <c r="M495" s="233"/>
      <c r="N495" s="233"/>
      <c r="O495" s="234"/>
      <c r="P495" s="234"/>
      <c r="Q495" s="233"/>
      <c r="R495" s="233"/>
      <c r="S495" s="233"/>
      <c r="T495" s="233"/>
      <c r="U495" s="231"/>
    </row>
    <row r="496" spans="1:21" ht="13.2">
      <c r="A496" s="231"/>
      <c r="B496" s="232"/>
      <c r="C496" s="231"/>
      <c r="D496" s="231"/>
      <c r="E496" s="231"/>
      <c r="F496" s="231"/>
      <c r="G496" s="231"/>
      <c r="H496" s="233"/>
      <c r="I496" s="233"/>
      <c r="J496" s="233"/>
      <c r="K496" s="233"/>
      <c r="L496" s="233"/>
      <c r="M496" s="233"/>
      <c r="N496" s="233"/>
      <c r="O496" s="234"/>
      <c r="P496" s="234"/>
      <c r="Q496" s="233"/>
      <c r="R496" s="233"/>
      <c r="S496" s="233"/>
      <c r="T496" s="233"/>
      <c r="U496" s="231"/>
    </row>
    <row r="497" spans="1:21" ht="13.2">
      <c r="A497" s="231"/>
      <c r="B497" s="232"/>
      <c r="C497" s="231"/>
      <c r="D497" s="231"/>
      <c r="E497" s="231"/>
      <c r="F497" s="231"/>
      <c r="G497" s="231"/>
      <c r="H497" s="233"/>
      <c r="I497" s="233"/>
      <c r="J497" s="233"/>
      <c r="K497" s="233"/>
      <c r="L497" s="233"/>
      <c r="M497" s="233"/>
      <c r="N497" s="233"/>
      <c r="O497" s="234"/>
      <c r="P497" s="234"/>
      <c r="Q497" s="233"/>
      <c r="R497" s="233"/>
      <c r="S497" s="233"/>
      <c r="T497" s="233"/>
      <c r="U497" s="231"/>
    </row>
    <row r="498" spans="1:21" ht="13.2">
      <c r="A498" s="231"/>
      <c r="B498" s="232"/>
      <c r="C498" s="231"/>
      <c r="D498" s="231"/>
      <c r="E498" s="231"/>
      <c r="F498" s="231"/>
      <c r="G498" s="231"/>
      <c r="H498" s="233"/>
      <c r="I498" s="233"/>
      <c r="J498" s="233"/>
      <c r="K498" s="233"/>
      <c r="L498" s="233"/>
      <c r="M498" s="233"/>
      <c r="N498" s="233"/>
      <c r="O498" s="234"/>
      <c r="P498" s="234"/>
      <c r="Q498" s="233"/>
      <c r="R498" s="233"/>
      <c r="S498" s="233"/>
      <c r="T498" s="233"/>
      <c r="U498" s="231"/>
    </row>
    <row r="499" spans="1:21" ht="13.2">
      <c r="A499" s="231"/>
      <c r="B499" s="232"/>
      <c r="C499" s="231"/>
      <c r="D499" s="231"/>
      <c r="E499" s="231"/>
      <c r="F499" s="231"/>
      <c r="G499" s="231"/>
      <c r="H499" s="233"/>
      <c r="I499" s="233"/>
      <c r="J499" s="233"/>
      <c r="K499" s="233"/>
      <c r="L499" s="233"/>
      <c r="M499" s="233"/>
      <c r="N499" s="233"/>
      <c r="O499" s="234"/>
      <c r="P499" s="234"/>
      <c r="Q499" s="233"/>
      <c r="R499" s="233"/>
      <c r="S499" s="233"/>
      <c r="T499" s="233"/>
      <c r="U499" s="231"/>
    </row>
    <row r="500" spans="1:21" ht="13.2">
      <c r="A500" s="231"/>
      <c r="B500" s="232"/>
      <c r="C500" s="231"/>
      <c r="D500" s="231"/>
      <c r="E500" s="231"/>
      <c r="F500" s="231"/>
      <c r="G500" s="231"/>
      <c r="H500" s="233"/>
      <c r="I500" s="233"/>
      <c r="J500" s="233"/>
      <c r="K500" s="233"/>
      <c r="L500" s="233"/>
      <c r="M500" s="233"/>
      <c r="N500" s="233"/>
      <c r="O500" s="234"/>
      <c r="P500" s="234"/>
      <c r="Q500" s="233"/>
      <c r="R500" s="233"/>
      <c r="S500" s="233"/>
      <c r="T500" s="233"/>
      <c r="U500" s="231"/>
    </row>
    <row r="501" spans="1:21" ht="13.2">
      <c r="A501" s="231"/>
      <c r="B501" s="232"/>
      <c r="C501" s="231"/>
      <c r="D501" s="231"/>
      <c r="E501" s="231"/>
      <c r="F501" s="231"/>
      <c r="G501" s="231"/>
      <c r="H501" s="233"/>
      <c r="I501" s="233"/>
      <c r="J501" s="233"/>
      <c r="K501" s="233"/>
      <c r="L501" s="233"/>
      <c r="M501" s="233"/>
      <c r="N501" s="233"/>
      <c r="O501" s="234"/>
      <c r="P501" s="234"/>
      <c r="Q501" s="233"/>
      <c r="R501" s="233"/>
      <c r="S501" s="233"/>
      <c r="T501" s="233"/>
      <c r="U501" s="231"/>
    </row>
    <row r="502" spans="1:21" ht="13.2">
      <c r="A502" s="231"/>
      <c r="B502" s="232"/>
      <c r="C502" s="231"/>
      <c r="D502" s="231"/>
      <c r="E502" s="231"/>
      <c r="F502" s="231"/>
      <c r="G502" s="231"/>
      <c r="H502" s="233"/>
      <c r="I502" s="233"/>
      <c r="J502" s="233"/>
      <c r="K502" s="233"/>
      <c r="L502" s="233"/>
      <c r="M502" s="233"/>
      <c r="N502" s="233"/>
      <c r="O502" s="234"/>
      <c r="P502" s="234"/>
      <c r="Q502" s="233"/>
      <c r="R502" s="233"/>
      <c r="S502" s="233"/>
      <c r="T502" s="233"/>
      <c r="U502" s="231"/>
    </row>
    <row r="503" spans="1:21" ht="13.2">
      <c r="A503" s="231"/>
      <c r="B503" s="232"/>
      <c r="C503" s="231"/>
      <c r="D503" s="231"/>
      <c r="E503" s="231"/>
      <c r="F503" s="231"/>
      <c r="G503" s="231"/>
      <c r="H503" s="233"/>
      <c r="I503" s="233"/>
      <c r="J503" s="233"/>
      <c r="K503" s="233"/>
      <c r="L503" s="233"/>
      <c r="M503" s="233"/>
      <c r="N503" s="233"/>
      <c r="O503" s="234"/>
      <c r="P503" s="234"/>
      <c r="Q503" s="233"/>
      <c r="R503" s="233"/>
      <c r="S503" s="233"/>
      <c r="T503" s="233"/>
      <c r="U503" s="231"/>
    </row>
    <row r="504" spans="1:21" ht="13.2">
      <c r="A504" s="231"/>
      <c r="B504" s="232"/>
      <c r="C504" s="231"/>
      <c r="D504" s="231"/>
      <c r="E504" s="231"/>
      <c r="F504" s="231"/>
      <c r="G504" s="231"/>
      <c r="H504" s="233"/>
      <c r="I504" s="233"/>
      <c r="J504" s="233"/>
      <c r="K504" s="233"/>
      <c r="L504" s="233"/>
      <c r="M504" s="233"/>
      <c r="N504" s="233"/>
      <c r="O504" s="234"/>
      <c r="P504" s="234"/>
      <c r="Q504" s="233"/>
      <c r="R504" s="233"/>
      <c r="S504" s="233"/>
      <c r="T504" s="233"/>
      <c r="U504" s="231"/>
    </row>
    <row r="505" spans="1:21" ht="13.2">
      <c r="A505" s="231"/>
      <c r="B505" s="232"/>
      <c r="C505" s="231"/>
      <c r="D505" s="231"/>
      <c r="E505" s="231"/>
      <c r="F505" s="231"/>
      <c r="G505" s="231"/>
      <c r="H505" s="233"/>
      <c r="I505" s="233"/>
      <c r="J505" s="233"/>
      <c r="K505" s="233"/>
      <c r="L505" s="233"/>
      <c r="M505" s="233"/>
      <c r="N505" s="233"/>
      <c r="O505" s="234"/>
      <c r="P505" s="234"/>
      <c r="Q505" s="233"/>
      <c r="R505" s="233"/>
      <c r="S505" s="233"/>
      <c r="T505" s="233"/>
      <c r="U505" s="231"/>
    </row>
    <row r="506" spans="1:21" ht="13.2">
      <c r="A506" s="231"/>
      <c r="B506" s="232"/>
      <c r="C506" s="231"/>
      <c r="D506" s="231"/>
      <c r="E506" s="231"/>
      <c r="F506" s="231"/>
      <c r="G506" s="231"/>
      <c r="H506" s="233"/>
      <c r="I506" s="233"/>
      <c r="J506" s="233"/>
      <c r="K506" s="233"/>
      <c r="L506" s="233"/>
      <c r="M506" s="233"/>
      <c r="N506" s="233"/>
      <c r="O506" s="234"/>
      <c r="P506" s="234"/>
      <c r="Q506" s="233"/>
      <c r="R506" s="233"/>
      <c r="S506" s="233"/>
      <c r="T506" s="233"/>
      <c r="U506" s="231"/>
    </row>
    <row r="507" spans="1:21" ht="13.2">
      <c r="A507" s="231"/>
      <c r="B507" s="232"/>
      <c r="C507" s="231"/>
      <c r="D507" s="231"/>
      <c r="E507" s="231"/>
      <c r="F507" s="231"/>
      <c r="G507" s="231"/>
      <c r="H507" s="233"/>
      <c r="I507" s="233"/>
      <c r="J507" s="233"/>
      <c r="K507" s="233"/>
      <c r="L507" s="233"/>
      <c r="M507" s="233"/>
      <c r="N507" s="233"/>
      <c r="O507" s="234"/>
      <c r="P507" s="234"/>
      <c r="Q507" s="233"/>
      <c r="R507" s="233"/>
      <c r="S507" s="233"/>
      <c r="T507" s="233"/>
      <c r="U507" s="231"/>
    </row>
    <row r="508" spans="1:21" ht="13.2">
      <c r="A508" s="231"/>
      <c r="B508" s="232"/>
      <c r="C508" s="231"/>
      <c r="D508" s="231"/>
      <c r="E508" s="231"/>
      <c r="F508" s="231"/>
      <c r="G508" s="231"/>
      <c r="H508" s="233"/>
      <c r="I508" s="233"/>
      <c r="J508" s="233"/>
      <c r="K508" s="233"/>
      <c r="L508" s="233"/>
      <c r="M508" s="233"/>
      <c r="N508" s="233"/>
      <c r="O508" s="234"/>
      <c r="P508" s="234"/>
      <c r="Q508" s="233"/>
      <c r="R508" s="233"/>
      <c r="S508" s="233"/>
      <c r="T508" s="233"/>
      <c r="U508" s="231"/>
    </row>
    <row r="509" spans="1:21" ht="13.2">
      <c r="A509" s="231"/>
      <c r="B509" s="232"/>
      <c r="C509" s="231"/>
      <c r="D509" s="231"/>
      <c r="E509" s="231"/>
      <c r="F509" s="231"/>
      <c r="G509" s="231"/>
      <c r="H509" s="233"/>
      <c r="I509" s="233"/>
      <c r="J509" s="233"/>
      <c r="K509" s="233"/>
      <c r="L509" s="233"/>
      <c r="M509" s="233"/>
      <c r="N509" s="233"/>
      <c r="O509" s="234"/>
      <c r="P509" s="234"/>
      <c r="Q509" s="233"/>
      <c r="R509" s="233"/>
      <c r="S509" s="233"/>
      <c r="T509" s="233"/>
      <c r="U509" s="231"/>
    </row>
    <row r="510" spans="1:21" ht="13.2">
      <c r="A510" s="231"/>
      <c r="B510" s="232"/>
      <c r="C510" s="231"/>
      <c r="D510" s="231"/>
      <c r="E510" s="231"/>
      <c r="F510" s="231"/>
      <c r="G510" s="231"/>
      <c r="H510" s="233"/>
      <c r="I510" s="233"/>
      <c r="J510" s="233"/>
      <c r="K510" s="233"/>
      <c r="L510" s="233"/>
      <c r="M510" s="233"/>
      <c r="N510" s="233"/>
      <c r="O510" s="234"/>
      <c r="P510" s="234"/>
      <c r="Q510" s="233"/>
      <c r="R510" s="233"/>
      <c r="S510" s="233"/>
      <c r="T510" s="233"/>
      <c r="U510" s="231"/>
    </row>
    <row r="511" spans="1:21" ht="13.2">
      <c r="A511" s="231"/>
      <c r="B511" s="232"/>
      <c r="C511" s="231"/>
      <c r="D511" s="231"/>
      <c r="E511" s="231"/>
      <c r="F511" s="231"/>
      <c r="G511" s="231"/>
      <c r="H511" s="233"/>
      <c r="I511" s="233"/>
      <c r="J511" s="233"/>
      <c r="K511" s="233"/>
      <c r="L511" s="233"/>
      <c r="M511" s="233"/>
      <c r="N511" s="233"/>
      <c r="O511" s="234"/>
      <c r="P511" s="234"/>
      <c r="Q511" s="233"/>
      <c r="R511" s="233"/>
      <c r="S511" s="233"/>
      <c r="T511" s="233"/>
      <c r="U511" s="231"/>
    </row>
    <row r="512" spans="1:21" ht="13.2">
      <c r="A512" s="231"/>
      <c r="B512" s="232"/>
      <c r="C512" s="231"/>
      <c r="D512" s="231"/>
      <c r="E512" s="231"/>
      <c r="F512" s="231"/>
      <c r="G512" s="231"/>
      <c r="H512" s="233"/>
      <c r="I512" s="233"/>
      <c r="J512" s="233"/>
      <c r="K512" s="233"/>
      <c r="L512" s="233"/>
      <c r="M512" s="233"/>
      <c r="N512" s="233"/>
      <c r="O512" s="234"/>
      <c r="P512" s="234"/>
      <c r="Q512" s="233"/>
      <c r="R512" s="233"/>
      <c r="S512" s="233"/>
      <c r="T512" s="233"/>
      <c r="U512" s="231"/>
    </row>
    <row r="513" spans="1:21" ht="13.2">
      <c r="A513" s="231"/>
      <c r="B513" s="232"/>
      <c r="C513" s="231"/>
      <c r="D513" s="231"/>
      <c r="E513" s="231"/>
      <c r="F513" s="231"/>
      <c r="G513" s="231"/>
      <c r="H513" s="233"/>
      <c r="I513" s="233"/>
      <c r="J513" s="233"/>
      <c r="K513" s="233"/>
      <c r="L513" s="233"/>
      <c r="M513" s="233"/>
      <c r="N513" s="233"/>
      <c r="O513" s="234"/>
      <c r="P513" s="234"/>
      <c r="Q513" s="233"/>
      <c r="R513" s="233"/>
      <c r="S513" s="233"/>
      <c r="T513" s="233"/>
      <c r="U513" s="231"/>
    </row>
    <row r="514" spans="1:21" ht="13.2">
      <c r="A514" s="231"/>
      <c r="B514" s="232"/>
      <c r="C514" s="231"/>
      <c r="D514" s="231"/>
      <c r="E514" s="231"/>
      <c r="F514" s="231"/>
      <c r="G514" s="231"/>
      <c r="H514" s="233"/>
      <c r="I514" s="233"/>
      <c r="J514" s="233"/>
      <c r="K514" s="233"/>
      <c r="L514" s="233"/>
      <c r="M514" s="233"/>
      <c r="N514" s="233"/>
      <c r="O514" s="234"/>
      <c r="P514" s="234"/>
      <c r="Q514" s="233"/>
      <c r="R514" s="233"/>
      <c r="S514" s="233"/>
      <c r="T514" s="233"/>
      <c r="U514" s="231"/>
    </row>
    <row r="515" spans="1:21" ht="13.2">
      <c r="A515" s="231"/>
      <c r="B515" s="232"/>
      <c r="C515" s="231"/>
      <c r="D515" s="231"/>
      <c r="E515" s="231"/>
      <c r="F515" s="231"/>
      <c r="G515" s="231"/>
      <c r="H515" s="233"/>
      <c r="I515" s="233"/>
      <c r="J515" s="233"/>
      <c r="K515" s="233"/>
      <c r="L515" s="233"/>
      <c r="M515" s="233"/>
      <c r="N515" s="233"/>
      <c r="O515" s="234"/>
      <c r="P515" s="234"/>
      <c r="Q515" s="233"/>
      <c r="R515" s="233"/>
      <c r="S515" s="233"/>
      <c r="T515" s="233"/>
      <c r="U515" s="231"/>
    </row>
    <row r="516" spans="1:21" ht="13.2">
      <c r="A516" s="231"/>
      <c r="B516" s="232"/>
      <c r="C516" s="231"/>
      <c r="D516" s="231"/>
      <c r="E516" s="231"/>
      <c r="F516" s="231"/>
      <c r="G516" s="231"/>
      <c r="H516" s="233"/>
      <c r="I516" s="233"/>
      <c r="J516" s="233"/>
      <c r="K516" s="233"/>
      <c r="L516" s="233"/>
      <c r="M516" s="233"/>
      <c r="N516" s="233"/>
      <c r="O516" s="234"/>
      <c r="P516" s="234"/>
      <c r="Q516" s="233"/>
      <c r="R516" s="233"/>
      <c r="S516" s="233"/>
      <c r="T516" s="233"/>
      <c r="U516" s="231"/>
    </row>
    <row r="517" spans="1:21" ht="13.2">
      <c r="A517" s="231"/>
      <c r="B517" s="232"/>
      <c r="C517" s="231"/>
      <c r="D517" s="231"/>
      <c r="E517" s="231"/>
      <c r="F517" s="231"/>
      <c r="G517" s="231"/>
      <c r="H517" s="233"/>
      <c r="I517" s="233"/>
      <c r="J517" s="233"/>
      <c r="K517" s="233"/>
      <c r="L517" s="233"/>
      <c r="M517" s="233"/>
      <c r="N517" s="233"/>
      <c r="O517" s="234"/>
      <c r="P517" s="234"/>
      <c r="Q517" s="233"/>
      <c r="R517" s="233"/>
      <c r="S517" s="233"/>
      <c r="T517" s="233"/>
      <c r="U517" s="231"/>
    </row>
    <row r="518" spans="1:21" ht="13.2">
      <c r="A518" s="231"/>
      <c r="B518" s="232"/>
      <c r="C518" s="231"/>
      <c r="D518" s="231"/>
      <c r="E518" s="231"/>
      <c r="F518" s="231"/>
      <c r="G518" s="231"/>
      <c r="H518" s="233"/>
      <c r="I518" s="233"/>
      <c r="J518" s="233"/>
      <c r="K518" s="233"/>
      <c r="L518" s="233"/>
      <c r="M518" s="233"/>
      <c r="N518" s="233"/>
      <c r="O518" s="234"/>
      <c r="P518" s="234"/>
      <c r="Q518" s="233"/>
      <c r="R518" s="233"/>
      <c r="S518" s="233"/>
      <c r="T518" s="233"/>
      <c r="U518" s="231"/>
    </row>
    <row r="519" spans="1:21" ht="13.2">
      <c r="A519" s="231"/>
      <c r="B519" s="232"/>
      <c r="C519" s="231"/>
      <c r="D519" s="231"/>
      <c r="E519" s="231"/>
      <c r="F519" s="231"/>
      <c r="G519" s="231"/>
      <c r="H519" s="233"/>
      <c r="I519" s="233"/>
      <c r="J519" s="233"/>
      <c r="K519" s="233"/>
      <c r="L519" s="233"/>
      <c r="M519" s="233"/>
      <c r="N519" s="233"/>
      <c r="O519" s="234"/>
      <c r="P519" s="234"/>
      <c r="Q519" s="233"/>
      <c r="R519" s="233"/>
      <c r="S519" s="233"/>
      <c r="T519" s="233"/>
      <c r="U519" s="231"/>
    </row>
    <row r="520" spans="1:21" ht="13.2">
      <c r="A520" s="231"/>
      <c r="B520" s="232"/>
      <c r="C520" s="231"/>
      <c r="D520" s="231"/>
      <c r="E520" s="231"/>
      <c r="F520" s="231"/>
      <c r="G520" s="231"/>
      <c r="H520" s="233"/>
      <c r="I520" s="233"/>
      <c r="J520" s="233"/>
      <c r="K520" s="233"/>
      <c r="L520" s="233"/>
      <c r="M520" s="233"/>
      <c r="N520" s="233"/>
      <c r="O520" s="234"/>
      <c r="P520" s="234"/>
      <c r="Q520" s="233"/>
      <c r="R520" s="233"/>
      <c r="S520" s="233"/>
      <c r="T520" s="233"/>
      <c r="U520" s="231"/>
    </row>
    <row r="521" spans="1:21" ht="13.2">
      <c r="A521" s="231"/>
      <c r="B521" s="232"/>
      <c r="C521" s="231"/>
      <c r="D521" s="231"/>
      <c r="E521" s="231"/>
      <c r="F521" s="231"/>
      <c r="G521" s="231"/>
      <c r="H521" s="233"/>
      <c r="I521" s="233"/>
      <c r="J521" s="233"/>
      <c r="K521" s="233"/>
      <c r="L521" s="233"/>
      <c r="M521" s="233"/>
      <c r="N521" s="233"/>
      <c r="O521" s="234"/>
      <c r="P521" s="234"/>
      <c r="Q521" s="233"/>
      <c r="R521" s="233"/>
      <c r="S521" s="233"/>
      <c r="T521" s="233"/>
      <c r="U521" s="231"/>
    </row>
    <row r="522" spans="1:21" ht="13.2">
      <c r="A522" s="231"/>
      <c r="B522" s="232"/>
      <c r="C522" s="231"/>
      <c r="D522" s="231"/>
      <c r="E522" s="231"/>
      <c r="F522" s="231"/>
      <c r="G522" s="231"/>
      <c r="H522" s="233"/>
      <c r="I522" s="233"/>
      <c r="J522" s="233"/>
      <c r="K522" s="233"/>
      <c r="L522" s="233"/>
      <c r="M522" s="233"/>
      <c r="N522" s="233"/>
      <c r="O522" s="234"/>
      <c r="P522" s="234"/>
      <c r="Q522" s="233"/>
      <c r="R522" s="233"/>
      <c r="S522" s="233"/>
      <c r="T522" s="233"/>
      <c r="U522" s="231"/>
    </row>
    <row r="523" spans="1:21" ht="13.2">
      <c r="A523" s="231"/>
      <c r="B523" s="232"/>
      <c r="C523" s="231"/>
      <c r="D523" s="231"/>
      <c r="E523" s="231"/>
      <c r="F523" s="231"/>
      <c r="G523" s="231"/>
      <c r="H523" s="233"/>
      <c r="I523" s="233"/>
      <c r="J523" s="233"/>
      <c r="K523" s="233"/>
      <c r="L523" s="233"/>
      <c r="M523" s="233"/>
      <c r="N523" s="233"/>
      <c r="O523" s="234"/>
      <c r="P523" s="234"/>
      <c r="Q523" s="233"/>
      <c r="R523" s="233"/>
      <c r="S523" s="233"/>
      <c r="T523" s="233"/>
      <c r="U523" s="231"/>
    </row>
    <row r="524" spans="1:21" ht="13.2">
      <c r="A524" s="231"/>
      <c r="B524" s="232"/>
      <c r="C524" s="231"/>
      <c r="D524" s="231"/>
      <c r="E524" s="231"/>
      <c r="F524" s="231"/>
      <c r="G524" s="231"/>
      <c r="H524" s="233"/>
      <c r="I524" s="233"/>
      <c r="J524" s="233"/>
      <c r="K524" s="233"/>
      <c r="L524" s="233"/>
      <c r="M524" s="233"/>
      <c r="N524" s="233"/>
      <c r="O524" s="234"/>
      <c r="P524" s="234"/>
      <c r="Q524" s="233"/>
      <c r="R524" s="233"/>
      <c r="S524" s="233"/>
      <c r="T524" s="233"/>
      <c r="U524" s="231"/>
    </row>
    <row r="525" spans="1:21" ht="13.2">
      <c r="A525" s="231"/>
      <c r="B525" s="232"/>
      <c r="C525" s="231"/>
      <c r="D525" s="231"/>
      <c r="E525" s="231"/>
      <c r="F525" s="231"/>
      <c r="G525" s="231"/>
      <c r="H525" s="233"/>
      <c r="I525" s="233"/>
      <c r="J525" s="233"/>
      <c r="K525" s="233"/>
      <c r="L525" s="233"/>
      <c r="M525" s="233"/>
      <c r="N525" s="233"/>
      <c r="O525" s="234"/>
      <c r="P525" s="234"/>
      <c r="Q525" s="233"/>
      <c r="R525" s="233"/>
      <c r="S525" s="233"/>
      <c r="T525" s="233"/>
      <c r="U525" s="231"/>
    </row>
    <row r="526" spans="1:21" ht="13.2">
      <c r="A526" s="231"/>
      <c r="B526" s="232"/>
      <c r="C526" s="231"/>
      <c r="D526" s="231"/>
      <c r="E526" s="231"/>
      <c r="F526" s="231"/>
      <c r="G526" s="231"/>
      <c r="H526" s="233"/>
      <c r="I526" s="233"/>
      <c r="J526" s="233"/>
      <c r="K526" s="233"/>
      <c r="L526" s="233"/>
      <c r="M526" s="233"/>
      <c r="N526" s="233"/>
      <c r="O526" s="234"/>
      <c r="P526" s="234"/>
      <c r="Q526" s="233"/>
      <c r="R526" s="233"/>
      <c r="S526" s="233"/>
      <c r="T526" s="233"/>
      <c r="U526" s="231"/>
    </row>
    <row r="527" spans="1:21" ht="13.2">
      <c r="A527" s="231"/>
      <c r="B527" s="232"/>
      <c r="C527" s="231"/>
      <c r="D527" s="231"/>
      <c r="E527" s="231"/>
      <c r="F527" s="231"/>
      <c r="G527" s="231"/>
      <c r="H527" s="233"/>
      <c r="I527" s="233"/>
      <c r="J527" s="233"/>
      <c r="K527" s="233"/>
      <c r="L527" s="233"/>
      <c r="M527" s="233"/>
      <c r="N527" s="233"/>
      <c r="O527" s="234"/>
      <c r="P527" s="234"/>
      <c r="Q527" s="233"/>
      <c r="R527" s="233"/>
      <c r="S527" s="233"/>
      <c r="T527" s="233"/>
      <c r="U527" s="231"/>
    </row>
    <row r="528" spans="1:21" ht="13.2">
      <c r="A528" s="231"/>
      <c r="B528" s="232"/>
      <c r="C528" s="231"/>
      <c r="D528" s="231"/>
      <c r="E528" s="231"/>
      <c r="F528" s="231"/>
      <c r="G528" s="231"/>
      <c r="H528" s="233"/>
      <c r="I528" s="233"/>
      <c r="J528" s="233"/>
      <c r="K528" s="233"/>
      <c r="L528" s="233"/>
      <c r="M528" s="233"/>
      <c r="N528" s="233"/>
      <c r="O528" s="234"/>
      <c r="P528" s="234"/>
      <c r="Q528" s="233"/>
      <c r="R528" s="233"/>
      <c r="S528" s="233"/>
      <c r="T528" s="233"/>
      <c r="U528" s="231"/>
    </row>
    <row r="529" spans="1:21" ht="13.2">
      <c r="A529" s="231"/>
      <c r="B529" s="232"/>
      <c r="C529" s="231"/>
      <c r="D529" s="231"/>
      <c r="E529" s="231"/>
      <c r="F529" s="231"/>
      <c r="G529" s="231"/>
      <c r="H529" s="233"/>
      <c r="I529" s="233"/>
      <c r="J529" s="233"/>
      <c r="K529" s="233"/>
      <c r="L529" s="233"/>
      <c r="M529" s="233"/>
      <c r="N529" s="233"/>
      <c r="O529" s="234"/>
      <c r="P529" s="234"/>
      <c r="Q529" s="233"/>
      <c r="R529" s="233"/>
      <c r="S529" s="233"/>
      <c r="T529" s="233"/>
      <c r="U529" s="231"/>
    </row>
    <row r="530" spans="1:21" ht="13.2">
      <c r="A530" s="231"/>
      <c r="B530" s="232"/>
      <c r="C530" s="231"/>
      <c r="D530" s="231"/>
      <c r="E530" s="231"/>
      <c r="F530" s="231"/>
      <c r="G530" s="231"/>
      <c r="H530" s="233"/>
      <c r="I530" s="233"/>
      <c r="J530" s="233"/>
      <c r="K530" s="233"/>
      <c r="L530" s="233"/>
      <c r="M530" s="233"/>
      <c r="N530" s="233"/>
      <c r="O530" s="234"/>
      <c r="P530" s="234"/>
      <c r="Q530" s="233"/>
      <c r="R530" s="233"/>
      <c r="S530" s="233"/>
      <c r="T530" s="233"/>
      <c r="U530" s="231"/>
    </row>
    <row r="531" spans="1:21" ht="13.2">
      <c r="A531" s="231"/>
      <c r="B531" s="232"/>
      <c r="C531" s="231"/>
      <c r="D531" s="231"/>
      <c r="E531" s="231"/>
      <c r="F531" s="231"/>
      <c r="G531" s="231"/>
      <c r="H531" s="233"/>
      <c r="I531" s="233"/>
      <c r="J531" s="233"/>
      <c r="K531" s="233"/>
      <c r="L531" s="233"/>
      <c r="M531" s="233"/>
      <c r="N531" s="233"/>
      <c r="O531" s="234"/>
      <c r="P531" s="234"/>
      <c r="Q531" s="233"/>
      <c r="R531" s="233"/>
      <c r="S531" s="233"/>
      <c r="T531" s="233"/>
      <c r="U531" s="231"/>
    </row>
    <row r="532" spans="1:21" ht="13.2">
      <c r="A532" s="231"/>
      <c r="B532" s="232"/>
      <c r="C532" s="231"/>
      <c r="D532" s="231"/>
      <c r="E532" s="231"/>
      <c r="F532" s="231"/>
      <c r="G532" s="231"/>
      <c r="H532" s="233"/>
      <c r="I532" s="233"/>
      <c r="J532" s="233"/>
      <c r="K532" s="233"/>
      <c r="L532" s="233"/>
      <c r="M532" s="233"/>
      <c r="N532" s="233"/>
      <c r="O532" s="234"/>
      <c r="P532" s="234"/>
      <c r="Q532" s="233"/>
      <c r="R532" s="233"/>
      <c r="S532" s="233"/>
      <c r="T532" s="233"/>
      <c r="U532" s="231"/>
    </row>
    <row r="533" spans="1:21" ht="13.2">
      <c r="A533" s="231"/>
      <c r="B533" s="232"/>
      <c r="C533" s="231"/>
      <c r="D533" s="231"/>
      <c r="E533" s="231"/>
      <c r="F533" s="231"/>
      <c r="G533" s="231"/>
      <c r="H533" s="233"/>
      <c r="I533" s="233"/>
      <c r="J533" s="233"/>
      <c r="K533" s="233"/>
      <c r="L533" s="233"/>
      <c r="M533" s="233"/>
      <c r="N533" s="233"/>
      <c r="O533" s="234"/>
      <c r="P533" s="234"/>
      <c r="Q533" s="233"/>
      <c r="R533" s="233"/>
      <c r="S533" s="233"/>
      <c r="T533" s="233"/>
      <c r="U533" s="231"/>
    </row>
    <row r="534" spans="1:21" ht="13.2">
      <c r="A534" s="231"/>
      <c r="B534" s="232"/>
      <c r="C534" s="231"/>
      <c r="D534" s="231"/>
      <c r="E534" s="231"/>
      <c r="F534" s="231"/>
      <c r="G534" s="231"/>
      <c r="H534" s="233"/>
      <c r="I534" s="233"/>
      <c r="J534" s="233"/>
      <c r="K534" s="233"/>
      <c r="L534" s="233"/>
      <c r="M534" s="233"/>
      <c r="N534" s="233"/>
      <c r="O534" s="234"/>
      <c r="P534" s="234"/>
      <c r="Q534" s="233"/>
      <c r="R534" s="233"/>
      <c r="S534" s="233"/>
      <c r="T534" s="233"/>
      <c r="U534" s="231"/>
    </row>
    <row r="535" spans="1:21" ht="13.2">
      <c r="A535" s="231"/>
      <c r="B535" s="232"/>
      <c r="C535" s="231"/>
      <c r="D535" s="231"/>
      <c r="E535" s="231"/>
      <c r="F535" s="231"/>
      <c r="G535" s="231"/>
      <c r="H535" s="233"/>
      <c r="I535" s="233"/>
      <c r="J535" s="233"/>
      <c r="K535" s="233"/>
      <c r="L535" s="233"/>
      <c r="M535" s="233"/>
      <c r="N535" s="233"/>
      <c r="O535" s="234"/>
      <c r="P535" s="234"/>
      <c r="Q535" s="233"/>
      <c r="R535" s="233"/>
      <c r="S535" s="233"/>
      <c r="T535" s="233"/>
      <c r="U535" s="231"/>
    </row>
    <row r="536" spans="1:21" ht="13.2">
      <c r="A536" s="231"/>
      <c r="B536" s="232"/>
      <c r="C536" s="231"/>
      <c r="D536" s="231"/>
      <c r="E536" s="231"/>
      <c r="F536" s="231"/>
      <c r="G536" s="231"/>
      <c r="H536" s="233"/>
      <c r="I536" s="233"/>
      <c r="J536" s="233"/>
      <c r="K536" s="233"/>
      <c r="L536" s="233"/>
      <c r="M536" s="233"/>
      <c r="N536" s="233"/>
      <c r="O536" s="234"/>
      <c r="P536" s="234"/>
      <c r="Q536" s="233"/>
      <c r="R536" s="233"/>
      <c r="S536" s="233"/>
      <c r="T536" s="233"/>
      <c r="U536" s="231"/>
    </row>
    <row r="537" spans="1:21" ht="13.2">
      <c r="A537" s="231"/>
      <c r="B537" s="232"/>
      <c r="C537" s="231"/>
      <c r="D537" s="231"/>
      <c r="E537" s="231"/>
      <c r="F537" s="231"/>
      <c r="G537" s="231"/>
      <c r="H537" s="233"/>
      <c r="I537" s="233"/>
      <c r="J537" s="233"/>
      <c r="K537" s="233"/>
      <c r="L537" s="233"/>
      <c r="M537" s="233"/>
      <c r="N537" s="233"/>
      <c r="O537" s="234"/>
      <c r="P537" s="234"/>
      <c r="Q537" s="233"/>
      <c r="R537" s="233"/>
      <c r="S537" s="233"/>
      <c r="T537" s="233"/>
      <c r="U537" s="231"/>
    </row>
    <row r="538" spans="1:21" ht="13.2">
      <c r="A538" s="231"/>
      <c r="B538" s="232"/>
      <c r="C538" s="231"/>
      <c r="D538" s="231"/>
      <c r="E538" s="231"/>
      <c r="F538" s="231"/>
      <c r="G538" s="231"/>
      <c r="H538" s="233"/>
      <c r="I538" s="233"/>
      <c r="J538" s="233"/>
      <c r="K538" s="233"/>
      <c r="L538" s="233"/>
      <c r="M538" s="233"/>
      <c r="N538" s="233"/>
      <c r="O538" s="234"/>
      <c r="P538" s="234"/>
      <c r="Q538" s="233"/>
      <c r="R538" s="233"/>
      <c r="S538" s="233"/>
      <c r="T538" s="233"/>
      <c r="U538" s="231"/>
    </row>
    <row r="539" spans="1:21" ht="13.2">
      <c r="A539" s="231"/>
      <c r="B539" s="232"/>
      <c r="C539" s="231"/>
      <c r="D539" s="231"/>
      <c r="E539" s="231"/>
      <c r="F539" s="231"/>
      <c r="G539" s="231"/>
      <c r="H539" s="233"/>
      <c r="I539" s="233"/>
      <c r="J539" s="233"/>
      <c r="K539" s="233"/>
      <c r="L539" s="233"/>
      <c r="M539" s="233"/>
      <c r="N539" s="233"/>
      <c r="O539" s="234"/>
      <c r="P539" s="234"/>
      <c r="Q539" s="233"/>
      <c r="R539" s="233"/>
      <c r="S539" s="233"/>
      <c r="T539" s="233"/>
      <c r="U539" s="231"/>
    </row>
    <row r="540" spans="1:21" ht="13.2">
      <c r="A540" s="231"/>
      <c r="B540" s="232"/>
      <c r="C540" s="231"/>
      <c r="D540" s="231"/>
      <c r="E540" s="231"/>
      <c r="F540" s="231"/>
      <c r="G540" s="231"/>
      <c r="H540" s="233"/>
      <c r="I540" s="233"/>
      <c r="J540" s="233"/>
      <c r="K540" s="233"/>
      <c r="L540" s="233"/>
      <c r="M540" s="233"/>
      <c r="N540" s="233"/>
      <c r="O540" s="234"/>
      <c r="P540" s="234"/>
      <c r="Q540" s="233"/>
      <c r="R540" s="233"/>
      <c r="S540" s="233"/>
      <c r="T540" s="233"/>
      <c r="U540" s="231"/>
    </row>
    <row r="541" spans="1:21" ht="13.2">
      <c r="A541" s="231"/>
      <c r="B541" s="232"/>
      <c r="C541" s="231"/>
      <c r="D541" s="231"/>
      <c r="E541" s="231"/>
      <c r="F541" s="231"/>
      <c r="G541" s="231"/>
      <c r="H541" s="233"/>
      <c r="I541" s="233"/>
      <c r="J541" s="233"/>
      <c r="K541" s="233"/>
      <c r="L541" s="233"/>
      <c r="M541" s="233"/>
      <c r="N541" s="233"/>
      <c r="O541" s="234"/>
      <c r="P541" s="234"/>
      <c r="Q541" s="233"/>
      <c r="R541" s="233"/>
      <c r="S541" s="233"/>
      <c r="T541" s="233"/>
      <c r="U541" s="231"/>
    </row>
    <row r="542" spans="1:21" ht="13.2">
      <c r="A542" s="231"/>
      <c r="B542" s="232"/>
      <c r="C542" s="231"/>
      <c r="D542" s="231"/>
      <c r="E542" s="231"/>
      <c r="F542" s="231"/>
      <c r="G542" s="231"/>
      <c r="H542" s="233"/>
      <c r="I542" s="233"/>
      <c r="J542" s="233"/>
      <c r="K542" s="233"/>
      <c r="L542" s="233"/>
      <c r="M542" s="233"/>
      <c r="N542" s="233"/>
      <c r="O542" s="234"/>
      <c r="P542" s="234"/>
      <c r="Q542" s="233"/>
      <c r="R542" s="233"/>
      <c r="S542" s="233"/>
      <c r="T542" s="233"/>
      <c r="U542" s="231"/>
    </row>
    <row r="543" spans="1:21" ht="13.2">
      <c r="A543" s="231"/>
      <c r="B543" s="232"/>
      <c r="C543" s="231"/>
      <c r="D543" s="231"/>
      <c r="E543" s="231"/>
      <c r="F543" s="231"/>
      <c r="G543" s="231"/>
      <c r="H543" s="233"/>
      <c r="I543" s="233"/>
      <c r="J543" s="233"/>
      <c r="K543" s="233"/>
      <c r="L543" s="233"/>
      <c r="M543" s="233"/>
      <c r="N543" s="233"/>
      <c r="O543" s="234"/>
      <c r="P543" s="234"/>
      <c r="Q543" s="233"/>
      <c r="R543" s="233"/>
      <c r="S543" s="233"/>
      <c r="T543" s="233"/>
      <c r="U543" s="231"/>
    </row>
    <row r="544" spans="1:21" ht="13.2">
      <c r="A544" s="231"/>
      <c r="B544" s="232"/>
      <c r="C544" s="231"/>
      <c r="D544" s="231"/>
      <c r="E544" s="231"/>
      <c r="F544" s="231"/>
      <c r="G544" s="231"/>
      <c r="H544" s="233"/>
      <c r="I544" s="233"/>
      <c r="J544" s="233"/>
      <c r="K544" s="233"/>
      <c r="L544" s="233"/>
      <c r="M544" s="233"/>
      <c r="N544" s="233"/>
      <c r="O544" s="234"/>
      <c r="P544" s="234"/>
      <c r="Q544" s="233"/>
      <c r="R544" s="233"/>
      <c r="S544" s="233"/>
      <c r="T544" s="233"/>
      <c r="U544" s="231"/>
    </row>
    <row r="545" spans="1:21" ht="13.2">
      <c r="A545" s="231"/>
      <c r="B545" s="232"/>
      <c r="C545" s="231"/>
      <c r="D545" s="231"/>
      <c r="E545" s="231"/>
      <c r="F545" s="231"/>
      <c r="G545" s="231"/>
      <c r="H545" s="233"/>
      <c r="I545" s="233"/>
      <c r="J545" s="233"/>
      <c r="K545" s="233"/>
      <c r="L545" s="233"/>
      <c r="M545" s="233"/>
      <c r="N545" s="233"/>
      <c r="O545" s="234"/>
      <c r="P545" s="234"/>
      <c r="Q545" s="233"/>
      <c r="R545" s="233"/>
      <c r="S545" s="233"/>
      <c r="T545" s="233"/>
      <c r="U545" s="231"/>
    </row>
    <row r="546" spans="1:21" ht="13.2">
      <c r="A546" s="231"/>
      <c r="B546" s="232"/>
      <c r="C546" s="231"/>
      <c r="D546" s="231"/>
      <c r="E546" s="231"/>
      <c r="F546" s="231"/>
      <c r="G546" s="231"/>
      <c r="H546" s="233"/>
      <c r="I546" s="233"/>
      <c r="J546" s="233"/>
      <c r="K546" s="233"/>
      <c r="L546" s="233"/>
      <c r="M546" s="233"/>
      <c r="N546" s="233"/>
      <c r="O546" s="234"/>
      <c r="P546" s="234"/>
      <c r="Q546" s="233"/>
      <c r="R546" s="233"/>
      <c r="S546" s="233"/>
      <c r="T546" s="233"/>
      <c r="U546" s="231"/>
    </row>
    <row r="547" spans="1:21" ht="13.2">
      <c r="A547" s="231"/>
      <c r="B547" s="232"/>
      <c r="C547" s="231"/>
      <c r="D547" s="231"/>
      <c r="E547" s="231"/>
      <c r="F547" s="231"/>
      <c r="G547" s="231"/>
      <c r="H547" s="233"/>
      <c r="I547" s="233"/>
      <c r="J547" s="233"/>
      <c r="K547" s="233"/>
      <c r="L547" s="233"/>
      <c r="M547" s="233"/>
      <c r="N547" s="233"/>
      <c r="O547" s="234"/>
      <c r="P547" s="234"/>
      <c r="Q547" s="233"/>
      <c r="R547" s="233"/>
      <c r="S547" s="233"/>
      <c r="T547" s="233"/>
      <c r="U547" s="231"/>
    </row>
    <row r="548" spans="1:21" ht="13.2">
      <c r="A548" s="231"/>
      <c r="B548" s="232"/>
      <c r="C548" s="231"/>
      <c r="D548" s="231"/>
      <c r="E548" s="231"/>
      <c r="F548" s="231"/>
      <c r="G548" s="231"/>
      <c r="H548" s="233"/>
      <c r="I548" s="233"/>
      <c r="J548" s="233"/>
      <c r="K548" s="233"/>
      <c r="L548" s="233"/>
      <c r="M548" s="233"/>
      <c r="N548" s="233"/>
      <c r="O548" s="234"/>
      <c r="P548" s="234"/>
      <c r="Q548" s="233"/>
      <c r="R548" s="233"/>
      <c r="S548" s="233"/>
      <c r="T548" s="233"/>
      <c r="U548" s="231"/>
    </row>
    <row r="549" spans="1:21" ht="13.2">
      <c r="A549" s="231"/>
      <c r="B549" s="232"/>
      <c r="C549" s="231"/>
      <c r="D549" s="231"/>
      <c r="E549" s="231"/>
      <c r="F549" s="231"/>
      <c r="G549" s="231"/>
      <c r="H549" s="233"/>
      <c r="I549" s="233"/>
      <c r="J549" s="233"/>
      <c r="K549" s="233"/>
      <c r="L549" s="233"/>
      <c r="M549" s="233"/>
      <c r="N549" s="233"/>
      <c r="O549" s="234"/>
      <c r="P549" s="234"/>
      <c r="Q549" s="233"/>
      <c r="R549" s="233"/>
      <c r="S549" s="233"/>
      <c r="T549" s="233"/>
      <c r="U549" s="231"/>
    </row>
    <row r="550" spans="1:21" ht="13.2">
      <c r="A550" s="231"/>
      <c r="B550" s="232"/>
      <c r="C550" s="231"/>
      <c r="D550" s="231"/>
      <c r="E550" s="231"/>
      <c r="F550" s="231"/>
      <c r="G550" s="231"/>
      <c r="H550" s="233"/>
      <c r="I550" s="233"/>
      <c r="J550" s="233"/>
      <c r="K550" s="233"/>
      <c r="L550" s="233"/>
      <c r="M550" s="233"/>
      <c r="N550" s="233"/>
      <c r="O550" s="234"/>
      <c r="P550" s="234"/>
      <c r="Q550" s="233"/>
      <c r="R550" s="233"/>
      <c r="S550" s="233"/>
      <c r="T550" s="233"/>
      <c r="U550" s="231"/>
    </row>
    <row r="551" spans="1:21" ht="13.2">
      <c r="A551" s="231"/>
      <c r="B551" s="232"/>
      <c r="C551" s="231"/>
      <c r="D551" s="231"/>
      <c r="E551" s="231"/>
      <c r="F551" s="231"/>
      <c r="G551" s="231"/>
      <c r="H551" s="233"/>
      <c r="I551" s="233"/>
      <c r="J551" s="233"/>
      <c r="K551" s="233"/>
      <c r="L551" s="233"/>
      <c r="M551" s="233"/>
      <c r="N551" s="233"/>
      <c r="O551" s="234"/>
      <c r="P551" s="234"/>
      <c r="Q551" s="233"/>
      <c r="R551" s="233"/>
      <c r="S551" s="233"/>
      <c r="T551" s="233"/>
      <c r="U551" s="231"/>
    </row>
    <row r="552" spans="1:21" ht="13.2">
      <c r="A552" s="231"/>
      <c r="B552" s="232"/>
      <c r="C552" s="231"/>
      <c r="D552" s="231"/>
      <c r="E552" s="231"/>
      <c r="F552" s="231"/>
      <c r="G552" s="231"/>
      <c r="H552" s="233"/>
      <c r="I552" s="233"/>
      <c r="J552" s="233"/>
      <c r="K552" s="233"/>
      <c r="L552" s="233"/>
      <c r="M552" s="233"/>
      <c r="N552" s="233"/>
      <c r="O552" s="234"/>
      <c r="P552" s="234"/>
      <c r="Q552" s="233"/>
      <c r="R552" s="233"/>
      <c r="S552" s="233"/>
      <c r="T552" s="233"/>
      <c r="U552" s="231"/>
    </row>
    <row r="553" spans="1:21" ht="13.2">
      <c r="A553" s="231"/>
      <c r="B553" s="232"/>
      <c r="C553" s="231"/>
      <c r="D553" s="231"/>
      <c r="E553" s="231"/>
      <c r="F553" s="231"/>
      <c r="G553" s="231"/>
      <c r="H553" s="233"/>
      <c r="I553" s="233"/>
      <c r="J553" s="233"/>
      <c r="K553" s="233"/>
      <c r="L553" s="233"/>
      <c r="M553" s="233"/>
      <c r="N553" s="233"/>
      <c r="O553" s="234"/>
      <c r="P553" s="234"/>
      <c r="Q553" s="233"/>
      <c r="R553" s="233"/>
      <c r="S553" s="233"/>
      <c r="T553" s="233"/>
      <c r="U553" s="231"/>
    </row>
    <row r="554" spans="1:21" ht="13.2">
      <c r="A554" s="231"/>
      <c r="B554" s="232"/>
      <c r="C554" s="231"/>
      <c r="D554" s="231"/>
      <c r="E554" s="231"/>
      <c r="F554" s="231"/>
      <c r="G554" s="231"/>
      <c r="H554" s="233"/>
      <c r="I554" s="233"/>
      <c r="J554" s="233"/>
      <c r="K554" s="233"/>
      <c r="L554" s="233"/>
      <c r="M554" s="233"/>
      <c r="N554" s="233"/>
      <c r="O554" s="234"/>
      <c r="P554" s="234"/>
      <c r="Q554" s="233"/>
      <c r="R554" s="233"/>
      <c r="S554" s="233"/>
      <c r="T554" s="233"/>
      <c r="U554" s="231"/>
    </row>
    <row r="555" spans="1:21" ht="13.2">
      <c r="A555" s="231"/>
      <c r="B555" s="232"/>
      <c r="C555" s="231"/>
      <c r="D555" s="231"/>
      <c r="E555" s="231"/>
      <c r="F555" s="231"/>
      <c r="G555" s="231"/>
      <c r="H555" s="233"/>
      <c r="I555" s="233"/>
      <c r="J555" s="233"/>
      <c r="K555" s="233"/>
      <c r="L555" s="233"/>
      <c r="M555" s="233"/>
      <c r="N555" s="233"/>
      <c r="O555" s="234"/>
      <c r="P555" s="234"/>
      <c r="Q555" s="233"/>
      <c r="R555" s="233"/>
      <c r="S555" s="233"/>
      <c r="T555" s="233"/>
      <c r="U555" s="231"/>
    </row>
    <row r="556" spans="1:21" ht="13.2">
      <c r="A556" s="231"/>
      <c r="B556" s="232"/>
      <c r="C556" s="231"/>
      <c r="D556" s="231"/>
      <c r="E556" s="231"/>
      <c r="F556" s="231"/>
      <c r="G556" s="231"/>
      <c r="H556" s="233"/>
      <c r="I556" s="233"/>
      <c r="J556" s="233"/>
      <c r="K556" s="233"/>
      <c r="L556" s="233"/>
      <c r="M556" s="233"/>
      <c r="N556" s="233"/>
      <c r="O556" s="234"/>
      <c r="P556" s="234"/>
      <c r="Q556" s="233"/>
      <c r="R556" s="233"/>
      <c r="S556" s="233"/>
      <c r="T556" s="233"/>
      <c r="U556" s="231"/>
    </row>
    <row r="557" spans="1:21" ht="13.2">
      <c r="A557" s="231"/>
      <c r="B557" s="232"/>
      <c r="C557" s="231"/>
      <c r="D557" s="231"/>
      <c r="E557" s="231"/>
      <c r="F557" s="231"/>
      <c r="G557" s="231"/>
      <c r="H557" s="233"/>
      <c r="I557" s="233"/>
      <c r="J557" s="233"/>
      <c r="K557" s="233"/>
      <c r="L557" s="233"/>
      <c r="M557" s="233"/>
      <c r="N557" s="233"/>
      <c r="O557" s="234"/>
      <c r="P557" s="234"/>
      <c r="Q557" s="233"/>
      <c r="R557" s="233"/>
      <c r="S557" s="233"/>
      <c r="T557" s="233"/>
      <c r="U557" s="231"/>
    </row>
    <row r="558" spans="1:21" ht="13.2">
      <c r="A558" s="231"/>
      <c r="B558" s="232"/>
      <c r="C558" s="231"/>
      <c r="D558" s="231"/>
      <c r="E558" s="231"/>
      <c r="F558" s="231"/>
      <c r="G558" s="231"/>
      <c r="H558" s="233"/>
      <c r="I558" s="233"/>
      <c r="J558" s="233"/>
      <c r="K558" s="233"/>
      <c r="L558" s="233"/>
      <c r="M558" s="233"/>
      <c r="N558" s="233"/>
      <c r="O558" s="234"/>
      <c r="P558" s="234"/>
      <c r="Q558" s="233"/>
      <c r="R558" s="233"/>
      <c r="S558" s="233"/>
      <c r="T558" s="233"/>
      <c r="U558" s="231"/>
    </row>
    <row r="559" spans="1:21" ht="13.2">
      <c r="A559" s="231"/>
      <c r="B559" s="232"/>
      <c r="C559" s="231"/>
      <c r="D559" s="231"/>
      <c r="E559" s="231"/>
      <c r="F559" s="231"/>
      <c r="G559" s="231"/>
      <c r="H559" s="233"/>
      <c r="I559" s="233"/>
      <c r="J559" s="233"/>
      <c r="K559" s="233"/>
      <c r="L559" s="233"/>
      <c r="M559" s="233"/>
      <c r="N559" s="233"/>
      <c r="O559" s="234"/>
      <c r="P559" s="234"/>
      <c r="Q559" s="233"/>
      <c r="R559" s="233"/>
      <c r="S559" s="233"/>
      <c r="T559" s="233"/>
      <c r="U559" s="231"/>
    </row>
    <row r="560" spans="1:21" ht="13.2">
      <c r="A560" s="231"/>
      <c r="B560" s="232"/>
      <c r="C560" s="231"/>
      <c r="D560" s="231"/>
      <c r="E560" s="231"/>
      <c r="F560" s="231"/>
      <c r="G560" s="231"/>
      <c r="H560" s="233"/>
      <c r="I560" s="233"/>
      <c r="J560" s="233"/>
      <c r="K560" s="233"/>
      <c r="L560" s="233"/>
      <c r="M560" s="233"/>
      <c r="N560" s="233"/>
      <c r="O560" s="234"/>
      <c r="P560" s="234"/>
      <c r="Q560" s="233"/>
      <c r="R560" s="233"/>
      <c r="S560" s="233"/>
      <c r="T560" s="233"/>
      <c r="U560" s="231"/>
    </row>
    <row r="561" spans="1:21" ht="13.2">
      <c r="A561" s="231"/>
      <c r="B561" s="232"/>
      <c r="C561" s="231"/>
      <c r="D561" s="231"/>
      <c r="E561" s="231"/>
      <c r="F561" s="231"/>
      <c r="G561" s="231"/>
      <c r="H561" s="233"/>
      <c r="I561" s="233"/>
      <c r="J561" s="233"/>
      <c r="K561" s="233"/>
      <c r="L561" s="233"/>
      <c r="M561" s="233"/>
      <c r="N561" s="233"/>
      <c r="O561" s="234"/>
      <c r="P561" s="234"/>
      <c r="Q561" s="233"/>
      <c r="R561" s="233"/>
      <c r="S561" s="233"/>
      <c r="T561" s="233"/>
      <c r="U561" s="231"/>
    </row>
    <row r="562" spans="1:21" ht="13.2">
      <c r="A562" s="231"/>
      <c r="B562" s="232"/>
      <c r="C562" s="231"/>
      <c r="D562" s="231"/>
      <c r="E562" s="231"/>
      <c r="F562" s="231"/>
      <c r="G562" s="231"/>
      <c r="H562" s="233"/>
      <c r="I562" s="233"/>
      <c r="J562" s="233"/>
      <c r="K562" s="233"/>
      <c r="L562" s="233"/>
      <c r="M562" s="233"/>
      <c r="N562" s="233"/>
      <c r="O562" s="234"/>
      <c r="P562" s="234"/>
      <c r="Q562" s="233"/>
      <c r="R562" s="233"/>
      <c r="S562" s="233"/>
      <c r="T562" s="233"/>
      <c r="U562" s="231"/>
    </row>
    <row r="563" spans="1:21" ht="13.2">
      <c r="A563" s="231"/>
      <c r="B563" s="232"/>
      <c r="C563" s="231"/>
      <c r="D563" s="231"/>
      <c r="E563" s="231"/>
      <c r="F563" s="231"/>
      <c r="G563" s="231"/>
      <c r="H563" s="233"/>
      <c r="I563" s="233"/>
      <c r="J563" s="233"/>
      <c r="K563" s="233"/>
      <c r="L563" s="233"/>
      <c r="M563" s="233"/>
      <c r="N563" s="233"/>
      <c r="O563" s="234"/>
      <c r="P563" s="234"/>
      <c r="Q563" s="233"/>
      <c r="R563" s="233"/>
      <c r="S563" s="233"/>
      <c r="T563" s="233"/>
      <c r="U563" s="231"/>
    </row>
    <row r="564" spans="1:21" ht="13.2">
      <c r="A564" s="231"/>
      <c r="B564" s="232"/>
      <c r="C564" s="231"/>
      <c r="D564" s="231"/>
      <c r="E564" s="231"/>
      <c r="F564" s="231"/>
      <c r="G564" s="231"/>
      <c r="H564" s="233"/>
      <c r="I564" s="233"/>
      <c r="J564" s="233"/>
      <c r="K564" s="233"/>
      <c r="L564" s="233"/>
      <c r="M564" s="233"/>
      <c r="N564" s="233"/>
      <c r="O564" s="234"/>
      <c r="P564" s="234"/>
      <c r="Q564" s="233"/>
      <c r="R564" s="233"/>
      <c r="S564" s="233"/>
      <c r="T564" s="233"/>
      <c r="U564" s="231"/>
    </row>
    <row r="565" spans="1:21" ht="13.2">
      <c r="A565" s="231"/>
      <c r="B565" s="232"/>
      <c r="C565" s="231"/>
      <c r="D565" s="231"/>
      <c r="E565" s="231"/>
      <c r="F565" s="231"/>
      <c r="G565" s="231"/>
      <c r="H565" s="233"/>
      <c r="I565" s="233"/>
      <c r="J565" s="233"/>
      <c r="K565" s="233"/>
      <c r="L565" s="233"/>
      <c r="M565" s="233"/>
      <c r="N565" s="233"/>
      <c r="O565" s="234"/>
      <c r="P565" s="234"/>
      <c r="Q565" s="233"/>
      <c r="R565" s="233"/>
      <c r="S565" s="233"/>
      <c r="T565" s="233"/>
      <c r="U565" s="231"/>
    </row>
    <row r="566" spans="1:21" ht="13.2">
      <c r="A566" s="231"/>
      <c r="B566" s="232"/>
      <c r="C566" s="231"/>
      <c r="D566" s="231"/>
      <c r="E566" s="231"/>
      <c r="F566" s="231"/>
      <c r="G566" s="231"/>
      <c r="H566" s="233"/>
      <c r="I566" s="233"/>
      <c r="J566" s="233"/>
      <c r="K566" s="233"/>
      <c r="L566" s="233"/>
      <c r="M566" s="233"/>
      <c r="N566" s="233"/>
      <c r="O566" s="234"/>
      <c r="P566" s="234"/>
      <c r="Q566" s="233"/>
      <c r="R566" s="233"/>
      <c r="S566" s="233"/>
      <c r="T566" s="233"/>
      <c r="U566" s="231"/>
    </row>
    <row r="567" spans="1:21" ht="13.2">
      <c r="A567" s="231"/>
      <c r="B567" s="232"/>
      <c r="C567" s="231"/>
      <c r="D567" s="231"/>
      <c r="E567" s="231"/>
      <c r="F567" s="231"/>
      <c r="G567" s="231"/>
      <c r="H567" s="233"/>
      <c r="I567" s="233"/>
      <c r="J567" s="233"/>
      <c r="K567" s="233"/>
      <c r="L567" s="233"/>
      <c r="M567" s="233"/>
      <c r="N567" s="233"/>
      <c r="O567" s="234"/>
      <c r="P567" s="234"/>
      <c r="Q567" s="233"/>
      <c r="R567" s="233"/>
      <c r="S567" s="233"/>
      <c r="T567" s="233"/>
      <c r="U567" s="231"/>
    </row>
    <row r="568" spans="1:21" ht="13.2">
      <c r="A568" s="231"/>
      <c r="B568" s="232"/>
      <c r="C568" s="231"/>
      <c r="D568" s="231"/>
      <c r="E568" s="231"/>
      <c r="F568" s="231"/>
      <c r="G568" s="231"/>
      <c r="H568" s="233"/>
      <c r="I568" s="233"/>
      <c r="J568" s="233"/>
      <c r="K568" s="233"/>
      <c r="L568" s="233"/>
      <c r="M568" s="233"/>
      <c r="N568" s="233"/>
      <c r="O568" s="234"/>
      <c r="P568" s="234"/>
      <c r="Q568" s="233"/>
      <c r="R568" s="233"/>
      <c r="S568" s="233"/>
      <c r="T568" s="233"/>
      <c r="U568" s="231"/>
    </row>
    <row r="569" spans="1:21" ht="13.2">
      <c r="A569" s="231"/>
      <c r="B569" s="232"/>
      <c r="C569" s="231"/>
      <c r="D569" s="231"/>
      <c r="E569" s="231"/>
      <c r="F569" s="231"/>
      <c r="G569" s="231"/>
      <c r="H569" s="233"/>
      <c r="I569" s="233"/>
      <c r="J569" s="233"/>
      <c r="K569" s="233"/>
      <c r="L569" s="233"/>
      <c r="M569" s="233"/>
      <c r="N569" s="233"/>
      <c r="O569" s="234"/>
      <c r="P569" s="234"/>
      <c r="Q569" s="233"/>
      <c r="R569" s="233"/>
      <c r="S569" s="233"/>
      <c r="T569" s="233"/>
      <c r="U569" s="231"/>
    </row>
    <row r="570" spans="1:21" ht="13.2">
      <c r="A570" s="231"/>
      <c r="B570" s="232"/>
      <c r="C570" s="231"/>
      <c r="D570" s="231"/>
      <c r="E570" s="231"/>
      <c r="F570" s="231"/>
      <c r="G570" s="231"/>
      <c r="H570" s="233"/>
      <c r="I570" s="233"/>
      <c r="J570" s="233"/>
      <c r="K570" s="233"/>
      <c r="L570" s="233"/>
      <c r="M570" s="233"/>
      <c r="N570" s="233"/>
      <c r="O570" s="234"/>
      <c r="P570" s="234"/>
      <c r="Q570" s="233"/>
      <c r="R570" s="233"/>
      <c r="S570" s="233"/>
      <c r="T570" s="233"/>
      <c r="U570" s="231"/>
    </row>
    <row r="571" spans="1:21" ht="13.2">
      <c r="A571" s="231"/>
      <c r="B571" s="232"/>
      <c r="C571" s="231"/>
      <c r="D571" s="231"/>
      <c r="E571" s="231"/>
      <c r="F571" s="231"/>
      <c r="G571" s="231"/>
      <c r="H571" s="233"/>
      <c r="I571" s="233"/>
      <c r="J571" s="233"/>
      <c r="K571" s="233"/>
      <c r="L571" s="233"/>
      <c r="M571" s="233"/>
      <c r="N571" s="233"/>
      <c r="O571" s="234"/>
      <c r="P571" s="234"/>
      <c r="Q571" s="233"/>
      <c r="R571" s="233"/>
      <c r="S571" s="233"/>
      <c r="T571" s="233"/>
      <c r="U571" s="231"/>
    </row>
    <row r="572" spans="1:21" ht="13.2">
      <c r="A572" s="231"/>
      <c r="B572" s="232"/>
      <c r="C572" s="231"/>
      <c r="D572" s="231"/>
      <c r="E572" s="231"/>
      <c r="F572" s="231"/>
      <c r="G572" s="231"/>
      <c r="H572" s="233"/>
      <c r="I572" s="233"/>
      <c r="J572" s="233"/>
      <c r="K572" s="233"/>
      <c r="L572" s="233"/>
      <c r="M572" s="233"/>
      <c r="N572" s="233"/>
      <c r="O572" s="234"/>
      <c r="P572" s="234"/>
      <c r="Q572" s="233"/>
      <c r="R572" s="233"/>
      <c r="S572" s="233"/>
      <c r="T572" s="233"/>
      <c r="U572" s="231"/>
    </row>
    <row r="573" spans="1:21" ht="13.2">
      <c r="A573" s="231"/>
      <c r="B573" s="232"/>
      <c r="C573" s="231"/>
      <c r="D573" s="231"/>
      <c r="E573" s="231"/>
      <c r="F573" s="231"/>
      <c r="G573" s="231"/>
      <c r="H573" s="233"/>
      <c r="I573" s="233"/>
      <c r="J573" s="233"/>
      <c r="K573" s="233"/>
      <c r="L573" s="233"/>
      <c r="M573" s="233"/>
      <c r="N573" s="233"/>
      <c r="O573" s="234"/>
      <c r="P573" s="234"/>
      <c r="Q573" s="233"/>
      <c r="R573" s="233"/>
      <c r="S573" s="233"/>
      <c r="T573" s="233"/>
      <c r="U573" s="231"/>
    </row>
    <row r="574" spans="1:21" ht="13.2">
      <c r="A574" s="231"/>
      <c r="B574" s="232"/>
      <c r="C574" s="231"/>
      <c r="D574" s="231"/>
      <c r="E574" s="231"/>
      <c r="F574" s="231"/>
      <c r="G574" s="231"/>
      <c r="H574" s="233"/>
      <c r="I574" s="233"/>
      <c r="J574" s="233"/>
      <c r="K574" s="233"/>
      <c r="L574" s="233"/>
      <c r="M574" s="233"/>
      <c r="N574" s="233"/>
      <c r="O574" s="234"/>
      <c r="P574" s="234"/>
      <c r="Q574" s="233"/>
      <c r="R574" s="233"/>
      <c r="S574" s="233"/>
      <c r="T574" s="233"/>
      <c r="U574" s="231"/>
    </row>
    <row r="575" spans="1:21" ht="13.2">
      <c r="A575" s="231"/>
      <c r="B575" s="232"/>
      <c r="C575" s="231"/>
      <c r="D575" s="231"/>
      <c r="E575" s="231"/>
      <c r="F575" s="231"/>
      <c r="G575" s="231"/>
      <c r="H575" s="233"/>
      <c r="I575" s="233"/>
      <c r="J575" s="233"/>
      <c r="K575" s="233"/>
      <c r="L575" s="233"/>
      <c r="M575" s="233"/>
      <c r="N575" s="233"/>
      <c r="O575" s="234"/>
      <c r="P575" s="234"/>
      <c r="Q575" s="233"/>
      <c r="R575" s="233"/>
      <c r="S575" s="233"/>
      <c r="T575" s="233"/>
      <c r="U575" s="231"/>
    </row>
    <row r="576" spans="1:21" ht="13.2">
      <c r="A576" s="231"/>
      <c r="B576" s="232"/>
      <c r="C576" s="231"/>
      <c r="D576" s="231"/>
      <c r="E576" s="231"/>
      <c r="F576" s="231"/>
      <c r="G576" s="231"/>
      <c r="H576" s="233"/>
      <c r="I576" s="233"/>
      <c r="J576" s="233"/>
      <c r="K576" s="233"/>
      <c r="L576" s="233"/>
      <c r="M576" s="233"/>
      <c r="N576" s="233"/>
      <c r="O576" s="234"/>
      <c r="P576" s="234"/>
      <c r="Q576" s="233"/>
      <c r="R576" s="233"/>
      <c r="S576" s="233"/>
      <c r="T576" s="233"/>
      <c r="U576" s="231"/>
    </row>
    <row r="577" spans="1:21" ht="13.2">
      <c r="A577" s="231"/>
      <c r="B577" s="232"/>
      <c r="C577" s="231"/>
      <c r="D577" s="231"/>
      <c r="E577" s="231"/>
      <c r="F577" s="231"/>
      <c r="G577" s="231"/>
      <c r="H577" s="233"/>
      <c r="I577" s="233"/>
      <c r="J577" s="233"/>
      <c r="K577" s="233"/>
      <c r="L577" s="233"/>
      <c r="M577" s="233"/>
      <c r="N577" s="233"/>
      <c r="O577" s="234"/>
      <c r="P577" s="234"/>
      <c r="Q577" s="233"/>
      <c r="R577" s="233"/>
      <c r="S577" s="233"/>
      <c r="T577" s="233"/>
      <c r="U577" s="231"/>
    </row>
    <row r="578" spans="1:21" ht="13.2">
      <c r="A578" s="231"/>
      <c r="B578" s="232"/>
      <c r="C578" s="231"/>
      <c r="D578" s="231"/>
      <c r="E578" s="231"/>
      <c r="F578" s="231"/>
      <c r="G578" s="231"/>
      <c r="H578" s="233"/>
      <c r="I578" s="233"/>
      <c r="J578" s="233"/>
      <c r="K578" s="233"/>
      <c r="L578" s="233"/>
      <c r="M578" s="233"/>
      <c r="N578" s="233"/>
      <c r="O578" s="234"/>
      <c r="P578" s="234"/>
      <c r="Q578" s="233"/>
      <c r="R578" s="233"/>
      <c r="S578" s="233"/>
      <c r="T578" s="233"/>
      <c r="U578" s="231"/>
    </row>
    <row r="579" spans="1:21" ht="13.2">
      <c r="A579" s="231"/>
      <c r="B579" s="232"/>
      <c r="C579" s="231"/>
      <c r="D579" s="231"/>
      <c r="E579" s="231"/>
      <c r="F579" s="231"/>
      <c r="G579" s="231"/>
      <c r="H579" s="233"/>
      <c r="I579" s="233"/>
      <c r="J579" s="233"/>
      <c r="K579" s="233"/>
      <c r="L579" s="233"/>
      <c r="M579" s="233"/>
      <c r="N579" s="233"/>
      <c r="O579" s="234"/>
      <c r="P579" s="234"/>
      <c r="Q579" s="233"/>
      <c r="R579" s="233"/>
      <c r="S579" s="233"/>
      <c r="T579" s="233"/>
      <c r="U579" s="231"/>
    </row>
    <row r="580" spans="1:21" ht="13.2">
      <c r="A580" s="231"/>
      <c r="B580" s="232"/>
      <c r="C580" s="231"/>
      <c r="D580" s="231"/>
      <c r="E580" s="231"/>
      <c r="F580" s="231"/>
      <c r="G580" s="231"/>
      <c r="H580" s="233"/>
      <c r="I580" s="233"/>
      <c r="J580" s="233"/>
      <c r="K580" s="233"/>
      <c r="L580" s="233"/>
      <c r="M580" s="233"/>
      <c r="N580" s="233"/>
      <c r="O580" s="234"/>
      <c r="P580" s="234"/>
      <c r="Q580" s="233"/>
      <c r="R580" s="233"/>
      <c r="S580" s="233"/>
      <c r="T580" s="233"/>
      <c r="U580" s="231"/>
    </row>
    <row r="581" spans="1:21" ht="13.2">
      <c r="A581" s="231"/>
      <c r="B581" s="232"/>
      <c r="C581" s="231"/>
      <c r="D581" s="231"/>
      <c r="E581" s="231"/>
      <c r="F581" s="231"/>
      <c r="G581" s="231"/>
      <c r="H581" s="233"/>
      <c r="I581" s="233"/>
      <c r="J581" s="233"/>
      <c r="K581" s="233"/>
      <c r="L581" s="233"/>
      <c r="M581" s="233"/>
      <c r="N581" s="233"/>
      <c r="O581" s="234"/>
      <c r="P581" s="234"/>
      <c r="Q581" s="233"/>
      <c r="R581" s="233"/>
      <c r="S581" s="233"/>
      <c r="T581" s="233"/>
      <c r="U581" s="231"/>
    </row>
    <row r="582" spans="1:21" ht="13.2">
      <c r="A582" s="231"/>
      <c r="B582" s="232"/>
      <c r="C582" s="231"/>
      <c r="D582" s="231"/>
      <c r="E582" s="231"/>
      <c r="F582" s="231"/>
      <c r="G582" s="231"/>
      <c r="H582" s="233"/>
      <c r="I582" s="233"/>
      <c r="J582" s="233"/>
      <c r="K582" s="233"/>
      <c r="L582" s="233"/>
      <c r="M582" s="233"/>
      <c r="N582" s="233"/>
      <c r="O582" s="234"/>
      <c r="P582" s="234"/>
      <c r="Q582" s="233"/>
      <c r="R582" s="233"/>
      <c r="S582" s="233"/>
      <c r="T582" s="233"/>
      <c r="U582" s="231"/>
    </row>
    <row r="583" spans="1:21" ht="13.2">
      <c r="A583" s="231"/>
      <c r="B583" s="232"/>
      <c r="C583" s="231"/>
      <c r="D583" s="231"/>
      <c r="E583" s="231"/>
      <c r="F583" s="231"/>
      <c r="G583" s="231"/>
      <c r="H583" s="233"/>
      <c r="I583" s="233"/>
      <c r="J583" s="233"/>
      <c r="K583" s="233"/>
      <c r="L583" s="233"/>
      <c r="M583" s="233"/>
      <c r="N583" s="233"/>
      <c r="O583" s="234"/>
      <c r="P583" s="234"/>
      <c r="Q583" s="233"/>
      <c r="R583" s="233"/>
      <c r="S583" s="233"/>
      <c r="T583" s="233"/>
      <c r="U583" s="231"/>
    </row>
    <row r="584" spans="1:21" ht="13.2">
      <c r="A584" s="231"/>
      <c r="B584" s="232"/>
      <c r="C584" s="231"/>
      <c r="D584" s="231"/>
      <c r="E584" s="231"/>
      <c r="F584" s="231"/>
      <c r="G584" s="231"/>
      <c r="H584" s="233"/>
      <c r="I584" s="233"/>
      <c r="J584" s="233"/>
      <c r="K584" s="233"/>
      <c r="L584" s="233"/>
      <c r="M584" s="233"/>
      <c r="N584" s="233"/>
      <c r="O584" s="234"/>
      <c r="P584" s="234"/>
      <c r="Q584" s="233"/>
      <c r="R584" s="233"/>
      <c r="S584" s="233"/>
      <c r="T584" s="233"/>
      <c r="U584" s="231"/>
    </row>
    <row r="585" spans="1:21" ht="13.2">
      <c r="A585" s="231"/>
      <c r="B585" s="232"/>
      <c r="C585" s="231"/>
      <c r="D585" s="231"/>
      <c r="E585" s="231"/>
      <c r="F585" s="231"/>
      <c r="G585" s="231"/>
      <c r="H585" s="233"/>
      <c r="I585" s="233"/>
      <c r="J585" s="233"/>
      <c r="K585" s="233"/>
      <c r="L585" s="233"/>
      <c r="M585" s="233"/>
      <c r="N585" s="233"/>
      <c r="O585" s="234"/>
      <c r="P585" s="234"/>
      <c r="Q585" s="233"/>
      <c r="R585" s="233"/>
      <c r="S585" s="233"/>
      <c r="T585" s="233"/>
      <c r="U585" s="231"/>
    </row>
    <row r="586" spans="1:21" ht="13.2">
      <c r="A586" s="231"/>
      <c r="B586" s="232"/>
      <c r="C586" s="231"/>
      <c r="D586" s="231"/>
      <c r="E586" s="231"/>
      <c r="F586" s="231"/>
      <c r="G586" s="231"/>
      <c r="H586" s="233"/>
      <c r="I586" s="233"/>
      <c r="J586" s="233"/>
      <c r="K586" s="233"/>
      <c r="L586" s="233"/>
      <c r="M586" s="233"/>
      <c r="N586" s="233"/>
      <c r="O586" s="234"/>
      <c r="P586" s="234"/>
      <c r="Q586" s="233"/>
      <c r="R586" s="233"/>
      <c r="S586" s="233"/>
      <c r="T586" s="233"/>
      <c r="U586" s="231"/>
    </row>
    <row r="587" spans="1:21" ht="13.2">
      <c r="A587" s="231"/>
      <c r="B587" s="232"/>
      <c r="C587" s="231"/>
      <c r="D587" s="231"/>
      <c r="E587" s="231"/>
      <c r="F587" s="231"/>
      <c r="G587" s="231"/>
      <c r="H587" s="233"/>
      <c r="I587" s="233"/>
      <c r="J587" s="233"/>
      <c r="K587" s="233"/>
      <c r="L587" s="233"/>
      <c r="M587" s="233"/>
      <c r="N587" s="233"/>
      <c r="O587" s="234"/>
      <c r="P587" s="234"/>
      <c r="Q587" s="233"/>
      <c r="R587" s="233"/>
      <c r="S587" s="233"/>
      <c r="T587" s="233"/>
      <c r="U587" s="231"/>
    </row>
    <row r="588" spans="1:21" ht="13.2">
      <c r="A588" s="231"/>
      <c r="B588" s="232"/>
      <c r="C588" s="231"/>
      <c r="D588" s="231"/>
      <c r="E588" s="231"/>
      <c r="F588" s="231"/>
      <c r="G588" s="231"/>
      <c r="H588" s="233"/>
      <c r="I588" s="233"/>
      <c r="J588" s="233"/>
      <c r="K588" s="233"/>
      <c r="L588" s="233"/>
      <c r="M588" s="233"/>
      <c r="N588" s="233"/>
      <c r="O588" s="234"/>
      <c r="P588" s="234"/>
      <c r="Q588" s="233"/>
      <c r="R588" s="233"/>
      <c r="S588" s="233"/>
      <c r="T588" s="233"/>
      <c r="U588" s="231"/>
    </row>
    <row r="589" spans="1:21" ht="13.2">
      <c r="A589" s="231"/>
      <c r="B589" s="232"/>
      <c r="C589" s="231"/>
      <c r="D589" s="231"/>
      <c r="E589" s="231"/>
      <c r="F589" s="231"/>
      <c r="G589" s="231"/>
      <c r="H589" s="233"/>
      <c r="I589" s="233"/>
      <c r="J589" s="233"/>
      <c r="K589" s="233"/>
      <c r="L589" s="233"/>
      <c r="M589" s="233"/>
      <c r="N589" s="233"/>
      <c r="O589" s="234"/>
      <c r="P589" s="234"/>
      <c r="Q589" s="233"/>
      <c r="R589" s="233"/>
      <c r="S589" s="233"/>
      <c r="T589" s="233"/>
      <c r="U589" s="231"/>
    </row>
    <row r="590" spans="1:21" ht="13.2">
      <c r="A590" s="231"/>
      <c r="B590" s="232"/>
      <c r="C590" s="231"/>
      <c r="D590" s="231"/>
      <c r="E590" s="231"/>
      <c r="F590" s="231"/>
      <c r="G590" s="231"/>
      <c r="H590" s="233"/>
      <c r="I590" s="233"/>
      <c r="J590" s="233"/>
      <c r="K590" s="233"/>
      <c r="L590" s="233"/>
      <c r="M590" s="233"/>
      <c r="N590" s="233"/>
      <c r="O590" s="234"/>
      <c r="P590" s="234"/>
      <c r="Q590" s="233"/>
      <c r="R590" s="233"/>
      <c r="S590" s="233"/>
      <c r="T590" s="233"/>
      <c r="U590" s="231"/>
    </row>
    <row r="591" spans="1:21" ht="13.2">
      <c r="A591" s="231"/>
      <c r="B591" s="232"/>
      <c r="C591" s="231"/>
      <c r="D591" s="231"/>
      <c r="E591" s="231"/>
      <c r="F591" s="231"/>
      <c r="G591" s="231"/>
      <c r="H591" s="233"/>
      <c r="I591" s="233"/>
      <c r="J591" s="233"/>
      <c r="K591" s="233"/>
      <c r="L591" s="233"/>
      <c r="M591" s="233"/>
      <c r="N591" s="233"/>
      <c r="O591" s="234"/>
      <c r="P591" s="234"/>
      <c r="Q591" s="233"/>
      <c r="R591" s="233"/>
      <c r="S591" s="233"/>
      <c r="T591" s="233"/>
      <c r="U591" s="231"/>
    </row>
    <row r="592" spans="1:21" ht="13.2">
      <c r="A592" s="231"/>
      <c r="B592" s="232"/>
      <c r="C592" s="231"/>
      <c r="D592" s="231"/>
      <c r="E592" s="231"/>
      <c r="F592" s="231"/>
      <c r="G592" s="231"/>
      <c r="H592" s="233"/>
      <c r="I592" s="233"/>
      <c r="J592" s="233"/>
      <c r="K592" s="233"/>
      <c r="L592" s="233"/>
      <c r="M592" s="233"/>
      <c r="N592" s="233"/>
      <c r="O592" s="234"/>
      <c r="P592" s="234"/>
      <c r="Q592" s="233"/>
      <c r="R592" s="233"/>
      <c r="S592" s="233"/>
      <c r="T592" s="233"/>
      <c r="U592" s="231"/>
    </row>
    <row r="593" spans="1:21" ht="13.2">
      <c r="A593" s="231"/>
      <c r="B593" s="232"/>
      <c r="C593" s="231"/>
      <c r="D593" s="231"/>
      <c r="E593" s="231"/>
      <c r="F593" s="231"/>
      <c r="G593" s="231"/>
      <c r="H593" s="233"/>
      <c r="I593" s="233"/>
      <c r="J593" s="233"/>
      <c r="K593" s="233"/>
      <c r="L593" s="233"/>
      <c r="M593" s="233"/>
      <c r="N593" s="233"/>
      <c r="O593" s="234"/>
      <c r="P593" s="234"/>
      <c r="Q593" s="233"/>
      <c r="R593" s="233"/>
      <c r="S593" s="233"/>
      <c r="T593" s="233"/>
      <c r="U593" s="231"/>
    </row>
    <row r="594" spans="1:21" ht="13.2">
      <c r="A594" s="231"/>
      <c r="B594" s="232"/>
      <c r="C594" s="231"/>
      <c r="D594" s="231"/>
      <c r="E594" s="231"/>
      <c r="F594" s="231"/>
      <c r="G594" s="231"/>
      <c r="H594" s="233"/>
      <c r="I594" s="233"/>
      <c r="J594" s="233"/>
      <c r="K594" s="233"/>
      <c r="L594" s="233"/>
      <c r="M594" s="233"/>
      <c r="N594" s="233"/>
      <c r="O594" s="234"/>
      <c r="P594" s="234"/>
      <c r="Q594" s="233"/>
      <c r="R594" s="233"/>
      <c r="S594" s="233"/>
      <c r="T594" s="233"/>
      <c r="U594" s="231"/>
    </row>
    <row r="595" spans="1:21" ht="13.2">
      <c r="A595" s="231"/>
      <c r="B595" s="232"/>
      <c r="C595" s="231"/>
      <c r="D595" s="231"/>
      <c r="E595" s="231"/>
      <c r="F595" s="231"/>
      <c r="G595" s="231"/>
      <c r="H595" s="233"/>
      <c r="I595" s="233"/>
      <c r="J595" s="233"/>
      <c r="K595" s="233"/>
      <c r="L595" s="233"/>
      <c r="M595" s="233"/>
      <c r="N595" s="233"/>
      <c r="O595" s="234"/>
      <c r="P595" s="234"/>
      <c r="Q595" s="233"/>
      <c r="R595" s="233"/>
      <c r="S595" s="233"/>
      <c r="T595" s="233"/>
      <c r="U595" s="231"/>
    </row>
    <row r="596" spans="1:21" ht="13.2">
      <c r="A596" s="231"/>
      <c r="B596" s="232"/>
      <c r="C596" s="231"/>
      <c r="D596" s="231"/>
      <c r="E596" s="231"/>
      <c r="F596" s="231"/>
      <c r="G596" s="231"/>
      <c r="H596" s="233"/>
      <c r="I596" s="233"/>
      <c r="J596" s="233"/>
      <c r="K596" s="233"/>
      <c r="L596" s="233"/>
      <c r="M596" s="233"/>
      <c r="N596" s="233"/>
      <c r="O596" s="234"/>
      <c r="P596" s="234"/>
      <c r="Q596" s="233"/>
      <c r="R596" s="233"/>
      <c r="S596" s="233"/>
      <c r="T596" s="233"/>
      <c r="U596" s="231"/>
    </row>
    <row r="597" spans="1:21" ht="13.2">
      <c r="A597" s="231"/>
      <c r="B597" s="232"/>
      <c r="C597" s="231"/>
      <c r="D597" s="231"/>
      <c r="E597" s="231"/>
      <c r="F597" s="231"/>
      <c r="G597" s="231"/>
      <c r="H597" s="233"/>
      <c r="I597" s="233"/>
      <c r="J597" s="233"/>
      <c r="K597" s="233"/>
      <c r="L597" s="233"/>
      <c r="M597" s="233"/>
      <c r="N597" s="233"/>
      <c r="O597" s="234"/>
      <c r="P597" s="234"/>
      <c r="Q597" s="233"/>
      <c r="R597" s="233"/>
      <c r="S597" s="233"/>
      <c r="T597" s="233"/>
      <c r="U597" s="231"/>
    </row>
    <row r="598" spans="1:21" ht="13.2">
      <c r="A598" s="231"/>
      <c r="B598" s="232"/>
      <c r="C598" s="231"/>
      <c r="D598" s="231"/>
      <c r="E598" s="231"/>
      <c r="F598" s="231"/>
      <c r="G598" s="231"/>
      <c r="H598" s="233"/>
      <c r="I598" s="233"/>
      <c r="J598" s="233"/>
      <c r="K598" s="233"/>
      <c r="L598" s="233"/>
      <c r="M598" s="233"/>
      <c r="N598" s="233"/>
      <c r="O598" s="234"/>
      <c r="P598" s="234"/>
      <c r="Q598" s="233"/>
      <c r="R598" s="233"/>
      <c r="S598" s="233"/>
      <c r="T598" s="233"/>
      <c r="U598" s="231"/>
    </row>
    <row r="599" spans="1:21" ht="13.2">
      <c r="A599" s="231"/>
      <c r="B599" s="232"/>
      <c r="C599" s="231"/>
      <c r="D599" s="231"/>
      <c r="E599" s="231"/>
      <c r="F599" s="231"/>
      <c r="G599" s="231"/>
      <c r="H599" s="233"/>
      <c r="I599" s="233"/>
      <c r="J599" s="233"/>
      <c r="K599" s="233"/>
      <c r="L599" s="233"/>
      <c r="M599" s="233"/>
      <c r="N599" s="233"/>
      <c r="O599" s="234"/>
      <c r="P599" s="234"/>
      <c r="Q599" s="233"/>
      <c r="R599" s="233"/>
      <c r="S599" s="233"/>
      <c r="T599" s="233"/>
      <c r="U599" s="231"/>
    </row>
    <row r="600" spans="1:21" ht="13.2">
      <c r="A600" s="231"/>
      <c r="B600" s="232"/>
      <c r="C600" s="231"/>
      <c r="D600" s="231"/>
      <c r="E600" s="231"/>
      <c r="F600" s="231"/>
      <c r="G600" s="231"/>
      <c r="H600" s="233"/>
      <c r="I600" s="233"/>
      <c r="J600" s="233"/>
      <c r="K600" s="233"/>
      <c r="L600" s="233"/>
      <c r="M600" s="233"/>
      <c r="N600" s="233"/>
      <c r="O600" s="234"/>
      <c r="P600" s="234"/>
      <c r="Q600" s="233"/>
      <c r="R600" s="233"/>
      <c r="S600" s="233"/>
      <c r="T600" s="233"/>
      <c r="U600" s="231"/>
    </row>
    <row r="601" spans="1:21" ht="13.2">
      <c r="A601" s="231"/>
      <c r="B601" s="232"/>
      <c r="C601" s="231"/>
      <c r="D601" s="231"/>
      <c r="E601" s="231"/>
      <c r="F601" s="231"/>
      <c r="G601" s="231"/>
      <c r="H601" s="233"/>
      <c r="I601" s="233"/>
      <c r="J601" s="233"/>
      <c r="K601" s="233"/>
      <c r="L601" s="233"/>
      <c r="M601" s="233"/>
      <c r="N601" s="233"/>
      <c r="O601" s="234"/>
      <c r="P601" s="234"/>
      <c r="Q601" s="233"/>
      <c r="R601" s="233"/>
      <c r="S601" s="233"/>
      <c r="T601" s="233"/>
      <c r="U601" s="231"/>
    </row>
    <row r="602" spans="1:21" ht="13.2">
      <c r="A602" s="231"/>
      <c r="B602" s="232"/>
      <c r="C602" s="231"/>
      <c r="D602" s="231"/>
      <c r="E602" s="231"/>
      <c r="F602" s="231"/>
      <c r="G602" s="231"/>
      <c r="H602" s="233"/>
      <c r="I602" s="233"/>
      <c r="J602" s="233"/>
      <c r="K602" s="233"/>
      <c r="L602" s="233"/>
      <c r="M602" s="233"/>
      <c r="N602" s="233"/>
      <c r="O602" s="234"/>
      <c r="P602" s="234"/>
      <c r="Q602" s="233"/>
      <c r="R602" s="233"/>
      <c r="S602" s="233"/>
      <c r="T602" s="233"/>
      <c r="U602" s="231"/>
    </row>
    <row r="603" spans="1:21" ht="13.2">
      <c r="A603" s="231"/>
      <c r="B603" s="232"/>
      <c r="C603" s="231"/>
      <c r="D603" s="231"/>
      <c r="E603" s="231"/>
      <c r="F603" s="231"/>
      <c r="G603" s="231"/>
      <c r="H603" s="233"/>
      <c r="I603" s="233"/>
      <c r="J603" s="233"/>
      <c r="K603" s="233"/>
      <c r="L603" s="233"/>
      <c r="M603" s="233"/>
      <c r="N603" s="233"/>
      <c r="O603" s="234"/>
      <c r="P603" s="234"/>
      <c r="Q603" s="233"/>
      <c r="R603" s="233"/>
      <c r="S603" s="233"/>
      <c r="T603" s="233"/>
      <c r="U603" s="231"/>
    </row>
    <row r="604" spans="1:21" ht="13.2">
      <c r="A604" s="231"/>
      <c r="B604" s="232"/>
      <c r="C604" s="231"/>
      <c r="D604" s="231"/>
      <c r="E604" s="231"/>
      <c r="F604" s="231"/>
      <c r="G604" s="231"/>
      <c r="H604" s="233"/>
      <c r="I604" s="233"/>
      <c r="J604" s="233"/>
      <c r="K604" s="233"/>
      <c r="L604" s="233"/>
      <c r="M604" s="233"/>
      <c r="N604" s="233"/>
      <c r="O604" s="234"/>
      <c r="P604" s="234"/>
      <c r="Q604" s="233"/>
      <c r="R604" s="233"/>
      <c r="S604" s="233"/>
      <c r="T604" s="233"/>
      <c r="U604" s="231"/>
    </row>
    <row r="605" spans="1:21" ht="13.2">
      <c r="A605" s="231"/>
      <c r="B605" s="232"/>
      <c r="C605" s="231"/>
      <c r="D605" s="231"/>
      <c r="E605" s="231"/>
      <c r="F605" s="231"/>
      <c r="G605" s="231"/>
      <c r="H605" s="233"/>
      <c r="I605" s="233"/>
      <c r="J605" s="233"/>
      <c r="K605" s="233"/>
      <c r="L605" s="233"/>
      <c r="M605" s="233"/>
      <c r="N605" s="233"/>
      <c r="O605" s="234"/>
      <c r="P605" s="234"/>
      <c r="Q605" s="233"/>
      <c r="R605" s="233"/>
      <c r="S605" s="233"/>
      <c r="T605" s="233"/>
      <c r="U605" s="231"/>
    </row>
    <row r="606" spans="1:21" ht="13.2">
      <c r="A606" s="231"/>
      <c r="B606" s="232"/>
      <c r="C606" s="231"/>
      <c r="D606" s="231"/>
      <c r="E606" s="231"/>
      <c r="F606" s="231"/>
      <c r="G606" s="231"/>
      <c r="H606" s="233"/>
      <c r="I606" s="233"/>
      <c r="J606" s="233"/>
      <c r="K606" s="233"/>
      <c r="L606" s="233"/>
      <c r="M606" s="233"/>
      <c r="N606" s="233"/>
      <c r="O606" s="234"/>
      <c r="P606" s="234"/>
      <c r="Q606" s="233"/>
      <c r="R606" s="233"/>
      <c r="S606" s="233"/>
      <c r="T606" s="233"/>
      <c r="U606" s="231"/>
    </row>
    <row r="607" spans="1:21" ht="13.2">
      <c r="A607" s="231"/>
      <c r="B607" s="232"/>
      <c r="C607" s="231"/>
      <c r="D607" s="231"/>
      <c r="E607" s="231"/>
      <c r="F607" s="231"/>
      <c r="G607" s="231"/>
      <c r="H607" s="233"/>
      <c r="I607" s="233"/>
      <c r="J607" s="233"/>
      <c r="K607" s="233"/>
      <c r="L607" s="233"/>
      <c r="M607" s="233"/>
      <c r="N607" s="233"/>
      <c r="O607" s="234"/>
      <c r="P607" s="234"/>
      <c r="Q607" s="233"/>
      <c r="R607" s="233"/>
      <c r="S607" s="233"/>
      <c r="T607" s="233"/>
      <c r="U607" s="231"/>
    </row>
    <row r="608" spans="1:21" ht="13.2">
      <c r="A608" s="231"/>
      <c r="B608" s="232"/>
      <c r="C608" s="231"/>
      <c r="D608" s="231"/>
      <c r="E608" s="231"/>
      <c r="F608" s="231"/>
      <c r="G608" s="231"/>
      <c r="H608" s="233"/>
      <c r="I608" s="233"/>
      <c r="J608" s="233"/>
      <c r="K608" s="233"/>
      <c r="L608" s="233"/>
      <c r="M608" s="233"/>
      <c r="N608" s="233"/>
      <c r="O608" s="234"/>
      <c r="P608" s="234"/>
      <c r="Q608" s="233"/>
      <c r="R608" s="233"/>
      <c r="S608" s="233"/>
      <c r="T608" s="233"/>
      <c r="U608" s="231"/>
    </row>
    <row r="609" spans="1:21" ht="13.2">
      <c r="A609" s="231"/>
      <c r="B609" s="232"/>
      <c r="C609" s="231"/>
      <c r="D609" s="231"/>
      <c r="E609" s="231"/>
      <c r="F609" s="231"/>
      <c r="G609" s="231"/>
      <c r="H609" s="233"/>
      <c r="I609" s="233"/>
      <c r="J609" s="233"/>
      <c r="K609" s="233"/>
      <c r="L609" s="233"/>
      <c r="M609" s="233"/>
      <c r="N609" s="233"/>
      <c r="O609" s="234"/>
      <c r="P609" s="234"/>
      <c r="Q609" s="233"/>
      <c r="R609" s="233"/>
      <c r="S609" s="233"/>
      <c r="T609" s="233"/>
      <c r="U609" s="231"/>
    </row>
    <row r="610" spans="1:21" ht="13.2">
      <c r="A610" s="231"/>
      <c r="B610" s="232"/>
      <c r="C610" s="231"/>
      <c r="D610" s="231"/>
      <c r="E610" s="231"/>
      <c r="F610" s="231"/>
      <c r="G610" s="231"/>
      <c r="H610" s="233"/>
      <c r="I610" s="233"/>
      <c r="J610" s="233"/>
      <c r="K610" s="233"/>
      <c r="L610" s="233"/>
      <c r="M610" s="233"/>
      <c r="N610" s="233"/>
      <c r="O610" s="234"/>
      <c r="P610" s="234"/>
      <c r="Q610" s="233"/>
      <c r="R610" s="233"/>
      <c r="S610" s="233"/>
      <c r="T610" s="233"/>
      <c r="U610" s="231"/>
    </row>
    <row r="611" spans="1:21" ht="13.2">
      <c r="A611" s="231"/>
      <c r="B611" s="232"/>
      <c r="C611" s="231"/>
      <c r="D611" s="231"/>
      <c r="E611" s="231"/>
      <c r="F611" s="231"/>
      <c r="G611" s="231"/>
      <c r="H611" s="233"/>
      <c r="I611" s="233"/>
      <c r="J611" s="233"/>
      <c r="K611" s="233"/>
      <c r="L611" s="233"/>
      <c r="M611" s="233"/>
      <c r="N611" s="233"/>
      <c r="O611" s="234"/>
      <c r="P611" s="234"/>
      <c r="Q611" s="233"/>
      <c r="R611" s="233"/>
      <c r="S611" s="233"/>
      <c r="T611" s="233"/>
      <c r="U611" s="231"/>
    </row>
    <row r="612" spans="1:21" ht="13.2">
      <c r="A612" s="231"/>
      <c r="B612" s="232"/>
      <c r="C612" s="231"/>
      <c r="D612" s="231"/>
      <c r="E612" s="231"/>
      <c r="F612" s="231"/>
      <c r="G612" s="231"/>
      <c r="H612" s="233"/>
      <c r="I612" s="233"/>
      <c r="J612" s="233"/>
      <c r="K612" s="233"/>
      <c r="L612" s="233"/>
      <c r="M612" s="233"/>
      <c r="N612" s="233"/>
      <c r="O612" s="234"/>
      <c r="P612" s="234"/>
      <c r="Q612" s="233"/>
      <c r="R612" s="233"/>
      <c r="S612" s="233"/>
      <c r="T612" s="233"/>
      <c r="U612" s="231"/>
    </row>
    <row r="613" spans="1:21" ht="13.2">
      <c r="A613" s="231"/>
      <c r="B613" s="232"/>
      <c r="C613" s="231"/>
      <c r="D613" s="231"/>
      <c r="E613" s="231"/>
      <c r="F613" s="231"/>
      <c r="G613" s="231"/>
      <c r="H613" s="233"/>
      <c r="I613" s="233"/>
      <c r="J613" s="233"/>
      <c r="K613" s="233"/>
      <c r="L613" s="233"/>
      <c r="M613" s="233"/>
      <c r="N613" s="233"/>
      <c r="O613" s="234"/>
      <c r="P613" s="234"/>
      <c r="Q613" s="233"/>
      <c r="R613" s="233"/>
      <c r="S613" s="233"/>
      <c r="T613" s="233"/>
      <c r="U613" s="231"/>
    </row>
    <row r="614" spans="1:21" ht="13.2">
      <c r="A614" s="231"/>
      <c r="B614" s="232"/>
      <c r="C614" s="231"/>
      <c r="D614" s="231"/>
      <c r="E614" s="231"/>
      <c r="F614" s="231"/>
      <c r="G614" s="231"/>
      <c r="H614" s="233"/>
      <c r="I614" s="233"/>
      <c r="J614" s="233"/>
      <c r="K614" s="233"/>
      <c r="L614" s="233"/>
      <c r="M614" s="233"/>
      <c r="N614" s="233"/>
      <c r="O614" s="234"/>
      <c r="P614" s="234"/>
      <c r="Q614" s="233"/>
      <c r="R614" s="233"/>
      <c r="S614" s="233"/>
      <c r="T614" s="233"/>
      <c r="U614" s="231"/>
    </row>
    <row r="615" spans="1:21" ht="13.2">
      <c r="A615" s="231"/>
      <c r="B615" s="232"/>
      <c r="C615" s="231"/>
      <c r="D615" s="231"/>
      <c r="E615" s="231"/>
      <c r="F615" s="231"/>
      <c r="G615" s="231"/>
      <c r="H615" s="233"/>
      <c r="I615" s="233"/>
      <c r="J615" s="233"/>
      <c r="K615" s="233"/>
      <c r="L615" s="233"/>
      <c r="M615" s="233"/>
      <c r="N615" s="233"/>
      <c r="O615" s="234"/>
      <c r="P615" s="234"/>
      <c r="Q615" s="233"/>
      <c r="R615" s="233"/>
      <c r="S615" s="233"/>
      <c r="T615" s="233"/>
      <c r="U615" s="231"/>
    </row>
    <row r="616" spans="1:21" ht="13.2">
      <c r="A616" s="231"/>
      <c r="B616" s="232"/>
      <c r="C616" s="231"/>
      <c r="D616" s="231"/>
      <c r="E616" s="231"/>
      <c r="F616" s="231"/>
      <c r="G616" s="231"/>
      <c r="H616" s="233"/>
      <c r="I616" s="233"/>
      <c r="J616" s="233"/>
      <c r="K616" s="233"/>
      <c r="L616" s="233"/>
      <c r="M616" s="233"/>
      <c r="N616" s="233"/>
      <c r="O616" s="234"/>
      <c r="P616" s="234"/>
      <c r="Q616" s="233"/>
      <c r="R616" s="233"/>
      <c r="S616" s="233"/>
      <c r="T616" s="233"/>
      <c r="U616" s="231"/>
    </row>
    <row r="617" spans="1:21" ht="13.2">
      <c r="A617" s="231"/>
      <c r="B617" s="232"/>
      <c r="C617" s="231"/>
      <c r="D617" s="231"/>
      <c r="E617" s="231"/>
      <c r="F617" s="231"/>
      <c r="G617" s="231"/>
      <c r="H617" s="233"/>
      <c r="I617" s="233"/>
      <c r="J617" s="233"/>
      <c r="K617" s="233"/>
      <c r="L617" s="233"/>
      <c r="M617" s="233"/>
      <c r="N617" s="233"/>
      <c r="O617" s="234"/>
      <c r="P617" s="234"/>
      <c r="Q617" s="233"/>
      <c r="R617" s="233"/>
      <c r="S617" s="233"/>
      <c r="T617" s="233"/>
      <c r="U617" s="231"/>
    </row>
    <row r="618" spans="1:21" ht="13.2">
      <c r="A618" s="231"/>
      <c r="B618" s="232"/>
      <c r="C618" s="231"/>
      <c r="D618" s="231"/>
      <c r="E618" s="231"/>
      <c r="F618" s="231"/>
      <c r="G618" s="231"/>
      <c r="H618" s="233"/>
      <c r="I618" s="233"/>
      <c r="J618" s="233"/>
      <c r="K618" s="233"/>
      <c r="L618" s="233"/>
      <c r="M618" s="233"/>
      <c r="N618" s="233"/>
      <c r="O618" s="234"/>
      <c r="P618" s="234"/>
      <c r="Q618" s="233"/>
      <c r="R618" s="233"/>
      <c r="S618" s="233"/>
      <c r="T618" s="233"/>
      <c r="U618" s="231"/>
    </row>
    <row r="619" spans="1:21" ht="13.2">
      <c r="A619" s="231"/>
      <c r="B619" s="232"/>
      <c r="C619" s="231"/>
      <c r="D619" s="231"/>
      <c r="E619" s="231"/>
      <c r="F619" s="231"/>
      <c r="G619" s="231"/>
      <c r="H619" s="233"/>
      <c r="I619" s="233"/>
      <c r="J619" s="233"/>
      <c r="K619" s="233"/>
      <c r="L619" s="233"/>
      <c r="M619" s="233"/>
      <c r="N619" s="233"/>
      <c r="O619" s="234"/>
      <c r="P619" s="234"/>
      <c r="Q619" s="233"/>
      <c r="R619" s="233"/>
      <c r="S619" s="233"/>
      <c r="T619" s="233"/>
      <c r="U619" s="231"/>
    </row>
    <row r="620" spans="1:21" ht="13.2">
      <c r="A620" s="231"/>
      <c r="B620" s="232"/>
      <c r="C620" s="231"/>
      <c r="D620" s="231"/>
      <c r="E620" s="231"/>
      <c r="F620" s="231"/>
      <c r="G620" s="231"/>
      <c r="H620" s="233"/>
      <c r="I620" s="233"/>
      <c r="J620" s="233"/>
      <c r="K620" s="233"/>
      <c r="L620" s="233"/>
      <c r="M620" s="233"/>
      <c r="N620" s="233"/>
      <c r="O620" s="234"/>
      <c r="P620" s="234"/>
      <c r="Q620" s="233"/>
      <c r="R620" s="233"/>
      <c r="S620" s="233"/>
      <c r="T620" s="233"/>
      <c r="U620" s="231"/>
    </row>
    <row r="621" spans="1:21" ht="13.2">
      <c r="A621" s="231"/>
      <c r="B621" s="232"/>
      <c r="C621" s="231"/>
      <c r="D621" s="231"/>
      <c r="E621" s="231"/>
      <c r="F621" s="231"/>
      <c r="G621" s="231"/>
      <c r="H621" s="233"/>
      <c r="I621" s="233"/>
      <c r="J621" s="233"/>
      <c r="K621" s="233"/>
      <c r="L621" s="233"/>
      <c r="M621" s="233"/>
      <c r="N621" s="233"/>
      <c r="O621" s="234"/>
      <c r="P621" s="234"/>
      <c r="Q621" s="233"/>
      <c r="R621" s="233"/>
      <c r="S621" s="233"/>
      <c r="T621" s="233"/>
      <c r="U621" s="231"/>
    </row>
    <row r="622" spans="1:21" ht="13.2">
      <c r="A622" s="231"/>
      <c r="B622" s="232"/>
      <c r="C622" s="231"/>
      <c r="D622" s="231"/>
      <c r="E622" s="231"/>
      <c r="F622" s="231"/>
      <c r="G622" s="231"/>
      <c r="H622" s="233"/>
      <c r="I622" s="233"/>
      <c r="J622" s="233"/>
      <c r="K622" s="233"/>
      <c r="L622" s="233"/>
      <c r="M622" s="233"/>
      <c r="N622" s="233"/>
      <c r="O622" s="234"/>
      <c r="P622" s="234"/>
      <c r="Q622" s="233"/>
      <c r="R622" s="233"/>
      <c r="S622" s="233"/>
      <c r="T622" s="233"/>
      <c r="U622" s="231"/>
    </row>
    <row r="623" spans="1:21" ht="13.2">
      <c r="A623" s="231"/>
      <c r="B623" s="232"/>
      <c r="C623" s="231"/>
      <c r="D623" s="231"/>
      <c r="E623" s="231"/>
      <c r="F623" s="231"/>
      <c r="G623" s="231"/>
      <c r="H623" s="233"/>
      <c r="I623" s="233"/>
      <c r="J623" s="233"/>
      <c r="K623" s="233"/>
      <c r="L623" s="233"/>
      <c r="M623" s="233"/>
      <c r="N623" s="233"/>
      <c r="O623" s="234"/>
      <c r="P623" s="234"/>
      <c r="Q623" s="233"/>
      <c r="R623" s="233"/>
      <c r="S623" s="233"/>
      <c r="T623" s="233"/>
      <c r="U623" s="231"/>
    </row>
    <row r="624" spans="1:21" ht="13.2">
      <c r="A624" s="231"/>
      <c r="B624" s="232"/>
      <c r="C624" s="231"/>
      <c r="D624" s="231"/>
      <c r="E624" s="231"/>
      <c r="F624" s="231"/>
      <c r="G624" s="231"/>
      <c r="H624" s="233"/>
      <c r="I624" s="233"/>
      <c r="J624" s="233"/>
      <c r="K624" s="233"/>
      <c r="L624" s="233"/>
      <c r="M624" s="233"/>
      <c r="N624" s="233"/>
      <c r="O624" s="234"/>
      <c r="P624" s="234"/>
      <c r="Q624" s="233"/>
      <c r="R624" s="233"/>
      <c r="S624" s="233"/>
      <c r="T624" s="233"/>
      <c r="U624" s="231"/>
    </row>
    <row r="625" spans="1:21" ht="13.2">
      <c r="A625" s="231"/>
      <c r="B625" s="232"/>
      <c r="C625" s="231"/>
      <c r="D625" s="231"/>
      <c r="E625" s="231"/>
      <c r="F625" s="231"/>
      <c r="G625" s="231"/>
      <c r="H625" s="233"/>
      <c r="I625" s="233"/>
      <c r="J625" s="233"/>
      <c r="K625" s="233"/>
      <c r="L625" s="233"/>
      <c r="M625" s="233"/>
      <c r="N625" s="233"/>
      <c r="O625" s="234"/>
      <c r="P625" s="234"/>
      <c r="Q625" s="233"/>
      <c r="R625" s="233"/>
      <c r="S625" s="233"/>
      <c r="T625" s="233"/>
      <c r="U625" s="231"/>
    </row>
    <row r="626" spans="1:21" ht="13.2">
      <c r="A626" s="231"/>
      <c r="B626" s="232"/>
      <c r="C626" s="231"/>
      <c r="D626" s="231"/>
      <c r="E626" s="231"/>
      <c r="F626" s="231"/>
      <c r="G626" s="231"/>
      <c r="H626" s="233"/>
      <c r="I626" s="233"/>
      <c r="J626" s="233"/>
      <c r="K626" s="233"/>
      <c r="L626" s="233"/>
      <c r="M626" s="233"/>
      <c r="N626" s="233"/>
      <c r="O626" s="234"/>
      <c r="P626" s="234"/>
      <c r="Q626" s="233"/>
      <c r="R626" s="233"/>
      <c r="S626" s="233"/>
      <c r="T626" s="233"/>
      <c r="U626" s="231"/>
    </row>
    <row r="627" spans="1:21" ht="13.2">
      <c r="A627" s="231"/>
      <c r="B627" s="232"/>
      <c r="C627" s="231"/>
      <c r="D627" s="231"/>
      <c r="E627" s="231"/>
      <c r="F627" s="231"/>
      <c r="G627" s="231"/>
      <c r="H627" s="233"/>
      <c r="I627" s="233"/>
      <c r="J627" s="233"/>
      <c r="K627" s="233"/>
      <c r="L627" s="233"/>
      <c r="M627" s="233"/>
      <c r="N627" s="233"/>
      <c r="O627" s="234"/>
      <c r="P627" s="234"/>
      <c r="Q627" s="233"/>
      <c r="R627" s="233"/>
      <c r="S627" s="233"/>
      <c r="T627" s="233"/>
      <c r="U627" s="231"/>
    </row>
    <row r="628" spans="1:21" ht="13.2">
      <c r="A628" s="231"/>
      <c r="B628" s="232"/>
      <c r="C628" s="231"/>
      <c r="D628" s="231"/>
      <c r="E628" s="231"/>
      <c r="F628" s="231"/>
      <c r="G628" s="231"/>
      <c r="H628" s="233"/>
      <c r="I628" s="233"/>
      <c r="J628" s="233"/>
      <c r="K628" s="233"/>
      <c r="L628" s="233"/>
      <c r="M628" s="233"/>
      <c r="N628" s="233"/>
      <c r="O628" s="234"/>
      <c r="P628" s="234"/>
      <c r="Q628" s="233"/>
      <c r="R628" s="233"/>
      <c r="S628" s="233"/>
      <c r="T628" s="233"/>
      <c r="U628" s="231"/>
    </row>
    <row r="629" spans="1:21" ht="13.2">
      <c r="A629" s="231"/>
      <c r="B629" s="232"/>
      <c r="C629" s="231"/>
      <c r="D629" s="231"/>
      <c r="E629" s="231"/>
      <c r="F629" s="231"/>
      <c r="G629" s="231"/>
      <c r="H629" s="233"/>
      <c r="I629" s="233"/>
      <c r="J629" s="233"/>
      <c r="K629" s="233"/>
      <c r="L629" s="233"/>
      <c r="M629" s="233"/>
      <c r="N629" s="233"/>
      <c r="O629" s="234"/>
      <c r="P629" s="234"/>
      <c r="Q629" s="233"/>
      <c r="R629" s="233"/>
      <c r="S629" s="233"/>
      <c r="T629" s="233"/>
      <c r="U629" s="231"/>
    </row>
    <row r="630" spans="1:21" ht="13.2">
      <c r="A630" s="231"/>
      <c r="B630" s="232"/>
      <c r="C630" s="231"/>
      <c r="D630" s="231"/>
      <c r="E630" s="231"/>
      <c r="F630" s="231"/>
      <c r="G630" s="231"/>
      <c r="H630" s="233"/>
      <c r="I630" s="233"/>
      <c r="J630" s="233"/>
      <c r="K630" s="233"/>
      <c r="L630" s="233"/>
      <c r="M630" s="233"/>
      <c r="N630" s="233"/>
      <c r="O630" s="234"/>
      <c r="P630" s="234"/>
      <c r="Q630" s="233"/>
      <c r="R630" s="233"/>
      <c r="S630" s="233"/>
      <c r="T630" s="233"/>
      <c r="U630" s="231"/>
    </row>
    <row r="631" spans="1:21" ht="13.2">
      <c r="A631" s="231"/>
      <c r="B631" s="232"/>
      <c r="C631" s="231"/>
      <c r="D631" s="231"/>
      <c r="E631" s="231"/>
      <c r="F631" s="231"/>
      <c r="G631" s="231"/>
      <c r="H631" s="233"/>
      <c r="I631" s="233"/>
      <c r="J631" s="233"/>
      <c r="K631" s="233"/>
      <c r="L631" s="233"/>
      <c r="M631" s="233"/>
      <c r="N631" s="233"/>
      <c r="O631" s="234"/>
      <c r="P631" s="234"/>
      <c r="Q631" s="233"/>
      <c r="R631" s="233"/>
      <c r="S631" s="233"/>
      <c r="T631" s="233"/>
      <c r="U631" s="231"/>
    </row>
    <row r="632" spans="1:21" ht="13.2">
      <c r="A632" s="231"/>
      <c r="B632" s="232"/>
      <c r="C632" s="231"/>
      <c r="D632" s="231"/>
      <c r="E632" s="231"/>
      <c r="F632" s="231"/>
      <c r="G632" s="231"/>
      <c r="H632" s="233"/>
      <c r="I632" s="233"/>
      <c r="J632" s="233"/>
      <c r="K632" s="233"/>
      <c r="L632" s="233"/>
      <c r="M632" s="233"/>
      <c r="N632" s="233"/>
      <c r="O632" s="234"/>
      <c r="P632" s="234"/>
      <c r="Q632" s="233"/>
      <c r="R632" s="233"/>
      <c r="S632" s="233"/>
      <c r="T632" s="233"/>
      <c r="U632" s="231"/>
    </row>
    <row r="633" spans="1:21" ht="13.2">
      <c r="A633" s="231"/>
      <c r="B633" s="232"/>
      <c r="C633" s="231"/>
      <c r="D633" s="231"/>
      <c r="E633" s="231"/>
      <c r="F633" s="231"/>
      <c r="G633" s="231"/>
      <c r="H633" s="233"/>
      <c r="I633" s="233"/>
      <c r="J633" s="233"/>
      <c r="K633" s="233"/>
      <c r="L633" s="233"/>
      <c r="M633" s="233"/>
      <c r="N633" s="233"/>
      <c r="O633" s="234"/>
      <c r="P633" s="234"/>
      <c r="Q633" s="233"/>
      <c r="R633" s="233"/>
      <c r="S633" s="233"/>
      <c r="T633" s="233"/>
      <c r="U633" s="231"/>
    </row>
    <row r="634" spans="1:21" ht="13.2">
      <c r="A634" s="231"/>
      <c r="B634" s="232"/>
      <c r="C634" s="231"/>
      <c r="D634" s="231"/>
      <c r="E634" s="231"/>
      <c r="F634" s="231"/>
      <c r="G634" s="231"/>
      <c r="H634" s="233"/>
      <c r="I634" s="233"/>
      <c r="J634" s="233"/>
      <c r="K634" s="233"/>
      <c r="L634" s="233"/>
      <c r="M634" s="233"/>
      <c r="N634" s="233"/>
      <c r="O634" s="234"/>
      <c r="P634" s="234"/>
      <c r="Q634" s="233"/>
      <c r="R634" s="233"/>
      <c r="S634" s="233"/>
      <c r="T634" s="233"/>
      <c r="U634" s="231"/>
    </row>
    <row r="635" spans="1:21" ht="13.2">
      <c r="A635" s="231"/>
      <c r="B635" s="232"/>
      <c r="C635" s="231"/>
      <c r="D635" s="231"/>
      <c r="E635" s="231"/>
      <c r="F635" s="231"/>
      <c r="G635" s="231"/>
      <c r="H635" s="233"/>
      <c r="I635" s="233"/>
      <c r="J635" s="233"/>
      <c r="K635" s="233"/>
      <c r="L635" s="233"/>
      <c r="M635" s="233"/>
      <c r="N635" s="233"/>
      <c r="O635" s="234"/>
      <c r="P635" s="234"/>
      <c r="Q635" s="233"/>
      <c r="R635" s="233"/>
      <c r="S635" s="233"/>
      <c r="T635" s="233"/>
      <c r="U635" s="231"/>
    </row>
    <row r="636" spans="1:21" ht="13.2">
      <c r="A636" s="231"/>
      <c r="B636" s="232"/>
      <c r="C636" s="231"/>
      <c r="D636" s="231"/>
      <c r="E636" s="231"/>
      <c r="F636" s="231"/>
      <c r="G636" s="231"/>
      <c r="H636" s="233"/>
      <c r="I636" s="233"/>
      <c r="J636" s="233"/>
      <c r="K636" s="233"/>
      <c r="L636" s="233"/>
      <c r="M636" s="233"/>
      <c r="N636" s="233"/>
      <c r="O636" s="234"/>
      <c r="P636" s="234"/>
      <c r="Q636" s="233"/>
      <c r="R636" s="233"/>
      <c r="S636" s="233"/>
      <c r="T636" s="233"/>
      <c r="U636" s="231"/>
    </row>
    <row r="637" spans="1:21" ht="13.2">
      <c r="A637" s="231"/>
      <c r="B637" s="232"/>
      <c r="C637" s="231"/>
      <c r="D637" s="231"/>
      <c r="E637" s="231"/>
      <c r="F637" s="231"/>
      <c r="G637" s="231"/>
      <c r="H637" s="233"/>
      <c r="I637" s="233"/>
      <c r="J637" s="233"/>
      <c r="K637" s="233"/>
      <c r="L637" s="233"/>
      <c r="M637" s="233"/>
      <c r="N637" s="233"/>
      <c r="O637" s="234"/>
      <c r="P637" s="234"/>
      <c r="Q637" s="233"/>
      <c r="R637" s="233"/>
      <c r="S637" s="233"/>
      <c r="T637" s="233"/>
      <c r="U637" s="231"/>
    </row>
    <row r="638" spans="1:21" ht="13.2">
      <c r="A638" s="231"/>
      <c r="B638" s="232"/>
      <c r="C638" s="231"/>
      <c r="D638" s="231"/>
      <c r="E638" s="231"/>
      <c r="F638" s="231"/>
      <c r="G638" s="231"/>
      <c r="H638" s="233"/>
      <c r="I638" s="233"/>
      <c r="J638" s="233"/>
      <c r="K638" s="233"/>
      <c r="L638" s="233"/>
      <c r="M638" s="233"/>
      <c r="N638" s="233"/>
      <c r="O638" s="234"/>
      <c r="P638" s="234"/>
      <c r="Q638" s="233"/>
      <c r="R638" s="233"/>
      <c r="S638" s="233"/>
      <c r="T638" s="233"/>
      <c r="U638" s="231"/>
    </row>
    <row r="639" spans="1:21" ht="13.2">
      <c r="A639" s="231"/>
      <c r="B639" s="232"/>
      <c r="C639" s="231"/>
      <c r="D639" s="231"/>
      <c r="E639" s="231"/>
      <c r="F639" s="231"/>
      <c r="G639" s="231"/>
      <c r="H639" s="233"/>
      <c r="I639" s="233"/>
      <c r="J639" s="233"/>
      <c r="K639" s="233"/>
      <c r="L639" s="233"/>
      <c r="M639" s="233"/>
      <c r="N639" s="233"/>
      <c r="O639" s="234"/>
      <c r="P639" s="234"/>
      <c r="Q639" s="233"/>
      <c r="R639" s="233"/>
      <c r="S639" s="233"/>
      <c r="T639" s="233"/>
      <c r="U639" s="231"/>
    </row>
    <row r="640" spans="1:21" ht="13.2">
      <c r="A640" s="231"/>
      <c r="B640" s="232"/>
      <c r="C640" s="231"/>
      <c r="D640" s="231"/>
      <c r="E640" s="231"/>
      <c r="F640" s="231"/>
      <c r="G640" s="231"/>
      <c r="H640" s="233"/>
      <c r="I640" s="233"/>
      <c r="J640" s="233"/>
      <c r="K640" s="233"/>
      <c r="L640" s="233"/>
      <c r="M640" s="233"/>
      <c r="N640" s="233"/>
      <c r="O640" s="234"/>
      <c r="P640" s="234"/>
      <c r="Q640" s="233"/>
      <c r="R640" s="233"/>
      <c r="S640" s="233"/>
      <c r="T640" s="233"/>
      <c r="U640" s="231"/>
    </row>
    <row r="641" spans="1:21" ht="13.2">
      <c r="A641" s="231"/>
      <c r="B641" s="232"/>
      <c r="C641" s="231"/>
      <c r="D641" s="231"/>
      <c r="E641" s="231"/>
      <c r="F641" s="231"/>
      <c r="G641" s="231"/>
      <c r="H641" s="233"/>
      <c r="I641" s="233"/>
      <c r="J641" s="233"/>
      <c r="K641" s="233"/>
      <c r="L641" s="233"/>
      <c r="M641" s="233"/>
      <c r="N641" s="233"/>
      <c r="O641" s="234"/>
      <c r="P641" s="234"/>
      <c r="Q641" s="233"/>
      <c r="R641" s="233"/>
      <c r="S641" s="233"/>
      <c r="T641" s="233"/>
      <c r="U641" s="231"/>
    </row>
    <row r="642" spans="1:21" ht="13.2">
      <c r="A642" s="231"/>
      <c r="B642" s="232"/>
      <c r="C642" s="231"/>
      <c r="D642" s="231"/>
      <c r="E642" s="231"/>
      <c r="F642" s="231"/>
      <c r="G642" s="231"/>
      <c r="H642" s="233"/>
      <c r="I642" s="233"/>
      <c r="J642" s="233"/>
      <c r="K642" s="233"/>
      <c r="L642" s="233"/>
      <c r="M642" s="233"/>
      <c r="N642" s="233"/>
      <c r="O642" s="234"/>
      <c r="P642" s="234"/>
      <c r="Q642" s="233"/>
      <c r="R642" s="233"/>
      <c r="S642" s="233"/>
      <c r="T642" s="233"/>
      <c r="U642" s="231"/>
    </row>
    <row r="643" spans="1:21" ht="13.2">
      <c r="A643" s="231"/>
      <c r="B643" s="232"/>
      <c r="C643" s="231"/>
      <c r="D643" s="231"/>
      <c r="E643" s="231"/>
      <c r="F643" s="231"/>
      <c r="G643" s="231"/>
      <c r="H643" s="233"/>
      <c r="I643" s="233"/>
      <c r="J643" s="233"/>
      <c r="K643" s="233"/>
      <c r="L643" s="233"/>
      <c r="M643" s="233"/>
      <c r="N643" s="233"/>
      <c r="O643" s="234"/>
      <c r="P643" s="234"/>
      <c r="Q643" s="233"/>
      <c r="R643" s="233"/>
      <c r="S643" s="233"/>
      <c r="T643" s="233"/>
      <c r="U643" s="231"/>
    </row>
    <row r="644" spans="1:21" ht="13.2">
      <c r="A644" s="231"/>
      <c r="B644" s="232"/>
      <c r="C644" s="231"/>
      <c r="D644" s="231"/>
      <c r="E644" s="231"/>
      <c r="F644" s="231"/>
      <c r="G644" s="231"/>
      <c r="H644" s="233"/>
      <c r="I644" s="233"/>
      <c r="J644" s="233"/>
      <c r="K644" s="233"/>
      <c r="L644" s="233"/>
      <c r="M644" s="233"/>
      <c r="N644" s="233"/>
      <c r="O644" s="234"/>
      <c r="P644" s="234"/>
      <c r="Q644" s="233"/>
      <c r="R644" s="233"/>
      <c r="S644" s="233"/>
      <c r="T644" s="233"/>
      <c r="U644" s="231"/>
    </row>
    <row r="645" spans="1:21" ht="13.2">
      <c r="A645" s="231"/>
      <c r="B645" s="232"/>
      <c r="C645" s="231"/>
      <c r="D645" s="231"/>
      <c r="E645" s="231"/>
      <c r="F645" s="231"/>
      <c r="G645" s="231"/>
      <c r="H645" s="233"/>
      <c r="I645" s="233"/>
      <c r="J645" s="233"/>
      <c r="K645" s="233"/>
      <c r="L645" s="233"/>
      <c r="M645" s="233"/>
      <c r="N645" s="233"/>
      <c r="O645" s="234"/>
      <c r="P645" s="234"/>
      <c r="Q645" s="233"/>
      <c r="R645" s="233"/>
      <c r="S645" s="233"/>
      <c r="T645" s="233"/>
      <c r="U645" s="231"/>
    </row>
    <row r="646" spans="1:21" ht="13.2">
      <c r="A646" s="231"/>
      <c r="B646" s="232"/>
      <c r="C646" s="231"/>
      <c r="D646" s="231"/>
      <c r="E646" s="231"/>
      <c r="F646" s="231"/>
      <c r="G646" s="231"/>
      <c r="H646" s="233"/>
      <c r="I646" s="233"/>
      <c r="J646" s="233"/>
      <c r="K646" s="233"/>
      <c r="L646" s="233"/>
      <c r="M646" s="233"/>
      <c r="N646" s="233"/>
      <c r="O646" s="234"/>
      <c r="P646" s="234"/>
      <c r="Q646" s="233"/>
      <c r="R646" s="233"/>
      <c r="S646" s="233"/>
      <c r="T646" s="233"/>
      <c r="U646" s="231"/>
    </row>
    <row r="647" spans="1:21" ht="13.2">
      <c r="A647" s="231"/>
      <c r="B647" s="232"/>
      <c r="C647" s="231"/>
      <c r="D647" s="231"/>
      <c r="E647" s="231"/>
      <c r="F647" s="231"/>
      <c r="G647" s="231"/>
      <c r="H647" s="233"/>
      <c r="I647" s="233"/>
      <c r="J647" s="233"/>
      <c r="K647" s="233"/>
      <c r="L647" s="233"/>
      <c r="M647" s="233"/>
      <c r="N647" s="233"/>
      <c r="O647" s="234"/>
      <c r="P647" s="234"/>
      <c r="Q647" s="233"/>
      <c r="R647" s="233"/>
      <c r="S647" s="233"/>
      <c r="T647" s="233"/>
      <c r="U647" s="231"/>
    </row>
    <row r="648" spans="1:21" ht="13.2">
      <c r="A648" s="231"/>
      <c r="B648" s="232"/>
      <c r="C648" s="231"/>
      <c r="D648" s="231"/>
      <c r="E648" s="231"/>
      <c r="F648" s="231"/>
      <c r="G648" s="231"/>
      <c r="H648" s="233"/>
      <c r="I648" s="233"/>
      <c r="J648" s="233"/>
      <c r="K648" s="233"/>
      <c r="L648" s="233"/>
      <c r="M648" s="233"/>
      <c r="N648" s="233"/>
      <c r="O648" s="234"/>
      <c r="P648" s="234"/>
      <c r="Q648" s="233"/>
      <c r="R648" s="233"/>
      <c r="S648" s="233"/>
      <c r="T648" s="233"/>
      <c r="U648" s="231"/>
    </row>
    <row r="649" spans="1:21" ht="13.2">
      <c r="A649" s="231"/>
      <c r="B649" s="232"/>
      <c r="C649" s="231"/>
      <c r="D649" s="231"/>
      <c r="E649" s="231"/>
      <c r="F649" s="231"/>
      <c r="G649" s="231"/>
      <c r="H649" s="233"/>
      <c r="I649" s="233"/>
      <c r="J649" s="233"/>
      <c r="K649" s="233"/>
      <c r="L649" s="233"/>
      <c r="M649" s="233"/>
      <c r="N649" s="233"/>
      <c r="O649" s="234"/>
      <c r="P649" s="234"/>
      <c r="Q649" s="233"/>
      <c r="R649" s="233"/>
      <c r="S649" s="233"/>
      <c r="T649" s="233"/>
      <c r="U649" s="231"/>
    </row>
    <row r="650" spans="1:21" ht="13.2">
      <c r="A650" s="231"/>
      <c r="B650" s="232"/>
      <c r="C650" s="231"/>
      <c r="D650" s="231"/>
      <c r="E650" s="231"/>
      <c r="F650" s="231"/>
      <c r="G650" s="231"/>
      <c r="H650" s="233"/>
      <c r="I650" s="233"/>
      <c r="J650" s="233"/>
      <c r="K650" s="233"/>
      <c r="L650" s="233"/>
      <c r="M650" s="233"/>
      <c r="N650" s="233"/>
      <c r="O650" s="234"/>
      <c r="P650" s="234"/>
      <c r="Q650" s="233"/>
      <c r="R650" s="233"/>
      <c r="S650" s="233"/>
      <c r="T650" s="233"/>
      <c r="U650" s="231"/>
    </row>
    <row r="651" spans="1:21" ht="13.2">
      <c r="A651" s="231"/>
      <c r="B651" s="232"/>
      <c r="C651" s="231"/>
      <c r="D651" s="231"/>
      <c r="E651" s="231"/>
      <c r="F651" s="231"/>
      <c r="G651" s="231"/>
      <c r="H651" s="233"/>
      <c r="I651" s="233"/>
      <c r="J651" s="233"/>
      <c r="K651" s="233"/>
      <c r="L651" s="233"/>
      <c r="M651" s="233"/>
      <c r="N651" s="233"/>
      <c r="O651" s="234"/>
      <c r="P651" s="234"/>
      <c r="Q651" s="233"/>
      <c r="R651" s="233"/>
      <c r="S651" s="233"/>
      <c r="T651" s="233"/>
      <c r="U651" s="231"/>
    </row>
    <row r="652" spans="1:21" ht="13.2">
      <c r="A652" s="231"/>
      <c r="B652" s="232"/>
      <c r="C652" s="231"/>
      <c r="D652" s="231"/>
      <c r="E652" s="231"/>
      <c r="F652" s="231"/>
      <c r="G652" s="231"/>
      <c r="H652" s="233"/>
      <c r="I652" s="233"/>
      <c r="J652" s="233"/>
      <c r="K652" s="233"/>
      <c r="L652" s="233"/>
      <c r="M652" s="233"/>
      <c r="N652" s="233"/>
      <c r="O652" s="234"/>
      <c r="P652" s="234"/>
      <c r="Q652" s="233"/>
      <c r="R652" s="233"/>
      <c r="S652" s="233"/>
      <c r="T652" s="233"/>
      <c r="U652" s="231"/>
    </row>
    <row r="653" spans="1:21" ht="13.2">
      <c r="A653" s="231"/>
      <c r="B653" s="232"/>
      <c r="C653" s="231"/>
      <c r="D653" s="231"/>
      <c r="E653" s="231"/>
      <c r="F653" s="231"/>
      <c r="G653" s="231"/>
      <c r="H653" s="233"/>
      <c r="I653" s="233"/>
      <c r="J653" s="233"/>
      <c r="K653" s="233"/>
      <c r="L653" s="233"/>
      <c r="M653" s="233"/>
      <c r="N653" s="233"/>
      <c r="O653" s="234"/>
      <c r="P653" s="234"/>
      <c r="Q653" s="233"/>
      <c r="R653" s="233"/>
      <c r="S653" s="233"/>
      <c r="T653" s="233"/>
      <c r="U653" s="231"/>
    </row>
    <row r="654" spans="1:21" ht="13.2">
      <c r="A654" s="231"/>
      <c r="B654" s="232"/>
      <c r="C654" s="231"/>
      <c r="D654" s="231"/>
      <c r="E654" s="231"/>
      <c r="F654" s="231"/>
      <c r="G654" s="231"/>
      <c r="H654" s="233"/>
      <c r="I654" s="233"/>
      <c r="J654" s="233"/>
      <c r="K654" s="233"/>
      <c r="L654" s="233"/>
      <c r="M654" s="233"/>
      <c r="N654" s="233"/>
      <c r="O654" s="234"/>
      <c r="P654" s="234"/>
      <c r="Q654" s="233"/>
      <c r="R654" s="233"/>
      <c r="S654" s="233"/>
      <c r="T654" s="233"/>
      <c r="U654" s="231"/>
    </row>
    <row r="655" spans="1:21" ht="13.2">
      <c r="A655" s="231"/>
      <c r="B655" s="232"/>
      <c r="C655" s="231"/>
      <c r="D655" s="231"/>
      <c r="E655" s="231"/>
      <c r="F655" s="231"/>
      <c r="G655" s="231"/>
      <c r="H655" s="233"/>
      <c r="I655" s="233"/>
      <c r="J655" s="233"/>
      <c r="K655" s="233"/>
      <c r="L655" s="233"/>
      <c r="M655" s="233"/>
      <c r="N655" s="233"/>
      <c r="O655" s="234"/>
      <c r="P655" s="234"/>
      <c r="Q655" s="233"/>
      <c r="R655" s="233"/>
      <c r="S655" s="233"/>
      <c r="T655" s="233"/>
      <c r="U655" s="231"/>
    </row>
    <row r="656" spans="1:21" ht="13.2">
      <c r="A656" s="231"/>
      <c r="B656" s="232"/>
      <c r="C656" s="231"/>
      <c r="D656" s="231"/>
      <c r="E656" s="231"/>
      <c r="F656" s="231"/>
      <c r="G656" s="231"/>
      <c r="H656" s="233"/>
      <c r="I656" s="233"/>
      <c r="J656" s="233"/>
      <c r="K656" s="233"/>
      <c r="L656" s="233"/>
      <c r="M656" s="233"/>
      <c r="N656" s="233"/>
      <c r="O656" s="234"/>
      <c r="P656" s="234"/>
      <c r="Q656" s="233"/>
      <c r="R656" s="233"/>
      <c r="S656" s="233"/>
      <c r="T656" s="233"/>
      <c r="U656" s="231"/>
    </row>
    <row r="657" spans="1:21" ht="13.2">
      <c r="A657" s="231"/>
      <c r="B657" s="232"/>
      <c r="C657" s="231"/>
      <c r="D657" s="231"/>
      <c r="E657" s="231"/>
      <c r="F657" s="231"/>
      <c r="G657" s="231"/>
      <c r="H657" s="233"/>
      <c r="I657" s="233"/>
      <c r="J657" s="233"/>
      <c r="K657" s="233"/>
      <c r="L657" s="233"/>
      <c r="M657" s="233"/>
      <c r="N657" s="233"/>
      <c r="O657" s="234"/>
      <c r="P657" s="234"/>
      <c r="Q657" s="233"/>
      <c r="R657" s="233"/>
      <c r="S657" s="233"/>
      <c r="T657" s="233"/>
      <c r="U657" s="231"/>
    </row>
    <row r="658" spans="1:21" ht="13.2">
      <c r="A658" s="231"/>
      <c r="B658" s="232"/>
      <c r="C658" s="231"/>
      <c r="D658" s="231"/>
      <c r="E658" s="231"/>
      <c r="F658" s="231"/>
      <c r="G658" s="231"/>
      <c r="H658" s="233"/>
      <c r="I658" s="233"/>
      <c r="J658" s="233"/>
      <c r="K658" s="233"/>
      <c r="L658" s="233"/>
      <c r="M658" s="233"/>
      <c r="N658" s="233"/>
      <c r="O658" s="234"/>
      <c r="P658" s="234"/>
      <c r="Q658" s="233"/>
      <c r="R658" s="233"/>
      <c r="S658" s="233"/>
      <c r="T658" s="233"/>
      <c r="U658" s="231"/>
    </row>
    <row r="659" spans="1:21" ht="13.2">
      <c r="A659" s="231"/>
      <c r="B659" s="232"/>
      <c r="C659" s="231"/>
      <c r="D659" s="231"/>
      <c r="E659" s="231"/>
      <c r="F659" s="231"/>
      <c r="G659" s="231"/>
      <c r="H659" s="233"/>
      <c r="I659" s="233"/>
      <c r="J659" s="233"/>
      <c r="K659" s="233"/>
      <c r="L659" s="233"/>
      <c r="M659" s="233"/>
      <c r="N659" s="233"/>
      <c r="O659" s="234"/>
      <c r="P659" s="234"/>
      <c r="Q659" s="233"/>
      <c r="R659" s="233"/>
      <c r="S659" s="233"/>
      <c r="T659" s="233"/>
      <c r="U659" s="231"/>
    </row>
    <row r="660" spans="1:21" ht="13.2">
      <c r="A660" s="231"/>
      <c r="B660" s="232"/>
      <c r="C660" s="231"/>
      <c r="D660" s="231"/>
      <c r="E660" s="231"/>
      <c r="F660" s="231"/>
      <c r="G660" s="231"/>
      <c r="H660" s="233"/>
      <c r="I660" s="233"/>
      <c r="J660" s="233"/>
      <c r="K660" s="233"/>
      <c r="L660" s="233"/>
      <c r="M660" s="233"/>
      <c r="N660" s="233"/>
      <c r="O660" s="234"/>
      <c r="P660" s="234"/>
      <c r="Q660" s="233"/>
      <c r="R660" s="233"/>
      <c r="S660" s="233"/>
      <c r="T660" s="233"/>
      <c r="U660" s="231"/>
    </row>
    <row r="661" spans="1:21" ht="13.2">
      <c r="A661" s="231"/>
      <c r="B661" s="232"/>
      <c r="C661" s="231"/>
      <c r="D661" s="231"/>
      <c r="E661" s="231"/>
      <c r="F661" s="231"/>
      <c r="G661" s="231"/>
      <c r="H661" s="233"/>
      <c r="I661" s="233"/>
      <c r="J661" s="233"/>
      <c r="K661" s="233"/>
      <c r="L661" s="233"/>
      <c r="M661" s="233"/>
      <c r="N661" s="233"/>
      <c r="O661" s="234"/>
      <c r="P661" s="234"/>
      <c r="Q661" s="233"/>
      <c r="R661" s="233"/>
      <c r="S661" s="233"/>
      <c r="T661" s="233"/>
      <c r="U661" s="231"/>
    </row>
    <row r="662" spans="1:21" ht="13.2">
      <c r="A662" s="231"/>
      <c r="B662" s="232"/>
      <c r="C662" s="231"/>
      <c r="D662" s="231"/>
      <c r="E662" s="231"/>
      <c r="F662" s="231"/>
      <c r="G662" s="231"/>
      <c r="H662" s="233"/>
      <c r="I662" s="233"/>
      <c r="J662" s="233"/>
      <c r="K662" s="233"/>
      <c r="L662" s="233"/>
      <c r="M662" s="233"/>
      <c r="N662" s="233"/>
      <c r="O662" s="234"/>
      <c r="P662" s="234"/>
      <c r="Q662" s="233"/>
      <c r="R662" s="233"/>
      <c r="S662" s="233"/>
      <c r="T662" s="233"/>
      <c r="U662" s="231"/>
    </row>
    <row r="663" spans="1:21" ht="13.2">
      <c r="A663" s="231"/>
      <c r="B663" s="232"/>
      <c r="C663" s="231"/>
      <c r="D663" s="231"/>
      <c r="E663" s="231"/>
      <c r="F663" s="231"/>
      <c r="G663" s="231"/>
      <c r="H663" s="233"/>
      <c r="I663" s="233"/>
      <c r="J663" s="233"/>
      <c r="K663" s="233"/>
      <c r="L663" s="233"/>
      <c r="M663" s="233"/>
      <c r="N663" s="233"/>
      <c r="O663" s="234"/>
      <c r="P663" s="234"/>
      <c r="Q663" s="233"/>
      <c r="R663" s="233"/>
      <c r="S663" s="233"/>
      <c r="T663" s="233"/>
      <c r="U663" s="231"/>
    </row>
    <row r="664" spans="1:21" ht="13.2">
      <c r="A664" s="231"/>
      <c r="B664" s="232"/>
      <c r="C664" s="231"/>
      <c r="D664" s="231"/>
      <c r="E664" s="231"/>
      <c r="F664" s="231"/>
      <c r="G664" s="231"/>
      <c r="H664" s="233"/>
      <c r="I664" s="233"/>
      <c r="J664" s="233"/>
      <c r="K664" s="233"/>
      <c r="L664" s="233"/>
      <c r="M664" s="233"/>
      <c r="N664" s="233"/>
      <c r="O664" s="234"/>
      <c r="P664" s="234"/>
      <c r="Q664" s="233"/>
      <c r="R664" s="233"/>
      <c r="S664" s="233"/>
      <c r="T664" s="233"/>
      <c r="U664" s="231"/>
    </row>
    <row r="665" spans="1:21" ht="13.2">
      <c r="A665" s="231"/>
      <c r="B665" s="232"/>
      <c r="C665" s="231"/>
      <c r="D665" s="231"/>
      <c r="E665" s="231"/>
      <c r="F665" s="231"/>
      <c r="G665" s="231"/>
      <c r="H665" s="233"/>
      <c r="I665" s="233"/>
      <c r="J665" s="233"/>
      <c r="K665" s="233"/>
      <c r="L665" s="233"/>
      <c r="M665" s="233"/>
      <c r="N665" s="233"/>
      <c r="O665" s="234"/>
      <c r="P665" s="234"/>
      <c r="Q665" s="233"/>
      <c r="R665" s="233"/>
      <c r="S665" s="233"/>
      <c r="T665" s="233"/>
      <c r="U665" s="231"/>
    </row>
    <row r="666" spans="1:21" ht="13.2">
      <c r="A666" s="231"/>
      <c r="B666" s="232"/>
      <c r="C666" s="231"/>
      <c r="D666" s="231"/>
      <c r="E666" s="231"/>
      <c r="F666" s="231"/>
      <c r="G666" s="231"/>
      <c r="H666" s="233"/>
      <c r="I666" s="233"/>
      <c r="J666" s="233"/>
      <c r="K666" s="233"/>
      <c r="L666" s="233"/>
      <c r="M666" s="233"/>
      <c r="N666" s="233"/>
      <c r="O666" s="234"/>
      <c r="P666" s="234"/>
      <c r="Q666" s="233"/>
      <c r="R666" s="233"/>
      <c r="S666" s="233"/>
      <c r="T666" s="233"/>
      <c r="U666" s="231"/>
    </row>
    <row r="667" spans="1:21" ht="13.2">
      <c r="A667" s="231"/>
      <c r="B667" s="232"/>
      <c r="C667" s="231"/>
      <c r="D667" s="231"/>
      <c r="E667" s="231"/>
      <c r="F667" s="231"/>
      <c r="G667" s="231"/>
      <c r="H667" s="233"/>
      <c r="I667" s="233"/>
      <c r="J667" s="233"/>
      <c r="K667" s="233"/>
      <c r="L667" s="233"/>
      <c r="M667" s="233"/>
      <c r="N667" s="233"/>
      <c r="O667" s="234"/>
      <c r="P667" s="234"/>
      <c r="Q667" s="233"/>
      <c r="R667" s="233"/>
      <c r="S667" s="233"/>
      <c r="T667" s="233"/>
      <c r="U667" s="231"/>
    </row>
    <row r="668" spans="1:21" ht="13.2">
      <c r="A668" s="231"/>
      <c r="B668" s="232"/>
      <c r="C668" s="231"/>
      <c r="D668" s="231"/>
      <c r="E668" s="231"/>
      <c r="F668" s="231"/>
      <c r="G668" s="231"/>
      <c r="H668" s="233"/>
      <c r="I668" s="233"/>
      <c r="J668" s="233"/>
      <c r="K668" s="233"/>
      <c r="L668" s="233"/>
      <c r="M668" s="233"/>
      <c r="N668" s="233"/>
      <c r="O668" s="234"/>
      <c r="P668" s="234"/>
      <c r="Q668" s="233"/>
      <c r="R668" s="233"/>
      <c r="S668" s="233"/>
      <c r="T668" s="233"/>
      <c r="U668" s="231"/>
    </row>
    <row r="669" spans="1:21" ht="13.2">
      <c r="A669" s="231"/>
      <c r="B669" s="232"/>
      <c r="C669" s="231"/>
      <c r="D669" s="231"/>
      <c r="E669" s="231"/>
      <c r="F669" s="231"/>
      <c r="G669" s="231"/>
      <c r="H669" s="233"/>
      <c r="I669" s="233"/>
      <c r="J669" s="233"/>
      <c r="K669" s="233"/>
      <c r="L669" s="233"/>
      <c r="M669" s="233"/>
      <c r="N669" s="233"/>
      <c r="O669" s="234"/>
      <c r="P669" s="234"/>
      <c r="Q669" s="233"/>
      <c r="R669" s="233"/>
      <c r="S669" s="233"/>
      <c r="T669" s="233"/>
      <c r="U669" s="231"/>
    </row>
    <row r="670" spans="1:21" ht="13.2">
      <c r="A670" s="231"/>
      <c r="B670" s="232"/>
      <c r="C670" s="231"/>
      <c r="D670" s="231"/>
      <c r="E670" s="231"/>
      <c r="F670" s="231"/>
      <c r="G670" s="231"/>
      <c r="H670" s="233"/>
      <c r="I670" s="233"/>
      <c r="J670" s="233"/>
      <c r="K670" s="233"/>
      <c r="L670" s="233"/>
      <c r="M670" s="233"/>
      <c r="N670" s="233"/>
      <c r="O670" s="234"/>
      <c r="P670" s="234"/>
      <c r="Q670" s="233"/>
      <c r="R670" s="233"/>
      <c r="S670" s="233"/>
      <c r="T670" s="233"/>
      <c r="U670" s="231"/>
    </row>
    <row r="671" spans="1:21" ht="13.2">
      <c r="A671" s="231"/>
      <c r="B671" s="232"/>
      <c r="C671" s="231"/>
      <c r="D671" s="231"/>
      <c r="E671" s="231"/>
      <c r="F671" s="231"/>
      <c r="G671" s="231"/>
      <c r="H671" s="233"/>
      <c r="I671" s="233"/>
      <c r="J671" s="233"/>
      <c r="K671" s="233"/>
      <c r="L671" s="233"/>
      <c r="M671" s="233"/>
      <c r="N671" s="233"/>
      <c r="O671" s="234"/>
      <c r="P671" s="234"/>
      <c r="Q671" s="233"/>
      <c r="R671" s="233"/>
      <c r="S671" s="233"/>
      <c r="T671" s="233"/>
      <c r="U671" s="231"/>
    </row>
    <row r="672" spans="1:21" ht="13.2">
      <c r="A672" s="231"/>
      <c r="B672" s="232"/>
      <c r="C672" s="231"/>
      <c r="D672" s="231"/>
      <c r="E672" s="231"/>
      <c r="F672" s="231"/>
      <c r="G672" s="231"/>
      <c r="H672" s="233"/>
      <c r="I672" s="233"/>
      <c r="J672" s="233"/>
      <c r="K672" s="233"/>
      <c r="L672" s="233"/>
      <c r="M672" s="233"/>
      <c r="N672" s="233"/>
      <c r="O672" s="234"/>
      <c r="P672" s="234"/>
      <c r="Q672" s="233"/>
      <c r="R672" s="233"/>
      <c r="S672" s="233"/>
      <c r="T672" s="233"/>
      <c r="U672" s="231"/>
    </row>
    <row r="673" spans="1:21" ht="13.2">
      <c r="A673" s="231"/>
      <c r="B673" s="232"/>
      <c r="C673" s="231"/>
      <c r="D673" s="231"/>
      <c r="E673" s="231"/>
      <c r="F673" s="231"/>
      <c r="G673" s="231"/>
      <c r="H673" s="233"/>
      <c r="I673" s="233"/>
      <c r="J673" s="233"/>
      <c r="K673" s="233"/>
      <c r="L673" s="233"/>
      <c r="M673" s="233"/>
      <c r="N673" s="233"/>
      <c r="O673" s="234"/>
      <c r="P673" s="234"/>
      <c r="Q673" s="233"/>
      <c r="R673" s="233"/>
      <c r="S673" s="233"/>
      <c r="T673" s="233"/>
      <c r="U673" s="231"/>
    </row>
    <row r="674" spans="1:21" ht="13.2">
      <c r="A674" s="231"/>
      <c r="B674" s="232"/>
      <c r="C674" s="231"/>
      <c r="D674" s="231"/>
      <c r="E674" s="231"/>
      <c r="F674" s="231"/>
      <c r="G674" s="231"/>
      <c r="H674" s="233"/>
      <c r="I674" s="233"/>
      <c r="J674" s="233"/>
      <c r="K674" s="233"/>
      <c r="L674" s="233"/>
      <c r="M674" s="233"/>
      <c r="N674" s="233"/>
      <c r="O674" s="234"/>
      <c r="P674" s="234"/>
      <c r="Q674" s="233"/>
      <c r="R674" s="233"/>
      <c r="S674" s="233"/>
      <c r="T674" s="233"/>
      <c r="U674" s="231"/>
    </row>
    <row r="675" spans="1:21" ht="13.2">
      <c r="A675" s="231"/>
      <c r="B675" s="232"/>
      <c r="C675" s="231"/>
      <c r="D675" s="231"/>
      <c r="E675" s="231"/>
      <c r="F675" s="231"/>
      <c r="G675" s="231"/>
      <c r="H675" s="233"/>
      <c r="I675" s="233"/>
      <c r="J675" s="233"/>
      <c r="K675" s="233"/>
      <c r="L675" s="233"/>
      <c r="M675" s="233"/>
      <c r="N675" s="233"/>
      <c r="O675" s="234"/>
      <c r="P675" s="234"/>
      <c r="Q675" s="233"/>
      <c r="R675" s="233"/>
      <c r="S675" s="233"/>
      <c r="T675" s="233"/>
      <c r="U675" s="231"/>
    </row>
    <row r="676" spans="1:21" ht="13.2">
      <c r="A676" s="231"/>
      <c r="B676" s="232"/>
      <c r="C676" s="231"/>
      <c r="D676" s="231"/>
      <c r="E676" s="231"/>
      <c r="F676" s="231"/>
      <c r="G676" s="231"/>
      <c r="H676" s="233"/>
      <c r="I676" s="233"/>
      <c r="J676" s="233"/>
      <c r="K676" s="233"/>
      <c r="L676" s="233"/>
      <c r="M676" s="233"/>
      <c r="N676" s="233"/>
      <c r="O676" s="234"/>
      <c r="P676" s="234"/>
      <c r="Q676" s="233"/>
      <c r="R676" s="233"/>
      <c r="S676" s="233"/>
      <c r="T676" s="233"/>
      <c r="U676" s="231"/>
    </row>
    <row r="677" spans="1:21" ht="13.2">
      <c r="A677" s="231"/>
      <c r="B677" s="232"/>
      <c r="C677" s="231"/>
      <c r="D677" s="231"/>
      <c r="E677" s="231"/>
      <c r="F677" s="231"/>
      <c r="G677" s="231"/>
      <c r="H677" s="233"/>
      <c r="I677" s="233"/>
      <c r="J677" s="233"/>
      <c r="K677" s="233"/>
      <c r="L677" s="233"/>
      <c r="M677" s="233"/>
      <c r="N677" s="233"/>
      <c r="O677" s="234"/>
      <c r="P677" s="234"/>
      <c r="Q677" s="233"/>
      <c r="R677" s="233"/>
      <c r="S677" s="233"/>
      <c r="T677" s="233"/>
      <c r="U677" s="231"/>
    </row>
    <row r="678" spans="1:21" ht="13.2">
      <c r="A678" s="231"/>
      <c r="B678" s="232"/>
      <c r="C678" s="231"/>
      <c r="D678" s="231"/>
      <c r="E678" s="231"/>
      <c r="F678" s="231"/>
      <c r="G678" s="231"/>
      <c r="H678" s="233"/>
      <c r="I678" s="233"/>
      <c r="J678" s="233"/>
      <c r="K678" s="233"/>
      <c r="L678" s="233"/>
      <c r="M678" s="233"/>
      <c r="N678" s="233"/>
      <c r="O678" s="234"/>
      <c r="P678" s="234"/>
      <c r="Q678" s="233"/>
      <c r="R678" s="233"/>
      <c r="S678" s="233"/>
      <c r="T678" s="233"/>
      <c r="U678" s="231"/>
    </row>
    <row r="679" spans="1:21" ht="13.2">
      <c r="A679" s="231"/>
      <c r="B679" s="232"/>
      <c r="C679" s="231"/>
      <c r="D679" s="231"/>
      <c r="E679" s="231"/>
      <c r="F679" s="231"/>
      <c r="G679" s="231"/>
      <c r="H679" s="233"/>
      <c r="I679" s="233"/>
      <c r="J679" s="233"/>
      <c r="K679" s="233"/>
      <c r="L679" s="233"/>
      <c r="M679" s="233"/>
      <c r="N679" s="233"/>
      <c r="O679" s="234"/>
      <c r="P679" s="234"/>
      <c r="Q679" s="233"/>
      <c r="R679" s="233"/>
      <c r="S679" s="233"/>
      <c r="T679" s="233"/>
      <c r="U679" s="231"/>
    </row>
    <row r="680" spans="1:21" ht="13.2">
      <c r="A680" s="231"/>
      <c r="B680" s="232"/>
      <c r="C680" s="231"/>
      <c r="D680" s="231"/>
      <c r="E680" s="231"/>
      <c r="F680" s="231"/>
      <c r="G680" s="231"/>
      <c r="H680" s="233"/>
      <c r="I680" s="233"/>
      <c r="J680" s="233"/>
      <c r="K680" s="233"/>
      <c r="L680" s="233"/>
      <c r="M680" s="233"/>
      <c r="N680" s="233"/>
      <c r="O680" s="234"/>
      <c r="P680" s="234"/>
      <c r="Q680" s="233"/>
      <c r="R680" s="233"/>
      <c r="S680" s="233"/>
      <c r="T680" s="233"/>
      <c r="U680" s="231"/>
    </row>
    <row r="681" spans="1:21" ht="13.2">
      <c r="A681" s="231"/>
      <c r="B681" s="232"/>
      <c r="C681" s="231"/>
      <c r="D681" s="231"/>
      <c r="E681" s="231"/>
      <c r="F681" s="231"/>
      <c r="G681" s="231"/>
      <c r="H681" s="233"/>
      <c r="I681" s="233"/>
      <c r="J681" s="233"/>
      <c r="K681" s="233"/>
      <c r="L681" s="233"/>
      <c r="M681" s="233"/>
      <c r="N681" s="233"/>
      <c r="O681" s="234"/>
      <c r="P681" s="234"/>
      <c r="Q681" s="233"/>
      <c r="R681" s="233"/>
      <c r="S681" s="233"/>
      <c r="T681" s="233"/>
      <c r="U681" s="231"/>
    </row>
    <row r="682" spans="1:21" ht="13.2">
      <c r="A682" s="231"/>
      <c r="B682" s="232"/>
      <c r="C682" s="231"/>
      <c r="D682" s="231"/>
      <c r="E682" s="231"/>
      <c r="F682" s="231"/>
      <c r="G682" s="231"/>
      <c r="H682" s="233"/>
      <c r="I682" s="233"/>
      <c r="J682" s="233"/>
      <c r="K682" s="233"/>
      <c r="L682" s="233"/>
      <c r="M682" s="233"/>
      <c r="N682" s="233"/>
      <c r="O682" s="234"/>
      <c r="P682" s="234"/>
      <c r="Q682" s="233"/>
      <c r="R682" s="233"/>
      <c r="S682" s="233"/>
      <c r="T682" s="233"/>
      <c r="U682" s="231"/>
    </row>
    <row r="683" spans="1:21" ht="13.2">
      <c r="A683" s="231"/>
      <c r="B683" s="232"/>
      <c r="C683" s="231"/>
      <c r="D683" s="231"/>
      <c r="E683" s="231"/>
      <c r="F683" s="231"/>
      <c r="G683" s="231"/>
      <c r="H683" s="233"/>
      <c r="I683" s="233"/>
      <c r="J683" s="233"/>
      <c r="K683" s="233"/>
      <c r="L683" s="233"/>
      <c r="M683" s="233"/>
      <c r="N683" s="233"/>
      <c r="O683" s="234"/>
      <c r="P683" s="234"/>
      <c r="Q683" s="233"/>
      <c r="R683" s="233"/>
      <c r="S683" s="233"/>
      <c r="T683" s="233"/>
      <c r="U683" s="231"/>
    </row>
    <row r="684" spans="1:21" ht="13.2">
      <c r="A684" s="231"/>
      <c r="B684" s="232"/>
      <c r="C684" s="231"/>
      <c r="D684" s="231"/>
      <c r="E684" s="231"/>
      <c r="F684" s="231"/>
      <c r="G684" s="231"/>
      <c r="H684" s="233"/>
      <c r="I684" s="233"/>
      <c r="J684" s="233"/>
      <c r="K684" s="233"/>
      <c r="L684" s="233"/>
      <c r="M684" s="233"/>
      <c r="N684" s="233"/>
      <c r="O684" s="234"/>
      <c r="P684" s="234"/>
      <c r="Q684" s="233"/>
      <c r="R684" s="233"/>
      <c r="S684" s="233"/>
      <c r="T684" s="233"/>
      <c r="U684" s="231"/>
    </row>
    <row r="685" spans="1:21" ht="13.2">
      <c r="A685" s="231"/>
      <c r="B685" s="232"/>
      <c r="C685" s="231"/>
      <c r="D685" s="231"/>
      <c r="E685" s="231"/>
      <c r="F685" s="231"/>
      <c r="G685" s="231"/>
      <c r="H685" s="233"/>
      <c r="I685" s="233"/>
      <c r="J685" s="233"/>
      <c r="K685" s="233"/>
      <c r="L685" s="233"/>
      <c r="M685" s="233"/>
      <c r="N685" s="233"/>
      <c r="O685" s="234"/>
      <c r="P685" s="234"/>
      <c r="Q685" s="233"/>
      <c r="R685" s="233"/>
      <c r="S685" s="233"/>
      <c r="T685" s="233"/>
      <c r="U685" s="231"/>
    </row>
    <row r="686" spans="1:21" ht="13.2">
      <c r="A686" s="231"/>
      <c r="B686" s="232"/>
      <c r="C686" s="231"/>
      <c r="D686" s="231"/>
      <c r="E686" s="231"/>
      <c r="F686" s="231"/>
      <c r="G686" s="231"/>
      <c r="H686" s="233"/>
      <c r="I686" s="233"/>
      <c r="J686" s="233"/>
      <c r="K686" s="233"/>
      <c r="L686" s="233"/>
      <c r="M686" s="233"/>
      <c r="N686" s="233"/>
      <c r="O686" s="234"/>
      <c r="P686" s="234"/>
      <c r="Q686" s="233"/>
      <c r="R686" s="233"/>
      <c r="S686" s="233"/>
      <c r="T686" s="233"/>
      <c r="U686" s="231"/>
    </row>
    <row r="687" spans="1:21" ht="13.2">
      <c r="A687" s="231"/>
      <c r="B687" s="232"/>
      <c r="C687" s="231"/>
      <c r="D687" s="231"/>
      <c r="E687" s="231"/>
      <c r="F687" s="231"/>
      <c r="G687" s="231"/>
      <c r="H687" s="233"/>
      <c r="I687" s="233"/>
      <c r="J687" s="233"/>
      <c r="K687" s="233"/>
      <c r="L687" s="233"/>
      <c r="M687" s="233"/>
      <c r="N687" s="233"/>
      <c r="O687" s="234"/>
      <c r="P687" s="234"/>
      <c r="Q687" s="233"/>
      <c r="R687" s="233"/>
      <c r="S687" s="233"/>
      <c r="T687" s="233"/>
      <c r="U687" s="231"/>
    </row>
    <row r="688" spans="1:21" ht="13.2">
      <c r="A688" s="231"/>
      <c r="B688" s="232"/>
      <c r="C688" s="231"/>
      <c r="D688" s="231"/>
      <c r="E688" s="231"/>
      <c r="F688" s="231"/>
      <c r="G688" s="231"/>
      <c r="H688" s="233"/>
      <c r="I688" s="233"/>
      <c r="J688" s="233"/>
      <c r="K688" s="233"/>
      <c r="L688" s="233"/>
      <c r="M688" s="233"/>
      <c r="N688" s="233"/>
      <c r="O688" s="234"/>
      <c r="P688" s="234"/>
      <c r="Q688" s="233"/>
      <c r="R688" s="233"/>
      <c r="S688" s="233"/>
      <c r="T688" s="233"/>
      <c r="U688" s="231"/>
    </row>
    <row r="689" spans="1:21" ht="13.2">
      <c r="A689" s="231"/>
      <c r="B689" s="232"/>
      <c r="C689" s="231"/>
      <c r="D689" s="231"/>
      <c r="E689" s="231"/>
      <c r="F689" s="231"/>
      <c r="G689" s="231"/>
      <c r="H689" s="233"/>
      <c r="I689" s="233"/>
      <c r="J689" s="233"/>
      <c r="K689" s="233"/>
      <c r="L689" s="233"/>
      <c r="M689" s="233"/>
      <c r="N689" s="233"/>
      <c r="O689" s="234"/>
      <c r="P689" s="234"/>
      <c r="Q689" s="233"/>
      <c r="R689" s="233"/>
      <c r="S689" s="233"/>
      <c r="T689" s="233"/>
      <c r="U689" s="231"/>
    </row>
    <row r="690" spans="1:21" ht="13.2">
      <c r="A690" s="231"/>
      <c r="B690" s="232"/>
      <c r="C690" s="231"/>
      <c r="D690" s="231"/>
      <c r="E690" s="231"/>
      <c r="F690" s="231"/>
      <c r="G690" s="231"/>
      <c r="H690" s="233"/>
      <c r="I690" s="233"/>
      <c r="J690" s="233"/>
      <c r="K690" s="233"/>
      <c r="L690" s="233"/>
      <c r="M690" s="233"/>
      <c r="N690" s="233"/>
      <c r="O690" s="234"/>
      <c r="P690" s="234"/>
      <c r="Q690" s="233"/>
      <c r="R690" s="233"/>
      <c r="S690" s="233"/>
      <c r="T690" s="233"/>
      <c r="U690" s="231"/>
    </row>
    <row r="691" spans="1:21" ht="13.2">
      <c r="A691" s="231"/>
      <c r="B691" s="232"/>
      <c r="C691" s="231"/>
      <c r="D691" s="231"/>
      <c r="E691" s="231"/>
      <c r="F691" s="231"/>
      <c r="G691" s="231"/>
      <c r="H691" s="233"/>
      <c r="I691" s="233"/>
      <c r="J691" s="233"/>
      <c r="K691" s="233"/>
      <c r="L691" s="233"/>
      <c r="M691" s="233"/>
      <c r="N691" s="233"/>
      <c r="O691" s="234"/>
      <c r="P691" s="234"/>
      <c r="Q691" s="233"/>
      <c r="R691" s="233"/>
      <c r="S691" s="233"/>
      <c r="T691" s="233"/>
      <c r="U691" s="231"/>
    </row>
    <row r="692" spans="1:21" ht="13.2">
      <c r="A692" s="231"/>
      <c r="B692" s="232"/>
      <c r="C692" s="231"/>
      <c r="D692" s="231"/>
      <c r="E692" s="231"/>
      <c r="F692" s="231"/>
      <c r="G692" s="231"/>
      <c r="H692" s="233"/>
      <c r="I692" s="233"/>
      <c r="J692" s="233"/>
      <c r="K692" s="233"/>
      <c r="L692" s="233"/>
      <c r="M692" s="233"/>
      <c r="N692" s="233"/>
      <c r="O692" s="234"/>
      <c r="P692" s="234"/>
      <c r="Q692" s="233"/>
      <c r="R692" s="233"/>
      <c r="S692" s="233"/>
      <c r="T692" s="233"/>
      <c r="U692" s="231"/>
    </row>
    <row r="693" spans="1:21" ht="13.2">
      <c r="A693" s="231"/>
      <c r="B693" s="232"/>
      <c r="C693" s="231"/>
      <c r="D693" s="231"/>
      <c r="E693" s="231"/>
      <c r="F693" s="231"/>
      <c r="G693" s="231"/>
      <c r="H693" s="233"/>
      <c r="I693" s="233"/>
      <c r="J693" s="233"/>
      <c r="K693" s="233"/>
      <c r="L693" s="233"/>
      <c r="M693" s="233"/>
      <c r="N693" s="233"/>
      <c r="O693" s="234"/>
      <c r="P693" s="234"/>
      <c r="Q693" s="233"/>
      <c r="R693" s="233"/>
      <c r="S693" s="233"/>
      <c r="T693" s="233"/>
      <c r="U693" s="231"/>
    </row>
    <row r="694" spans="1:21" ht="13.2">
      <c r="A694" s="231"/>
      <c r="B694" s="232"/>
      <c r="C694" s="231"/>
      <c r="D694" s="231"/>
      <c r="E694" s="231"/>
      <c r="F694" s="231"/>
      <c r="G694" s="231"/>
      <c r="H694" s="233"/>
      <c r="I694" s="233"/>
      <c r="J694" s="233"/>
      <c r="K694" s="233"/>
      <c r="L694" s="233"/>
      <c r="M694" s="233"/>
      <c r="N694" s="233"/>
      <c r="O694" s="234"/>
      <c r="P694" s="234"/>
      <c r="Q694" s="233"/>
      <c r="R694" s="233"/>
      <c r="S694" s="233"/>
      <c r="T694" s="233"/>
      <c r="U694" s="231"/>
    </row>
    <row r="695" spans="1:21" ht="13.2">
      <c r="A695" s="231"/>
      <c r="B695" s="232"/>
      <c r="C695" s="231"/>
      <c r="D695" s="231"/>
      <c r="E695" s="231"/>
      <c r="F695" s="231"/>
      <c r="G695" s="231"/>
      <c r="H695" s="233"/>
      <c r="I695" s="233"/>
      <c r="J695" s="233"/>
      <c r="K695" s="233"/>
      <c r="L695" s="233"/>
      <c r="M695" s="233"/>
      <c r="N695" s="233"/>
      <c r="O695" s="234"/>
      <c r="P695" s="234"/>
      <c r="Q695" s="233"/>
      <c r="R695" s="233"/>
      <c r="S695" s="233"/>
      <c r="T695" s="233"/>
      <c r="U695" s="231"/>
    </row>
    <row r="696" spans="1:21" ht="13.2">
      <c r="A696" s="231"/>
      <c r="B696" s="232"/>
      <c r="C696" s="231"/>
      <c r="D696" s="231"/>
      <c r="E696" s="231"/>
      <c r="F696" s="231"/>
      <c r="G696" s="231"/>
      <c r="H696" s="233"/>
      <c r="I696" s="233"/>
      <c r="J696" s="233"/>
      <c r="K696" s="233"/>
      <c r="L696" s="233"/>
      <c r="M696" s="233"/>
      <c r="N696" s="233"/>
      <c r="O696" s="234"/>
      <c r="P696" s="234"/>
      <c r="Q696" s="233"/>
      <c r="R696" s="233"/>
      <c r="S696" s="233"/>
      <c r="T696" s="233"/>
      <c r="U696" s="231"/>
    </row>
    <row r="697" spans="1:21" ht="13.2">
      <c r="A697" s="231"/>
      <c r="B697" s="232"/>
      <c r="C697" s="231"/>
      <c r="D697" s="231"/>
      <c r="E697" s="231"/>
      <c r="F697" s="231"/>
      <c r="G697" s="231"/>
      <c r="H697" s="233"/>
      <c r="I697" s="233"/>
      <c r="J697" s="233"/>
      <c r="K697" s="233"/>
      <c r="L697" s="233"/>
      <c r="M697" s="233"/>
      <c r="N697" s="233"/>
      <c r="O697" s="234"/>
      <c r="P697" s="234"/>
      <c r="Q697" s="233"/>
      <c r="R697" s="233"/>
      <c r="S697" s="233"/>
      <c r="T697" s="233"/>
      <c r="U697" s="231"/>
    </row>
    <row r="698" spans="1:21" ht="13.2">
      <c r="A698" s="231"/>
      <c r="B698" s="232"/>
      <c r="C698" s="231"/>
      <c r="D698" s="231"/>
      <c r="E698" s="231"/>
      <c r="F698" s="231"/>
      <c r="G698" s="231"/>
      <c r="H698" s="233"/>
      <c r="I698" s="233"/>
      <c r="J698" s="233"/>
      <c r="K698" s="233"/>
      <c r="L698" s="233"/>
      <c r="M698" s="233"/>
      <c r="N698" s="233"/>
      <c r="O698" s="234"/>
      <c r="P698" s="234"/>
      <c r="Q698" s="233"/>
      <c r="R698" s="233"/>
      <c r="S698" s="233"/>
      <c r="T698" s="233"/>
      <c r="U698" s="231"/>
    </row>
    <row r="699" spans="1:21" ht="13.2">
      <c r="A699" s="231"/>
      <c r="B699" s="232"/>
      <c r="C699" s="231"/>
      <c r="D699" s="231"/>
      <c r="E699" s="231"/>
      <c r="F699" s="231"/>
      <c r="G699" s="231"/>
      <c r="H699" s="233"/>
      <c r="I699" s="233"/>
      <c r="J699" s="233"/>
      <c r="K699" s="233"/>
      <c r="L699" s="233"/>
      <c r="M699" s="233"/>
      <c r="N699" s="233"/>
      <c r="O699" s="234"/>
      <c r="P699" s="234"/>
      <c r="Q699" s="233"/>
      <c r="R699" s="233"/>
      <c r="S699" s="233"/>
      <c r="T699" s="233"/>
      <c r="U699" s="231"/>
    </row>
    <row r="700" spans="1:21" ht="13.2">
      <c r="A700" s="231"/>
      <c r="B700" s="232"/>
      <c r="C700" s="231"/>
      <c r="D700" s="231"/>
      <c r="E700" s="231"/>
      <c r="F700" s="231"/>
      <c r="G700" s="231"/>
      <c r="H700" s="233"/>
      <c r="I700" s="233"/>
      <c r="J700" s="233"/>
      <c r="K700" s="233"/>
      <c r="L700" s="233"/>
      <c r="M700" s="233"/>
      <c r="N700" s="233"/>
      <c r="O700" s="234"/>
      <c r="P700" s="234"/>
      <c r="Q700" s="233"/>
      <c r="R700" s="233"/>
      <c r="S700" s="233"/>
      <c r="T700" s="233"/>
      <c r="U700" s="231"/>
    </row>
    <row r="701" spans="1:21" ht="13.2">
      <c r="A701" s="231"/>
      <c r="B701" s="232"/>
      <c r="C701" s="231"/>
      <c r="D701" s="231"/>
      <c r="E701" s="231"/>
      <c r="F701" s="231"/>
      <c r="G701" s="231"/>
      <c r="H701" s="233"/>
      <c r="I701" s="233"/>
      <c r="J701" s="233"/>
      <c r="K701" s="233"/>
      <c r="L701" s="233"/>
      <c r="M701" s="233"/>
      <c r="N701" s="233"/>
      <c r="O701" s="234"/>
      <c r="P701" s="234"/>
      <c r="Q701" s="233"/>
      <c r="R701" s="233"/>
      <c r="S701" s="233"/>
      <c r="T701" s="233"/>
      <c r="U701" s="231"/>
    </row>
    <row r="702" spans="1:21" ht="13.2">
      <c r="A702" s="231"/>
      <c r="B702" s="232"/>
      <c r="C702" s="231"/>
      <c r="D702" s="231"/>
      <c r="E702" s="231"/>
      <c r="F702" s="231"/>
      <c r="G702" s="231"/>
      <c r="H702" s="233"/>
      <c r="I702" s="233"/>
      <c r="J702" s="233"/>
      <c r="K702" s="233"/>
      <c r="L702" s="233"/>
      <c r="M702" s="233"/>
      <c r="N702" s="233"/>
      <c r="O702" s="234"/>
      <c r="P702" s="234"/>
      <c r="Q702" s="233"/>
      <c r="R702" s="233"/>
      <c r="S702" s="233"/>
      <c r="T702" s="233"/>
      <c r="U702" s="231"/>
    </row>
    <row r="703" spans="1:21" ht="13.2">
      <c r="A703" s="231"/>
      <c r="B703" s="232"/>
      <c r="C703" s="231"/>
      <c r="D703" s="231"/>
      <c r="E703" s="231"/>
      <c r="F703" s="231"/>
      <c r="G703" s="231"/>
      <c r="H703" s="233"/>
      <c r="I703" s="233"/>
      <c r="J703" s="233"/>
      <c r="K703" s="233"/>
      <c r="L703" s="233"/>
      <c r="M703" s="233"/>
      <c r="N703" s="233"/>
      <c r="O703" s="234"/>
      <c r="P703" s="234"/>
      <c r="Q703" s="233"/>
      <c r="R703" s="233"/>
      <c r="S703" s="233"/>
      <c r="T703" s="233"/>
      <c r="U703" s="231"/>
    </row>
    <row r="704" spans="1:21" ht="13.2">
      <c r="A704" s="231"/>
      <c r="B704" s="232"/>
      <c r="C704" s="231"/>
      <c r="D704" s="231"/>
      <c r="E704" s="231"/>
      <c r="F704" s="231"/>
      <c r="G704" s="231"/>
      <c r="H704" s="233"/>
      <c r="I704" s="233"/>
      <c r="J704" s="233"/>
      <c r="K704" s="233"/>
      <c r="L704" s="233"/>
      <c r="M704" s="233"/>
      <c r="N704" s="233"/>
      <c r="O704" s="234"/>
      <c r="P704" s="234"/>
      <c r="Q704" s="233"/>
      <c r="R704" s="233"/>
      <c r="S704" s="233"/>
      <c r="T704" s="233"/>
      <c r="U704" s="231"/>
    </row>
    <row r="705" spans="1:21" ht="13.2">
      <c r="A705" s="231"/>
      <c r="B705" s="232"/>
      <c r="C705" s="231"/>
      <c r="D705" s="231"/>
      <c r="E705" s="231"/>
      <c r="F705" s="231"/>
      <c r="G705" s="231"/>
      <c r="H705" s="233"/>
      <c r="I705" s="233"/>
      <c r="J705" s="233"/>
      <c r="K705" s="233"/>
      <c r="L705" s="233"/>
      <c r="M705" s="233"/>
      <c r="N705" s="233"/>
      <c r="O705" s="234"/>
      <c r="P705" s="234"/>
      <c r="Q705" s="233"/>
      <c r="R705" s="233"/>
      <c r="S705" s="233"/>
      <c r="T705" s="233"/>
      <c r="U705" s="231"/>
    </row>
    <row r="706" spans="1:21" ht="13.2">
      <c r="A706" s="231"/>
      <c r="B706" s="232"/>
      <c r="C706" s="231"/>
      <c r="D706" s="231"/>
      <c r="E706" s="231"/>
      <c r="F706" s="231"/>
      <c r="G706" s="231"/>
      <c r="H706" s="233"/>
      <c r="I706" s="233"/>
      <c r="J706" s="233"/>
      <c r="K706" s="233"/>
      <c r="L706" s="233"/>
      <c r="M706" s="233"/>
      <c r="N706" s="233"/>
      <c r="O706" s="234"/>
      <c r="P706" s="234"/>
      <c r="Q706" s="233"/>
      <c r="R706" s="233"/>
      <c r="S706" s="233"/>
      <c r="T706" s="233"/>
      <c r="U706" s="231"/>
    </row>
    <row r="707" spans="1:21" ht="13.2">
      <c r="A707" s="231"/>
      <c r="B707" s="232"/>
      <c r="C707" s="231"/>
      <c r="D707" s="231"/>
      <c r="E707" s="231"/>
      <c r="F707" s="231"/>
      <c r="G707" s="231"/>
      <c r="H707" s="233"/>
      <c r="I707" s="233"/>
      <c r="J707" s="233"/>
      <c r="K707" s="233"/>
      <c r="L707" s="233"/>
      <c r="M707" s="233"/>
      <c r="N707" s="233"/>
      <c r="O707" s="234"/>
      <c r="P707" s="234"/>
      <c r="Q707" s="233"/>
      <c r="R707" s="233"/>
      <c r="S707" s="233"/>
      <c r="T707" s="233"/>
      <c r="U707" s="231"/>
    </row>
    <row r="708" spans="1:21" ht="13.2">
      <c r="A708" s="231"/>
      <c r="B708" s="232"/>
      <c r="C708" s="231"/>
      <c r="D708" s="231"/>
      <c r="E708" s="231"/>
      <c r="F708" s="231"/>
      <c r="G708" s="231"/>
      <c r="H708" s="233"/>
      <c r="I708" s="233"/>
      <c r="J708" s="233"/>
      <c r="K708" s="233"/>
      <c r="L708" s="233"/>
      <c r="M708" s="233"/>
      <c r="N708" s="233"/>
      <c r="O708" s="234"/>
      <c r="P708" s="234"/>
      <c r="Q708" s="233"/>
      <c r="R708" s="233"/>
      <c r="S708" s="233"/>
      <c r="T708" s="233"/>
      <c r="U708" s="231"/>
    </row>
    <row r="709" spans="1:21" ht="13.2">
      <c r="A709" s="231"/>
      <c r="B709" s="232"/>
      <c r="C709" s="231"/>
      <c r="D709" s="231"/>
      <c r="E709" s="231"/>
      <c r="F709" s="231"/>
      <c r="G709" s="231"/>
      <c r="H709" s="233"/>
      <c r="I709" s="233"/>
      <c r="J709" s="233"/>
      <c r="K709" s="233"/>
      <c r="L709" s="233"/>
      <c r="M709" s="233"/>
      <c r="N709" s="233"/>
      <c r="O709" s="234"/>
      <c r="P709" s="234"/>
      <c r="Q709" s="233"/>
      <c r="R709" s="233"/>
      <c r="S709" s="233"/>
      <c r="T709" s="233"/>
      <c r="U709" s="231"/>
    </row>
    <row r="710" spans="1:21" ht="13.2">
      <c r="A710" s="231"/>
      <c r="B710" s="232"/>
      <c r="C710" s="231"/>
      <c r="D710" s="231"/>
      <c r="E710" s="231"/>
      <c r="F710" s="231"/>
      <c r="G710" s="231"/>
      <c r="H710" s="233"/>
      <c r="I710" s="233"/>
      <c r="J710" s="233"/>
      <c r="K710" s="233"/>
      <c r="L710" s="233"/>
      <c r="M710" s="233"/>
      <c r="N710" s="233"/>
      <c r="O710" s="234"/>
      <c r="P710" s="234"/>
      <c r="Q710" s="233"/>
      <c r="R710" s="233"/>
      <c r="S710" s="233"/>
      <c r="T710" s="233"/>
      <c r="U710" s="231"/>
    </row>
    <row r="711" spans="1:21" ht="13.2">
      <c r="A711" s="231"/>
      <c r="B711" s="232"/>
      <c r="C711" s="231"/>
      <c r="D711" s="231"/>
      <c r="E711" s="231"/>
      <c r="F711" s="231"/>
      <c r="G711" s="231"/>
      <c r="H711" s="233"/>
      <c r="I711" s="233"/>
      <c r="J711" s="233"/>
      <c r="K711" s="233"/>
      <c r="L711" s="233"/>
      <c r="M711" s="233"/>
      <c r="N711" s="233"/>
      <c r="O711" s="234"/>
      <c r="P711" s="234"/>
      <c r="Q711" s="233"/>
      <c r="R711" s="233"/>
      <c r="S711" s="233"/>
      <c r="T711" s="233"/>
      <c r="U711" s="231"/>
    </row>
    <row r="712" spans="1:21" ht="13.2">
      <c r="A712" s="231"/>
      <c r="B712" s="232"/>
      <c r="C712" s="231"/>
      <c r="D712" s="231"/>
      <c r="E712" s="231"/>
      <c r="F712" s="231"/>
      <c r="G712" s="231"/>
      <c r="H712" s="233"/>
      <c r="I712" s="233"/>
      <c r="J712" s="233"/>
      <c r="K712" s="233"/>
      <c r="L712" s="233"/>
      <c r="M712" s="233"/>
      <c r="N712" s="233"/>
      <c r="O712" s="234"/>
      <c r="P712" s="234"/>
      <c r="Q712" s="233"/>
      <c r="R712" s="233"/>
      <c r="S712" s="233"/>
      <c r="T712" s="233"/>
      <c r="U712" s="231"/>
    </row>
    <row r="713" spans="1:21" ht="13.2">
      <c r="A713" s="231"/>
      <c r="B713" s="232"/>
      <c r="C713" s="231"/>
      <c r="D713" s="231"/>
      <c r="E713" s="231"/>
      <c r="F713" s="231"/>
      <c r="G713" s="231"/>
      <c r="H713" s="233"/>
      <c r="I713" s="233"/>
      <c r="J713" s="233"/>
      <c r="K713" s="233"/>
      <c r="L713" s="233"/>
      <c r="M713" s="233"/>
      <c r="N713" s="233"/>
      <c r="O713" s="234"/>
      <c r="P713" s="234"/>
      <c r="Q713" s="233"/>
      <c r="R713" s="233"/>
      <c r="S713" s="233"/>
      <c r="T713" s="233"/>
      <c r="U713" s="231"/>
    </row>
    <row r="714" spans="1:21" ht="13.2">
      <c r="A714" s="231"/>
      <c r="B714" s="232"/>
      <c r="C714" s="231"/>
      <c r="D714" s="231"/>
      <c r="E714" s="231"/>
      <c r="F714" s="231"/>
      <c r="G714" s="231"/>
      <c r="H714" s="233"/>
      <c r="I714" s="233"/>
      <c r="J714" s="233"/>
      <c r="K714" s="233"/>
      <c r="L714" s="233"/>
      <c r="M714" s="233"/>
      <c r="N714" s="233"/>
      <c r="O714" s="234"/>
      <c r="P714" s="234"/>
      <c r="Q714" s="233"/>
      <c r="R714" s="233"/>
      <c r="S714" s="233"/>
      <c r="T714" s="233"/>
      <c r="U714" s="231"/>
    </row>
    <row r="715" spans="1:21" ht="13.2">
      <c r="A715" s="231"/>
      <c r="B715" s="232"/>
      <c r="C715" s="231"/>
      <c r="D715" s="231"/>
      <c r="E715" s="231"/>
      <c r="F715" s="231"/>
      <c r="G715" s="231"/>
      <c r="H715" s="233"/>
      <c r="I715" s="233"/>
      <c r="J715" s="233"/>
      <c r="K715" s="233"/>
      <c r="L715" s="233"/>
      <c r="M715" s="233"/>
      <c r="N715" s="233"/>
      <c r="O715" s="234"/>
      <c r="P715" s="234"/>
      <c r="Q715" s="233"/>
      <c r="R715" s="233"/>
      <c r="S715" s="233"/>
      <c r="T715" s="233"/>
      <c r="U715" s="231"/>
    </row>
    <row r="716" spans="1:21" ht="13.2">
      <c r="A716" s="231"/>
      <c r="B716" s="232"/>
      <c r="C716" s="231"/>
      <c r="D716" s="231"/>
      <c r="E716" s="231"/>
      <c r="F716" s="231"/>
      <c r="G716" s="231"/>
      <c r="H716" s="233"/>
      <c r="I716" s="233"/>
      <c r="J716" s="233"/>
      <c r="K716" s="233"/>
      <c r="L716" s="233"/>
      <c r="M716" s="233"/>
      <c r="N716" s="233"/>
      <c r="O716" s="234"/>
      <c r="P716" s="234"/>
      <c r="Q716" s="233"/>
      <c r="R716" s="233"/>
      <c r="S716" s="233"/>
      <c r="T716" s="233"/>
      <c r="U716" s="231"/>
    </row>
    <row r="717" spans="1:21" ht="13.2">
      <c r="A717" s="231"/>
      <c r="B717" s="232"/>
      <c r="C717" s="231"/>
      <c r="D717" s="231"/>
      <c r="E717" s="231"/>
      <c r="F717" s="231"/>
      <c r="G717" s="231"/>
      <c r="H717" s="233"/>
      <c r="I717" s="233"/>
      <c r="J717" s="233"/>
      <c r="K717" s="233"/>
      <c r="L717" s="233"/>
      <c r="M717" s="233"/>
      <c r="N717" s="233"/>
      <c r="O717" s="234"/>
      <c r="P717" s="234"/>
      <c r="Q717" s="233"/>
      <c r="R717" s="233"/>
      <c r="S717" s="233"/>
      <c r="T717" s="233"/>
      <c r="U717" s="231"/>
    </row>
    <row r="718" spans="1:21" ht="13.2">
      <c r="A718" s="231"/>
      <c r="B718" s="232"/>
      <c r="C718" s="231"/>
      <c r="D718" s="231"/>
      <c r="E718" s="231"/>
      <c r="F718" s="231"/>
      <c r="G718" s="231"/>
      <c r="H718" s="233"/>
      <c r="I718" s="233"/>
      <c r="J718" s="233"/>
      <c r="K718" s="233"/>
      <c r="L718" s="233"/>
      <c r="M718" s="233"/>
      <c r="N718" s="233"/>
      <c r="O718" s="234"/>
      <c r="P718" s="234"/>
      <c r="Q718" s="233"/>
      <c r="R718" s="233"/>
      <c r="S718" s="233"/>
      <c r="T718" s="233"/>
      <c r="U718" s="231"/>
    </row>
    <row r="719" spans="1:21" ht="13.2">
      <c r="A719" s="231"/>
      <c r="B719" s="232"/>
      <c r="C719" s="231"/>
      <c r="D719" s="231"/>
      <c r="E719" s="231"/>
      <c r="F719" s="231"/>
      <c r="G719" s="231"/>
      <c r="H719" s="233"/>
      <c r="I719" s="233"/>
      <c r="J719" s="233"/>
      <c r="K719" s="233"/>
      <c r="L719" s="233"/>
      <c r="M719" s="233"/>
      <c r="N719" s="233"/>
      <c r="O719" s="234"/>
      <c r="P719" s="234"/>
      <c r="Q719" s="233"/>
      <c r="R719" s="233"/>
      <c r="S719" s="233"/>
      <c r="T719" s="233"/>
      <c r="U719" s="231"/>
    </row>
    <row r="720" spans="1:21" ht="13.2">
      <c r="A720" s="231"/>
      <c r="B720" s="232"/>
      <c r="C720" s="231"/>
      <c r="D720" s="231"/>
      <c r="E720" s="231"/>
      <c r="F720" s="231"/>
      <c r="G720" s="231"/>
      <c r="H720" s="233"/>
      <c r="I720" s="233"/>
      <c r="J720" s="233"/>
      <c r="K720" s="233"/>
      <c r="L720" s="233"/>
      <c r="M720" s="233"/>
      <c r="N720" s="233"/>
      <c r="O720" s="234"/>
      <c r="P720" s="234"/>
      <c r="Q720" s="233"/>
      <c r="R720" s="233"/>
      <c r="S720" s="233"/>
      <c r="T720" s="233"/>
      <c r="U720" s="231"/>
    </row>
    <row r="721" spans="1:21" ht="13.2">
      <c r="A721" s="231"/>
      <c r="B721" s="232"/>
      <c r="C721" s="231"/>
      <c r="D721" s="231"/>
      <c r="E721" s="231"/>
      <c r="F721" s="231"/>
      <c r="G721" s="231"/>
      <c r="H721" s="233"/>
      <c r="I721" s="233"/>
      <c r="J721" s="233"/>
      <c r="K721" s="233"/>
      <c r="L721" s="233"/>
      <c r="M721" s="233"/>
      <c r="N721" s="233"/>
      <c r="O721" s="234"/>
      <c r="P721" s="234"/>
      <c r="Q721" s="233"/>
      <c r="R721" s="233"/>
      <c r="S721" s="233"/>
      <c r="T721" s="233"/>
      <c r="U721" s="231"/>
    </row>
    <row r="722" spans="1:21" ht="13.2">
      <c r="A722" s="231"/>
      <c r="B722" s="232"/>
      <c r="C722" s="231"/>
      <c r="D722" s="231"/>
      <c r="E722" s="231"/>
      <c r="F722" s="231"/>
      <c r="G722" s="231"/>
      <c r="H722" s="233"/>
      <c r="I722" s="233"/>
      <c r="J722" s="233"/>
      <c r="K722" s="233"/>
      <c r="L722" s="233"/>
      <c r="M722" s="233"/>
      <c r="N722" s="233"/>
      <c r="O722" s="234"/>
      <c r="P722" s="234"/>
      <c r="Q722" s="233"/>
      <c r="R722" s="233"/>
      <c r="S722" s="233"/>
      <c r="T722" s="233"/>
      <c r="U722" s="231"/>
    </row>
    <row r="723" spans="1:21" ht="13.2">
      <c r="A723" s="231"/>
      <c r="B723" s="232"/>
      <c r="C723" s="231"/>
      <c r="D723" s="231"/>
      <c r="E723" s="231"/>
      <c r="F723" s="231"/>
      <c r="G723" s="231"/>
      <c r="H723" s="233"/>
      <c r="I723" s="233"/>
      <c r="J723" s="233"/>
      <c r="K723" s="233"/>
      <c r="L723" s="233"/>
      <c r="M723" s="233"/>
      <c r="N723" s="233"/>
      <c r="O723" s="234"/>
      <c r="P723" s="234"/>
      <c r="Q723" s="233"/>
      <c r="R723" s="233"/>
      <c r="S723" s="233"/>
      <c r="T723" s="233"/>
      <c r="U723" s="231"/>
    </row>
    <row r="724" spans="1:21" ht="13.2">
      <c r="A724" s="231"/>
      <c r="B724" s="232"/>
      <c r="C724" s="231"/>
      <c r="D724" s="231"/>
      <c r="E724" s="231"/>
      <c r="F724" s="231"/>
      <c r="G724" s="231"/>
      <c r="H724" s="233"/>
      <c r="I724" s="233"/>
      <c r="J724" s="233"/>
      <c r="K724" s="233"/>
      <c r="L724" s="233"/>
      <c r="M724" s="233"/>
      <c r="N724" s="233"/>
      <c r="O724" s="234"/>
      <c r="P724" s="234"/>
      <c r="Q724" s="233"/>
      <c r="R724" s="233"/>
      <c r="S724" s="233"/>
      <c r="T724" s="233"/>
      <c r="U724" s="231"/>
    </row>
    <row r="725" spans="1:21" ht="13.2">
      <c r="A725" s="231"/>
      <c r="B725" s="232"/>
      <c r="C725" s="231"/>
      <c r="D725" s="231"/>
      <c r="E725" s="231"/>
      <c r="F725" s="231"/>
      <c r="G725" s="231"/>
      <c r="H725" s="233"/>
      <c r="I725" s="233"/>
      <c r="J725" s="233"/>
      <c r="K725" s="233"/>
      <c r="L725" s="233"/>
      <c r="M725" s="233"/>
      <c r="N725" s="233"/>
      <c r="O725" s="234"/>
      <c r="P725" s="234"/>
      <c r="Q725" s="233"/>
      <c r="R725" s="233"/>
      <c r="S725" s="233"/>
      <c r="T725" s="233"/>
      <c r="U725" s="231"/>
    </row>
    <row r="726" spans="1:21" ht="13.2">
      <c r="A726" s="231"/>
      <c r="B726" s="232"/>
      <c r="C726" s="231"/>
      <c r="D726" s="231"/>
      <c r="E726" s="231"/>
      <c r="F726" s="231"/>
      <c r="G726" s="231"/>
      <c r="H726" s="233"/>
      <c r="I726" s="233"/>
      <c r="J726" s="233"/>
      <c r="K726" s="233"/>
      <c r="L726" s="233"/>
      <c r="M726" s="233"/>
      <c r="N726" s="233"/>
      <c r="O726" s="234"/>
      <c r="P726" s="234"/>
      <c r="Q726" s="233"/>
      <c r="R726" s="233"/>
      <c r="S726" s="233"/>
      <c r="T726" s="233"/>
      <c r="U726" s="231"/>
    </row>
    <row r="727" spans="1:21" ht="13.2">
      <c r="A727" s="231"/>
      <c r="B727" s="232"/>
      <c r="C727" s="231"/>
      <c r="D727" s="231"/>
      <c r="E727" s="231"/>
      <c r="F727" s="231"/>
      <c r="G727" s="231"/>
      <c r="H727" s="233"/>
      <c r="I727" s="233"/>
      <c r="J727" s="233"/>
      <c r="K727" s="233"/>
      <c r="L727" s="233"/>
      <c r="M727" s="233"/>
      <c r="N727" s="233"/>
      <c r="O727" s="234"/>
      <c r="P727" s="234"/>
      <c r="Q727" s="233"/>
      <c r="R727" s="233"/>
      <c r="S727" s="233"/>
      <c r="T727" s="233"/>
      <c r="U727" s="231"/>
    </row>
    <row r="728" spans="1:21" ht="13.2">
      <c r="A728" s="231"/>
      <c r="B728" s="232"/>
      <c r="C728" s="231"/>
      <c r="D728" s="231"/>
      <c r="E728" s="231"/>
      <c r="F728" s="231"/>
      <c r="G728" s="231"/>
      <c r="H728" s="233"/>
      <c r="I728" s="233"/>
      <c r="J728" s="233"/>
      <c r="K728" s="233"/>
      <c r="L728" s="233"/>
      <c r="M728" s="233"/>
      <c r="N728" s="233"/>
      <c r="O728" s="234"/>
      <c r="P728" s="234"/>
      <c r="Q728" s="233"/>
      <c r="R728" s="233"/>
      <c r="S728" s="233"/>
      <c r="T728" s="233"/>
      <c r="U728" s="231"/>
    </row>
    <row r="729" spans="1:21" ht="13.2">
      <c r="A729" s="231"/>
      <c r="B729" s="232"/>
      <c r="C729" s="231"/>
      <c r="D729" s="231"/>
      <c r="E729" s="231"/>
      <c r="F729" s="231"/>
      <c r="G729" s="231"/>
      <c r="H729" s="233"/>
      <c r="I729" s="233"/>
      <c r="J729" s="233"/>
      <c r="K729" s="233"/>
      <c r="L729" s="233"/>
      <c r="M729" s="233"/>
      <c r="N729" s="233"/>
      <c r="O729" s="234"/>
      <c r="P729" s="234"/>
      <c r="Q729" s="233"/>
      <c r="R729" s="233"/>
      <c r="S729" s="233"/>
      <c r="T729" s="233"/>
      <c r="U729" s="231"/>
    </row>
    <row r="730" spans="1:21" ht="13.2">
      <c r="A730" s="231"/>
      <c r="B730" s="232"/>
      <c r="C730" s="231"/>
      <c r="D730" s="231"/>
      <c r="E730" s="231"/>
      <c r="F730" s="231"/>
      <c r="G730" s="231"/>
      <c r="H730" s="233"/>
      <c r="I730" s="233"/>
      <c r="J730" s="233"/>
      <c r="K730" s="233"/>
      <c r="L730" s="233"/>
      <c r="M730" s="233"/>
      <c r="N730" s="233"/>
      <c r="O730" s="234"/>
      <c r="P730" s="234"/>
      <c r="Q730" s="233"/>
      <c r="R730" s="233"/>
      <c r="S730" s="233"/>
      <c r="T730" s="233"/>
      <c r="U730" s="231"/>
    </row>
    <row r="731" spans="1:21" ht="13.2">
      <c r="A731" s="231"/>
      <c r="B731" s="232"/>
      <c r="C731" s="231"/>
      <c r="D731" s="231"/>
      <c r="E731" s="231"/>
      <c r="F731" s="231"/>
      <c r="G731" s="231"/>
      <c r="H731" s="233"/>
      <c r="I731" s="233"/>
      <c r="J731" s="233"/>
      <c r="K731" s="233"/>
      <c r="L731" s="233"/>
      <c r="M731" s="233"/>
      <c r="N731" s="233"/>
      <c r="O731" s="234"/>
      <c r="P731" s="234"/>
      <c r="Q731" s="233"/>
      <c r="R731" s="233"/>
      <c r="S731" s="233"/>
      <c r="T731" s="233"/>
      <c r="U731" s="231"/>
    </row>
    <row r="732" spans="1:21" ht="13.2">
      <c r="A732" s="231"/>
      <c r="B732" s="232"/>
      <c r="C732" s="231"/>
      <c r="D732" s="231"/>
      <c r="E732" s="231"/>
      <c r="F732" s="231"/>
      <c r="G732" s="231"/>
      <c r="H732" s="233"/>
      <c r="I732" s="233"/>
      <c r="J732" s="233"/>
      <c r="K732" s="233"/>
      <c r="L732" s="233"/>
      <c r="M732" s="233"/>
      <c r="N732" s="233"/>
      <c r="O732" s="234"/>
      <c r="P732" s="234"/>
      <c r="Q732" s="233"/>
      <c r="R732" s="233"/>
      <c r="S732" s="233"/>
      <c r="T732" s="233"/>
      <c r="U732" s="231"/>
    </row>
    <row r="733" spans="1:21" ht="13.2">
      <c r="A733" s="231"/>
      <c r="B733" s="232"/>
      <c r="C733" s="231"/>
      <c r="D733" s="231"/>
      <c r="E733" s="231"/>
      <c r="F733" s="231"/>
      <c r="G733" s="231"/>
      <c r="H733" s="233"/>
      <c r="I733" s="233"/>
      <c r="J733" s="233"/>
      <c r="K733" s="233"/>
      <c r="L733" s="233"/>
      <c r="M733" s="233"/>
      <c r="N733" s="233"/>
      <c r="O733" s="234"/>
      <c r="P733" s="234"/>
      <c r="Q733" s="233"/>
      <c r="R733" s="233"/>
      <c r="S733" s="233"/>
      <c r="T733" s="233"/>
      <c r="U733" s="231"/>
    </row>
    <row r="734" spans="1:21" ht="13.2">
      <c r="A734" s="231"/>
      <c r="B734" s="232"/>
      <c r="C734" s="231"/>
      <c r="D734" s="231"/>
      <c r="E734" s="231"/>
      <c r="F734" s="231"/>
      <c r="G734" s="231"/>
      <c r="H734" s="233"/>
      <c r="I734" s="233"/>
      <c r="J734" s="233"/>
      <c r="K734" s="233"/>
      <c r="L734" s="233"/>
      <c r="M734" s="233"/>
      <c r="N734" s="233"/>
      <c r="O734" s="234"/>
      <c r="P734" s="234"/>
      <c r="Q734" s="233"/>
      <c r="R734" s="233"/>
      <c r="S734" s="233"/>
      <c r="T734" s="233"/>
      <c r="U734" s="231"/>
    </row>
    <row r="735" spans="1:21" ht="13.2">
      <c r="A735" s="231"/>
      <c r="B735" s="232"/>
      <c r="C735" s="231"/>
      <c r="D735" s="231"/>
      <c r="E735" s="231"/>
      <c r="F735" s="231"/>
      <c r="G735" s="231"/>
      <c r="H735" s="233"/>
      <c r="I735" s="233"/>
      <c r="J735" s="233"/>
      <c r="K735" s="233"/>
      <c r="L735" s="233"/>
      <c r="M735" s="233"/>
      <c r="N735" s="233"/>
      <c r="O735" s="234"/>
      <c r="P735" s="234"/>
      <c r="Q735" s="233"/>
      <c r="R735" s="233"/>
      <c r="S735" s="233"/>
      <c r="T735" s="233"/>
      <c r="U735" s="231"/>
    </row>
    <row r="736" spans="1:21" ht="13.2">
      <c r="A736" s="231"/>
      <c r="B736" s="232"/>
      <c r="C736" s="231"/>
      <c r="D736" s="231"/>
      <c r="E736" s="231"/>
      <c r="F736" s="231"/>
      <c r="G736" s="231"/>
      <c r="H736" s="233"/>
      <c r="I736" s="233"/>
      <c r="J736" s="233"/>
      <c r="K736" s="233"/>
      <c r="L736" s="233"/>
      <c r="M736" s="233"/>
      <c r="N736" s="233"/>
      <c r="O736" s="234"/>
      <c r="P736" s="234"/>
      <c r="Q736" s="233"/>
      <c r="R736" s="233"/>
      <c r="S736" s="233"/>
      <c r="T736" s="233"/>
      <c r="U736" s="231"/>
    </row>
    <row r="737" spans="1:21" ht="13.2">
      <c r="A737" s="231"/>
      <c r="B737" s="232"/>
      <c r="C737" s="231"/>
      <c r="D737" s="231"/>
      <c r="E737" s="231"/>
      <c r="F737" s="231"/>
      <c r="G737" s="231"/>
      <c r="H737" s="233"/>
      <c r="I737" s="233"/>
      <c r="J737" s="233"/>
      <c r="K737" s="233"/>
      <c r="L737" s="233"/>
      <c r="M737" s="233"/>
      <c r="N737" s="233"/>
      <c r="O737" s="234"/>
      <c r="P737" s="234"/>
      <c r="Q737" s="233"/>
      <c r="R737" s="233"/>
      <c r="S737" s="233"/>
      <c r="T737" s="233"/>
      <c r="U737" s="231"/>
    </row>
    <row r="738" spans="1:21" ht="13.2">
      <c r="A738" s="231"/>
      <c r="B738" s="232"/>
      <c r="C738" s="231"/>
      <c r="D738" s="231"/>
      <c r="E738" s="231"/>
      <c r="F738" s="231"/>
      <c r="G738" s="231"/>
      <c r="H738" s="233"/>
      <c r="I738" s="233"/>
      <c r="J738" s="233"/>
      <c r="K738" s="233"/>
      <c r="L738" s="233"/>
      <c r="M738" s="233"/>
      <c r="N738" s="233"/>
      <c r="O738" s="234"/>
      <c r="P738" s="234"/>
      <c r="Q738" s="233"/>
      <c r="R738" s="233"/>
      <c r="S738" s="233"/>
      <c r="T738" s="233"/>
      <c r="U738" s="231"/>
    </row>
    <row r="739" spans="1:21" ht="13.2">
      <c r="A739" s="231"/>
      <c r="B739" s="232"/>
      <c r="C739" s="231"/>
      <c r="D739" s="231"/>
      <c r="E739" s="231"/>
      <c r="F739" s="231"/>
      <c r="G739" s="231"/>
      <c r="H739" s="233"/>
      <c r="I739" s="233"/>
      <c r="J739" s="233"/>
      <c r="K739" s="233"/>
      <c r="L739" s="233"/>
      <c r="M739" s="233"/>
      <c r="N739" s="233"/>
      <c r="O739" s="234"/>
      <c r="P739" s="234"/>
      <c r="Q739" s="233"/>
      <c r="R739" s="233"/>
      <c r="S739" s="233"/>
      <c r="T739" s="233"/>
      <c r="U739" s="231"/>
    </row>
    <row r="740" spans="1:21" ht="13.2">
      <c r="A740" s="231"/>
      <c r="B740" s="232"/>
      <c r="C740" s="231"/>
      <c r="D740" s="231"/>
      <c r="E740" s="231"/>
      <c r="F740" s="231"/>
      <c r="G740" s="231"/>
      <c r="H740" s="233"/>
      <c r="I740" s="233"/>
      <c r="J740" s="233"/>
      <c r="K740" s="233"/>
      <c r="L740" s="233"/>
      <c r="M740" s="233"/>
      <c r="N740" s="233"/>
      <c r="O740" s="234"/>
      <c r="P740" s="234"/>
      <c r="Q740" s="233"/>
      <c r="R740" s="233"/>
      <c r="S740" s="233"/>
      <c r="T740" s="233"/>
      <c r="U740" s="231"/>
    </row>
    <row r="741" spans="1:21" ht="13.2">
      <c r="A741" s="231"/>
      <c r="B741" s="232"/>
      <c r="C741" s="231"/>
      <c r="D741" s="231"/>
      <c r="E741" s="231"/>
      <c r="F741" s="231"/>
      <c r="G741" s="231"/>
      <c r="H741" s="233"/>
      <c r="I741" s="233"/>
      <c r="J741" s="233"/>
      <c r="K741" s="233"/>
      <c r="L741" s="233"/>
      <c r="M741" s="233"/>
      <c r="N741" s="233"/>
      <c r="O741" s="234"/>
      <c r="P741" s="234"/>
      <c r="Q741" s="233"/>
      <c r="R741" s="233"/>
      <c r="S741" s="233"/>
      <c r="T741" s="233"/>
      <c r="U741" s="231"/>
    </row>
    <row r="742" spans="1:21" ht="13.2">
      <c r="A742" s="231"/>
      <c r="B742" s="232"/>
      <c r="C742" s="231"/>
      <c r="D742" s="231"/>
      <c r="E742" s="231"/>
      <c r="F742" s="231"/>
      <c r="G742" s="231"/>
      <c r="H742" s="233"/>
      <c r="I742" s="233"/>
      <c r="J742" s="233"/>
      <c r="K742" s="233"/>
      <c r="L742" s="233"/>
      <c r="M742" s="233"/>
      <c r="N742" s="233"/>
      <c r="O742" s="234"/>
      <c r="P742" s="234"/>
      <c r="Q742" s="233"/>
      <c r="R742" s="233"/>
      <c r="S742" s="233"/>
      <c r="T742" s="233"/>
      <c r="U742" s="231"/>
    </row>
    <row r="743" spans="1:21" ht="13.2">
      <c r="A743" s="231"/>
      <c r="B743" s="232"/>
      <c r="C743" s="231"/>
      <c r="D743" s="231"/>
      <c r="E743" s="231"/>
      <c r="F743" s="231"/>
      <c r="G743" s="231"/>
      <c r="H743" s="233"/>
      <c r="I743" s="233"/>
      <c r="J743" s="233"/>
      <c r="K743" s="233"/>
      <c r="L743" s="233"/>
      <c r="M743" s="233"/>
      <c r="N743" s="233"/>
      <c r="O743" s="234"/>
      <c r="P743" s="234"/>
      <c r="Q743" s="233"/>
      <c r="R743" s="233"/>
      <c r="S743" s="233"/>
      <c r="T743" s="233"/>
      <c r="U743" s="231"/>
    </row>
    <row r="744" spans="1:21" ht="13.2">
      <c r="A744" s="231"/>
      <c r="B744" s="232"/>
      <c r="C744" s="231"/>
      <c r="D744" s="231"/>
      <c r="E744" s="231"/>
      <c r="F744" s="231"/>
      <c r="G744" s="231"/>
      <c r="H744" s="233"/>
      <c r="I744" s="233"/>
      <c r="J744" s="233"/>
      <c r="K744" s="233"/>
      <c r="L744" s="233"/>
      <c r="M744" s="233"/>
      <c r="N744" s="233"/>
      <c r="O744" s="234"/>
      <c r="P744" s="234"/>
      <c r="Q744" s="233"/>
      <c r="R744" s="233"/>
      <c r="S744" s="233"/>
      <c r="T744" s="233"/>
      <c r="U744" s="231"/>
    </row>
    <row r="745" spans="1:21" ht="13.2">
      <c r="A745" s="231"/>
      <c r="B745" s="232"/>
      <c r="C745" s="231"/>
      <c r="D745" s="231"/>
      <c r="E745" s="231"/>
      <c r="F745" s="231"/>
      <c r="G745" s="231"/>
      <c r="H745" s="233"/>
      <c r="I745" s="233"/>
      <c r="J745" s="233"/>
      <c r="K745" s="233"/>
      <c r="L745" s="233"/>
      <c r="M745" s="233"/>
      <c r="N745" s="233"/>
      <c r="O745" s="234"/>
      <c r="P745" s="234"/>
      <c r="Q745" s="233"/>
      <c r="R745" s="233"/>
      <c r="S745" s="233"/>
      <c r="T745" s="233"/>
      <c r="U745" s="231"/>
    </row>
    <row r="746" spans="1:21" ht="13.2">
      <c r="A746" s="231"/>
      <c r="B746" s="232"/>
      <c r="C746" s="231"/>
      <c r="D746" s="231"/>
      <c r="E746" s="231"/>
      <c r="F746" s="231"/>
      <c r="G746" s="231"/>
      <c r="H746" s="233"/>
      <c r="I746" s="233"/>
      <c r="J746" s="233"/>
      <c r="K746" s="233"/>
      <c r="L746" s="233"/>
      <c r="M746" s="233"/>
      <c r="N746" s="233"/>
      <c r="O746" s="234"/>
      <c r="P746" s="234"/>
      <c r="Q746" s="233"/>
      <c r="R746" s="233"/>
      <c r="S746" s="233"/>
      <c r="T746" s="233"/>
      <c r="U746" s="231"/>
    </row>
    <row r="747" spans="1:21" ht="13.2">
      <c r="A747" s="231"/>
      <c r="B747" s="232"/>
      <c r="C747" s="231"/>
      <c r="D747" s="231"/>
      <c r="E747" s="231"/>
      <c r="F747" s="231"/>
      <c r="G747" s="231"/>
      <c r="H747" s="233"/>
      <c r="I747" s="233"/>
      <c r="J747" s="233"/>
      <c r="K747" s="233"/>
      <c r="L747" s="233"/>
      <c r="M747" s="233"/>
      <c r="N747" s="233"/>
      <c r="O747" s="234"/>
      <c r="P747" s="234"/>
      <c r="Q747" s="233"/>
      <c r="R747" s="233"/>
      <c r="S747" s="233"/>
      <c r="T747" s="233"/>
      <c r="U747" s="231"/>
    </row>
    <row r="748" spans="1:21" ht="13.2">
      <c r="A748" s="231"/>
      <c r="B748" s="232"/>
      <c r="C748" s="231"/>
      <c r="D748" s="231"/>
      <c r="E748" s="231"/>
      <c r="F748" s="231"/>
      <c r="G748" s="231"/>
      <c r="H748" s="233"/>
      <c r="I748" s="233"/>
      <c r="J748" s="233"/>
      <c r="K748" s="233"/>
      <c r="L748" s="233"/>
      <c r="M748" s="233"/>
      <c r="N748" s="233"/>
      <c r="O748" s="234"/>
      <c r="P748" s="234"/>
      <c r="Q748" s="233"/>
      <c r="R748" s="233"/>
      <c r="S748" s="233"/>
      <c r="T748" s="233"/>
      <c r="U748" s="231"/>
    </row>
    <row r="749" spans="1:21" ht="13.2">
      <c r="A749" s="231"/>
      <c r="B749" s="232"/>
      <c r="C749" s="231"/>
      <c r="D749" s="231"/>
      <c r="E749" s="231"/>
      <c r="F749" s="231"/>
      <c r="G749" s="231"/>
      <c r="H749" s="233"/>
      <c r="I749" s="233"/>
      <c r="J749" s="233"/>
      <c r="K749" s="233"/>
      <c r="L749" s="233"/>
      <c r="M749" s="233"/>
      <c r="N749" s="233"/>
      <c r="O749" s="234"/>
      <c r="P749" s="234"/>
      <c r="Q749" s="233"/>
      <c r="R749" s="233"/>
      <c r="S749" s="233"/>
      <c r="T749" s="233"/>
      <c r="U749" s="231"/>
    </row>
    <row r="750" spans="1:21" ht="13.2">
      <c r="A750" s="231"/>
      <c r="B750" s="232"/>
      <c r="C750" s="231"/>
      <c r="D750" s="231"/>
      <c r="E750" s="231"/>
      <c r="F750" s="231"/>
      <c r="G750" s="231"/>
      <c r="H750" s="233"/>
      <c r="I750" s="233"/>
      <c r="J750" s="233"/>
      <c r="K750" s="233"/>
      <c r="L750" s="233"/>
      <c r="M750" s="233"/>
      <c r="N750" s="233"/>
      <c r="O750" s="234"/>
      <c r="P750" s="234"/>
      <c r="Q750" s="233"/>
      <c r="R750" s="233"/>
      <c r="S750" s="233"/>
      <c r="T750" s="233"/>
      <c r="U750" s="231"/>
    </row>
    <row r="751" spans="1:21" ht="13.2">
      <c r="A751" s="231"/>
      <c r="B751" s="232"/>
      <c r="C751" s="231"/>
      <c r="D751" s="231"/>
      <c r="E751" s="231"/>
      <c r="F751" s="231"/>
      <c r="G751" s="231"/>
      <c r="H751" s="233"/>
      <c r="I751" s="233"/>
      <c r="J751" s="233"/>
      <c r="K751" s="233"/>
      <c r="L751" s="233"/>
      <c r="M751" s="233"/>
      <c r="N751" s="233"/>
      <c r="O751" s="234"/>
      <c r="P751" s="234"/>
      <c r="Q751" s="233"/>
      <c r="R751" s="233"/>
      <c r="S751" s="233"/>
      <c r="T751" s="233"/>
      <c r="U751" s="231"/>
    </row>
    <row r="752" spans="1:21" ht="13.2">
      <c r="A752" s="231"/>
      <c r="B752" s="232"/>
      <c r="C752" s="231"/>
      <c r="D752" s="231"/>
      <c r="E752" s="231"/>
      <c r="F752" s="231"/>
      <c r="G752" s="231"/>
      <c r="H752" s="233"/>
      <c r="I752" s="233"/>
      <c r="J752" s="233"/>
      <c r="K752" s="233"/>
      <c r="L752" s="233"/>
      <c r="M752" s="233"/>
      <c r="N752" s="233"/>
      <c r="O752" s="234"/>
      <c r="P752" s="234"/>
      <c r="Q752" s="233"/>
      <c r="R752" s="233"/>
      <c r="S752" s="233"/>
      <c r="T752" s="233"/>
      <c r="U752" s="231"/>
    </row>
    <row r="753" spans="1:21" ht="13.2">
      <c r="A753" s="231"/>
      <c r="B753" s="232"/>
      <c r="C753" s="231"/>
      <c r="D753" s="231"/>
      <c r="E753" s="231"/>
      <c r="F753" s="231"/>
      <c r="G753" s="231"/>
      <c r="H753" s="233"/>
      <c r="I753" s="233"/>
      <c r="J753" s="233"/>
      <c r="K753" s="233"/>
      <c r="L753" s="233"/>
      <c r="M753" s="233"/>
      <c r="N753" s="233"/>
      <c r="O753" s="234"/>
      <c r="P753" s="234"/>
      <c r="Q753" s="233"/>
      <c r="R753" s="233"/>
      <c r="S753" s="233"/>
      <c r="T753" s="233"/>
      <c r="U753" s="231"/>
    </row>
    <row r="754" spans="1:21" ht="13.2">
      <c r="A754" s="231"/>
      <c r="B754" s="232"/>
      <c r="C754" s="231"/>
      <c r="D754" s="231"/>
      <c r="E754" s="231"/>
      <c r="F754" s="231"/>
      <c r="G754" s="231"/>
      <c r="H754" s="233"/>
      <c r="I754" s="233"/>
      <c r="J754" s="233"/>
      <c r="K754" s="233"/>
      <c r="L754" s="233"/>
      <c r="M754" s="233"/>
      <c r="N754" s="233"/>
      <c r="O754" s="234"/>
      <c r="P754" s="234"/>
      <c r="Q754" s="233"/>
      <c r="R754" s="233"/>
      <c r="S754" s="233"/>
      <c r="T754" s="233"/>
      <c r="U754" s="231"/>
    </row>
    <row r="755" spans="1:21" ht="13.2">
      <c r="A755" s="231"/>
      <c r="B755" s="232"/>
      <c r="C755" s="231"/>
      <c r="D755" s="231"/>
      <c r="E755" s="231"/>
      <c r="F755" s="231"/>
      <c r="G755" s="231"/>
      <c r="H755" s="233"/>
      <c r="I755" s="233"/>
      <c r="J755" s="233"/>
      <c r="K755" s="233"/>
      <c r="L755" s="233"/>
      <c r="M755" s="233"/>
      <c r="N755" s="233"/>
      <c r="O755" s="234"/>
      <c r="P755" s="234"/>
      <c r="Q755" s="233"/>
      <c r="R755" s="233"/>
      <c r="S755" s="233"/>
      <c r="T755" s="233"/>
      <c r="U755" s="231"/>
    </row>
    <row r="756" spans="1:21" ht="13.2">
      <c r="A756" s="231"/>
      <c r="B756" s="232"/>
      <c r="C756" s="231"/>
      <c r="D756" s="231"/>
      <c r="E756" s="231"/>
      <c r="F756" s="231"/>
      <c r="G756" s="231"/>
      <c r="H756" s="233"/>
      <c r="I756" s="233"/>
      <c r="J756" s="233"/>
      <c r="K756" s="233"/>
      <c r="L756" s="233"/>
      <c r="M756" s="233"/>
      <c r="N756" s="233"/>
      <c r="O756" s="234"/>
      <c r="P756" s="234"/>
      <c r="Q756" s="233"/>
      <c r="R756" s="233"/>
      <c r="S756" s="233"/>
      <c r="T756" s="233"/>
      <c r="U756" s="231"/>
    </row>
    <row r="757" spans="1:21" ht="13.2">
      <c r="A757" s="231"/>
      <c r="B757" s="232"/>
      <c r="C757" s="231"/>
      <c r="D757" s="231"/>
      <c r="E757" s="231"/>
      <c r="F757" s="231"/>
      <c r="G757" s="231"/>
      <c r="H757" s="233"/>
      <c r="I757" s="233"/>
      <c r="J757" s="233"/>
      <c r="K757" s="233"/>
      <c r="L757" s="233"/>
      <c r="M757" s="233"/>
      <c r="N757" s="233"/>
      <c r="O757" s="234"/>
      <c r="P757" s="234"/>
      <c r="Q757" s="233"/>
      <c r="R757" s="233"/>
      <c r="S757" s="233"/>
      <c r="T757" s="233"/>
      <c r="U757" s="231"/>
    </row>
    <row r="758" spans="1:21" ht="13.2">
      <c r="A758" s="231"/>
      <c r="B758" s="232"/>
      <c r="C758" s="231"/>
      <c r="D758" s="231"/>
      <c r="E758" s="231"/>
      <c r="F758" s="231"/>
      <c r="G758" s="231"/>
      <c r="H758" s="233"/>
      <c r="I758" s="233"/>
      <c r="J758" s="233"/>
      <c r="K758" s="233"/>
      <c r="L758" s="233"/>
      <c r="M758" s="233"/>
      <c r="N758" s="233"/>
      <c r="O758" s="234"/>
      <c r="P758" s="234"/>
      <c r="Q758" s="233"/>
      <c r="R758" s="233"/>
      <c r="S758" s="233"/>
      <c r="T758" s="233"/>
      <c r="U758" s="231"/>
    </row>
    <row r="759" spans="1:21" ht="13.2">
      <c r="A759" s="231"/>
      <c r="B759" s="232"/>
      <c r="C759" s="231"/>
      <c r="D759" s="231"/>
      <c r="E759" s="231"/>
      <c r="F759" s="231"/>
      <c r="G759" s="231"/>
      <c r="H759" s="233"/>
      <c r="I759" s="233"/>
      <c r="J759" s="233"/>
      <c r="K759" s="233"/>
      <c r="L759" s="233"/>
      <c r="M759" s="233"/>
      <c r="N759" s="233"/>
      <c r="O759" s="234"/>
      <c r="P759" s="234"/>
      <c r="Q759" s="233"/>
      <c r="R759" s="233"/>
      <c r="S759" s="233"/>
      <c r="T759" s="233"/>
      <c r="U759" s="231"/>
    </row>
    <row r="760" spans="1:21" ht="13.2">
      <c r="A760" s="231"/>
      <c r="B760" s="232"/>
      <c r="C760" s="231"/>
      <c r="D760" s="231"/>
      <c r="E760" s="231"/>
      <c r="F760" s="231"/>
      <c r="G760" s="231"/>
      <c r="H760" s="233"/>
      <c r="I760" s="233"/>
      <c r="J760" s="233"/>
      <c r="K760" s="233"/>
      <c r="L760" s="233"/>
      <c r="M760" s="233"/>
      <c r="N760" s="233"/>
      <c r="O760" s="234"/>
      <c r="P760" s="234"/>
      <c r="Q760" s="233"/>
      <c r="R760" s="233"/>
      <c r="S760" s="233"/>
      <c r="T760" s="233"/>
      <c r="U760" s="231"/>
    </row>
    <row r="761" spans="1:21" ht="13.2">
      <c r="A761" s="231"/>
      <c r="B761" s="232"/>
      <c r="C761" s="231"/>
      <c r="D761" s="231"/>
      <c r="E761" s="231"/>
      <c r="F761" s="231"/>
      <c r="G761" s="231"/>
      <c r="H761" s="233"/>
      <c r="I761" s="233"/>
      <c r="J761" s="233"/>
      <c r="K761" s="233"/>
      <c r="L761" s="233"/>
      <c r="M761" s="233"/>
      <c r="N761" s="233"/>
      <c r="O761" s="234"/>
      <c r="P761" s="234"/>
      <c r="Q761" s="233"/>
      <c r="R761" s="233"/>
      <c r="S761" s="233"/>
      <c r="T761" s="233"/>
      <c r="U761" s="231"/>
    </row>
    <row r="762" spans="1:21" ht="13.2">
      <c r="A762" s="231"/>
      <c r="B762" s="232"/>
      <c r="C762" s="231"/>
      <c r="D762" s="231"/>
      <c r="E762" s="231"/>
      <c r="F762" s="231"/>
      <c r="G762" s="231"/>
      <c r="H762" s="233"/>
      <c r="I762" s="233"/>
      <c r="J762" s="233"/>
      <c r="K762" s="233"/>
      <c r="L762" s="233"/>
      <c r="M762" s="233"/>
      <c r="N762" s="233"/>
      <c r="O762" s="234"/>
      <c r="P762" s="234"/>
      <c r="Q762" s="233"/>
      <c r="R762" s="233"/>
      <c r="S762" s="233"/>
      <c r="T762" s="233"/>
      <c r="U762" s="231"/>
    </row>
    <row r="763" spans="1:21" ht="13.2">
      <c r="A763" s="231"/>
      <c r="B763" s="232"/>
      <c r="C763" s="231"/>
      <c r="D763" s="231"/>
      <c r="E763" s="231"/>
      <c r="F763" s="231"/>
      <c r="G763" s="231"/>
      <c r="H763" s="233"/>
      <c r="I763" s="233"/>
      <c r="J763" s="233"/>
      <c r="K763" s="233"/>
      <c r="L763" s="233"/>
      <c r="M763" s="233"/>
      <c r="N763" s="233"/>
      <c r="O763" s="234"/>
      <c r="P763" s="234"/>
      <c r="Q763" s="233"/>
      <c r="R763" s="233"/>
      <c r="S763" s="233"/>
      <c r="T763" s="233"/>
      <c r="U763" s="231"/>
    </row>
    <row r="764" spans="1:21" ht="13.2">
      <c r="A764" s="231"/>
      <c r="B764" s="232"/>
      <c r="C764" s="231"/>
      <c r="D764" s="231"/>
      <c r="E764" s="231"/>
      <c r="F764" s="231"/>
      <c r="G764" s="231"/>
      <c r="H764" s="233"/>
      <c r="I764" s="233"/>
      <c r="J764" s="233"/>
      <c r="K764" s="233"/>
      <c r="L764" s="233"/>
      <c r="M764" s="233"/>
      <c r="N764" s="233"/>
      <c r="O764" s="234"/>
      <c r="P764" s="234"/>
      <c r="Q764" s="233"/>
      <c r="R764" s="233"/>
      <c r="S764" s="233"/>
      <c r="T764" s="233"/>
      <c r="U764" s="231"/>
    </row>
    <row r="765" spans="1:21" ht="13.2">
      <c r="A765" s="231"/>
      <c r="B765" s="232"/>
      <c r="C765" s="231"/>
      <c r="D765" s="231"/>
      <c r="E765" s="231"/>
      <c r="F765" s="231"/>
      <c r="G765" s="231"/>
      <c r="H765" s="233"/>
      <c r="I765" s="233"/>
      <c r="J765" s="233"/>
      <c r="K765" s="233"/>
      <c r="L765" s="233"/>
      <c r="M765" s="233"/>
      <c r="N765" s="233"/>
      <c r="O765" s="234"/>
      <c r="P765" s="234"/>
      <c r="Q765" s="233"/>
      <c r="R765" s="233"/>
      <c r="S765" s="233"/>
      <c r="T765" s="233"/>
      <c r="U765" s="231"/>
    </row>
    <row r="766" spans="1:21" ht="13.2">
      <c r="A766" s="231"/>
      <c r="B766" s="232"/>
      <c r="C766" s="231"/>
      <c r="D766" s="231"/>
      <c r="E766" s="231"/>
      <c r="F766" s="231"/>
      <c r="G766" s="231"/>
      <c r="H766" s="233"/>
      <c r="I766" s="233"/>
      <c r="J766" s="233"/>
      <c r="K766" s="233"/>
      <c r="L766" s="233"/>
      <c r="M766" s="233"/>
      <c r="N766" s="233"/>
      <c r="O766" s="234"/>
      <c r="P766" s="234"/>
      <c r="Q766" s="233"/>
      <c r="R766" s="233"/>
      <c r="S766" s="233"/>
      <c r="T766" s="233"/>
      <c r="U766" s="231"/>
    </row>
    <row r="767" spans="1:21" ht="13.2">
      <c r="A767" s="231"/>
      <c r="B767" s="232"/>
      <c r="C767" s="231"/>
      <c r="D767" s="231"/>
      <c r="E767" s="231"/>
      <c r="F767" s="231"/>
      <c r="G767" s="231"/>
      <c r="H767" s="233"/>
      <c r="I767" s="233"/>
      <c r="J767" s="233"/>
      <c r="K767" s="233"/>
      <c r="L767" s="233"/>
      <c r="M767" s="233"/>
      <c r="N767" s="233"/>
      <c r="O767" s="234"/>
      <c r="P767" s="234"/>
      <c r="Q767" s="233"/>
      <c r="R767" s="233"/>
      <c r="S767" s="233"/>
      <c r="T767" s="233"/>
      <c r="U767" s="231"/>
    </row>
    <row r="768" spans="1:21" ht="13.2">
      <c r="A768" s="231"/>
      <c r="B768" s="232"/>
      <c r="C768" s="231"/>
      <c r="D768" s="231"/>
      <c r="E768" s="231"/>
      <c r="F768" s="231"/>
      <c r="G768" s="231"/>
      <c r="H768" s="233"/>
      <c r="I768" s="233"/>
      <c r="J768" s="233"/>
      <c r="K768" s="233"/>
      <c r="L768" s="233"/>
      <c r="M768" s="233"/>
      <c r="N768" s="233"/>
      <c r="O768" s="234"/>
      <c r="P768" s="234"/>
      <c r="Q768" s="233"/>
      <c r="R768" s="233"/>
      <c r="S768" s="233"/>
      <c r="T768" s="233"/>
      <c r="U768" s="231"/>
    </row>
    <row r="769" spans="1:21" ht="13.2">
      <c r="A769" s="231"/>
      <c r="B769" s="232"/>
      <c r="C769" s="231"/>
      <c r="D769" s="231"/>
      <c r="E769" s="231"/>
      <c r="F769" s="231"/>
      <c r="G769" s="231"/>
      <c r="H769" s="233"/>
      <c r="I769" s="233"/>
      <c r="J769" s="233"/>
      <c r="K769" s="233"/>
      <c r="L769" s="233"/>
      <c r="M769" s="233"/>
      <c r="N769" s="233"/>
      <c r="O769" s="234"/>
      <c r="P769" s="234"/>
      <c r="Q769" s="233"/>
      <c r="R769" s="233"/>
      <c r="S769" s="233"/>
      <c r="T769" s="233"/>
      <c r="U769" s="231"/>
    </row>
    <row r="770" spans="1:21" ht="13.2">
      <c r="A770" s="231"/>
      <c r="B770" s="232"/>
      <c r="C770" s="231"/>
      <c r="D770" s="231"/>
      <c r="E770" s="231"/>
      <c r="F770" s="231"/>
      <c r="G770" s="231"/>
      <c r="H770" s="233"/>
      <c r="I770" s="233"/>
      <c r="J770" s="233"/>
      <c r="K770" s="233"/>
      <c r="L770" s="233"/>
      <c r="M770" s="233"/>
      <c r="N770" s="233"/>
      <c r="O770" s="234"/>
      <c r="P770" s="234"/>
      <c r="Q770" s="233"/>
      <c r="R770" s="233"/>
      <c r="S770" s="233"/>
      <c r="T770" s="233"/>
      <c r="U770" s="231"/>
    </row>
    <row r="771" spans="1:21" ht="13.2">
      <c r="A771" s="231"/>
      <c r="B771" s="232"/>
      <c r="C771" s="231"/>
      <c r="D771" s="231"/>
      <c r="E771" s="231"/>
      <c r="F771" s="231"/>
      <c r="G771" s="231"/>
      <c r="H771" s="233"/>
      <c r="I771" s="233"/>
      <c r="J771" s="233"/>
      <c r="K771" s="233"/>
      <c r="L771" s="233"/>
      <c r="M771" s="233"/>
      <c r="N771" s="233"/>
      <c r="O771" s="234"/>
      <c r="P771" s="234"/>
      <c r="Q771" s="233"/>
      <c r="R771" s="233"/>
      <c r="S771" s="233"/>
      <c r="T771" s="233"/>
      <c r="U771" s="231"/>
    </row>
    <row r="772" spans="1:21" ht="13.2">
      <c r="A772" s="231"/>
      <c r="B772" s="232"/>
      <c r="C772" s="231"/>
      <c r="D772" s="231"/>
      <c r="E772" s="231"/>
      <c r="F772" s="231"/>
      <c r="G772" s="231"/>
      <c r="H772" s="233"/>
      <c r="I772" s="233"/>
      <c r="J772" s="233"/>
      <c r="K772" s="233"/>
      <c r="L772" s="233"/>
      <c r="M772" s="233"/>
      <c r="N772" s="233"/>
      <c r="O772" s="234"/>
      <c r="P772" s="234"/>
      <c r="Q772" s="233"/>
      <c r="R772" s="233"/>
      <c r="S772" s="233"/>
      <c r="T772" s="233"/>
      <c r="U772" s="231"/>
    </row>
    <row r="773" spans="1:21" ht="13.2">
      <c r="A773" s="231"/>
      <c r="B773" s="232"/>
      <c r="C773" s="231"/>
      <c r="D773" s="231"/>
      <c r="E773" s="231"/>
      <c r="F773" s="231"/>
      <c r="G773" s="231"/>
      <c r="H773" s="233"/>
      <c r="I773" s="233"/>
      <c r="J773" s="233"/>
      <c r="K773" s="233"/>
      <c r="L773" s="233"/>
      <c r="M773" s="233"/>
      <c r="N773" s="233"/>
      <c r="O773" s="234"/>
      <c r="P773" s="234"/>
      <c r="Q773" s="233"/>
      <c r="R773" s="233"/>
      <c r="S773" s="233"/>
      <c r="T773" s="233"/>
      <c r="U773" s="231"/>
    </row>
    <row r="774" spans="1:21" ht="13.2">
      <c r="A774" s="231"/>
      <c r="B774" s="232"/>
      <c r="C774" s="231"/>
      <c r="D774" s="231"/>
      <c r="E774" s="231"/>
      <c r="F774" s="231"/>
      <c r="G774" s="231"/>
      <c r="H774" s="233"/>
      <c r="I774" s="233"/>
      <c r="J774" s="233"/>
      <c r="K774" s="233"/>
      <c r="L774" s="233"/>
      <c r="M774" s="233"/>
      <c r="N774" s="233"/>
      <c r="O774" s="234"/>
      <c r="P774" s="234"/>
      <c r="Q774" s="233"/>
      <c r="R774" s="233"/>
      <c r="S774" s="233"/>
      <c r="T774" s="233"/>
      <c r="U774" s="231"/>
    </row>
    <row r="775" spans="1:21" ht="13.2">
      <c r="A775" s="231"/>
      <c r="B775" s="232"/>
      <c r="C775" s="231"/>
      <c r="D775" s="231"/>
      <c r="E775" s="231"/>
      <c r="F775" s="231"/>
      <c r="G775" s="231"/>
      <c r="H775" s="233"/>
      <c r="I775" s="233"/>
      <c r="J775" s="233"/>
      <c r="K775" s="233"/>
      <c r="L775" s="233"/>
      <c r="M775" s="233"/>
      <c r="N775" s="233"/>
      <c r="O775" s="234"/>
      <c r="P775" s="234"/>
      <c r="Q775" s="233"/>
      <c r="R775" s="233"/>
      <c r="S775" s="233"/>
      <c r="T775" s="233"/>
      <c r="U775" s="231"/>
    </row>
    <row r="776" spans="1:21" ht="13.2">
      <c r="A776" s="231"/>
      <c r="B776" s="232"/>
      <c r="C776" s="231"/>
      <c r="D776" s="231"/>
      <c r="E776" s="231"/>
      <c r="F776" s="231"/>
      <c r="G776" s="231"/>
      <c r="H776" s="233"/>
      <c r="I776" s="233"/>
      <c r="J776" s="233"/>
      <c r="K776" s="233"/>
      <c r="L776" s="233"/>
      <c r="M776" s="233"/>
      <c r="N776" s="233"/>
      <c r="O776" s="234"/>
      <c r="P776" s="234"/>
      <c r="Q776" s="233"/>
      <c r="R776" s="233"/>
      <c r="S776" s="233"/>
      <c r="T776" s="233"/>
      <c r="U776" s="231"/>
    </row>
    <row r="777" spans="1:21" ht="13.2">
      <c r="A777" s="231"/>
      <c r="B777" s="232"/>
      <c r="C777" s="231"/>
      <c r="D777" s="231"/>
      <c r="E777" s="231"/>
      <c r="F777" s="231"/>
      <c r="G777" s="231"/>
      <c r="H777" s="233"/>
      <c r="I777" s="233"/>
      <c r="J777" s="233"/>
      <c r="K777" s="233"/>
      <c r="L777" s="233"/>
      <c r="M777" s="233"/>
      <c r="N777" s="233"/>
      <c r="O777" s="234"/>
      <c r="P777" s="234"/>
      <c r="Q777" s="233"/>
      <c r="R777" s="233"/>
      <c r="S777" s="233"/>
      <c r="T777" s="233"/>
      <c r="U777" s="231"/>
    </row>
    <row r="778" spans="1:21" ht="13.2">
      <c r="A778" s="231"/>
      <c r="B778" s="232"/>
      <c r="C778" s="231"/>
      <c r="D778" s="231"/>
      <c r="E778" s="231"/>
      <c r="F778" s="231"/>
      <c r="G778" s="231"/>
      <c r="H778" s="233"/>
      <c r="I778" s="233"/>
      <c r="J778" s="233"/>
      <c r="K778" s="233"/>
      <c r="L778" s="233"/>
      <c r="M778" s="233"/>
      <c r="N778" s="233"/>
      <c r="O778" s="234"/>
      <c r="P778" s="234"/>
      <c r="Q778" s="233"/>
      <c r="R778" s="233"/>
      <c r="S778" s="233"/>
      <c r="T778" s="233"/>
      <c r="U778" s="231"/>
    </row>
    <row r="779" spans="1:21" ht="13.2">
      <c r="A779" s="231"/>
      <c r="B779" s="232"/>
      <c r="C779" s="231"/>
      <c r="D779" s="231"/>
      <c r="E779" s="231"/>
      <c r="F779" s="231"/>
      <c r="G779" s="231"/>
      <c r="H779" s="233"/>
      <c r="I779" s="233"/>
      <c r="J779" s="233"/>
      <c r="K779" s="233"/>
      <c r="L779" s="233"/>
      <c r="M779" s="233"/>
      <c r="N779" s="233"/>
      <c r="O779" s="234"/>
      <c r="P779" s="234"/>
      <c r="Q779" s="233"/>
      <c r="R779" s="233"/>
      <c r="S779" s="233"/>
      <c r="T779" s="233"/>
      <c r="U779" s="231"/>
    </row>
    <row r="780" spans="1:21" ht="13.2">
      <c r="A780" s="231"/>
      <c r="B780" s="232"/>
      <c r="C780" s="231"/>
      <c r="D780" s="231"/>
      <c r="E780" s="231"/>
      <c r="F780" s="231"/>
      <c r="G780" s="231"/>
      <c r="H780" s="233"/>
      <c r="I780" s="233"/>
      <c r="J780" s="233"/>
      <c r="K780" s="233"/>
      <c r="L780" s="233"/>
      <c r="M780" s="233"/>
      <c r="N780" s="233"/>
      <c r="O780" s="234"/>
      <c r="P780" s="234"/>
      <c r="Q780" s="233"/>
      <c r="R780" s="233"/>
      <c r="S780" s="233"/>
      <c r="T780" s="233"/>
      <c r="U780" s="231"/>
    </row>
    <row r="781" spans="1:21" ht="13.2">
      <c r="A781" s="231"/>
      <c r="B781" s="232"/>
      <c r="C781" s="231"/>
      <c r="D781" s="231"/>
      <c r="E781" s="231"/>
      <c r="F781" s="231"/>
      <c r="G781" s="231"/>
      <c r="H781" s="233"/>
      <c r="I781" s="233"/>
      <c r="J781" s="233"/>
      <c r="K781" s="233"/>
      <c r="L781" s="233"/>
      <c r="M781" s="233"/>
      <c r="N781" s="233"/>
      <c r="O781" s="234"/>
      <c r="P781" s="234"/>
      <c r="Q781" s="233"/>
      <c r="R781" s="233"/>
      <c r="S781" s="233"/>
      <c r="T781" s="233"/>
      <c r="U781" s="231"/>
    </row>
    <row r="782" spans="1:21" ht="13.2">
      <c r="A782" s="231"/>
      <c r="B782" s="232"/>
      <c r="C782" s="231"/>
      <c r="D782" s="231"/>
      <c r="E782" s="231"/>
      <c r="F782" s="231"/>
      <c r="G782" s="231"/>
      <c r="H782" s="233"/>
      <c r="I782" s="233"/>
      <c r="J782" s="233"/>
      <c r="K782" s="233"/>
      <c r="L782" s="233"/>
      <c r="M782" s="233"/>
      <c r="N782" s="233"/>
      <c r="O782" s="234"/>
      <c r="P782" s="234"/>
      <c r="Q782" s="233"/>
      <c r="R782" s="233"/>
      <c r="S782" s="233"/>
      <c r="T782" s="233"/>
      <c r="U782" s="231"/>
    </row>
    <row r="783" spans="1:21" ht="13.2">
      <c r="A783" s="231"/>
      <c r="B783" s="232"/>
      <c r="C783" s="231"/>
      <c r="D783" s="231"/>
      <c r="E783" s="231"/>
      <c r="F783" s="231"/>
      <c r="G783" s="231"/>
      <c r="H783" s="233"/>
      <c r="I783" s="233"/>
      <c r="J783" s="233"/>
      <c r="K783" s="233"/>
      <c r="L783" s="233"/>
      <c r="M783" s="233"/>
      <c r="N783" s="233"/>
      <c r="O783" s="234"/>
      <c r="P783" s="234"/>
      <c r="Q783" s="233"/>
      <c r="R783" s="233"/>
      <c r="S783" s="233"/>
      <c r="T783" s="233"/>
      <c r="U783" s="231"/>
    </row>
    <row r="784" spans="1:21" ht="13.2">
      <c r="A784" s="231"/>
      <c r="B784" s="232"/>
      <c r="C784" s="231"/>
      <c r="D784" s="231"/>
      <c r="E784" s="231"/>
      <c r="F784" s="231"/>
      <c r="G784" s="231"/>
      <c r="H784" s="233"/>
      <c r="I784" s="233"/>
      <c r="J784" s="233"/>
      <c r="K784" s="233"/>
      <c r="L784" s="233"/>
      <c r="M784" s="233"/>
      <c r="N784" s="233"/>
      <c r="O784" s="234"/>
      <c r="P784" s="234"/>
      <c r="Q784" s="233"/>
      <c r="R784" s="233"/>
      <c r="S784" s="233"/>
      <c r="T784" s="233"/>
      <c r="U784" s="231"/>
    </row>
    <row r="785" spans="1:21" ht="13.2">
      <c r="A785" s="231"/>
      <c r="B785" s="232"/>
      <c r="C785" s="231"/>
      <c r="D785" s="231"/>
      <c r="E785" s="231"/>
      <c r="F785" s="231"/>
      <c r="G785" s="231"/>
      <c r="H785" s="233"/>
      <c r="I785" s="233"/>
      <c r="J785" s="233"/>
      <c r="K785" s="233"/>
      <c r="L785" s="233"/>
      <c r="M785" s="233"/>
      <c r="N785" s="233"/>
      <c r="O785" s="234"/>
      <c r="P785" s="234"/>
      <c r="Q785" s="233"/>
      <c r="R785" s="233"/>
      <c r="S785" s="233"/>
      <c r="T785" s="233"/>
      <c r="U785" s="231"/>
    </row>
    <row r="786" spans="1:21" ht="13.2">
      <c r="A786" s="231"/>
      <c r="B786" s="232"/>
      <c r="C786" s="231"/>
      <c r="D786" s="231"/>
      <c r="E786" s="231"/>
      <c r="F786" s="231"/>
      <c r="G786" s="231"/>
      <c r="H786" s="233"/>
      <c r="I786" s="233"/>
      <c r="J786" s="233"/>
      <c r="K786" s="233"/>
      <c r="L786" s="233"/>
      <c r="M786" s="233"/>
      <c r="N786" s="233"/>
      <c r="O786" s="234"/>
      <c r="P786" s="234"/>
      <c r="Q786" s="233"/>
      <c r="R786" s="233"/>
      <c r="S786" s="233"/>
      <c r="T786" s="233"/>
      <c r="U786" s="231"/>
    </row>
    <row r="787" spans="1:21" ht="13.2">
      <c r="A787" s="231"/>
      <c r="B787" s="232"/>
      <c r="C787" s="231"/>
      <c r="D787" s="231"/>
      <c r="E787" s="231"/>
      <c r="F787" s="231"/>
      <c r="G787" s="231"/>
      <c r="H787" s="233"/>
      <c r="I787" s="233"/>
      <c r="J787" s="233"/>
      <c r="K787" s="233"/>
      <c r="L787" s="233"/>
      <c r="M787" s="233"/>
      <c r="N787" s="233"/>
      <c r="O787" s="234"/>
      <c r="P787" s="234"/>
      <c r="Q787" s="233"/>
      <c r="R787" s="233"/>
      <c r="S787" s="233"/>
      <c r="T787" s="233"/>
      <c r="U787" s="231"/>
    </row>
    <row r="788" spans="1:21" ht="13.2">
      <c r="A788" s="231"/>
      <c r="B788" s="232"/>
      <c r="C788" s="231"/>
      <c r="D788" s="231"/>
      <c r="E788" s="231"/>
      <c r="F788" s="231"/>
      <c r="G788" s="231"/>
      <c r="H788" s="233"/>
      <c r="I788" s="233"/>
      <c r="J788" s="233"/>
      <c r="K788" s="233"/>
      <c r="L788" s="233"/>
      <c r="M788" s="233"/>
      <c r="N788" s="233"/>
      <c r="O788" s="234"/>
      <c r="P788" s="234"/>
      <c r="Q788" s="233"/>
      <c r="R788" s="233"/>
      <c r="S788" s="233"/>
      <c r="T788" s="233"/>
      <c r="U788" s="231"/>
    </row>
    <row r="789" spans="1:21" ht="13.2">
      <c r="A789" s="231"/>
      <c r="B789" s="232"/>
      <c r="C789" s="231"/>
      <c r="D789" s="231"/>
      <c r="E789" s="231"/>
      <c r="F789" s="231"/>
      <c r="G789" s="231"/>
      <c r="H789" s="233"/>
      <c r="I789" s="233"/>
      <c r="J789" s="233"/>
      <c r="K789" s="233"/>
      <c r="L789" s="233"/>
      <c r="M789" s="233"/>
      <c r="N789" s="233"/>
      <c r="O789" s="234"/>
      <c r="P789" s="234"/>
      <c r="Q789" s="233"/>
      <c r="R789" s="233"/>
      <c r="S789" s="233"/>
      <c r="T789" s="233"/>
      <c r="U789" s="231"/>
    </row>
    <row r="790" spans="1:21" ht="13.2">
      <c r="A790" s="231"/>
      <c r="B790" s="232"/>
      <c r="C790" s="231"/>
      <c r="D790" s="231"/>
      <c r="E790" s="231"/>
      <c r="F790" s="231"/>
      <c r="G790" s="231"/>
      <c r="H790" s="233"/>
      <c r="I790" s="233"/>
      <c r="J790" s="233"/>
      <c r="K790" s="233"/>
      <c r="L790" s="233"/>
      <c r="M790" s="233"/>
      <c r="N790" s="233"/>
      <c r="O790" s="234"/>
      <c r="P790" s="234"/>
      <c r="Q790" s="233"/>
      <c r="R790" s="233"/>
      <c r="S790" s="233"/>
      <c r="T790" s="233"/>
      <c r="U790" s="231"/>
    </row>
    <row r="791" spans="1:21" ht="13.2">
      <c r="A791" s="231"/>
      <c r="B791" s="232"/>
      <c r="C791" s="231"/>
      <c r="D791" s="231"/>
      <c r="E791" s="231"/>
      <c r="F791" s="231"/>
      <c r="G791" s="231"/>
      <c r="H791" s="233"/>
      <c r="I791" s="233"/>
      <c r="J791" s="233"/>
      <c r="K791" s="233"/>
      <c r="L791" s="233"/>
      <c r="M791" s="233"/>
      <c r="N791" s="233"/>
      <c r="O791" s="234"/>
      <c r="P791" s="234"/>
      <c r="Q791" s="233"/>
      <c r="R791" s="233"/>
      <c r="S791" s="233"/>
      <c r="T791" s="233"/>
      <c r="U791" s="231"/>
    </row>
    <row r="792" spans="1:21" ht="13.2">
      <c r="A792" s="231"/>
      <c r="B792" s="232"/>
      <c r="C792" s="231"/>
      <c r="D792" s="231"/>
      <c r="E792" s="231"/>
      <c r="F792" s="231"/>
      <c r="G792" s="231"/>
      <c r="H792" s="233"/>
      <c r="I792" s="233"/>
      <c r="J792" s="233"/>
      <c r="K792" s="233"/>
      <c r="L792" s="233"/>
      <c r="M792" s="233"/>
      <c r="N792" s="233"/>
      <c r="O792" s="234"/>
      <c r="P792" s="234"/>
      <c r="Q792" s="233"/>
      <c r="R792" s="233"/>
      <c r="S792" s="233"/>
      <c r="T792" s="233"/>
      <c r="U792" s="231"/>
    </row>
    <row r="793" spans="1:21" ht="13.2">
      <c r="A793" s="231"/>
      <c r="B793" s="232"/>
      <c r="C793" s="231"/>
      <c r="D793" s="231"/>
      <c r="E793" s="231"/>
      <c r="F793" s="231"/>
      <c r="G793" s="231"/>
      <c r="H793" s="233"/>
      <c r="I793" s="233"/>
      <c r="J793" s="233"/>
      <c r="K793" s="233"/>
      <c r="L793" s="233"/>
      <c r="M793" s="233"/>
      <c r="N793" s="233"/>
      <c r="O793" s="234"/>
      <c r="P793" s="234"/>
      <c r="Q793" s="233"/>
      <c r="R793" s="233"/>
      <c r="S793" s="233"/>
      <c r="T793" s="233"/>
      <c r="U793" s="231"/>
    </row>
    <row r="794" spans="1:21" ht="13.2">
      <c r="A794" s="231"/>
      <c r="B794" s="232"/>
      <c r="C794" s="231"/>
      <c r="D794" s="231"/>
      <c r="E794" s="231"/>
      <c r="F794" s="231"/>
      <c r="G794" s="231"/>
      <c r="H794" s="233"/>
      <c r="I794" s="233"/>
      <c r="J794" s="233"/>
      <c r="K794" s="233"/>
      <c r="L794" s="233"/>
      <c r="M794" s="233"/>
      <c r="N794" s="233"/>
      <c r="O794" s="234"/>
      <c r="P794" s="234"/>
      <c r="Q794" s="233"/>
      <c r="R794" s="233"/>
      <c r="S794" s="233"/>
      <c r="T794" s="233"/>
      <c r="U794" s="231"/>
    </row>
    <row r="795" spans="1:21" ht="13.2">
      <c r="A795" s="231"/>
      <c r="B795" s="232"/>
      <c r="C795" s="231"/>
      <c r="D795" s="231"/>
      <c r="E795" s="231"/>
      <c r="F795" s="231"/>
      <c r="G795" s="231"/>
      <c r="H795" s="233"/>
      <c r="I795" s="233"/>
      <c r="J795" s="233"/>
      <c r="K795" s="233"/>
      <c r="L795" s="233"/>
      <c r="M795" s="233"/>
      <c r="N795" s="233"/>
      <c r="O795" s="234"/>
      <c r="P795" s="234"/>
      <c r="Q795" s="233"/>
      <c r="R795" s="233"/>
      <c r="S795" s="233"/>
      <c r="T795" s="233"/>
      <c r="U795" s="231"/>
    </row>
    <row r="796" spans="1:21" ht="13.2">
      <c r="A796" s="231"/>
      <c r="B796" s="232"/>
      <c r="C796" s="231"/>
      <c r="D796" s="231"/>
      <c r="E796" s="231"/>
      <c r="F796" s="231"/>
      <c r="G796" s="231"/>
      <c r="H796" s="233"/>
      <c r="I796" s="233"/>
      <c r="J796" s="233"/>
      <c r="K796" s="233"/>
      <c r="L796" s="233"/>
      <c r="M796" s="233"/>
      <c r="N796" s="233"/>
      <c r="O796" s="234"/>
      <c r="P796" s="234"/>
      <c r="Q796" s="233"/>
      <c r="R796" s="233"/>
      <c r="S796" s="233"/>
      <c r="T796" s="233"/>
      <c r="U796" s="231"/>
    </row>
    <row r="797" spans="1:21" ht="13.2">
      <c r="A797" s="231"/>
      <c r="B797" s="232"/>
      <c r="C797" s="231"/>
      <c r="D797" s="231"/>
      <c r="E797" s="231"/>
      <c r="F797" s="231"/>
      <c r="G797" s="231"/>
      <c r="H797" s="233"/>
      <c r="I797" s="233"/>
      <c r="J797" s="233"/>
      <c r="K797" s="233"/>
      <c r="L797" s="233"/>
      <c r="M797" s="233"/>
      <c r="N797" s="233"/>
      <c r="O797" s="234"/>
      <c r="P797" s="234"/>
      <c r="Q797" s="233"/>
      <c r="R797" s="233"/>
      <c r="S797" s="233"/>
      <c r="T797" s="233"/>
      <c r="U797" s="231"/>
    </row>
    <row r="798" spans="1:21" ht="13.2">
      <c r="A798" s="231"/>
      <c r="B798" s="232"/>
      <c r="C798" s="231"/>
      <c r="D798" s="231"/>
      <c r="E798" s="231"/>
      <c r="F798" s="231"/>
      <c r="G798" s="231"/>
      <c r="H798" s="233"/>
      <c r="I798" s="233"/>
      <c r="J798" s="233"/>
      <c r="K798" s="233"/>
      <c r="L798" s="233"/>
      <c r="M798" s="233"/>
      <c r="N798" s="233"/>
      <c r="O798" s="234"/>
      <c r="P798" s="234"/>
      <c r="Q798" s="233"/>
      <c r="R798" s="233"/>
      <c r="S798" s="233"/>
      <c r="T798" s="233"/>
      <c r="U798" s="231"/>
    </row>
    <row r="799" spans="1:21" ht="13.2">
      <c r="A799" s="231"/>
      <c r="B799" s="232"/>
      <c r="C799" s="231"/>
      <c r="D799" s="231"/>
      <c r="E799" s="231"/>
      <c r="F799" s="231"/>
      <c r="G799" s="231"/>
      <c r="H799" s="233"/>
      <c r="I799" s="233"/>
      <c r="J799" s="233"/>
      <c r="K799" s="233"/>
      <c r="L799" s="233"/>
      <c r="M799" s="233"/>
      <c r="N799" s="233"/>
      <c r="O799" s="234"/>
      <c r="P799" s="234"/>
      <c r="Q799" s="233"/>
      <c r="R799" s="233"/>
      <c r="S799" s="233"/>
      <c r="T799" s="233"/>
      <c r="U799" s="231"/>
    </row>
    <row r="800" spans="1:21" ht="13.2">
      <c r="A800" s="231"/>
      <c r="B800" s="232"/>
      <c r="C800" s="231"/>
      <c r="D800" s="231"/>
      <c r="E800" s="231"/>
      <c r="F800" s="231"/>
      <c r="G800" s="231"/>
      <c r="H800" s="233"/>
      <c r="I800" s="233"/>
      <c r="J800" s="233"/>
      <c r="K800" s="233"/>
      <c r="L800" s="233"/>
      <c r="M800" s="233"/>
      <c r="N800" s="233"/>
      <c r="O800" s="234"/>
      <c r="P800" s="234"/>
      <c r="Q800" s="233"/>
      <c r="R800" s="233"/>
      <c r="S800" s="233"/>
      <c r="T800" s="233"/>
      <c r="U800" s="231"/>
    </row>
    <row r="801" spans="1:21" ht="13.2">
      <c r="A801" s="231"/>
      <c r="B801" s="232"/>
      <c r="C801" s="231"/>
      <c r="D801" s="231"/>
      <c r="E801" s="231"/>
      <c r="F801" s="231"/>
      <c r="G801" s="231"/>
      <c r="H801" s="233"/>
      <c r="I801" s="233"/>
      <c r="J801" s="233"/>
      <c r="K801" s="233"/>
      <c r="L801" s="233"/>
      <c r="M801" s="233"/>
      <c r="N801" s="233"/>
      <c r="O801" s="234"/>
      <c r="P801" s="234"/>
      <c r="Q801" s="233"/>
      <c r="R801" s="233"/>
      <c r="S801" s="233"/>
      <c r="T801" s="233"/>
      <c r="U801" s="231"/>
    </row>
    <row r="802" spans="1:21" ht="13.2">
      <c r="A802" s="231"/>
      <c r="B802" s="232"/>
      <c r="C802" s="231"/>
      <c r="D802" s="231"/>
      <c r="E802" s="231"/>
      <c r="F802" s="231"/>
      <c r="G802" s="231"/>
      <c r="H802" s="233"/>
      <c r="I802" s="233"/>
      <c r="J802" s="233"/>
      <c r="K802" s="233"/>
      <c r="L802" s="233"/>
      <c r="M802" s="233"/>
      <c r="N802" s="233"/>
      <c r="O802" s="234"/>
      <c r="P802" s="234"/>
      <c r="Q802" s="233"/>
      <c r="R802" s="233"/>
      <c r="S802" s="233"/>
      <c r="T802" s="233"/>
      <c r="U802" s="231"/>
    </row>
    <row r="803" spans="1:21" ht="13.2">
      <c r="A803" s="231"/>
      <c r="B803" s="232"/>
      <c r="C803" s="231"/>
      <c r="D803" s="231"/>
      <c r="E803" s="231"/>
      <c r="F803" s="231"/>
      <c r="G803" s="231"/>
      <c r="H803" s="233"/>
      <c r="I803" s="233"/>
      <c r="J803" s="233"/>
      <c r="K803" s="233"/>
      <c r="L803" s="233"/>
      <c r="M803" s="233"/>
      <c r="N803" s="233"/>
      <c r="O803" s="234"/>
      <c r="P803" s="234"/>
      <c r="Q803" s="233"/>
      <c r="R803" s="233"/>
      <c r="S803" s="233"/>
      <c r="T803" s="233"/>
      <c r="U803" s="231"/>
    </row>
    <row r="804" spans="1:21" ht="13.2">
      <c r="A804" s="231"/>
      <c r="B804" s="232"/>
      <c r="C804" s="231"/>
      <c r="D804" s="231"/>
      <c r="E804" s="231"/>
      <c r="F804" s="231"/>
      <c r="G804" s="231"/>
      <c r="H804" s="233"/>
      <c r="I804" s="233"/>
      <c r="J804" s="233"/>
      <c r="K804" s="233"/>
      <c r="L804" s="233"/>
      <c r="M804" s="233"/>
      <c r="N804" s="233"/>
      <c r="O804" s="234"/>
      <c r="P804" s="234"/>
      <c r="Q804" s="233"/>
      <c r="R804" s="233"/>
      <c r="S804" s="233"/>
      <c r="T804" s="233"/>
      <c r="U804" s="231"/>
    </row>
    <row r="805" spans="1:21" ht="13.2">
      <c r="A805" s="231"/>
      <c r="B805" s="232"/>
      <c r="C805" s="231"/>
      <c r="D805" s="231"/>
      <c r="E805" s="231"/>
      <c r="F805" s="231"/>
      <c r="G805" s="231"/>
      <c r="H805" s="233"/>
      <c r="I805" s="233"/>
      <c r="J805" s="233"/>
      <c r="K805" s="233"/>
      <c r="L805" s="233"/>
      <c r="M805" s="233"/>
      <c r="N805" s="233"/>
      <c r="O805" s="234"/>
      <c r="P805" s="234"/>
      <c r="Q805" s="233"/>
      <c r="R805" s="233"/>
      <c r="S805" s="233"/>
      <c r="T805" s="233"/>
      <c r="U805" s="231"/>
    </row>
    <row r="806" spans="1:21" ht="13.2">
      <c r="A806" s="231"/>
      <c r="B806" s="232"/>
      <c r="C806" s="231"/>
      <c r="D806" s="231"/>
      <c r="E806" s="231"/>
      <c r="F806" s="231"/>
      <c r="G806" s="231"/>
      <c r="H806" s="233"/>
      <c r="I806" s="233"/>
      <c r="J806" s="233"/>
      <c r="K806" s="233"/>
      <c r="L806" s="233"/>
      <c r="M806" s="233"/>
      <c r="N806" s="233"/>
      <c r="O806" s="234"/>
      <c r="P806" s="234"/>
      <c r="Q806" s="233"/>
      <c r="R806" s="233"/>
      <c r="S806" s="233"/>
      <c r="T806" s="233"/>
      <c r="U806" s="231"/>
    </row>
    <row r="807" spans="1:21" ht="13.2">
      <c r="A807" s="231"/>
      <c r="B807" s="232"/>
      <c r="C807" s="231"/>
      <c r="D807" s="231"/>
      <c r="E807" s="231"/>
      <c r="F807" s="231"/>
      <c r="G807" s="231"/>
      <c r="H807" s="233"/>
      <c r="I807" s="233"/>
      <c r="J807" s="233"/>
      <c r="K807" s="233"/>
      <c r="L807" s="233"/>
      <c r="M807" s="233"/>
      <c r="N807" s="233"/>
      <c r="O807" s="234"/>
      <c r="P807" s="234"/>
      <c r="Q807" s="233"/>
      <c r="R807" s="233"/>
      <c r="S807" s="233"/>
      <c r="T807" s="233"/>
      <c r="U807" s="231"/>
    </row>
    <row r="808" spans="1:21" ht="13.2">
      <c r="A808" s="231"/>
      <c r="B808" s="232"/>
      <c r="C808" s="231"/>
      <c r="D808" s="231"/>
      <c r="E808" s="231"/>
      <c r="F808" s="231"/>
      <c r="G808" s="231"/>
      <c r="H808" s="233"/>
      <c r="I808" s="233"/>
      <c r="J808" s="233"/>
      <c r="K808" s="233"/>
      <c r="L808" s="233"/>
      <c r="M808" s="233"/>
      <c r="N808" s="233"/>
      <c r="O808" s="234"/>
      <c r="P808" s="234"/>
      <c r="Q808" s="233"/>
      <c r="R808" s="233"/>
      <c r="S808" s="233"/>
      <c r="T808" s="233"/>
      <c r="U808" s="231"/>
    </row>
    <row r="809" spans="1:21" ht="13.2">
      <c r="A809" s="231"/>
      <c r="B809" s="232"/>
      <c r="C809" s="231"/>
      <c r="D809" s="231"/>
      <c r="E809" s="231"/>
      <c r="F809" s="231"/>
      <c r="G809" s="231"/>
      <c r="H809" s="233"/>
      <c r="I809" s="233"/>
      <c r="J809" s="233"/>
      <c r="K809" s="233"/>
      <c r="L809" s="233"/>
      <c r="M809" s="233"/>
      <c r="N809" s="233"/>
      <c r="O809" s="234"/>
      <c r="P809" s="234"/>
      <c r="Q809" s="233"/>
      <c r="R809" s="233"/>
      <c r="S809" s="233"/>
      <c r="T809" s="233"/>
      <c r="U809" s="231"/>
    </row>
    <row r="810" spans="1:21" ht="13.2">
      <c r="A810" s="231"/>
      <c r="B810" s="232"/>
      <c r="C810" s="231"/>
      <c r="D810" s="231"/>
      <c r="E810" s="231"/>
      <c r="F810" s="231"/>
      <c r="G810" s="231"/>
      <c r="H810" s="233"/>
      <c r="I810" s="233"/>
      <c r="J810" s="233"/>
      <c r="K810" s="233"/>
      <c r="L810" s="233"/>
      <c r="M810" s="233"/>
      <c r="N810" s="233"/>
      <c r="O810" s="234"/>
      <c r="P810" s="234"/>
      <c r="Q810" s="233"/>
      <c r="R810" s="233"/>
      <c r="S810" s="233"/>
      <c r="T810" s="233"/>
      <c r="U810" s="231"/>
    </row>
    <row r="811" spans="1:21" ht="13.2">
      <c r="A811" s="231"/>
      <c r="B811" s="232"/>
      <c r="C811" s="231"/>
      <c r="D811" s="231"/>
      <c r="E811" s="231"/>
      <c r="F811" s="231"/>
      <c r="G811" s="231"/>
      <c r="H811" s="233"/>
      <c r="I811" s="233"/>
      <c r="J811" s="233"/>
      <c r="K811" s="233"/>
      <c r="L811" s="233"/>
      <c r="M811" s="233"/>
      <c r="N811" s="233"/>
      <c r="O811" s="234"/>
      <c r="P811" s="234"/>
      <c r="Q811" s="233"/>
      <c r="R811" s="233"/>
      <c r="S811" s="233"/>
      <c r="T811" s="233"/>
      <c r="U811" s="231"/>
    </row>
    <row r="812" spans="1:21" ht="13.2">
      <c r="A812" s="231"/>
      <c r="B812" s="232"/>
      <c r="C812" s="231"/>
      <c r="D812" s="231"/>
      <c r="E812" s="231"/>
      <c r="F812" s="231"/>
      <c r="G812" s="231"/>
      <c r="H812" s="233"/>
      <c r="I812" s="233"/>
      <c r="J812" s="233"/>
      <c r="K812" s="233"/>
      <c r="L812" s="233"/>
      <c r="M812" s="233"/>
      <c r="N812" s="233"/>
      <c r="O812" s="234"/>
      <c r="P812" s="234"/>
      <c r="Q812" s="233"/>
      <c r="R812" s="233"/>
      <c r="S812" s="233"/>
      <c r="T812" s="233"/>
      <c r="U812" s="231"/>
    </row>
    <row r="813" spans="1:21" ht="13.2">
      <c r="A813" s="231"/>
      <c r="B813" s="232"/>
      <c r="C813" s="231"/>
      <c r="D813" s="231"/>
      <c r="E813" s="231"/>
      <c r="F813" s="231"/>
      <c r="G813" s="231"/>
      <c r="H813" s="233"/>
      <c r="I813" s="233"/>
      <c r="J813" s="233"/>
      <c r="K813" s="233"/>
      <c r="L813" s="233"/>
      <c r="M813" s="233"/>
      <c r="N813" s="233"/>
      <c r="O813" s="234"/>
      <c r="P813" s="234"/>
      <c r="Q813" s="233"/>
      <c r="R813" s="233"/>
      <c r="S813" s="233"/>
      <c r="T813" s="233"/>
      <c r="U813" s="231"/>
    </row>
    <row r="814" spans="1:21" ht="13.2">
      <c r="A814" s="231"/>
      <c r="B814" s="232"/>
      <c r="C814" s="231"/>
      <c r="D814" s="231"/>
      <c r="E814" s="231"/>
      <c r="F814" s="231"/>
      <c r="G814" s="231"/>
      <c r="H814" s="233"/>
      <c r="I814" s="233"/>
      <c r="J814" s="233"/>
      <c r="K814" s="233"/>
      <c r="L814" s="233"/>
      <c r="M814" s="233"/>
      <c r="N814" s="233"/>
      <c r="O814" s="234"/>
      <c r="P814" s="234"/>
      <c r="Q814" s="233"/>
      <c r="R814" s="233"/>
      <c r="S814" s="233"/>
      <c r="T814" s="233"/>
      <c r="U814" s="231"/>
    </row>
    <row r="815" spans="1:21" ht="13.2">
      <c r="A815" s="231"/>
      <c r="B815" s="232"/>
      <c r="C815" s="231"/>
      <c r="D815" s="231"/>
      <c r="E815" s="231"/>
      <c r="F815" s="231"/>
      <c r="G815" s="231"/>
      <c r="H815" s="233"/>
      <c r="I815" s="233"/>
      <c r="J815" s="233"/>
      <c r="K815" s="233"/>
      <c r="L815" s="233"/>
      <c r="M815" s="233"/>
      <c r="N815" s="233"/>
      <c r="O815" s="234"/>
      <c r="P815" s="234"/>
      <c r="Q815" s="233"/>
      <c r="R815" s="233"/>
      <c r="S815" s="233"/>
      <c r="T815" s="233"/>
      <c r="U815" s="231"/>
    </row>
    <row r="816" spans="1:21" ht="13.2">
      <c r="A816" s="231"/>
      <c r="B816" s="232"/>
      <c r="C816" s="231"/>
      <c r="D816" s="231"/>
      <c r="E816" s="231"/>
      <c r="F816" s="231"/>
      <c r="G816" s="231"/>
      <c r="H816" s="233"/>
      <c r="I816" s="233"/>
      <c r="J816" s="233"/>
      <c r="K816" s="233"/>
      <c r="L816" s="233"/>
      <c r="M816" s="233"/>
      <c r="N816" s="233"/>
      <c r="O816" s="234"/>
      <c r="P816" s="234"/>
      <c r="Q816" s="233"/>
      <c r="R816" s="233"/>
      <c r="S816" s="233"/>
      <c r="T816" s="233"/>
      <c r="U816" s="231"/>
    </row>
    <row r="817" spans="1:21" ht="13.2">
      <c r="A817" s="231"/>
      <c r="B817" s="232"/>
      <c r="C817" s="231"/>
      <c r="D817" s="231"/>
      <c r="E817" s="231"/>
      <c r="F817" s="231"/>
      <c r="G817" s="231"/>
      <c r="H817" s="233"/>
      <c r="I817" s="233"/>
      <c r="J817" s="233"/>
      <c r="K817" s="233"/>
      <c r="L817" s="233"/>
      <c r="M817" s="233"/>
      <c r="N817" s="233"/>
      <c r="O817" s="234"/>
      <c r="P817" s="234"/>
      <c r="Q817" s="233"/>
      <c r="R817" s="233"/>
      <c r="S817" s="233"/>
      <c r="T817" s="233"/>
      <c r="U817" s="231"/>
    </row>
    <row r="818" spans="1:21" ht="13.2">
      <c r="A818" s="231"/>
      <c r="B818" s="232"/>
      <c r="C818" s="231"/>
      <c r="D818" s="231"/>
      <c r="E818" s="231"/>
      <c r="F818" s="231"/>
      <c r="G818" s="231"/>
      <c r="H818" s="233"/>
      <c r="I818" s="233"/>
      <c r="J818" s="233"/>
      <c r="K818" s="233"/>
      <c r="L818" s="233"/>
      <c r="M818" s="233"/>
      <c r="N818" s="233"/>
      <c r="O818" s="234"/>
      <c r="P818" s="234"/>
      <c r="Q818" s="233"/>
      <c r="R818" s="233"/>
      <c r="S818" s="233"/>
      <c r="T818" s="233"/>
      <c r="U818" s="231"/>
    </row>
    <row r="819" spans="1:21" ht="13.2">
      <c r="A819" s="231"/>
      <c r="B819" s="232"/>
      <c r="C819" s="231"/>
      <c r="D819" s="231"/>
      <c r="E819" s="231"/>
      <c r="F819" s="231"/>
      <c r="G819" s="231"/>
      <c r="H819" s="233"/>
      <c r="I819" s="233"/>
      <c r="J819" s="233"/>
      <c r="K819" s="233"/>
      <c r="L819" s="233"/>
      <c r="M819" s="233"/>
      <c r="N819" s="233"/>
      <c r="O819" s="234"/>
      <c r="P819" s="234"/>
      <c r="Q819" s="233"/>
      <c r="R819" s="233"/>
      <c r="S819" s="233"/>
      <c r="T819" s="233"/>
      <c r="U819" s="231"/>
    </row>
    <row r="820" spans="1:21" ht="13.2">
      <c r="A820" s="231"/>
      <c r="B820" s="232"/>
      <c r="C820" s="231"/>
      <c r="D820" s="231"/>
      <c r="E820" s="231"/>
      <c r="F820" s="231"/>
      <c r="G820" s="231"/>
      <c r="H820" s="233"/>
      <c r="I820" s="233"/>
      <c r="J820" s="233"/>
      <c r="K820" s="233"/>
      <c r="L820" s="233"/>
      <c r="M820" s="233"/>
      <c r="N820" s="233"/>
      <c r="O820" s="234"/>
      <c r="P820" s="234"/>
      <c r="Q820" s="233"/>
      <c r="R820" s="233"/>
      <c r="S820" s="233"/>
      <c r="T820" s="233"/>
      <c r="U820" s="231"/>
    </row>
    <row r="821" spans="1:21" ht="13.2">
      <c r="A821" s="231"/>
      <c r="B821" s="232"/>
      <c r="C821" s="231"/>
      <c r="D821" s="231"/>
      <c r="E821" s="231"/>
      <c r="F821" s="231"/>
      <c r="G821" s="231"/>
      <c r="H821" s="233"/>
      <c r="I821" s="233"/>
      <c r="J821" s="233"/>
      <c r="K821" s="233"/>
      <c r="L821" s="233"/>
      <c r="M821" s="233"/>
      <c r="N821" s="233"/>
      <c r="O821" s="234"/>
      <c r="P821" s="234"/>
      <c r="Q821" s="233"/>
      <c r="R821" s="233"/>
      <c r="S821" s="233"/>
      <c r="T821" s="233"/>
      <c r="U821" s="231"/>
    </row>
    <row r="822" spans="1:21" ht="13.2">
      <c r="A822" s="231"/>
      <c r="B822" s="232"/>
      <c r="C822" s="231"/>
      <c r="D822" s="231"/>
      <c r="E822" s="231"/>
      <c r="F822" s="231"/>
      <c r="G822" s="231"/>
      <c r="H822" s="233"/>
      <c r="I822" s="233"/>
      <c r="J822" s="233"/>
      <c r="K822" s="233"/>
      <c r="L822" s="233"/>
      <c r="M822" s="233"/>
      <c r="N822" s="233"/>
      <c r="O822" s="234"/>
      <c r="P822" s="234"/>
      <c r="Q822" s="233"/>
      <c r="R822" s="233"/>
      <c r="S822" s="233"/>
      <c r="T822" s="233"/>
      <c r="U822" s="231"/>
    </row>
    <row r="823" spans="1:21" ht="13.2">
      <c r="A823" s="231"/>
      <c r="B823" s="232"/>
      <c r="C823" s="231"/>
      <c r="D823" s="231"/>
      <c r="E823" s="231"/>
      <c r="F823" s="231"/>
      <c r="G823" s="231"/>
      <c r="H823" s="233"/>
      <c r="I823" s="233"/>
      <c r="J823" s="233"/>
      <c r="K823" s="233"/>
      <c r="L823" s="233"/>
      <c r="M823" s="233"/>
      <c r="N823" s="233"/>
      <c r="O823" s="234"/>
      <c r="P823" s="234"/>
      <c r="Q823" s="233"/>
      <c r="R823" s="233"/>
      <c r="S823" s="233"/>
      <c r="T823" s="233"/>
      <c r="U823" s="231"/>
    </row>
    <row r="824" spans="1:21" ht="13.2">
      <c r="A824" s="231"/>
      <c r="B824" s="232"/>
      <c r="C824" s="231"/>
      <c r="D824" s="231"/>
      <c r="E824" s="231"/>
      <c r="F824" s="231"/>
      <c r="G824" s="231"/>
      <c r="H824" s="233"/>
      <c r="I824" s="233"/>
      <c r="J824" s="233"/>
      <c r="K824" s="233"/>
      <c r="L824" s="233"/>
      <c r="M824" s="233"/>
      <c r="N824" s="233"/>
      <c r="O824" s="234"/>
      <c r="P824" s="234"/>
      <c r="Q824" s="233"/>
      <c r="R824" s="233"/>
      <c r="S824" s="233"/>
      <c r="T824" s="233"/>
      <c r="U824" s="231"/>
    </row>
    <row r="825" spans="1:21" ht="13.2">
      <c r="A825" s="231"/>
      <c r="B825" s="232"/>
      <c r="C825" s="231"/>
      <c r="D825" s="231"/>
      <c r="E825" s="231"/>
      <c r="F825" s="231"/>
      <c r="G825" s="231"/>
      <c r="H825" s="233"/>
      <c r="I825" s="233"/>
      <c r="J825" s="233"/>
      <c r="K825" s="233"/>
      <c r="L825" s="233"/>
      <c r="M825" s="233"/>
      <c r="N825" s="233"/>
      <c r="O825" s="234"/>
      <c r="P825" s="234"/>
      <c r="Q825" s="233"/>
      <c r="R825" s="233"/>
      <c r="S825" s="233"/>
      <c r="T825" s="233"/>
      <c r="U825" s="231"/>
    </row>
    <row r="826" spans="1:21" ht="13.2">
      <c r="A826" s="231"/>
      <c r="B826" s="232"/>
      <c r="C826" s="231"/>
      <c r="D826" s="231"/>
      <c r="E826" s="231"/>
      <c r="F826" s="231"/>
      <c r="G826" s="231"/>
      <c r="H826" s="233"/>
      <c r="I826" s="233"/>
      <c r="J826" s="233"/>
      <c r="K826" s="233"/>
      <c r="L826" s="233"/>
      <c r="M826" s="233"/>
      <c r="N826" s="233"/>
      <c r="O826" s="234"/>
      <c r="P826" s="234"/>
      <c r="Q826" s="233"/>
      <c r="R826" s="233"/>
      <c r="S826" s="233"/>
      <c r="T826" s="233"/>
      <c r="U826" s="231"/>
    </row>
    <row r="827" spans="1:21" ht="13.2">
      <c r="A827" s="231"/>
      <c r="B827" s="232"/>
      <c r="C827" s="231"/>
      <c r="D827" s="231"/>
      <c r="E827" s="231"/>
      <c r="F827" s="231"/>
      <c r="G827" s="231"/>
      <c r="H827" s="233"/>
      <c r="I827" s="233"/>
      <c r="J827" s="233"/>
      <c r="K827" s="233"/>
      <c r="L827" s="233"/>
      <c r="M827" s="233"/>
      <c r="N827" s="233"/>
      <c r="O827" s="234"/>
      <c r="P827" s="234"/>
      <c r="Q827" s="233"/>
      <c r="R827" s="233"/>
      <c r="S827" s="233"/>
      <c r="T827" s="233"/>
      <c r="U827" s="231"/>
    </row>
    <row r="828" spans="1:21" ht="13.2">
      <c r="A828" s="231"/>
      <c r="B828" s="232"/>
      <c r="C828" s="231"/>
      <c r="D828" s="231"/>
      <c r="E828" s="231"/>
      <c r="F828" s="231"/>
      <c r="G828" s="231"/>
      <c r="H828" s="233"/>
      <c r="I828" s="233"/>
      <c r="J828" s="233"/>
      <c r="K828" s="233"/>
      <c r="L828" s="233"/>
      <c r="M828" s="233"/>
      <c r="N828" s="233"/>
      <c r="O828" s="234"/>
      <c r="P828" s="234"/>
      <c r="Q828" s="233"/>
      <c r="R828" s="233"/>
      <c r="S828" s="233"/>
      <c r="T828" s="233"/>
      <c r="U828" s="231"/>
    </row>
    <row r="829" spans="1:21" ht="13.2">
      <c r="A829" s="231"/>
      <c r="B829" s="232"/>
      <c r="C829" s="231"/>
      <c r="D829" s="231"/>
      <c r="E829" s="231"/>
      <c r="F829" s="231"/>
      <c r="G829" s="231"/>
      <c r="H829" s="233"/>
      <c r="I829" s="233"/>
      <c r="J829" s="233"/>
      <c r="K829" s="233"/>
      <c r="L829" s="233"/>
      <c r="M829" s="233"/>
      <c r="N829" s="233"/>
      <c r="O829" s="234"/>
      <c r="P829" s="234"/>
      <c r="Q829" s="233"/>
      <c r="R829" s="233"/>
      <c r="S829" s="233"/>
      <c r="T829" s="233"/>
      <c r="U829" s="231"/>
    </row>
    <row r="830" spans="1:21" ht="13.2">
      <c r="A830" s="231"/>
      <c r="B830" s="232"/>
      <c r="C830" s="231"/>
      <c r="D830" s="231"/>
      <c r="E830" s="231"/>
      <c r="F830" s="231"/>
      <c r="G830" s="231"/>
      <c r="H830" s="233"/>
      <c r="I830" s="233"/>
      <c r="J830" s="233"/>
      <c r="K830" s="233"/>
      <c r="L830" s="233"/>
      <c r="M830" s="233"/>
      <c r="N830" s="233"/>
      <c r="O830" s="234"/>
      <c r="P830" s="234"/>
      <c r="Q830" s="233"/>
      <c r="R830" s="233"/>
      <c r="S830" s="233"/>
      <c r="T830" s="233"/>
      <c r="U830" s="231"/>
    </row>
    <row r="831" spans="1:21" ht="13.2">
      <c r="A831" s="231"/>
      <c r="B831" s="232"/>
      <c r="C831" s="231"/>
      <c r="D831" s="231"/>
      <c r="E831" s="231"/>
      <c r="F831" s="231"/>
      <c r="G831" s="231"/>
      <c r="H831" s="233"/>
      <c r="I831" s="233"/>
      <c r="J831" s="233"/>
      <c r="K831" s="233"/>
      <c r="L831" s="233"/>
      <c r="M831" s="233"/>
      <c r="N831" s="233"/>
      <c r="O831" s="234"/>
      <c r="P831" s="234"/>
      <c r="Q831" s="233"/>
      <c r="R831" s="233"/>
      <c r="S831" s="233"/>
      <c r="T831" s="233"/>
      <c r="U831" s="231"/>
    </row>
    <row r="832" spans="1:21" ht="13.2">
      <c r="A832" s="231"/>
      <c r="B832" s="232"/>
      <c r="C832" s="231"/>
      <c r="D832" s="231"/>
      <c r="E832" s="231"/>
      <c r="F832" s="231"/>
      <c r="G832" s="231"/>
      <c r="H832" s="233"/>
      <c r="I832" s="233"/>
      <c r="J832" s="233"/>
      <c r="K832" s="233"/>
      <c r="L832" s="233"/>
      <c r="M832" s="233"/>
      <c r="N832" s="233"/>
      <c r="O832" s="234"/>
      <c r="P832" s="234"/>
      <c r="Q832" s="233"/>
      <c r="R832" s="233"/>
      <c r="S832" s="233"/>
      <c r="T832" s="233"/>
      <c r="U832" s="231"/>
    </row>
    <row r="833" spans="1:21" ht="13.2">
      <c r="A833" s="231"/>
      <c r="B833" s="232"/>
      <c r="C833" s="231"/>
      <c r="D833" s="231"/>
      <c r="E833" s="231"/>
      <c r="F833" s="231"/>
      <c r="G833" s="231"/>
      <c r="H833" s="233"/>
      <c r="I833" s="233"/>
      <c r="J833" s="233"/>
      <c r="K833" s="233"/>
      <c r="L833" s="233"/>
      <c r="M833" s="233"/>
      <c r="N833" s="233"/>
      <c r="O833" s="234"/>
      <c r="P833" s="234"/>
      <c r="Q833" s="233"/>
      <c r="R833" s="233"/>
      <c r="S833" s="233"/>
      <c r="T833" s="233"/>
      <c r="U833" s="231"/>
    </row>
    <row r="834" spans="1:21" ht="13.2">
      <c r="A834" s="231"/>
      <c r="B834" s="232"/>
      <c r="C834" s="231"/>
      <c r="D834" s="231"/>
      <c r="E834" s="231"/>
      <c r="F834" s="231"/>
      <c r="G834" s="231"/>
      <c r="H834" s="233"/>
      <c r="I834" s="233"/>
      <c r="J834" s="233"/>
      <c r="K834" s="233"/>
      <c r="L834" s="233"/>
      <c r="M834" s="233"/>
      <c r="N834" s="233"/>
      <c r="O834" s="234"/>
      <c r="P834" s="234"/>
      <c r="Q834" s="233"/>
      <c r="R834" s="233"/>
      <c r="S834" s="233"/>
      <c r="T834" s="233"/>
      <c r="U834" s="231"/>
    </row>
    <row r="835" spans="1:21" ht="13.2">
      <c r="A835" s="231"/>
      <c r="B835" s="232"/>
      <c r="C835" s="231"/>
      <c r="D835" s="231"/>
      <c r="E835" s="231"/>
      <c r="F835" s="231"/>
      <c r="G835" s="231"/>
      <c r="H835" s="233"/>
      <c r="I835" s="233"/>
      <c r="J835" s="233"/>
      <c r="K835" s="233"/>
      <c r="L835" s="233"/>
      <c r="M835" s="233"/>
      <c r="N835" s="233"/>
      <c r="O835" s="234"/>
      <c r="P835" s="234"/>
      <c r="Q835" s="233"/>
      <c r="R835" s="233"/>
      <c r="S835" s="233"/>
      <c r="T835" s="233"/>
      <c r="U835" s="231"/>
    </row>
    <row r="836" spans="1:21" ht="13.2">
      <c r="A836" s="231"/>
      <c r="B836" s="232"/>
      <c r="C836" s="231"/>
      <c r="D836" s="231"/>
      <c r="E836" s="231"/>
      <c r="F836" s="231"/>
      <c r="G836" s="231"/>
      <c r="H836" s="233"/>
      <c r="I836" s="233"/>
      <c r="J836" s="233"/>
      <c r="K836" s="233"/>
      <c r="L836" s="233"/>
      <c r="M836" s="233"/>
      <c r="N836" s="233"/>
      <c r="O836" s="234"/>
      <c r="P836" s="234"/>
      <c r="Q836" s="233"/>
      <c r="R836" s="233"/>
      <c r="S836" s="233"/>
      <c r="T836" s="233"/>
      <c r="U836" s="231"/>
    </row>
    <row r="837" spans="1:21" ht="13.2">
      <c r="A837" s="231"/>
      <c r="B837" s="232"/>
      <c r="C837" s="231"/>
      <c r="D837" s="231"/>
      <c r="E837" s="231"/>
      <c r="F837" s="231"/>
      <c r="G837" s="231"/>
      <c r="H837" s="233"/>
      <c r="I837" s="233"/>
      <c r="J837" s="233"/>
      <c r="K837" s="233"/>
      <c r="L837" s="233"/>
      <c r="M837" s="233"/>
      <c r="N837" s="233"/>
      <c r="O837" s="234"/>
      <c r="P837" s="234"/>
      <c r="Q837" s="233"/>
      <c r="R837" s="233"/>
      <c r="S837" s="233"/>
      <c r="T837" s="233"/>
      <c r="U837" s="231"/>
    </row>
    <row r="838" spans="1:21" ht="13.2">
      <c r="A838" s="231"/>
      <c r="B838" s="232"/>
      <c r="C838" s="231"/>
      <c r="D838" s="231"/>
      <c r="E838" s="231"/>
      <c r="F838" s="231"/>
      <c r="G838" s="231"/>
      <c r="H838" s="233"/>
      <c r="I838" s="233"/>
      <c r="J838" s="233"/>
      <c r="K838" s="233"/>
      <c r="L838" s="233"/>
      <c r="M838" s="233"/>
      <c r="N838" s="233"/>
      <c r="O838" s="234"/>
      <c r="P838" s="234"/>
      <c r="Q838" s="233"/>
      <c r="R838" s="233"/>
      <c r="S838" s="233"/>
      <c r="T838" s="233"/>
      <c r="U838" s="231"/>
    </row>
    <row r="839" spans="1:21" ht="13.2">
      <c r="A839" s="231"/>
      <c r="B839" s="232"/>
      <c r="C839" s="231"/>
      <c r="D839" s="231"/>
      <c r="E839" s="231"/>
      <c r="F839" s="231"/>
      <c r="G839" s="231"/>
      <c r="H839" s="233"/>
      <c r="I839" s="233"/>
      <c r="J839" s="233"/>
      <c r="K839" s="233"/>
      <c r="L839" s="233"/>
      <c r="M839" s="233"/>
      <c r="N839" s="233"/>
      <c r="O839" s="234"/>
      <c r="P839" s="234"/>
      <c r="Q839" s="233"/>
      <c r="R839" s="233"/>
      <c r="S839" s="233"/>
      <c r="T839" s="233"/>
      <c r="U839" s="231"/>
    </row>
    <row r="840" spans="1:21" ht="13.2">
      <c r="A840" s="231"/>
      <c r="B840" s="232"/>
      <c r="C840" s="231"/>
      <c r="D840" s="231"/>
      <c r="E840" s="231"/>
      <c r="F840" s="231"/>
      <c r="G840" s="231"/>
      <c r="H840" s="233"/>
      <c r="I840" s="233"/>
      <c r="J840" s="233"/>
      <c r="K840" s="233"/>
      <c r="L840" s="233"/>
      <c r="M840" s="233"/>
      <c r="N840" s="233"/>
      <c r="O840" s="234"/>
      <c r="P840" s="234"/>
      <c r="Q840" s="233"/>
      <c r="R840" s="233"/>
      <c r="S840" s="233"/>
      <c r="T840" s="233"/>
      <c r="U840" s="231"/>
    </row>
    <row r="841" spans="1:21" ht="13.2">
      <c r="A841" s="231"/>
      <c r="B841" s="232"/>
      <c r="C841" s="231"/>
      <c r="D841" s="231"/>
      <c r="E841" s="231"/>
      <c r="F841" s="231"/>
      <c r="G841" s="231"/>
      <c r="H841" s="233"/>
      <c r="I841" s="233"/>
      <c r="J841" s="233"/>
      <c r="K841" s="233"/>
      <c r="L841" s="233"/>
      <c r="M841" s="233"/>
      <c r="N841" s="233"/>
      <c r="O841" s="234"/>
      <c r="P841" s="234"/>
      <c r="Q841" s="233"/>
      <c r="R841" s="233"/>
      <c r="S841" s="233"/>
      <c r="T841" s="233"/>
      <c r="U841" s="231"/>
    </row>
    <row r="842" spans="1:21" ht="13.2">
      <c r="A842" s="231"/>
      <c r="B842" s="232"/>
      <c r="C842" s="231"/>
      <c r="D842" s="231"/>
      <c r="E842" s="231"/>
      <c r="F842" s="231"/>
      <c r="G842" s="231"/>
      <c r="H842" s="233"/>
      <c r="I842" s="233"/>
      <c r="J842" s="233"/>
      <c r="K842" s="233"/>
      <c r="L842" s="233"/>
      <c r="M842" s="233"/>
      <c r="N842" s="233"/>
      <c r="O842" s="234"/>
      <c r="P842" s="234"/>
      <c r="Q842" s="233"/>
      <c r="R842" s="233"/>
      <c r="S842" s="233"/>
      <c r="T842" s="233"/>
      <c r="U842" s="231"/>
    </row>
    <row r="843" spans="1:21" ht="13.2">
      <c r="A843" s="231"/>
      <c r="B843" s="232"/>
      <c r="C843" s="231"/>
      <c r="D843" s="231"/>
      <c r="E843" s="231"/>
      <c r="F843" s="231"/>
      <c r="G843" s="231"/>
      <c r="H843" s="233"/>
      <c r="I843" s="233"/>
      <c r="J843" s="233"/>
      <c r="K843" s="233"/>
      <c r="L843" s="233"/>
      <c r="M843" s="233"/>
      <c r="N843" s="233"/>
      <c r="O843" s="234"/>
      <c r="P843" s="234"/>
      <c r="Q843" s="233"/>
      <c r="R843" s="233"/>
      <c r="S843" s="233"/>
      <c r="T843" s="233"/>
      <c r="U843" s="231"/>
    </row>
    <row r="844" spans="1:21" ht="13.2">
      <c r="A844" s="231"/>
      <c r="B844" s="232"/>
      <c r="C844" s="231"/>
      <c r="D844" s="231"/>
      <c r="E844" s="231"/>
      <c r="F844" s="231"/>
      <c r="G844" s="231"/>
      <c r="H844" s="233"/>
      <c r="I844" s="233"/>
      <c r="J844" s="233"/>
      <c r="K844" s="233"/>
      <c r="L844" s="233"/>
      <c r="M844" s="233"/>
      <c r="N844" s="233"/>
      <c r="O844" s="234"/>
      <c r="P844" s="234"/>
      <c r="Q844" s="233"/>
      <c r="R844" s="233"/>
      <c r="S844" s="233"/>
      <c r="T844" s="233"/>
      <c r="U844" s="231"/>
    </row>
    <row r="845" spans="1:21" ht="13.2">
      <c r="A845" s="231"/>
      <c r="B845" s="232"/>
      <c r="C845" s="231"/>
      <c r="D845" s="231"/>
      <c r="E845" s="231"/>
      <c r="F845" s="231"/>
      <c r="G845" s="231"/>
      <c r="H845" s="233"/>
      <c r="I845" s="233"/>
      <c r="J845" s="233"/>
      <c r="K845" s="233"/>
      <c r="L845" s="233"/>
      <c r="M845" s="233"/>
      <c r="N845" s="233"/>
      <c r="O845" s="234"/>
      <c r="P845" s="234"/>
      <c r="Q845" s="233"/>
      <c r="R845" s="233"/>
      <c r="S845" s="233"/>
      <c r="T845" s="233"/>
      <c r="U845" s="231"/>
    </row>
    <row r="846" spans="1:21" ht="13.2">
      <c r="A846" s="231"/>
      <c r="B846" s="232"/>
      <c r="C846" s="231"/>
      <c r="D846" s="231"/>
      <c r="E846" s="231"/>
      <c r="F846" s="231"/>
      <c r="G846" s="231"/>
      <c r="H846" s="233"/>
      <c r="I846" s="233"/>
      <c r="J846" s="233"/>
      <c r="K846" s="233"/>
      <c r="L846" s="233"/>
      <c r="M846" s="233"/>
      <c r="N846" s="233"/>
      <c r="O846" s="234"/>
      <c r="P846" s="234"/>
      <c r="Q846" s="233"/>
      <c r="R846" s="233"/>
      <c r="S846" s="233"/>
      <c r="T846" s="233"/>
      <c r="U846" s="231"/>
    </row>
    <row r="847" spans="1:21" ht="13.2">
      <c r="A847" s="231"/>
      <c r="B847" s="232"/>
      <c r="C847" s="231"/>
      <c r="D847" s="231"/>
      <c r="E847" s="231"/>
      <c r="F847" s="231"/>
      <c r="G847" s="231"/>
      <c r="H847" s="233"/>
      <c r="I847" s="233"/>
      <c r="J847" s="233"/>
      <c r="K847" s="233"/>
      <c r="L847" s="233"/>
      <c r="M847" s="233"/>
      <c r="N847" s="233"/>
      <c r="O847" s="234"/>
      <c r="P847" s="234"/>
      <c r="Q847" s="233"/>
      <c r="R847" s="233"/>
      <c r="S847" s="233"/>
      <c r="T847" s="233"/>
      <c r="U847" s="231"/>
    </row>
    <row r="848" spans="1:21" ht="13.2">
      <c r="A848" s="231"/>
      <c r="B848" s="232"/>
      <c r="C848" s="231"/>
      <c r="D848" s="231"/>
      <c r="E848" s="231"/>
      <c r="F848" s="231"/>
      <c r="G848" s="231"/>
      <c r="H848" s="233"/>
      <c r="I848" s="233"/>
      <c r="J848" s="233"/>
      <c r="K848" s="233"/>
      <c r="L848" s="233"/>
      <c r="M848" s="233"/>
      <c r="N848" s="233"/>
      <c r="O848" s="234"/>
      <c r="P848" s="234"/>
      <c r="Q848" s="233"/>
      <c r="R848" s="233"/>
      <c r="S848" s="233"/>
      <c r="T848" s="233"/>
      <c r="U848" s="231"/>
    </row>
    <row r="849" spans="1:21" ht="13.2">
      <c r="A849" s="231"/>
      <c r="B849" s="232"/>
      <c r="C849" s="231"/>
      <c r="D849" s="231"/>
      <c r="E849" s="231"/>
      <c r="F849" s="231"/>
      <c r="G849" s="231"/>
      <c r="H849" s="233"/>
      <c r="I849" s="233"/>
      <c r="J849" s="233"/>
      <c r="K849" s="233"/>
      <c r="L849" s="233"/>
      <c r="M849" s="233"/>
      <c r="N849" s="233"/>
      <c r="O849" s="234"/>
      <c r="P849" s="234"/>
      <c r="Q849" s="233"/>
      <c r="R849" s="233"/>
      <c r="S849" s="233"/>
      <c r="T849" s="233"/>
      <c r="U849" s="231"/>
    </row>
    <row r="850" spans="1:21" ht="13.2">
      <c r="A850" s="231"/>
      <c r="B850" s="232"/>
      <c r="C850" s="231"/>
      <c r="D850" s="231"/>
      <c r="E850" s="231"/>
      <c r="F850" s="231"/>
      <c r="G850" s="231"/>
      <c r="H850" s="233"/>
      <c r="I850" s="233"/>
      <c r="J850" s="233"/>
      <c r="K850" s="233"/>
      <c r="L850" s="233"/>
      <c r="M850" s="233"/>
      <c r="N850" s="233"/>
      <c r="O850" s="234"/>
      <c r="P850" s="234"/>
      <c r="Q850" s="233"/>
      <c r="R850" s="233"/>
      <c r="S850" s="233"/>
      <c r="T850" s="233"/>
      <c r="U850" s="231"/>
    </row>
    <row r="851" spans="1:21" ht="13.2">
      <c r="A851" s="231"/>
      <c r="B851" s="232"/>
      <c r="C851" s="231"/>
      <c r="D851" s="231"/>
      <c r="E851" s="231"/>
      <c r="F851" s="231"/>
      <c r="G851" s="231"/>
      <c r="H851" s="233"/>
      <c r="I851" s="233"/>
      <c r="J851" s="233"/>
      <c r="K851" s="233"/>
      <c r="L851" s="233"/>
      <c r="M851" s="233"/>
      <c r="N851" s="233"/>
      <c r="O851" s="234"/>
      <c r="P851" s="234"/>
      <c r="Q851" s="233"/>
      <c r="R851" s="233"/>
      <c r="S851" s="233"/>
      <c r="T851" s="233"/>
      <c r="U851" s="231"/>
    </row>
    <row r="852" spans="1:21" ht="13.2">
      <c r="A852" s="231"/>
      <c r="B852" s="232"/>
      <c r="C852" s="231"/>
      <c r="D852" s="231"/>
      <c r="E852" s="231"/>
      <c r="F852" s="231"/>
      <c r="G852" s="231"/>
      <c r="H852" s="233"/>
      <c r="I852" s="233"/>
      <c r="J852" s="233"/>
      <c r="K852" s="233"/>
      <c r="L852" s="233"/>
      <c r="M852" s="233"/>
      <c r="N852" s="233"/>
      <c r="O852" s="234"/>
      <c r="P852" s="234"/>
      <c r="Q852" s="233"/>
      <c r="R852" s="233"/>
      <c r="S852" s="233"/>
      <c r="T852" s="233"/>
      <c r="U852" s="231"/>
    </row>
    <row r="853" spans="1:21" ht="13.2">
      <c r="A853" s="231"/>
      <c r="B853" s="232"/>
      <c r="C853" s="231"/>
      <c r="D853" s="231"/>
      <c r="E853" s="231"/>
      <c r="F853" s="231"/>
      <c r="G853" s="231"/>
      <c r="H853" s="233"/>
      <c r="I853" s="233"/>
      <c r="J853" s="233"/>
      <c r="K853" s="233"/>
      <c r="L853" s="233"/>
      <c r="M853" s="233"/>
      <c r="N853" s="233"/>
      <c r="O853" s="234"/>
      <c r="P853" s="234"/>
      <c r="Q853" s="233"/>
      <c r="R853" s="233"/>
      <c r="S853" s="233"/>
      <c r="T853" s="233"/>
      <c r="U853" s="231"/>
    </row>
    <row r="854" spans="1:21" ht="13.2">
      <c r="A854" s="231"/>
      <c r="B854" s="232"/>
      <c r="C854" s="231"/>
      <c r="D854" s="231"/>
      <c r="E854" s="231"/>
      <c r="F854" s="231"/>
      <c r="G854" s="231"/>
      <c r="H854" s="233"/>
      <c r="I854" s="233"/>
      <c r="J854" s="233"/>
      <c r="K854" s="233"/>
      <c r="L854" s="233"/>
      <c r="M854" s="233"/>
      <c r="N854" s="233"/>
      <c r="O854" s="234"/>
      <c r="P854" s="234"/>
      <c r="Q854" s="233"/>
      <c r="R854" s="233"/>
      <c r="S854" s="233"/>
      <c r="T854" s="233"/>
      <c r="U854" s="231"/>
    </row>
    <row r="855" spans="1:21" ht="13.2">
      <c r="A855" s="231"/>
      <c r="B855" s="232"/>
      <c r="C855" s="231"/>
      <c r="D855" s="231"/>
      <c r="E855" s="231"/>
      <c r="F855" s="231"/>
      <c r="G855" s="231"/>
      <c r="H855" s="233"/>
      <c r="I855" s="233"/>
      <c r="J855" s="233"/>
      <c r="K855" s="233"/>
      <c r="L855" s="233"/>
      <c r="M855" s="233"/>
      <c r="N855" s="233"/>
      <c r="O855" s="234"/>
      <c r="P855" s="234"/>
      <c r="Q855" s="233"/>
      <c r="R855" s="233"/>
      <c r="S855" s="233"/>
      <c r="T855" s="233"/>
      <c r="U855" s="231"/>
    </row>
    <row r="856" spans="1:21" ht="13.2">
      <c r="A856" s="231"/>
      <c r="B856" s="232"/>
      <c r="C856" s="231"/>
      <c r="D856" s="231"/>
      <c r="E856" s="231"/>
      <c r="F856" s="231"/>
      <c r="G856" s="231"/>
      <c r="H856" s="233"/>
      <c r="I856" s="233"/>
      <c r="J856" s="233"/>
      <c r="K856" s="233"/>
      <c r="L856" s="233"/>
      <c r="M856" s="233"/>
      <c r="N856" s="233"/>
      <c r="O856" s="234"/>
      <c r="P856" s="234"/>
      <c r="Q856" s="233"/>
      <c r="R856" s="233"/>
      <c r="S856" s="233"/>
      <c r="T856" s="233"/>
      <c r="U856" s="231"/>
    </row>
    <row r="857" spans="1:21" ht="13.2">
      <c r="A857" s="231"/>
      <c r="B857" s="232"/>
      <c r="C857" s="231"/>
      <c r="D857" s="231"/>
      <c r="E857" s="231"/>
      <c r="F857" s="231"/>
      <c r="G857" s="231"/>
      <c r="H857" s="233"/>
      <c r="I857" s="233"/>
      <c r="J857" s="233"/>
      <c r="K857" s="233"/>
      <c r="L857" s="233"/>
      <c r="M857" s="233"/>
      <c r="N857" s="233"/>
      <c r="O857" s="234"/>
      <c r="P857" s="234"/>
      <c r="Q857" s="233"/>
      <c r="R857" s="233"/>
      <c r="S857" s="233"/>
      <c r="T857" s="233"/>
      <c r="U857" s="231"/>
    </row>
    <row r="858" spans="1:21" ht="13.2">
      <c r="A858" s="231"/>
      <c r="B858" s="232"/>
      <c r="C858" s="231"/>
      <c r="D858" s="231"/>
      <c r="E858" s="231"/>
      <c r="F858" s="231"/>
      <c r="G858" s="231"/>
      <c r="H858" s="233"/>
      <c r="I858" s="233"/>
      <c r="J858" s="233"/>
      <c r="K858" s="233"/>
      <c r="L858" s="233"/>
      <c r="M858" s="233"/>
      <c r="N858" s="233"/>
      <c r="O858" s="234"/>
      <c r="P858" s="234"/>
      <c r="Q858" s="233"/>
      <c r="R858" s="233"/>
      <c r="S858" s="233"/>
      <c r="T858" s="233"/>
      <c r="U858" s="231"/>
    </row>
    <row r="859" spans="1:21" ht="13.2">
      <c r="A859" s="231"/>
      <c r="B859" s="232"/>
      <c r="C859" s="231"/>
      <c r="D859" s="231"/>
      <c r="E859" s="231"/>
      <c r="F859" s="231"/>
      <c r="G859" s="231"/>
      <c r="H859" s="233"/>
      <c r="I859" s="233"/>
      <c r="J859" s="233"/>
      <c r="K859" s="233"/>
      <c r="L859" s="233"/>
      <c r="M859" s="233"/>
      <c r="N859" s="233"/>
      <c r="O859" s="234"/>
      <c r="P859" s="234"/>
      <c r="Q859" s="233"/>
      <c r="R859" s="233"/>
      <c r="S859" s="233"/>
      <c r="T859" s="233"/>
      <c r="U859" s="231"/>
    </row>
    <row r="860" spans="1:21" ht="13.2">
      <c r="A860" s="231"/>
      <c r="B860" s="232"/>
      <c r="C860" s="231"/>
      <c r="D860" s="231"/>
      <c r="E860" s="231"/>
      <c r="F860" s="231"/>
      <c r="G860" s="231"/>
      <c r="H860" s="233"/>
      <c r="I860" s="233"/>
      <c r="J860" s="233"/>
      <c r="K860" s="233"/>
      <c r="L860" s="233"/>
      <c r="M860" s="233"/>
      <c r="N860" s="233"/>
      <c r="O860" s="234"/>
      <c r="P860" s="234"/>
      <c r="Q860" s="233"/>
      <c r="R860" s="233"/>
      <c r="S860" s="233"/>
      <c r="T860" s="233"/>
      <c r="U860" s="231"/>
    </row>
    <row r="861" spans="1:21" ht="13.2">
      <c r="A861" s="231"/>
      <c r="B861" s="232"/>
      <c r="C861" s="231"/>
      <c r="D861" s="231"/>
      <c r="E861" s="231"/>
      <c r="F861" s="231"/>
      <c r="G861" s="231"/>
      <c r="H861" s="233"/>
      <c r="I861" s="233"/>
      <c r="J861" s="233"/>
      <c r="K861" s="233"/>
      <c r="L861" s="233"/>
      <c r="M861" s="233"/>
      <c r="N861" s="233"/>
      <c r="O861" s="234"/>
      <c r="P861" s="234"/>
      <c r="Q861" s="233"/>
      <c r="R861" s="233"/>
      <c r="S861" s="233"/>
      <c r="T861" s="233"/>
      <c r="U861" s="231"/>
    </row>
    <row r="862" spans="1:21" ht="13.2">
      <c r="A862" s="231"/>
      <c r="B862" s="232"/>
      <c r="C862" s="231"/>
      <c r="D862" s="231"/>
      <c r="E862" s="231"/>
      <c r="F862" s="231"/>
      <c r="G862" s="231"/>
      <c r="H862" s="233"/>
      <c r="I862" s="233"/>
      <c r="J862" s="233"/>
      <c r="K862" s="233"/>
      <c r="L862" s="233"/>
      <c r="M862" s="233"/>
      <c r="N862" s="233"/>
      <c r="O862" s="234"/>
      <c r="P862" s="234"/>
      <c r="Q862" s="233"/>
      <c r="R862" s="233"/>
      <c r="S862" s="233"/>
      <c r="T862" s="233"/>
      <c r="U862" s="231"/>
    </row>
    <row r="863" spans="1:21" ht="13.2">
      <c r="A863" s="231"/>
      <c r="B863" s="232"/>
      <c r="C863" s="231"/>
      <c r="D863" s="231"/>
      <c r="E863" s="231"/>
      <c r="F863" s="231"/>
      <c r="G863" s="231"/>
      <c r="H863" s="233"/>
      <c r="I863" s="233"/>
      <c r="J863" s="233"/>
      <c r="K863" s="233"/>
      <c r="L863" s="233"/>
      <c r="M863" s="233"/>
      <c r="N863" s="233"/>
      <c r="O863" s="234"/>
      <c r="P863" s="234"/>
      <c r="Q863" s="233"/>
      <c r="R863" s="233"/>
      <c r="S863" s="233"/>
      <c r="T863" s="233"/>
      <c r="U863" s="231"/>
    </row>
    <row r="864" spans="1:21" ht="13.2">
      <c r="A864" s="231"/>
      <c r="B864" s="232"/>
      <c r="C864" s="231"/>
      <c r="D864" s="231"/>
      <c r="E864" s="231"/>
      <c r="F864" s="231"/>
      <c r="G864" s="231"/>
      <c r="H864" s="233"/>
      <c r="I864" s="233"/>
      <c r="J864" s="233"/>
      <c r="K864" s="233"/>
      <c r="L864" s="233"/>
      <c r="M864" s="233"/>
      <c r="N864" s="233"/>
      <c r="O864" s="234"/>
      <c r="P864" s="234"/>
      <c r="Q864" s="233"/>
      <c r="R864" s="233"/>
      <c r="S864" s="233"/>
      <c r="T864" s="233"/>
      <c r="U864" s="231"/>
    </row>
    <row r="865" spans="1:21" ht="13.2">
      <c r="A865" s="231"/>
      <c r="B865" s="232"/>
      <c r="C865" s="231"/>
      <c r="D865" s="231"/>
      <c r="E865" s="231"/>
      <c r="F865" s="231"/>
      <c r="G865" s="231"/>
      <c r="H865" s="233"/>
      <c r="I865" s="233"/>
      <c r="J865" s="233"/>
      <c r="K865" s="233"/>
      <c r="L865" s="233"/>
      <c r="M865" s="233"/>
      <c r="N865" s="233"/>
      <c r="O865" s="234"/>
      <c r="P865" s="234"/>
      <c r="Q865" s="233"/>
      <c r="R865" s="233"/>
      <c r="S865" s="233"/>
      <c r="T865" s="233"/>
      <c r="U865" s="231"/>
    </row>
    <row r="866" spans="1:21" ht="13.2">
      <c r="A866" s="231"/>
      <c r="B866" s="232"/>
      <c r="C866" s="231"/>
      <c r="D866" s="231"/>
      <c r="E866" s="231"/>
      <c r="F866" s="231"/>
      <c r="G866" s="231"/>
      <c r="H866" s="233"/>
      <c r="I866" s="233"/>
      <c r="J866" s="233"/>
      <c r="K866" s="233"/>
      <c r="L866" s="233"/>
      <c r="M866" s="233"/>
      <c r="N866" s="233"/>
      <c r="O866" s="234"/>
      <c r="P866" s="234"/>
      <c r="Q866" s="233"/>
      <c r="R866" s="233"/>
      <c r="S866" s="233"/>
      <c r="T866" s="233"/>
      <c r="U866" s="231"/>
    </row>
    <row r="867" spans="1:21" ht="13.2">
      <c r="A867" s="231"/>
      <c r="B867" s="232"/>
      <c r="C867" s="231"/>
      <c r="D867" s="231"/>
      <c r="E867" s="231"/>
      <c r="F867" s="231"/>
      <c r="G867" s="231"/>
      <c r="H867" s="233"/>
      <c r="I867" s="233"/>
      <c r="J867" s="233"/>
      <c r="K867" s="233"/>
      <c r="L867" s="233"/>
      <c r="M867" s="233"/>
      <c r="N867" s="233"/>
      <c r="O867" s="234"/>
      <c r="P867" s="234"/>
      <c r="Q867" s="233"/>
      <c r="R867" s="233"/>
      <c r="S867" s="233"/>
      <c r="T867" s="233"/>
      <c r="U867" s="231"/>
    </row>
    <row r="868" spans="1:21" ht="13.2">
      <c r="A868" s="231"/>
      <c r="B868" s="232"/>
      <c r="C868" s="231"/>
      <c r="D868" s="231"/>
      <c r="E868" s="231"/>
      <c r="F868" s="231"/>
      <c r="G868" s="231"/>
      <c r="H868" s="233"/>
      <c r="I868" s="233"/>
      <c r="J868" s="233"/>
      <c r="K868" s="233"/>
      <c r="L868" s="233"/>
      <c r="M868" s="233"/>
      <c r="N868" s="233"/>
      <c r="O868" s="234"/>
      <c r="P868" s="234"/>
      <c r="Q868" s="233"/>
      <c r="R868" s="233"/>
      <c r="S868" s="233"/>
      <c r="T868" s="233"/>
      <c r="U868" s="231"/>
    </row>
    <row r="869" spans="1:21" ht="13.2">
      <c r="A869" s="231"/>
      <c r="B869" s="232"/>
      <c r="C869" s="231"/>
      <c r="D869" s="231"/>
      <c r="E869" s="231"/>
      <c r="F869" s="231"/>
      <c r="G869" s="231"/>
      <c r="H869" s="233"/>
      <c r="I869" s="233"/>
      <c r="J869" s="233"/>
      <c r="K869" s="233"/>
      <c r="L869" s="233"/>
      <c r="M869" s="233"/>
      <c r="N869" s="233"/>
      <c r="O869" s="234"/>
      <c r="P869" s="234"/>
      <c r="Q869" s="233"/>
      <c r="R869" s="233"/>
      <c r="S869" s="233"/>
      <c r="T869" s="233"/>
      <c r="U869" s="231"/>
    </row>
    <row r="870" spans="1:21" ht="13.2">
      <c r="A870" s="231"/>
      <c r="B870" s="232"/>
      <c r="C870" s="231"/>
      <c r="D870" s="231"/>
      <c r="E870" s="231"/>
      <c r="F870" s="231"/>
      <c r="G870" s="231"/>
      <c r="H870" s="233"/>
      <c r="I870" s="233"/>
      <c r="J870" s="233"/>
      <c r="K870" s="233"/>
      <c r="L870" s="233"/>
      <c r="M870" s="233"/>
      <c r="N870" s="233"/>
      <c r="O870" s="234"/>
      <c r="P870" s="234"/>
      <c r="Q870" s="233"/>
      <c r="R870" s="233"/>
      <c r="S870" s="233"/>
      <c r="T870" s="233"/>
      <c r="U870" s="231"/>
    </row>
    <row r="871" spans="1:21" ht="13.2">
      <c r="A871" s="231"/>
      <c r="B871" s="232"/>
      <c r="C871" s="231"/>
      <c r="D871" s="231"/>
      <c r="E871" s="231"/>
      <c r="F871" s="231"/>
      <c r="G871" s="231"/>
      <c r="H871" s="233"/>
      <c r="I871" s="233"/>
      <c r="J871" s="233"/>
      <c r="K871" s="233"/>
      <c r="L871" s="233"/>
      <c r="M871" s="233"/>
      <c r="N871" s="233"/>
      <c r="O871" s="234"/>
      <c r="P871" s="234"/>
      <c r="Q871" s="233"/>
      <c r="R871" s="233"/>
      <c r="S871" s="233"/>
      <c r="T871" s="233"/>
      <c r="U871" s="231"/>
    </row>
    <row r="872" spans="1:21" ht="13.2">
      <c r="A872" s="231"/>
      <c r="B872" s="232"/>
      <c r="C872" s="231"/>
      <c r="D872" s="231"/>
      <c r="E872" s="231"/>
      <c r="F872" s="231"/>
      <c r="G872" s="231"/>
      <c r="H872" s="233"/>
      <c r="I872" s="233"/>
      <c r="J872" s="233"/>
      <c r="K872" s="233"/>
      <c r="L872" s="233"/>
      <c r="M872" s="233"/>
      <c r="N872" s="233"/>
      <c r="O872" s="234"/>
      <c r="P872" s="234"/>
      <c r="Q872" s="233"/>
      <c r="R872" s="233"/>
      <c r="S872" s="233"/>
      <c r="T872" s="233"/>
      <c r="U872" s="231"/>
    </row>
    <row r="873" spans="1:21" ht="13.2">
      <c r="A873" s="231"/>
      <c r="B873" s="232"/>
      <c r="C873" s="231"/>
      <c r="D873" s="231"/>
      <c r="E873" s="231"/>
      <c r="F873" s="231"/>
      <c r="G873" s="231"/>
      <c r="H873" s="233"/>
      <c r="I873" s="233"/>
      <c r="J873" s="233"/>
      <c r="K873" s="233"/>
      <c r="L873" s="233"/>
      <c r="M873" s="233"/>
      <c r="N873" s="233"/>
      <c r="O873" s="234"/>
      <c r="P873" s="234"/>
      <c r="Q873" s="233"/>
      <c r="R873" s="233"/>
      <c r="S873" s="233"/>
      <c r="T873" s="233"/>
      <c r="U873" s="231"/>
    </row>
    <row r="874" spans="1:21" ht="13.2">
      <c r="A874" s="231"/>
      <c r="B874" s="232"/>
      <c r="C874" s="231"/>
      <c r="D874" s="231"/>
      <c r="E874" s="231"/>
      <c r="F874" s="231"/>
      <c r="G874" s="231"/>
      <c r="H874" s="233"/>
      <c r="I874" s="233"/>
      <c r="J874" s="233"/>
      <c r="K874" s="233"/>
      <c r="L874" s="233"/>
      <c r="M874" s="233"/>
      <c r="N874" s="233"/>
      <c r="O874" s="234"/>
      <c r="P874" s="234"/>
      <c r="Q874" s="233"/>
      <c r="R874" s="233"/>
      <c r="S874" s="233"/>
      <c r="T874" s="233"/>
      <c r="U874" s="231"/>
    </row>
    <row r="875" spans="1:21" ht="13.2">
      <c r="A875" s="231"/>
      <c r="B875" s="232"/>
      <c r="C875" s="231"/>
      <c r="D875" s="231"/>
      <c r="E875" s="231"/>
      <c r="F875" s="231"/>
      <c r="G875" s="231"/>
      <c r="H875" s="233"/>
      <c r="I875" s="233"/>
      <c r="J875" s="233"/>
      <c r="K875" s="233"/>
      <c r="L875" s="233"/>
      <c r="M875" s="233"/>
      <c r="N875" s="233"/>
      <c r="O875" s="234"/>
      <c r="P875" s="234"/>
      <c r="Q875" s="233"/>
      <c r="R875" s="233"/>
      <c r="S875" s="233"/>
      <c r="T875" s="233"/>
      <c r="U875" s="231"/>
    </row>
    <row r="876" spans="1:21" ht="13.2">
      <c r="A876" s="231"/>
      <c r="B876" s="232"/>
      <c r="C876" s="231"/>
      <c r="D876" s="231"/>
      <c r="E876" s="231"/>
      <c r="F876" s="231"/>
      <c r="G876" s="231"/>
      <c r="H876" s="233"/>
      <c r="I876" s="233"/>
      <c r="J876" s="233"/>
      <c r="K876" s="233"/>
      <c r="L876" s="233"/>
      <c r="M876" s="233"/>
      <c r="N876" s="233"/>
      <c r="O876" s="234"/>
      <c r="P876" s="234"/>
      <c r="Q876" s="233"/>
      <c r="R876" s="233"/>
      <c r="S876" s="233"/>
      <c r="T876" s="233"/>
      <c r="U876" s="231"/>
    </row>
    <row r="877" spans="1:21" ht="13.2">
      <c r="A877" s="231"/>
      <c r="B877" s="232"/>
      <c r="C877" s="231"/>
      <c r="D877" s="231"/>
      <c r="E877" s="231"/>
      <c r="F877" s="231"/>
      <c r="G877" s="231"/>
      <c r="H877" s="233"/>
      <c r="I877" s="233"/>
      <c r="J877" s="233"/>
      <c r="K877" s="233"/>
      <c r="L877" s="233"/>
      <c r="M877" s="233"/>
      <c r="N877" s="233"/>
      <c r="O877" s="234"/>
      <c r="P877" s="234"/>
      <c r="Q877" s="233"/>
      <c r="R877" s="233"/>
      <c r="S877" s="233"/>
      <c r="T877" s="233"/>
      <c r="U877" s="231"/>
    </row>
    <row r="878" spans="1:21" ht="13.2">
      <c r="A878" s="231"/>
      <c r="B878" s="232"/>
      <c r="C878" s="231"/>
      <c r="D878" s="231"/>
      <c r="E878" s="231"/>
      <c r="F878" s="231"/>
      <c r="G878" s="231"/>
      <c r="H878" s="233"/>
      <c r="I878" s="233"/>
      <c r="J878" s="233"/>
      <c r="K878" s="233"/>
      <c r="L878" s="233"/>
      <c r="M878" s="233"/>
      <c r="N878" s="233"/>
      <c r="O878" s="234"/>
      <c r="P878" s="234"/>
      <c r="Q878" s="233"/>
      <c r="R878" s="233"/>
      <c r="S878" s="233"/>
      <c r="T878" s="233"/>
      <c r="U878" s="231"/>
    </row>
    <row r="879" spans="1:21" ht="13.2">
      <c r="A879" s="231"/>
      <c r="B879" s="232"/>
      <c r="C879" s="231"/>
      <c r="D879" s="231"/>
      <c r="E879" s="231"/>
      <c r="F879" s="231"/>
      <c r="G879" s="231"/>
      <c r="H879" s="233"/>
      <c r="I879" s="233"/>
      <c r="J879" s="233"/>
      <c r="K879" s="233"/>
      <c r="L879" s="233"/>
      <c r="M879" s="233"/>
      <c r="N879" s="233"/>
      <c r="O879" s="234"/>
      <c r="P879" s="234"/>
      <c r="Q879" s="233"/>
      <c r="R879" s="233"/>
      <c r="S879" s="233"/>
      <c r="T879" s="233"/>
      <c r="U879" s="231"/>
    </row>
    <row r="880" spans="1:21" ht="13.2">
      <c r="A880" s="231"/>
      <c r="B880" s="232"/>
      <c r="C880" s="231"/>
      <c r="D880" s="231"/>
      <c r="E880" s="231"/>
      <c r="F880" s="231"/>
      <c r="G880" s="231"/>
      <c r="H880" s="233"/>
      <c r="I880" s="233"/>
      <c r="J880" s="233"/>
      <c r="K880" s="233"/>
      <c r="L880" s="233"/>
      <c r="M880" s="233"/>
      <c r="N880" s="233"/>
      <c r="O880" s="234"/>
      <c r="P880" s="234"/>
      <c r="Q880" s="233"/>
      <c r="R880" s="233"/>
      <c r="S880" s="233"/>
      <c r="T880" s="233"/>
      <c r="U880" s="231"/>
    </row>
    <row r="881" spans="1:21" ht="13.2">
      <c r="A881" s="231"/>
      <c r="B881" s="232"/>
      <c r="C881" s="231"/>
      <c r="D881" s="231"/>
      <c r="E881" s="231"/>
      <c r="F881" s="231"/>
      <c r="G881" s="231"/>
      <c r="H881" s="233"/>
      <c r="I881" s="233"/>
      <c r="J881" s="233"/>
      <c r="K881" s="233"/>
      <c r="L881" s="233"/>
      <c r="M881" s="233"/>
      <c r="N881" s="233"/>
      <c r="O881" s="234"/>
      <c r="P881" s="234"/>
      <c r="Q881" s="233"/>
      <c r="R881" s="233"/>
      <c r="S881" s="233"/>
      <c r="T881" s="233"/>
      <c r="U881" s="231"/>
    </row>
    <row r="882" spans="1:21" ht="13.2">
      <c r="A882" s="231"/>
      <c r="B882" s="232"/>
      <c r="C882" s="231"/>
      <c r="D882" s="231"/>
      <c r="E882" s="231"/>
      <c r="F882" s="231"/>
      <c r="G882" s="231"/>
      <c r="H882" s="233"/>
      <c r="I882" s="233"/>
      <c r="J882" s="233"/>
      <c r="K882" s="233"/>
      <c r="L882" s="233"/>
      <c r="M882" s="233"/>
      <c r="N882" s="233"/>
      <c r="O882" s="234"/>
      <c r="P882" s="234"/>
      <c r="Q882" s="233"/>
      <c r="R882" s="233"/>
      <c r="S882" s="233"/>
      <c r="T882" s="233"/>
      <c r="U882" s="231"/>
    </row>
    <row r="883" spans="1:21" ht="13.2">
      <c r="A883" s="231"/>
      <c r="B883" s="232"/>
      <c r="C883" s="231"/>
      <c r="D883" s="231"/>
      <c r="E883" s="231"/>
      <c r="F883" s="231"/>
      <c r="G883" s="231"/>
      <c r="H883" s="233"/>
      <c r="I883" s="233"/>
      <c r="J883" s="233"/>
      <c r="K883" s="233"/>
      <c r="L883" s="233"/>
      <c r="M883" s="233"/>
      <c r="N883" s="233"/>
      <c r="O883" s="234"/>
      <c r="P883" s="234"/>
      <c r="Q883" s="233"/>
      <c r="R883" s="233"/>
      <c r="S883" s="233"/>
      <c r="T883" s="233"/>
      <c r="U883" s="231"/>
    </row>
    <row r="884" spans="1:21" ht="13.2">
      <c r="A884" s="231"/>
      <c r="B884" s="232"/>
      <c r="C884" s="231"/>
      <c r="D884" s="231"/>
      <c r="E884" s="231"/>
      <c r="F884" s="231"/>
      <c r="G884" s="231"/>
      <c r="H884" s="233"/>
      <c r="I884" s="233"/>
      <c r="J884" s="233"/>
      <c r="K884" s="233"/>
      <c r="L884" s="233"/>
      <c r="M884" s="233"/>
      <c r="N884" s="233"/>
      <c r="O884" s="234"/>
      <c r="P884" s="234"/>
      <c r="Q884" s="233"/>
      <c r="R884" s="233"/>
      <c r="S884" s="233"/>
      <c r="T884" s="233"/>
      <c r="U884" s="231"/>
    </row>
    <row r="885" spans="1:21" ht="13.2">
      <c r="A885" s="231"/>
      <c r="B885" s="232"/>
      <c r="C885" s="231"/>
      <c r="D885" s="231"/>
      <c r="E885" s="231"/>
      <c r="F885" s="231"/>
      <c r="G885" s="231"/>
      <c r="H885" s="233"/>
      <c r="I885" s="233"/>
      <c r="J885" s="233"/>
      <c r="K885" s="233"/>
      <c r="L885" s="233"/>
      <c r="M885" s="233"/>
      <c r="N885" s="233"/>
      <c r="O885" s="234"/>
      <c r="P885" s="234"/>
      <c r="Q885" s="233"/>
      <c r="R885" s="233"/>
      <c r="S885" s="233"/>
      <c r="T885" s="233"/>
      <c r="U885" s="231"/>
    </row>
    <row r="886" spans="1:21" ht="13.2">
      <c r="A886" s="231"/>
      <c r="B886" s="232"/>
      <c r="C886" s="231"/>
      <c r="D886" s="231"/>
      <c r="E886" s="231"/>
      <c r="F886" s="231"/>
      <c r="G886" s="231"/>
      <c r="H886" s="233"/>
      <c r="I886" s="233"/>
      <c r="J886" s="233"/>
      <c r="K886" s="233"/>
      <c r="L886" s="233"/>
      <c r="M886" s="233"/>
      <c r="N886" s="233"/>
      <c r="O886" s="234"/>
      <c r="P886" s="234"/>
      <c r="Q886" s="233"/>
      <c r="R886" s="233"/>
      <c r="S886" s="233"/>
      <c r="T886" s="233"/>
      <c r="U886" s="231"/>
    </row>
    <row r="887" spans="1:21" ht="13.2">
      <c r="A887" s="231"/>
      <c r="B887" s="232"/>
      <c r="C887" s="231"/>
      <c r="D887" s="231"/>
      <c r="E887" s="231"/>
      <c r="F887" s="231"/>
      <c r="G887" s="231"/>
      <c r="H887" s="233"/>
      <c r="I887" s="233"/>
      <c r="J887" s="233"/>
      <c r="K887" s="233"/>
      <c r="L887" s="233"/>
      <c r="M887" s="233"/>
      <c r="N887" s="233"/>
      <c r="O887" s="234"/>
      <c r="P887" s="234"/>
      <c r="Q887" s="233"/>
      <c r="R887" s="233"/>
      <c r="S887" s="233"/>
      <c r="T887" s="233"/>
      <c r="U887" s="231"/>
    </row>
    <row r="888" spans="1:21" ht="13.2">
      <c r="A888" s="231"/>
      <c r="B888" s="232"/>
      <c r="C888" s="231"/>
      <c r="D888" s="231"/>
      <c r="E888" s="231"/>
      <c r="F888" s="231"/>
      <c r="G888" s="231"/>
      <c r="H888" s="233"/>
      <c r="I888" s="233"/>
      <c r="J888" s="233"/>
      <c r="K888" s="233"/>
      <c r="L888" s="233"/>
      <c r="M888" s="233"/>
      <c r="N888" s="233"/>
      <c r="O888" s="234"/>
      <c r="P888" s="234"/>
      <c r="Q888" s="233"/>
      <c r="R888" s="233"/>
      <c r="S888" s="233"/>
      <c r="T888" s="233"/>
      <c r="U888" s="231"/>
    </row>
    <row r="889" spans="1:21" ht="13.2">
      <c r="A889" s="231"/>
      <c r="B889" s="232"/>
      <c r="C889" s="231"/>
      <c r="D889" s="231"/>
      <c r="E889" s="231"/>
      <c r="F889" s="231"/>
      <c r="G889" s="231"/>
      <c r="H889" s="233"/>
      <c r="I889" s="233"/>
      <c r="J889" s="233"/>
      <c r="K889" s="233"/>
      <c r="L889" s="233"/>
      <c r="M889" s="233"/>
      <c r="N889" s="233"/>
      <c r="O889" s="234"/>
      <c r="P889" s="234"/>
      <c r="Q889" s="233"/>
      <c r="R889" s="233"/>
      <c r="S889" s="233"/>
      <c r="T889" s="233"/>
      <c r="U889" s="231"/>
    </row>
    <row r="890" spans="1:21" ht="13.2">
      <c r="A890" s="231"/>
      <c r="B890" s="232"/>
      <c r="C890" s="231"/>
      <c r="D890" s="231"/>
      <c r="E890" s="231"/>
      <c r="F890" s="231"/>
      <c r="G890" s="231"/>
      <c r="H890" s="233"/>
      <c r="I890" s="233"/>
      <c r="J890" s="233"/>
      <c r="K890" s="233"/>
      <c r="L890" s="233"/>
      <c r="M890" s="233"/>
      <c r="N890" s="233"/>
      <c r="O890" s="234"/>
      <c r="P890" s="234"/>
      <c r="Q890" s="233"/>
      <c r="R890" s="233"/>
      <c r="S890" s="233"/>
      <c r="T890" s="233"/>
      <c r="U890" s="231"/>
    </row>
    <row r="891" spans="1:21" ht="13.2">
      <c r="A891" s="231"/>
      <c r="B891" s="232"/>
      <c r="C891" s="231"/>
      <c r="D891" s="231"/>
      <c r="E891" s="231"/>
      <c r="F891" s="231"/>
      <c r="G891" s="231"/>
      <c r="H891" s="233"/>
      <c r="I891" s="233"/>
      <c r="J891" s="233"/>
      <c r="K891" s="233"/>
      <c r="L891" s="233"/>
      <c r="M891" s="233"/>
      <c r="N891" s="233"/>
      <c r="O891" s="234"/>
      <c r="P891" s="234"/>
      <c r="Q891" s="233"/>
      <c r="R891" s="233"/>
      <c r="S891" s="233"/>
      <c r="T891" s="233"/>
      <c r="U891" s="231"/>
    </row>
    <row r="892" spans="1:21" ht="13.2">
      <c r="A892" s="231"/>
      <c r="B892" s="232"/>
      <c r="C892" s="231"/>
      <c r="D892" s="231"/>
      <c r="E892" s="231"/>
      <c r="F892" s="231"/>
      <c r="G892" s="231"/>
      <c r="H892" s="233"/>
      <c r="I892" s="233"/>
      <c r="J892" s="233"/>
      <c r="K892" s="233"/>
      <c r="L892" s="233"/>
      <c r="M892" s="233"/>
      <c r="N892" s="233"/>
      <c r="O892" s="234"/>
      <c r="P892" s="234"/>
      <c r="Q892" s="233"/>
      <c r="R892" s="233"/>
      <c r="S892" s="233"/>
      <c r="T892" s="233"/>
      <c r="U892" s="231"/>
    </row>
    <row r="893" spans="1:21" ht="13.2">
      <c r="A893" s="231"/>
      <c r="B893" s="232"/>
      <c r="C893" s="231"/>
      <c r="D893" s="231"/>
      <c r="E893" s="231"/>
      <c r="F893" s="231"/>
      <c r="G893" s="231"/>
      <c r="H893" s="233"/>
      <c r="I893" s="233"/>
      <c r="J893" s="233"/>
      <c r="K893" s="233"/>
      <c r="L893" s="233"/>
      <c r="M893" s="233"/>
      <c r="N893" s="233"/>
      <c r="O893" s="234"/>
      <c r="P893" s="234"/>
      <c r="Q893" s="233"/>
      <c r="R893" s="233"/>
      <c r="S893" s="233"/>
      <c r="T893" s="233"/>
      <c r="U893" s="231"/>
    </row>
    <row r="894" spans="1:21" ht="13.2">
      <c r="A894" s="231"/>
      <c r="B894" s="232"/>
      <c r="C894" s="231"/>
      <c r="D894" s="231"/>
      <c r="E894" s="231"/>
      <c r="F894" s="231"/>
      <c r="G894" s="231"/>
      <c r="H894" s="233"/>
      <c r="I894" s="233"/>
      <c r="J894" s="233"/>
      <c r="K894" s="233"/>
      <c r="L894" s="233"/>
      <c r="M894" s="233"/>
      <c r="N894" s="233"/>
      <c r="O894" s="234"/>
      <c r="P894" s="234"/>
      <c r="Q894" s="233"/>
      <c r="R894" s="233"/>
      <c r="S894" s="233"/>
      <c r="T894" s="233"/>
      <c r="U894" s="231"/>
    </row>
    <row r="895" spans="1:21" ht="13.2">
      <c r="A895" s="231"/>
      <c r="B895" s="232"/>
      <c r="C895" s="231"/>
      <c r="D895" s="231"/>
      <c r="E895" s="231"/>
      <c r="F895" s="231"/>
      <c r="G895" s="231"/>
      <c r="H895" s="233"/>
      <c r="I895" s="233"/>
      <c r="J895" s="233"/>
      <c r="K895" s="233"/>
      <c r="L895" s="233"/>
      <c r="M895" s="233"/>
      <c r="N895" s="233"/>
      <c r="O895" s="234"/>
      <c r="P895" s="234"/>
      <c r="Q895" s="233"/>
      <c r="R895" s="233"/>
      <c r="S895" s="233"/>
      <c r="T895" s="233"/>
      <c r="U895" s="231"/>
    </row>
    <row r="896" spans="1:21" ht="13.2">
      <c r="A896" s="231"/>
      <c r="B896" s="232"/>
      <c r="C896" s="231"/>
      <c r="D896" s="231"/>
      <c r="E896" s="231"/>
      <c r="F896" s="231"/>
      <c r="G896" s="231"/>
      <c r="H896" s="233"/>
      <c r="I896" s="233"/>
      <c r="J896" s="233"/>
      <c r="K896" s="233"/>
      <c r="L896" s="233"/>
      <c r="M896" s="233"/>
      <c r="N896" s="233"/>
      <c r="O896" s="234"/>
      <c r="P896" s="234"/>
      <c r="Q896" s="233"/>
      <c r="R896" s="233"/>
      <c r="S896" s="233"/>
      <c r="T896" s="233"/>
      <c r="U896" s="231"/>
    </row>
    <row r="897" spans="1:21" ht="13.2">
      <c r="A897" s="231"/>
      <c r="B897" s="232"/>
      <c r="C897" s="231"/>
      <c r="D897" s="231"/>
      <c r="E897" s="231"/>
      <c r="F897" s="231"/>
      <c r="G897" s="231"/>
      <c r="H897" s="233"/>
      <c r="I897" s="233"/>
      <c r="J897" s="233"/>
      <c r="K897" s="233"/>
      <c r="L897" s="233"/>
      <c r="M897" s="233"/>
      <c r="N897" s="233"/>
      <c r="O897" s="234"/>
      <c r="P897" s="234"/>
      <c r="Q897" s="233"/>
      <c r="R897" s="233"/>
      <c r="S897" s="233"/>
      <c r="T897" s="233"/>
      <c r="U897" s="231"/>
    </row>
    <row r="898" spans="1:21" ht="13.2">
      <c r="A898" s="231"/>
      <c r="B898" s="232"/>
      <c r="C898" s="231"/>
      <c r="D898" s="231"/>
      <c r="E898" s="231"/>
      <c r="F898" s="231"/>
      <c r="G898" s="231"/>
      <c r="H898" s="233"/>
      <c r="I898" s="233"/>
      <c r="J898" s="233"/>
      <c r="K898" s="233"/>
      <c r="L898" s="233"/>
      <c r="M898" s="233"/>
      <c r="N898" s="233"/>
      <c r="O898" s="234"/>
      <c r="P898" s="234"/>
      <c r="Q898" s="233"/>
      <c r="R898" s="233"/>
      <c r="S898" s="233"/>
      <c r="T898" s="233"/>
      <c r="U898" s="231"/>
    </row>
    <row r="899" spans="1:21" ht="13.2">
      <c r="A899" s="231"/>
      <c r="B899" s="232"/>
      <c r="C899" s="231"/>
      <c r="D899" s="231"/>
      <c r="E899" s="231"/>
      <c r="F899" s="231"/>
      <c r="G899" s="231"/>
      <c r="H899" s="233"/>
      <c r="I899" s="233"/>
      <c r="J899" s="233"/>
      <c r="K899" s="233"/>
      <c r="L899" s="233"/>
      <c r="M899" s="233"/>
      <c r="N899" s="233"/>
      <c r="O899" s="234"/>
      <c r="P899" s="234"/>
      <c r="Q899" s="233"/>
      <c r="R899" s="233"/>
      <c r="S899" s="233"/>
      <c r="T899" s="233"/>
      <c r="U899" s="231"/>
    </row>
    <row r="900" spans="1:21" ht="13.2">
      <c r="A900" s="231"/>
      <c r="B900" s="232"/>
      <c r="C900" s="231"/>
      <c r="D900" s="231"/>
      <c r="E900" s="231"/>
      <c r="F900" s="231"/>
      <c r="G900" s="231"/>
      <c r="H900" s="233"/>
      <c r="I900" s="233"/>
      <c r="J900" s="233"/>
      <c r="K900" s="233"/>
      <c r="L900" s="233"/>
      <c r="M900" s="233"/>
      <c r="N900" s="233"/>
      <c r="O900" s="234"/>
      <c r="P900" s="234"/>
      <c r="Q900" s="233"/>
      <c r="R900" s="233"/>
      <c r="S900" s="233"/>
      <c r="T900" s="233"/>
      <c r="U900" s="231"/>
    </row>
    <row r="901" spans="1:21" ht="13.2">
      <c r="A901" s="231"/>
      <c r="B901" s="232"/>
      <c r="C901" s="231"/>
      <c r="D901" s="231"/>
      <c r="E901" s="231"/>
      <c r="F901" s="231"/>
      <c r="G901" s="231"/>
      <c r="H901" s="233"/>
      <c r="I901" s="233"/>
      <c r="J901" s="233"/>
      <c r="K901" s="233"/>
      <c r="L901" s="233"/>
      <c r="M901" s="233"/>
      <c r="N901" s="233"/>
      <c r="O901" s="234"/>
      <c r="P901" s="234"/>
      <c r="Q901" s="233"/>
      <c r="R901" s="233"/>
      <c r="S901" s="233"/>
      <c r="T901" s="233"/>
      <c r="U901" s="231"/>
    </row>
    <row r="902" spans="1:21" ht="13.2">
      <c r="A902" s="231"/>
      <c r="B902" s="232"/>
      <c r="C902" s="231"/>
      <c r="D902" s="231"/>
      <c r="E902" s="231"/>
      <c r="F902" s="231"/>
      <c r="G902" s="231"/>
      <c r="H902" s="233"/>
      <c r="I902" s="233"/>
      <c r="J902" s="233"/>
      <c r="K902" s="233"/>
      <c r="L902" s="233"/>
      <c r="M902" s="233"/>
      <c r="N902" s="233"/>
      <c r="O902" s="234"/>
      <c r="P902" s="234"/>
      <c r="Q902" s="233"/>
      <c r="R902" s="233"/>
      <c r="S902" s="233"/>
      <c r="T902" s="233"/>
      <c r="U902" s="231"/>
    </row>
    <row r="903" spans="1:21" ht="13.2">
      <c r="A903" s="231"/>
      <c r="B903" s="232"/>
      <c r="C903" s="231"/>
      <c r="D903" s="231"/>
      <c r="E903" s="231"/>
      <c r="F903" s="231"/>
      <c r="G903" s="231"/>
      <c r="H903" s="233"/>
      <c r="I903" s="233"/>
      <c r="J903" s="233"/>
      <c r="K903" s="233"/>
      <c r="L903" s="233"/>
      <c r="M903" s="233"/>
      <c r="N903" s="233"/>
      <c r="O903" s="234"/>
      <c r="P903" s="234"/>
      <c r="Q903" s="233"/>
      <c r="R903" s="233"/>
      <c r="S903" s="233"/>
      <c r="T903" s="233"/>
      <c r="U903" s="231"/>
    </row>
    <row r="904" spans="1:21" ht="13.2">
      <c r="A904" s="231"/>
      <c r="B904" s="232"/>
      <c r="C904" s="231"/>
      <c r="D904" s="231"/>
      <c r="E904" s="231"/>
      <c r="F904" s="231"/>
      <c r="G904" s="231"/>
      <c r="H904" s="233"/>
      <c r="I904" s="233"/>
      <c r="J904" s="233"/>
      <c r="K904" s="233"/>
      <c r="L904" s="233"/>
      <c r="M904" s="233"/>
      <c r="N904" s="233"/>
      <c r="O904" s="234"/>
      <c r="P904" s="234"/>
      <c r="Q904" s="233"/>
      <c r="R904" s="233"/>
      <c r="S904" s="233"/>
      <c r="T904" s="233"/>
      <c r="U904" s="231"/>
    </row>
    <row r="905" spans="1:21" ht="13.2">
      <c r="A905" s="231"/>
      <c r="B905" s="232"/>
      <c r="C905" s="231"/>
      <c r="D905" s="231"/>
      <c r="E905" s="231"/>
      <c r="F905" s="231"/>
      <c r="G905" s="231"/>
      <c r="H905" s="233"/>
      <c r="I905" s="233"/>
      <c r="J905" s="233"/>
      <c r="K905" s="233"/>
      <c r="L905" s="233"/>
      <c r="M905" s="233"/>
      <c r="N905" s="233"/>
      <c r="O905" s="234"/>
      <c r="P905" s="234"/>
      <c r="Q905" s="233"/>
      <c r="R905" s="233"/>
      <c r="S905" s="233"/>
      <c r="T905" s="233"/>
      <c r="U905" s="231"/>
    </row>
    <row r="906" spans="1:21" ht="13.2">
      <c r="A906" s="231"/>
      <c r="B906" s="232"/>
      <c r="C906" s="231"/>
      <c r="D906" s="231"/>
      <c r="E906" s="231"/>
      <c r="F906" s="231"/>
      <c r="G906" s="231"/>
      <c r="H906" s="233"/>
      <c r="I906" s="233"/>
      <c r="J906" s="233"/>
      <c r="K906" s="233"/>
      <c r="L906" s="233"/>
      <c r="M906" s="233"/>
      <c r="N906" s="233"/>
      <c r="O906" s="234"/>
      <c r="P906" s="234"/>
      <c r="Q906" s="233"/>
      <c r="R906" s="233"/>
      <c r="S906" s="233"/>
      <c r="T906" s="233"/>
      <c r="U906" s="231"/>
    </row>
    <row r="907" spans="1:21" ht="13.2">
      <c r="A907" s="231"/>
      <c r="B907" s="232"/>
      <c r="C907" s="231"/>
      <c r="D907" s="231"/>
      <c r="E907" s="231"/>
      <c r="F907" s="231"/>
      <c r="G907" s="231"/>
      <c r="H907" s="233"/>
      <c r="I907" s="233"/>
      <c r="J907" s="233"/>
      <c r="K907" s="233"/>
      <c r="L907" s="233"/>
      <c r="M907" s="233"/>
      <c r="N907" s="233"/>
      <c r="O907" s="234"/>
      <c r="P907" s="234"/>
      <c r="Q907" s="233"/>
      <c r="R907" s="233"/>
      <c r="S907" s="233"/>
      <c r="T907" s="233"/>
      <c r="U907" s="231"/>
    </row>
    <row r="908" spans="1:21" ht="13.2">
      <c r="A908" s="231"/>
      <c r="B908" s="232"/>
      <c r="C908" s="231"/>
      <c r="D908" s="231"/>
      <c r="E908" s="231"/>
      <c r="F908" s="231"/>
      <c r="G908" s="231"/>
      <c r="H908" s="233"/>
      <c r="I908" s="233"/>
      <c r="J908" s="233"/>
      <c r="K908" s="233"/>
      <c r="L908" s="233"/>
      <c r="M908" s="233"/>
      <c r="N908" s="233"/>
      <c r="O908" s="234"/>
      <c r="P908" s="234"/>
      <c r="Q908" s="233"/>
      <c r="R908" s="233"/>
      <c r="S908" s="233"/>
      <c r="T908" s="233"/>
      <c r="U908" s="231"/>
    </row>
    <row r="909" spans="1:21" ht="13.2">
      <c r="A909" s="231"/>
      <c r="B909" s="232"/>
      <c r="C909" s="231"/>
      <c r="D909" s="231"/>
      <c r="E909" s="231"/>
      <c r="F909" s="231"/>
      <c r="G909" s="231"/>
      <c r="H909" s="233"/>
      <c r="I909" s="233"/>
      <c r="J909" s="233"/>
      <c r="K909" s="233"/>
      <c r="L909" s="233"/>
      <c r="M909" s="233"/>
      <c r="N909" s="233"/>
      <c r="O909" s="234"/>
      <c r="P909" s="234"/>
      <c r="Q909" s="233"/>
      <c r="R909" s="233"/>
      <c r="S909" s="233"/>
      <c r="T909" s="233"/>
      <c r="U909" s="231"/>
    </row>
    <row r="910" spans="1:21" ht="13.2">
      <c r="A910" s="231"/>
      <c r="B910" s="232"/>
      <c r="C910" s="231"/>
      <c r="D910" s="231"/>
      <c r="E910" s="231"/>
      <c r="F910" s="231"/>
      <c r="G910" s="231"/>
      <c r="H910" s="233"/>
      <c r="I910" s="233"/>
      <c r="J910" s="233"/>
      <c r="K910" s="233"/>
      <c r="L910" s="233"/>
      <c r="M910" s="233"/>
      <c r="N910" s="233"/>
      <c r="O910" s="234"/>
      <c r="P910" s="234"/>
      <c r="Q910" s="233"/>
      <c r="R910" s="233"/>
      <c r="S910" s="233"/>
      <c r="T910" s="233"/>
      <c r="U910" s="231"/>
    </row>
    <row r="911" spans="1:21" ht="13.2">
      <c r="A911" s="231"/>
      <c r="B911" s="232"/>
      <c r="C911" s="231"/>
      <c r="D911" s="231"/>
      <c r="E911" s="231"/>
      <c r="F911" s="231"/>
      <c r="G911" s="231"/>
      <c r="H911" s="233"/>
      <c r="I911" s="233"/>
      <c r="J911" s="233"/>
      <c r="K911" s="233"/>
      <c r="L911" s="233"/>
      <c r="M911" s="233"/>
      <c r="N911" s="233"/>
      <c r="O911" s="234"/>
      <c r="P911" s="234"/>
      <c r="Q911" s="233"/>
      <c r="R911" s="233"/>
      <c r="S911" s="233"/>
      <c r="T911" s="233"/>
      <c r="U911" s="231"/>
    </row>
    <row r="912" spans="1:21" ht="13.2">
      <c r="A912" s="231"/>
      <c r="B912" s="232"/>
      <c r="C912" s="231"/>
      <c r="D912" s="231"/>
      <c r="E912" s="231"/>
      <c r="F912" s="231"/>
      <c r="G912" s="231"/>
      <c r="H912" s="233"/>
      <c r="I912" s="233"/>
      <c r="J912" s="233"/>
      <c r="K912" s="233"/>
      <c r="L912" s="233"/>
      <c r="M912" s="233"/>
      <c r="N912" s="233"/>
      <c r="O912" s="234"/>
      <c r="P912" s="234"/>
      <c r="Q912" s="233"/>
      <c r="R912" s="233"/>
      <c r="S912" s="233"/>
      <c r="T912" s="233"/>
      <c r="U912" s="231"/>
    </row>
    <row r="913" spans="1:21" ht="13.2">
      <c r="A913" s="231"/>
      <c r="B913" s="232"/>
      <c r="C913" s="231"/>
      <c r="D913" s="231"/>
      <c r="E913" s="231"/>
      <c r="F913" s="231"/>
      <c r="G913" s="231"/>
      <c r="H913" s="233"/>
      <c r="I913" s="233"/>
      <c r="J913" s="233"/>
      <c r="K913" s="233"/>
      <c r="L913" s="233"/>
      <c r="M913" s="233"/>
      <c r="N913" s="233"/>
      <c r="O913" s="234"/>
      <c r="P913" s="234"/>
      <c r="Q913" s="233"/>
      <c r="R913" s="233"/>
      <c r="S913" s="233"/>
      <c r="T913" s="233"/>
      <c r="U913" s="231"/>
    </row>
    <row r="914" spans="1:21" ht="13.2">
      <c r="A914" s="231"/>
      <c r="B914" s="232"/>
      <c r="C914" s="231"/>
      <c r="D914" s="231"/>
      <c r="E914" s="231"/>
      <c r="F914" s="231"/>
      <c r="G914" s="231"/>
      <c r="H914" s="233"/>
      <c r="I914" s="233"/>
      <c r="J914" s="233"/>
      <c r="K914" s="233"/>
      <c r="L914" s="233"/>
      <c r="M914" s="233"/>
      <c r="N914" s="233"/>
      <c r="O914" s="234"/>
      <c r="P914" s="234"/>
      <c r="Q914" s="233"/>
      <c r="R914" s="233"/>
      <c r="S914" s="233"/>
      <c r="T914" s="233"/>
      <c r="U914" s="231"/>
    </row>
    <row r="915" spans="1:21" ht="13.2">
      <c r="A915" s="231"/>
      <c r="B915" s="232"/>
      <c r="C915" s="231"/>
      <c r="D915" s="231"/>
      <c r="E915" s="231"/>
      <c r="F915" s="231"/>
      <c r="G915" s="231"/>
      <c r="H915" s="233"/>
      <c r="I915" s="233"/>
      <c r="J915" s="233"/>
      <c r="K915" s="233"/>
      <c r="L915" s="233"/>
      <c r="M915" s="233"/>
      <c r="N915" s="233"/>
      <c r="O915" s="234"/>
      <c r="P915" s="234"/>
      <c r="Q915" s="233"/>
      <c r="R915" s="233"/>
      <c r="S915" s="233"/>
      <c r="T915" s="233"/>
      <c r="U915" s="231"/>
    </row>
    <row r="916" spans="1:21" ht="13.2">
      <c r="A916" s="231"/>
      <c r="B916" s="232"/>
      <c r="C916" s="231"/>
      <c r="D916" s="231"/>
      <c r="E916" s="231"/>
      <c r="F916" s="231"/>
      <c r="G916" s="231"/>
      <c r="H916" s="233"/>
      <c r="I916" s="233"/>
      <c r="J916" s="233"/>
      <c r="K916" s="233"/>
      <c r="L916" s="233"/>
      <c r="M916" s="233"/>
      <c r="N916" s="233"/>
      <c r="O916" s="234"/>
      <c r="P916" s="234"/>
      <c r="Q916" s="233"/>
      <c r="R916" s="233"/>
      <c r="S916" s="233"/>
      <c r="T916" s="233"/>
      <c r="U916" s="231"/>
    </row>
    <row r="917" spans="1:21" ht="13.2">
      <c r="A917" s="231"/>
      <c r="B917" s="232"/>
      <c r="C917" s="231"/>
      <c r="D917" s="231"/>
      <c r="E917" s="231"/>
      <c r="F917" s="231"/>
      <c r="G917" s="231"/>
      <c r="H917" s="233"/>
      <c r="I917" s="233"/>
      <c r="J917" s="233"/>
      <c r="K917" s="233"/>
      <c r="L917" s="233"/>
      <c r="M917" s="233"/>
      <c r="N917" s="233"/>
      <c r="O917" s="234"/>
      <c r="P917" s="234"/>
      <c r="Q917" s="233"/>
      <c r="R917" s="233"/>
      <c r="S917" s="233"/>
      <c r="T917" s="233"/>
      <c r="U917" s="231"/>
    </row>
    <row r="918" spans="1:21" ht="13.2">
      <c r="A918" s="231"/>
      <c r="B918" s="232"/>
      <c r="C918" s="231"/>
      <c r="D918" s="231"/>
      <c r="E918" s="231"/>
      <c r="F918" s="231"/>
      <c r="G918" s="231"/>
      <c r="H918" s="233"/>
      <c r="I918" s="233"/>
      <c r="J918" s="233"/>
      <c r="K918" s="233"/>
      <c r="L918" s="233"/>
      <c r="M918" s="233"/>
      <c r="N918" s="233"/>
      <c r="O918" s="234"/>
      <c r="P918" s="234"/>
      <c r="Q918" s="233"/>
      <c r="R918" s="233"/>
      <c r="S918" s="233"/>
      <c r="T918" s="233"/>
      <c r="U918" s="231"/>
    </row>
    <row r="919" spans="1:21" ht="13.2">
      <c r="A919" s="231"/>
      <c r="B919" s="232"/>
      <c r="C919" s="231"/>
      <c r="D919" s="231"/>
      <c r="E919" s="231"/>
      <c r="F919" s="231"/>
      <c r="G919" s="231"/>
      <c r="H919" s="233"/>
      <c r="I919" s="233"/>
      <c r="J919" s="233"/>
      <c r="K919" s="233"/>
      <c r="L919" s="233"/>
      <c r="M919" s="233"/>
      <c r="N919" s="233"/>
      <c r="O919" s="234"/>
      <c r="P919" s="234"/>
      <c r="Q919" s="233"/>
      <c r="R919" s="233"/>
      <c r="S919" s="233"/>
      <c r="T919" s="233"/>
      <c r="U919" s="231"/>
    </row>
    <row r="920" spans="1:21" ht="13.2">
      <c r="A920" s="231"/>
      <c r="B920" s="232"/>
      <c r="C920" s="231"/>
      <c r="D920" s="231"/>
      <c r="E920" s="231"/>
      <c r="F920" s="231"/>
      <c r="G920" s="231"/>
      <c r="H920" s="233"/>
      <c r="I920" s="233"/>
      <c r="J920" s="233"/>
      <c r="K920" s="233"/>
      <c r="L920" s="233"/>
      <c r="M920" s="233"/>
      <c r="N920" s="233"/>
      <c r="O920" s="234"/>
      <c r="P920" s="234"/>
      <c r="Q920" s="233"/>
      <c r="R920" s="233"/>
      <c r="S920" s="233"/>
      <c r="T920" s="233"/>
      <c r="U920" s="231"/>
    </row>
    <row r="921" spans="1:21" ht="13.2">
      <c r="A921" s="231"/>
      <c r="B921" s="232"/>
      <c r="C921" s="231"/>
      <c r="D921" s="231"/>
      <c r="E921" s="231"/>
      <c r="F921" s="231"/>
      <c r="G921" s="231"/>
      <c r="H921" s="233"/>
      <c r="I921" s="233"/>
      <c r="J921" s="233"/>
      <c r="K921" s="233"/>
      <c r="L921" s="233"/>
      <c r="M921" s="233"/>
      <c r="N921" s="233"/>
      <c r="O921" s="234"/>
      <c r="P921" s="234"/>
      <c r="Q921" s="233"/>
      <c r="R921" s="233"/>
      <c r="S921" s="233"/>
      <c r="T921" s="233"/>
      <c r="U921" s="231"/>
    </row>
    <row r="922" spans="1:21" ht="13.2">
      <c r="A922" s="231"/>
      <c r="B922" s="232"/>
      <c r="C922" s="231"/>
      <c r="D922" s="231"/>
      <c r="E922" s="231"/>
      <c r="F922" s="231"/>
      <c r="G922" s="231"/>
      <c r="H922" s="233"/>
      <c r="I922" s="233"/>
      <c r="J922" s="233"/>
      <c r="K922" s="233"/>
      <c r="L922" s="233"/>
      <c r="M922" s="233"/>
      <c r="N922" s="233"/>
      <c r="O922" s="234"/>
      <c r="P922" s="234"/>
      <c r="Q922" s="233"/>
      <c r="R922" s="233"/>
      <c r="S922" s="233"/>
      <c r="T922" s="233"/>
      <c r="U922" s="231"/>
    </row>
    <row r="923" spans="1:21" ht="13.2">
      <c r="A923" s="231"/>
      <c r="B923" s="232"/>
      <c r="C923" s="231"/>
      <c r="D923" s="231"/>
      <c r="E923" s="231"/>
      <c r="F923" s="231"/>
      <c r="G923" s="231"/>
      <c r="H923" s="233"/>
      <c r="I923" s="233"/>
      <c r="J923" s="233"/>
      <c r="K923" s="233"/>
      <c r="L923" s="233"/>
      <c r="M923" s="233"/>
      <c r="N923" s="233"/>
      <c r="O923" s="234"/>
      <c r="P923" s="234"/>
      <c r="Q923" s="233"/>
      <c r="R923" s="233"/>
      <c r="S923" s="233"/>
      <c r="T923" s="233"/>
      <c r="U923" s="231"/>
    </row>
    <row r="924" spans="1:21" ht="13.2">
      <c r="A924" s="231"/>
      <c r="B924" s="232"/>
      <c r="C924" s="231"/>
      <c r="D924" s="231"/>
      <c r="E924" s="231"/>
      <c r="F924" s="231"/>
      <c r="G924" s="231"/>
      <c r="H924" s="233"/>
      <c r="I924" s="233"/>
      <c r="J924" s="233"/>
      <c r="K924" s="233"/>
      <c r="L924" s="233"/>
      <c r="M924" s="233"/>
      <c r="N924" s="233"/>
      <c r="O924" s="234"/>
      <c r="P924" s="234"/>
      <c r="Q924" s="233"/>
      <c r="R924" s="233"/>
      <c r="S924" s="233"/>
      <c r="T924" s="233"/>
      <c r="U924" s="231"/>
    </row>
    <row r="925" spans="1:21" ht="13.2">
      <c r="A925" s="231"/>
      <c r="B925" s="232"/>
      <c r="C925" s="231"/>
      <c r="D925" s="231"/>
      <c r="E925" s="231"/>
      <c r="F925" s="231"/>
      <c r="G925" s="231"/>
      <c r="H925" s="233"/>
      <c r="I925" s="233"/>
      <c r="J925" s="233"/>
      <c r="K925" s="233"/>
      <c r="L925" s="233"/>
      <c r="M925" s="233"/>
      <c r="N925" s="233"/>
      <c r="O925" s="234"/>
      <c r="P925" s="234"/>
      <c r="Q925" s="233"/>
      <c r="R925" s="233"/>
      <c r="S925" s="233"/>
      <c r="T925" s="233"/>
      <c r="U925" s="231"/>
    </row>
    <row r="926" spans="1:21" ht="13.2">
      <c r="A926" s="231"/>
      <c r="B926" s="232"/>
      <c r="C926" s="231"/>
      <c r="D926" s="231"/>
      <c r="E926" s="231"/>
      <c r="F926" s="231"/>
      <c r="G926" s="231"/>
      <c r="H926" s="233"/>
      <c r="I926" s="233"/>
      <c r="J926" s="233"/>
      <c r="K926" s="233"/>
      <c r="L926" s="233"/>
      <c r="M926" s="233"/>
      <c r="N926" s="233"/>
      <c r="O926" s="234"/>
      <c r="P926" s="234"/>
      <c r="Q926" s="233"/>
      <c r="R926" s="233"/>
      <c r="S926" s="233"/>
      <c r="T926" s="233"/>
      <c r="U926" s="231"/>
    </row>
    <row r="927" spans="1:21" ht="13.2">
      <c r="A927" s="231"/>
      <c r="B927" s="232"/>
      <c r="C927" s="231"/>
      <c r="D927" s="231"/>
      <c r="E927" s="231"/>
      <c r="F927" s="231"/>
      <c r="G927" s="231"/>
      <c r="H927" s="233"/>
      <c r="I927" s="233"/>
      <c r="J927" s="233"/>
      <c r="K927" s="233"/>
      <c r="L927" s="233"/>
      <c r="M927" s="233"/>
      <c r="N927" s="233"/>
      <c r="O927" s="234"/>
      <c r="P927" s="234"/>
      <c r="Q927" s="233"/>
      <c r="R927" s="233"/>
      <c r="S927" s="233"/>
      <c r="T927" s="233"/>
      <c r="U927" s="231"/>
    </row>
    <row r="928" spans="1:21" ht="13.2">
      <c r="A928" s="231"/>
      <c r="B928" s="232"/>
      <c r="C928" s="231"/>
      <c r="D928" s="231"/>
      <c r="E928" s="231"/>
      <c r="F928" s="231"/>
      <c r="G928" s="231"/>
      <c r="H928" s="233"/>
      <c r="I928" s="233"/>
      <c r="J928" s="233"/>
      <c r="K928" s="233"/>
      <c r="L928" s="233"/>
      <c r="M928" s="233"/>
      <c r="N928" s="233"/>
      <c r="O928" s="234"/>
      <c r="P928" s="234"/>
      <c r="Q928" s="233"/>
      <c r="R928" s="233"/>
      <c r="S928" s="233"/>
      <c r="T928" s="233"/>
      <c r="U928" s="231"/>
    </row>
    <row r="929" spans="1:21" ht="13.2">
      <c r="A929" s="231"/>
      <c r="B929" s="232"/>
      <c r="C929" s="231"/>
      <c r="D929" s="231"/>
      <c r="E929" s="231"/>
      <c r="F929" s="231"/>
      <c r="G929" s="231"/>
      <c r="H929" s="233"/>
      <c r="I929" s="233"/>
      <c r="J929" s="233"/>
      <c r="K929" s="233"/>
      <c r="L929" s="233"/>
      <c r="M929" s="233"/>
      <c r="N929" s="233"/>
      <c r="O929" s="234"/>
      <c r="P929" s="234"/>
      <c r="Q929" s="233"/>
      <c r="R929" s="233"/>
      <c r="S929" s="233"/>
      <c r="T929" s="233"/>
      <c r="U929" s="231"/>
    </row>
    <row r="930" spans="1:21" ht="13.2">
      <c r="A930" s="231"/>
      <c r="B930" s="232"/>
      <c r="C930" s="231"/>
      <c r="D930" s="231"/>
      <c r="E930" s="231"/>
      <c r="F930" s="231"/>
      <c r="G930" s="231"/>
      <c r="H930" s="233"/>
      <c r="I930" s="233"/>
      <c r="J930" s="233"/>
      <c r="K930" s="233"/>
      <c r="L930" s="233"/>
      <c r="M930" s="233"/>
      <c r="N930" s="233"/>
      <c r="O930" s="234"/>
      <c r="P930" s="234"/>
      <c r="Q930" s="233"/>
      <c r="R930" s="233"/>
      <c r="S930" s="233"/>
      <c r="T930" s="233"/>
      <c r="U930" s="231"/>
    </row>
    <row r="931" spans="1:21" ht="13.2">
      <c r="A931" s="231"/>
      <c r="B931" s="232"/>
      <c r="C931" s="231"/>
      <c r="D931" s="231"/>
      <c r="E931" s="231"/>
      <c r="F931" s="231"/>
      <c r="G931" s="231"/>
      <c r="H931" s="233"/>
      <c r="I931" s="233"/>
      <c r="J931" s="233"/>
      <c r="K931" s="233"/>
      <c r="L931" s="233"/>
      <c r="M931" s="233"/>
      <c r="N931" s="233"/>
      <c r="O931" s="234"/>
      <c r="P931" s="234"/>
      <c r="Q931" s="233"/>
      <c r="R931" s="233"/>
      <c r="S931" s="233"/>
      <c r="T931" s="233"/>
      <c r="U931" s="231"/>
    </row>
    <row r="932" spans="1:21" ht="13.2">
      <c r="A932" s="231"/>
      <c r="B932" s="232"/>
      <c r="C932" s="231"/>
      <c r="D932" s="231"/>
      <c r="E932" s="231"/>
      <c r="F932" s="231"/>
      <c r="G932" s="231"/>
      <c r="H932" s="233"/>
      <c r="I932" s="233"/>
      <c r="J932" s="233"/>
      <c r="K932" s="233"/>
      <c r="L932" s="233"/>
      <c r="M932" s="233"/>
      <c r="N932" s="233"/>
      <c r="O932" s="234"/>
      <c r="P932" s="234"/>
      <c r="Q932" s="233"/>
      <c r="R932" s="233"/>
      <c r="S932" s="233"/>
      <c r="T932" s="233"/>
      <c r="U932" s="231"/>
    </row>
    <row r="933" spans="1:21" ht="13.2">
      <c r="A933" s="231"/>
      <c r="B933" s="232"/>
      <c r="C933" s="231"/>
      <c r="D933" s="231"/>
      <c r="E933" s="231"/>
      <c r="F933" s="231"/>
      <c r="G933" s="231"/>
      <c r="H933" s="233"/>
      <c r="I933" s="233"/>
      <c r="J933" s="233"/>
      <c r="K933" s="233"/>
      <c r="L933" s="233"/>
      <c r="M933" s="233"/>
      <c r="N933" s="233"/>
      <c r="O933" s="234"/>
      <c r="P933" s="234"/>
      <c r="Q933" s="233"/>
      <c r="R933" s="233"/>
      <c r="S933" s="233"/>
      <c r="T933" s="233"/>
      <c r="U933" s="231"/>
    </row>
    <row r="934" spans="1:21" ht="13.2">
      <c r="A934" s="231"/>
      <c r="B934" s="232"/>
      <c r="C934" s="231"/>
      <c r="D934" s="231"/>
      <c r="E934" s="231"/>
      <c r="F934" s="231"/>
      <c r="G934" s="231"/>
      <c r="H934" s="233"/>
      <c r="I934" s="233"/>
      <c r="J934" s="233"/>
      <c r="K934" s="233"/>
      <c r="L934" s="233"/>
      <c r="M934" s="233"/>
      <c r="N934" s="233"/>
      <c r="O934" s="234"/>
      <c r="P934" s="234"/>
      <c r="Q934" s="233"/>
      <c r="R934" s="233"/>
      <c r="S934" s="233"/>
      <c r="T934" s="233"/>
      <c r="U934" s="231"/>
    </row>
    <row r="935" spans="1:21" ht="13.2">
      <c r="A935" s="231"/>
      <c r="B935" s="232"/>
      <c r="C935" s="231"/>
      <c r="D935" s="231"/>
      <c r="E935" s="231"/>
      <c r="F935" s="231"/>
      <c r="G935" s="231"/>
      <c r="H935" s="233"/>
      <c r="I935" s="233"/>
      <c r="J935" s="233"/>
      <c r="K935" s="233"/>
      <c r="L935" s="233"/>
      <c r="M935" s="233"/>
      <c r="N935" s="233"/>
      <c r="O935" s="234"/>
      <c r="P935" s="234"/>
      <c r="Q935" s="233"/>
      <c r="R935" s="233"/>
      <c r="S935" s="233"/>
      <c r="T935" s="233"/>
      <c r="U935" s="231"/>
    </row>
    <row r="936" spans="1:21" ht="13.2">
      <c r="A936" s="231"/>
      <c r="B936" s="232"/>
      <c r="C936" s="231"/>
      <c r="D936" s="231"/>
      <c r="E936" s="231"/>
      <c r="F936" s="231"/>
      <c r="G936" s="231"/>
      <c r="H936" s="233"/>
      <c r="I936" s="233"/>
      <c r="J936" s="233"/>
      <c r="K936" s="233"/>
      <c r="L936" s="233"/>
      <c r="M936" s="233"/>
      <c r="N936" s="233"/>
      <c r="O936" s="234"/>
      <c r="P936" s="234"/>
      <c r="Q936" s="233"/>
      <c r="R936" s="233"/>
      <c r="S936" s="233"/>
      <c r="T936" s="233"/>
      <c r="U936" s="231"/>
    </row>
    <row r="937" spans="1:21" ht="13.2">
      <c r="A937" s="231"/>
      <c r="B937" s="232"/>
      <c r="C937" s="231"/>
      <c r="D937" s="231"/>
      <c r="E937" s="231"/>
      <c r="F937" s="231"/>
      <c r="G937" s="231"/>
      <c r="H937" s="233"/>
      <c r="I937" s="233"/>
      <c r="J937" s="233"/>
      <c r="K937" s="233"/>
      <c r="L937" s="233"/>
      <c r="M937" s="233"/>
      <c r="N937" s="233"/>
      <c r="O937" s="234"/>
      <c r="P937" s="234"/>
      <c r="Q937" s="233"/>
      <c r="R937" s="233"/>
      <c r="S937" s="233"/>
      <c r="T937" s="233"/>
      <c r="U937" s="231"/>
    </row>
    <row r="938" spans="1:21" ht="13.2">
      <c r="A938" s="231"/>
      <c r="B938" s="232"/>
      <c r="C938" s="231"/>
      <c r="D938" s="231"/>
      <c r="E938" s="231"/>
      <c r="F938" s="231"/>
      <c r="G938" s="231"/>
      <c r="H938" s="233"/>
      <c r="I938" s="233"/>
      <c r="J938" s="233"/>
      <c r="K938" s="233"/>
      <c r="L938" s="233"/>
      <c r="M938" s="233"/>
      <c r="N938" s="233"/>
      <c r="O938" s="234"/>
      <c r="P938" s="234"/>
      <c r="Q938" s="233"/>
      <c r="R938" s="233"/>
      <c r="S938" s="233"/>
      <c r="T938" s="233"/>
      <c r="U938" s="231"/>
    </row>
    <row r="939" spans="1:21" ht="13.2">
      <c r="A939" s="231"/>
      <c r="B939" s="232"/>
      <c r="C939" s="231"/>
      <c r="D939" s="231"/>
      <c r="E939" s="231"/>
      <c r="F939" s="231"/>
      <c r="G939" s="231"/>
      <c r="H939" s="233"/>
      <c r="I939" s="233"/>
      <c r="J939" s="233"/>
      <c r="K939" s="233"/>
      <c r="L939" s="233"/>
      <c r="M939" s="233"/>
      <c r="N939" s="233"/>
      <c r="O939" s="234"/>
      <c r="P939" s="234"/>
      <c r="Q939" s="233"/>
      <c r="R939" s="233"/>
      <c r="S939" s="233"/>
      <c r="T939" s="233"/>
      <c r="U939" s="231"/>
    </row>
    <row r="940" spans="1:21" ht="13.2">
      <c r="A940" s="231"/>
      <c r="B940" s="232"/>
      <c r="C940" s="231"/>
      <c r="D940" s="231"/>
      <c r="E940" s="231"/>
      <c r="F940" s="231"/>
      <c r="G940" s="231"/>
      <c r="H940" s="233"/>
      <c r="I940" s="233"/>
      <c r="J940" s="233"/>
      <c r="K940" s="233"/>
      <c r="L940" s="233"/>
      <c r="M940" s="233"/>
      <c r="N940" s="233"/>
      <c r="O940" s="234"/>
      <c r="P940" s="234"/>
      <c r="Q940" s="233"/>
      <c r="R940" s="233"/>
      <c r="S940" s="233"/>
      <c r="T940" s="233"/>
      <c r="U940" s="231"/>
    </row>
    <row r="941" spans="1:21" ht="13.2">
      <c r="A941" s="231"/>
      <c r="B941" s="232"/>
      <c r="C941" s="231"/>
      <c r="D941" s="231"/>
      <c r="E941" s="231"/>
      <c r="F941" s="231"/>
      <c r="G941" s="231"/>
      <c r="H941" s="233"/>
      <c r="I941" s="233"/>
      <c r="J941" s="233"/>
      <c r="K941" s="233"/>
      <c r="L941" s="233"/>
      <c r="M941" s="233"/>
      <c r="N941" s="233"/>
      <c r="O941" s="234"/>
      <c r="P941" s="234"/>
      <c r="Q941" s="233"/>
      <c r="R941" s="233"/>
      <c r="S941" s="233"/>
      <c r="T941" s="233"/>
      <c r="U941" s="231"/>
    </row>
    <row r="942" spans="1:21" ht="13.2">
      <c r="A942" s="231"/>
      <c r="B942" s="232"/>
      <c r="C942" s="231"/>
      <c r="D942" s="231"/>
      <c r="E942" s="231"/>
      <c r="F942" s="231"/>
      <c r="G942" s="231"/>
      <c r="H942" s="233"/>
      <c r="I942" s="233"/>
      <c r="J942" s="233"/>
      <c r="K942" s="233"/>
      <c r="L942" s="233"/>
      <c r="M942" s="233"/>
      <c r="N942" s="233"/>
      <c r="O942" s="234"/>
      <c r="P942" s="234"/>
      <c r="Q942" s="233"/>
      <c r="R942" s="233"/>
      <c r="S942" s="233"/>
      <c r="T942" s="233"/>
      <c r="U942" s="231"/>
    </row>
    <row r="943" spans="1:21" ht="13.2">
      <c r="A943" s="231"/>
      <c r="B943" s="232"/>
      <c r="C943" s="231"/>
      <c r="D943" s="231"/>
      <c r="E943" s="231"/>
      <c r="F943" s="231"/>
      <c r="G943" s="231"/>
      <c r="H943" s="233"/>
      <c r="I943" s="233"/>
      <c r="J943" s="233"/>
      <c r="K943" s="233"/>
      <c r="L943" s="233"/>
      <c r="M943" s="233"/>
      <c r="N943" s="233"/>
      <c r="O943" s="234"/>
      <c r="P943" s="234"/>
      <c r="Q943" s="233"/>
      <c r="R943" s="233"/>
      <c r="S943" s="233"/>
      <c r="T943" s="233"/>
      <c r="U943" s="231"/>
    </row>
    <row r="944" spans="1:21" ht="13.2">
      <c r="A944" s="231"/>
      <c r="B944" s="232"/>
      <c r="C944" s="231"/>
      <c r="D944" s="231"/>
      <c r="E944" s="231"/>
      <c r="F944" s="231"/>
      <c r="G944" s="231"/>
      <c r="H944" s="233"/>
      <c r="I944" s="233"/>
      <c r="J944" s="233"/>
      <c r="K944" s="233"/>
      <c r="L944" s="233"/>
      <c r="M944" s="233"/>
      <c r="N944" s="233"/>
      <c r="O944" s="234"/>
      <c r="P944" s="234"/>
      <c r="Q944" s="233"/>
      <c r="R944" s="233"/>
      <c r="S944" s="233"/>
      <c r="T944" s="233"/>
      <c r="U944" s="231"/>
    </row>
    <row r="945" spans="1:21" ht="13.2">
      <c r="A945" s="231"/>
      <c r="B945" s="232"/>
      <c r="C945" s="231"/>
      <c r="D945" s="231"/>
      <c r="E945" s="231"/>
      <c r="F945" s="231"/>
      <c r="G945" s="231"/>
      <c r="H945" s="233"/>
      <c r="I945" s="233"/>
      <c r="J945" s="233"/>
      <c r="K945" s="233"/>
      <c r="L945" s="233"/>
      <c r="M945" s="233"/>
      <c r="N945" s="233"/>
      <c r="O945" s="234"/>
      <c r="P945" s="234"/>
      <c r="Q945" s="233"/>
      <c r="R945" s="233"/>
      <c r="S945" s="233"/>
      <c r="T945" s="233"/>
      <c r="U945" s="231"/>
    </row>
    <row r="946" spans="1:21" ht="13.2">
      <c r="A946" s="231"/>
      <c r="B946" s="232"/>
      <c r="C946" s="231"/>
      <c r="D946" s="231"/>
      <c r="E946" s="231"/>
      <c r="F946" s="231"/>
      <c r="G946" s="231"/>
      <c r="H946" s="233"/>
      <c r="I946" s="233"/>
      <c r="J946" s="233"/>
      <c r="K946" s="233"/>
      <c r="L946" s="233"/>
      <c r="M946" s="233"/>
      <c r="N946" s="233"/>
      <c r="O946" s="234"/>
      <c r="P946" s="234"/>
      <c r="Q946" s="233"/>
      <c r="R946" s="233"/>
      <c r="S946" s="233"/>
      <c r="T946" s="233"/>
      <c r="U946" s="231"/>
    </row>
    <row r="947" spans="1:21" ht="13.2">
      <c r="A947" s="231"/>
      <c r="B947" s="232"/>
      <c r="C947" s="231"/>
      <c r="D947" s="231"/>
      <c r="E947" s="231"/>
      <c r="F947" s="231"/>
      <c r="G947" s="231"/>
      <c r="H947" s="233"/>
      <c r="I947" s="233"/>
      <c r="J947" s="233"/>
      <c r="K947" s="233"/>
      <c r="L947" s="233"/>
      <c r="M947" s="233"/>
      <c r="N947" s="233"/>
      <c r="O947" s="234"/>
      <c r="P947" s="234"/>
      <c r="Q947" s="233"/>
      <c r="R947" s="233"/>
      <c r="S947" s="233"/>
      <c r="T947" s="233"/>
      <c r="U947" s="231"/>
    </row>
    <row r="948" spans="1:21" ht="13.2">
      <c r="A948" s="231"/>
      <c r="B948" s="232"/>
      <c r="C948" s="231"/>
      <c r="D948" s="231"/>
      <c r="E948" s="231"/>
      <c r="F948" s="231"/>
      <c r="G948" s="231"/>
      <c r="H948" s="233"/>
      <c r="I948" s="233"/>
      <c r="J948" s="233"/>
      <c r="K948" s="233"/>
      <c r="L948" s="233"/>
      <c r="M948" s="233"/>
      <c r="N948" s="233"/>
      <c r="O948" s="234"/>
      <c r="P948" s="234"/>
      <c r="Q948" s="233"/>
      <c r="R948" s="233"/>
      <c r="S948" s="233"/>
      <c r="T948" s="233"/>
      <c r="U948" s="231"/>
    </row>
    <row r="949" spans="1:21" ht="13.2">
      <c r="A949" s="231"/>
      <c r="B949" s="232"/>
      <c r="C949" s="231"/>
      <c r="D949" s="231"/>
      <c r="E949" s="231"/>
      <c r="F949" s="231"/>
      <c r="G949" s="231"/>
      <c r="H949" s="233"/>
      <c r="I949" s="233"/>
      <c r="J949" s="233"/>
      <c r="K949" s="233"/>
      <c r="L949" s="233"/>
      <c r="M949" s="233"/>
      <c r="N949" s="233"/>
      <c r="O949" s="234"/>
      <c r="P949" s="234"/>
      <c r="Q949" s="233"/>
      <c r="R949" s="233"/>
      <c r="S949" s="233"/>
      <c r="T949" s="233"/>
      <c r="U949" s="231"/>
    </row>
    <row r="950" spans="1:21" ht="13.2">
      <c r="A950" s="231"/>
      <c r="B950" s="232"/>
      <c r="C950" s="231"/>
      <c r="D950" s="231"/>
      <c r="E950" s="231"/>
      <c r="F950" s="231"/>
      <c r="G950" s="231"/>
      <c r="H950" s="233"/>
      <c r="I950" s="233"/>
      <c r="J950" s="233"/>
      <c r="K950" s="233"/>
      <c r="L950" s="233"/>
      <c r="M950" s="233"/>
      <c r="N950" s="233"/>
      <c r="O950" s="234"/>
      <c r="P950" s="234"/>
      <c r="Q950" s="233"/>
      <c r="R950" s="233"/>
      <c r="S950" s="233"/>
      <c r="T950" s="233"/>
      <c r="U950" s="231"/>
    </row>
    <row r="951" spans="1:21" ht="13.2">
      <c r="A951" s="231"/>
      <c r="B951" s="232"/>
      <c r="C951" s="231"/>
      <c r="D951" s="231"/>
      <c r="E951" s="231"/>
      <c r="F951" s="231"/>
      <c r="G951" s="231"/>
      <c r="H951" s="233"/>
      <c r="I951" s="233"/>
      <c r="J951" s="233"/>
      <c r="K951" s="233"/>
      <c r="L951" s="233"/>
      <c r="M951" s="233"/>
      <c r="N951" s="233"/>
      <c r="O951" s="234"/>
      <c r="P951" s="234"/>
      <c r="Q951" s="233"/>
      <c r="R951" s="233"/>
      <c r="S951" s="233"/>
      <c r="T951" s="233"/>
      <c r="U951" s="231"/>
    </row>
    <row r="952" spans="1:21" ht="13.2">
      <c r="A952" s="231"/>
      <c r="B952" s="232"/>
      <c r="C952" s="231"/>
      <c r="D952" s="231"/>
      <c r="E952" s="231"/>
      <c r="F952" s="231"/>
      <c r="G952" s="231"/>
      <c r="H952" s="233"/>
      <c r="I952" s="233"/>
      <c r="J952" s="233"/>
      <c r="K952" s="233"/>
      <c r="L952" s="233"/>
      <c r="M952" s="233"/>
      <c r="N952" s="233"/>
      <c r="O952" s="234"/>
      <c r="P952" s="234"/>
      <c r="Q952" s="233"/>
      <c r="R952" s="233"/>
      <c r="S952" s="233"/>
      <c r="T952" s="233"/>
      <c r="U952" s="231"/>
    </row>
    <row r="953" spans="1:21" ht="13.2">
      <c r="A953" s="231"/>
      <c r="B953" s="232"/>
      <c r="C953" s="231"/>
      <c r="D953" s="231"/>
      <c r="E953" s="231"/>
      <c r="F953" s="231"/>
      <c r="G953" s="231"/>
      <c r="H953" s="233"/>
      <c r="I953" s="233"/>
      <c r="J953" s="233"/>
      <c r="K953" s="233"/>
      <c r="L953" s="233"/>
      <c r="M953" s="233"/>
      <c r="N953" s="233"/>
      <c r="O953" s="234"/>
      <c r="P953" s="234"/>
      <c r="Q953" s="233"/>
      <c r="R953" s="233"/>
      <c r="S953" s="233"/>
      <c r="T953" s="233"/>
      <c r="U953" s="231"/>
    </row>
    <row r="954" spans="1:21" ht="13.2">
      <c r="A954" s="231"/>
      <c r="B954" s="232"/>
      <c r="C954" s="231"/>
      <c r="D954" s="231"/>
      <c r="E954" s="231"/>
      <c r="F954" s="231"/>
      <c r="G954" s="231"/>
      <c r="H954" s="233"/>
      <c r="I954" s="233"/>
      <c r="J954" s="233"/>
      <c r="K954" s="233"/>
      <c r="L954" s="233"/>
      <c r="M954" s="233"/>
      <c r="N954" s="233"/>
      <c r="O954" s="234"/>
      <c r="P954" s="234"/>
      <c r="Q954" s="233"/>
      <c r="R954" s="233"/>
      <c r="S954" s="233"/>
      <c r="T954" s="233"/>
      <c r="U954" s="231"/>
    </row>
    <row r="955" spans="1:21" ht="13.2">
      <c r="A955" s="231"/>
      <c r="B955" s="232"/>
      <c r="C955" s="231"/>
      <c r="D955" s="231"/>
      <c r="E955" s="231"/>
      <c r="F955" s="231"/>
      <c r="G955" s="231"/>
      <c r="H955" s="233"/>
      <c r="I955" s="233"/>
      <c r="J955" s="233"/>
      <c r="K955" s="233"/>
      <c r="L955" s="233"/>
      <c r="M955" s="233"/>
      <c r="N955" s="233"/>
      <c r="O955" s="234"/>
      <c r="P955" s="234"/>
      <c r="Q955" s="233"/>
      <c r="R955" s="233"/>
      <c r="S955" s="233"/>
      <c r="T955" s="233"/>
      <c r="U955" s="231"/>
    </row>
    <row r="956" spans="1:21" ht="13.2">
      <c r="A956" s="231"/>
      <c r="B956" s="232"/>
      <c r="C956" s="231"/>
      <c r="D956" s="231"/>
      <c r="E956" s="231"/>
      <c r="F956" s="231"/>
      <c r="G956" s="231"/>
      <c r="H956" s="233"/>
      <c r="I956" s="233"/>
      <c r="J956" s="233"/>
      <c r="K956" s="233"/>
      <c r="L956" s="233"/>
      <c r="M956" s="233"/>
      <c r="N956" s="233"/>
      <c r="O956" s="234"/>
      <c r="P956" s="234"/>
      <c r="Q956" s="233"/>
      <c r="R956" s="233"/>
      <c r="S956" s="233"/>
      <c r="T956" s="233"/>
      <c r="U956" s="231"/>
    </row>
    <row r="957" spans="1:21" ht="13.2">
      <c r="A957" s="231"/>
      <c r="B957" s="232"/>
      <c r="C957" s="231"/>
      <c r="D957" s="231"/>
      <c r="E957" s="231"/>
      <c r="F957" s="231"/>
      <c r="G957" s="231"/>
      <c r="H957" s="233"/>
      <c r="I957" s="233"/>
      <c r="J957" s="233"/>
      <c r="K957" s="233"/>
      <c r="L957" s="233"/>
      <c r="M957" s="233"/>
      <c r="N957" s="233"/>
      <c r="O957" s="234"/>
      <c r="P957" s="234"/>
      <c r="Q957" s="233"/>
      <c r="R957" s="233"/>
      <c r="S957" s="233"/>
      <c r="T957" s="233"/>
      <c r="U957" s="231"/>
    </row>
    <row r="958" spans="1:21" ht="13.2">
      <c r="A958" s="231"/>
      <c r="B958" s="232"/>
      <c r="C958" s="231"/>
      <c r="D958" s="231"/>
      <c r="E958" s="231"/>
      <c r="F958" s="231"/>
      <c r="G958" s="231"/>
      <c r="H958" s="233"/>
      <c r="I958" s="233"/>
      <c r="J958" s="233"/>
      <c r="K958" s="233"/>
      <c r="L958" s="233"/>
      <c r="M958" s="233"/>
      <c r="N958" s="233"/>
      <c r="O958" s="234"/>
      <c r="P958" s="234"/>
      <c r="Q958" s="233"/>
      <c r="R958" s="233"/>
      <c r="S958" s="233"/>
      <c r="T958" s="233"/>
      <c r="U958" s="231"/>
    </row>
    <row r="959" spans="1:21" ht="13.2">
      <c r="A959" s="231"/>
      <c r="B959" s="232"/>
      <c r="C959" s="231"/>
      <c r="D959" s="231"/>
      <c r="E959" s="231"/>
      <c r="F959" s="231"/>
      <c r="G959" s="231"/>
      <c r="H959" s="233"/>
      <c r="I959" s="233"/>
      <c r="J959" s="233"/>
      <c r="K959" s="233"/>
      <c r="L959" s="233"/>
      <c r="M959" s="233"/>
      <c r="N959" s="233"/>
      <c r="O959" s="234"/>
      <c r="P959" s="234"/>
      <c r="Q959" s="233"/>
      <c r="R959" s="233"/>
      <c r="S959" s="233"/>
      <c r="T959" s="233"/>
      <c r="U959" s="231"/>
    </row>
    <row r="960" spans="1:21" ht="13.2">
      <c r="A960" s="231"/>
      <c r="B960" s="232"/>
      <c r="C960" s="231"/>
      <c r="D960" s="231"/>
      <c r="E960" s="231"/>
      <c r="F960" s="231"/>
      <c r="G960" s="231"/>
      <c r="H960" s="233"/>
      <c r="I960" s="233"/>
      <c r="J960" s="233"/>
      <c r="K960" s="233"/>
      <c r="L960" s="233"/>
      <c r="M960" s="233"/>
      <c r="N960" s="233"/>
      <c r="O960" s="234"/>
      <c r="P960" s="234"/>
      <c r="Q960" s="233"/>
      <c r="R960" s="233"/>
      <c r="S960" s="233"/>
      <c r="T960" s="233"/>
      <c r="U960" s="231"/>
    </row>
    <row r="961" spans="1:21" ht="13.2">
      <c r="A961" s="231"/>
      <c r="B961" s="232"/>
      <c r="C961" s="231"/>
      <c r="D961" s="231"/>
      <c r="E961" s="231"/>
      <c r="F961" s="231"/>
      <c r="G961" s="231"/>
      <c r="H961" s="233"/>
      <c r="I961" s="233"/>
      <c r="J961" s="233"/>
      <c r="K961" s="233"/>
      <c r="L961" s="233"/>
      <c r="M961" s="233"/>
      <c r="N961" s="233"/>
      <c r="O961" s="234"/>
      <c r="P961" s="234"/>
      <c r="Q961" s="233"/>
      <c r="R961" s="233"/>
      <c r="S961" s="233"/>
      <c r="T961" s="233"/>
      <c r="U961" s="231"/>
    </row>
    <row r="962" spans="1:21" ht="13.2">
      <c r="A962" s="231"/>
      <c r="B962" s="232"/>
      <c r="C962" s="231"/>
      <c r="D962" s="231"/>
      <c r="E962" s="231"/>
      <c r="F962" s="231"/>
      <c r="G962" s="231"/>
      <c r="H962" s="233"/>
      <c r="I962" s="233"/>
      <c r="J962" s="233"/>
      <c r="K962" s="233"/>
      <c r="L962" s="233"/>
      <c r="M962" s="233"/>
      <c r="N962" s="233"/>
      <c r="O962" s="234"/>
      <c r="P962" s="234"/>
      <c r="Q962" s="233"/>
      <c r="R962" s="233"/>
      <c r="S962" s="233"/>
      <c r="T962" s="233"/>
      <c r="U962" s="231"/>
    </row>
    <row r="963" spans="1:21" ht="13.2">
      <c r="A963" s="231"/>
      <c r="B963" s="232"/>
      <c r="C963" s="231"/>
      <c r="D963" s="231"/>
      <c r="E963" s="231"/>
      <c r="F963" s="231"/>
      <c r="G963" s="231"/>
      <c r="H963" s="233"/>
      <c r="I963" s="233"/>
      <c r="J963" s="233"/>
      <c r="K963" s="233"/>
      <c r="L963" s="233"/>
      <c r="M963" s="233"/>
      <c r="N963" s="233"/>
      <c r="O963" s="234"/>
      <c r="P963" s="234"/>
      <c r="Q963" s="233"/>
      <c r="R963" s="233"/>
      <c r="S963" s="233"/>
      <c r="T963" s="233"/>
      <c r="U963" s="231"/>
    </row>
    <row r="964" spans="1:21" ht="13.2">
      <c r="A964" s="231"/>
      <c r="B964" s="232"/>
      <c r="C964" s="231"/>
      <c r="D964" s="231"/>
      <c r="E964" s="231"/>
      <c r="F964" s="231"/>
      <c r="G964" s="231"/>
      <c r="H964" s="233"/>
      <c r="I964" s="233"/>
      <c r="J964" s="233"/>
      <c r="K964" s="233"/>
      <c r="L964" s="233"/>
      <c r="M964" s="233"/>
      <c r="N964" s="233"/>
      <c r="O964" s="234"/>
      <c r="P964" s="234"/>
      <c r="Q964" s="233"/>
      <c r="R964" s="233"/>
      <c r="S964" s="233"/>
      <c r="T964" s="233"/>
      <c r="U964" s="231"/>
    </row>
    <row r="965" spans="1:21" ht="13.2">
      <c r="A965" s="231"/>
      <c r="B965" s="232"/>
      <c r="C965" s="231"/>
      <c r="D965" s="231"/>
      <c r="E965" s="231"/>
      <c r="F965" s="231"/>
      <c r="G965" s="231"/>
      <c r="H965" s="233"/>
      <c r="I965" s="233"/>
      <c r="J965" s="233"/>
      <c r="K965" s="233"/>
      <c r="L965" s="233"/>
      <c r="M965" s="233"/>
      <c r="N965" s="233"/>
      <c r="O965" s="234"/>
      <c r="P965" s="234"/>
      <c r="Q965" s="233"/>
      <c r="R965" s="233"/>
      <c r="S965" s="233"/>
      <c r="T965" s="233"/>
      <c r="U965" s="231"/>
    </row>
    <row r="966" spans="1:21" ht="13.2">
      <c r="A966" s="231"/>
      <c r="B966" s="232"/>
      <c r="C966" s="231"/>
      <c r="D966" s="231"/>
      <c r="E966" s="231"/>
      <c r="F966" s="231"/>
      <c r="G966" s="231"/>
      <c r="H966" s="233"/>
      <c r="I966" s="233"/>
      <c r="J966" s="233"/>
      <c r="K966" s="233"/>
      <c r="L966" s="233"/>
      <c r="M966" s="233"/>
      <c r="N966" s="233"/>
      <c r="O966" s="234"/>
      <c r="P966" s="234"/>
      <c r="Q966" s="233"/>
      <c r="R966" s="233"/>
      <c r="S966" s="233"/>
      <c r="T966" s="233"/>
      <c r="U966" s="231"/>
    </row>
    <row r="967" spans="1:21" ht="13.2">
      <c r="A967" s="231"/>
      <c r="B967" s="232"/>
      <c r="C967" s="231"/>
      <c r="D967" s="231"/>
      <c r="E967" s="231"/>
      <c r="F967" s="231"/>
      <c r="G967" s="231"/>
      <c r="H967" s="233"/>
      <c r="I967" s="233"/>
      <c r="J967" s="233"/>
      <c r="K967" s="233"/>
      <c r="L967" s="233"/>
      <c r="M967" s="233"/>
      <c r="N967" s="233"/>
      <c r="O967" s="234"/>
      <c r="P967" s="234"/>
      <c r="Q967" s="233"/>
      <c r="R967" s="233"/>
      <c r="S967" s="233"/>
      <c r="T967" s="233"/>
      <c r="U967" s="231"/>
    </row>
    <row r="968" spans="1:21" ht="13.2">
      <c r="A968" s="231"/>
      <c r="B968" s="232"/>
      <c r="C968" s="231"/>
      <c r="D968" s="231"/>
      <c r="E968" s="231"/>
      <c r="F968" s="231"/>
      <c r="G968" s="231"/>
      <c r="H968" s="233"/>
      <c r="I968" s="233"/>
      <c r="J968" s="233"/>
      <c r="K968" s="233"/>
      <c r="L968" s="233"/>
      <c r="M968" s="233"/>
      <c r="N968" s="233"/>
      <c r="O968" s="234"/>
      <c r="P968" s="234"/>
      <c r="Q968" s="233"/>
      <c r="R968" s="233"/>
      <c r="S968" s="233"/>
      <c r="T968" s="233"/>
      <c r="U968" s="231"/>
    </row>
    <row r="969" spans="1:21" ht="13.2">
      <c r="A969" s="231"/>
      <c r="B969" s="232"/>
      <c r="C969" s="231"/>
      <c r="D969" s="231"/>
      <c r="E969" s="231"/>
      <c r="F969" s="231"/>
      <c r="G969" s="231"/>
      <c r="H969" s="233"/>
      <c r="I969" s="233"/>
      <c r="J969" s="233"/>
      <c r="K969" s="233"/>
      <c r="L969" s="233"/>
      <c r="M969" s="233"/>
      <c r="N969" s="233"/>
      <c r="O969" s="234"/>
      <c r="P969" s="234"/>
      <c r="Q969" s="233"/>
      <c r="R969" s="233"/>
      <c r="S969" s="233"/>
      <c r="T969" s="233"/>
      <c r="U969" s="231"/>
    </row>
    <row r="970" spans="1:21" ht="13.2">
      <c r="A970" s="231"/>
      <c r="B970" s="232"/>
      <c r="C970" s="231"/>
      <c r="D970" s="231"/>
      <c r="E970" s="231"/>
      <c r="F970" s="231"/>
      <c r="G970" s="231"/>
      <c r="H970" s="233"/>
      <c r="I970" s="233"/>
      <c r="J970" s="233"/>
      <c r="K970" s="233"/>
      <c r="L970" s="233"/>
      <c r="M970" s="233"/>
      <c r="N970" s="233"/>
      <c r="O970" s="234"/>
      <c r="P970" s="234"/>
      <c r="Q970" s="233"/>
      <c r="R970" s="233"/>
      <c r="S970" s="233"/>
      <c r="T970" s="233"/>
      <c r="U970" s="231"/>
    </row>
    <row r="971" spans="1:21" ht="13.2">
      <c r="A971" s="231"/>
      <c r="B971" s="232"/>
      <c r="C971" s="231"/>
      <c r="D971" s="231"/>
      <c r="E971" s="231"/>
      <c r="F971" s="231"/>
      <c r="G971" s="231"/>
      <c r="H971" s="233"/>
      <c r="I971" s="233"/>
      <c r="J971" s="233"/>
      <c r="K971" s="233"/>
      <c r="L971" s="233"/>
      <c r="M971" s="233"/>
      <c r="N971" s="233"/>
      <c r="O971" s="234"/>
      <c r="P971" s="234"/>
      <c r="Q971" s="233"/>
      <c r="R971" s="233"/>
      <c r="S971" s="233"/>
      <c r="T971" s="233"/>
      <c r="U971" s="231"/>
    </row>
    <row r="972" spans="1:21" ht="13.2">
      <c r="A972" s="231"/>
      <c r="B972" s="232"/>
      <c r="C972" s="231"/>
      <c r="D972" s="231"/>
      <c r="E972" s="231"/>
      <c r="F972" s="231"/>
      <c r="G972" s="231"/>
      <c r="H972" s="233"/>
      <c r="I972" s="233"/>
      <c r="J972" s="233"/>
      <c r="K972" s="233"/>
      <c r="L972" s="233"/>
      <c r="M972" s="233"/>
      <c r="N972" s="233"/>
      <c r="O972" s="234"/>
      <c r="P972" s="234"/>
      <c r="Q972" s="233"/>
      <c r="R972" s="233"/>
      <c r="S972" s="233"/>
      <c r="T972" s="233"/>
      <c r="U972" s="231"/>
    </row>
    <row r="973" spans="1:21" ht="13.2">
      <c r="A973" s="231"/>
      <c r="B973" s="232"/>
      <c r="C973" s="231"/>
      <c r="D973" s="231"/>
      <c r="E973" s="231"/>
      <c r="F973" s="231"/>
      <c r="G973" s="231"/>
      <c r="H973" s="233"/>
      <c r="I973" s="233"/>
      <c r="J973" s="233"/>
      <c r="K973" s="233"/>
      <c r="L973" s="233"/>
      <c r="M973" s="233"/>
      <c r="N973" s="233"/>
      <c r="O973" s="234"/>
      <c r="P973" s="234"/>
      <c r="Q973" s="233"/>
      <c r="R973" s="233"/>
      <c r="S973" s="233"/>
      <c r="T973" s="233"/>
      <c r="U973" s="231"/>
    </row>
    <row r="974" spans="1:21" ht="13.2">
      <c r="A974" s="231"/>
      <c r="B974" s="232"/>
      <c r="C974" s="231"/>
      <c r="D974" s="231"/>
      <c r="E974" s="231"/>
      <c r="F974" s="231"/>
      <c r="G974" s="231"/>
      <c r="H974" s="233"/>
      <c r="I974" s="233"/>
      <c r="J974" s="233"/>
      <c r="K974" s="233"/>
      <c r="L974" s="233"/>
      <c r="M974" s="233"/>
      <c r="N974" s="233"/>
      <c r="O974" s="234"/>
      <c r="P974" s="234"/>
      <c r="Q974" s="233"/>
      <c r="R974" s="233"/>
      <c r="S974" s="233"/>
      <c r="T974" s="233"/>
      <c r="U974" s="231"/>
    </row>
    <row r="975" spans="1:21" ht="13.2">
      <c r="A975" s="231"/>
      <c r="B975" s="232"/>
      <c r="C975" s="231"/>
      <c r="D975" s="231"/>
      <c r="E975" s="231"/>
      <c r="F975" s="231"/>
      <c r="G975" s="231"/>
      <c r="H975" s="233"/>
      <c r="I975" s="233"/>
      <c r="J975" s="233"/>
      <c r="K975" s="233"/>
      <c r="L975" s="233"/>
      <c r="M975" s="233"/>
      <c r="N975" s="233"/>
      <c r="O975" s="234"/>
      <c r="P975" s="234"/>
      <c r="Q975" s="233"/>
      <c r="R975" s="233"/>
      <c r="S975" s="233"/>
      <c r="T975" s="233"/>
      <c r="U975" s="231"/>
    </row>
    <row r="976" spans="1:21" ht="13.2">
      <c r="A976" s="231"/>
      <c r="B976" s="232"/>
      <c r="C976" s="231"/>
      <c r="D976" s="231"/>
      <c r="E976" s="231"/>
      <c r="F976" s="231"/>
      <c r="G976" s="231"/>
      <c r="H976" s="233"/>
      <c r="I976" s="233"/>
      <c r="J976" s="233"/>
      <c r="K976" s="233"/>
      <c r="L976" s="233"/>
      <c r="M976" s="233"/>
      <c r="N976" s="233"/>
      <c r="O976" s="234"/>
      <c r="P976" s="234"/>
      <c r="Q976" s="233"/>
      <c r="R976" s="233"/>
      <c r="S976" s="233"/>
      <c r="T976" s="233"/>
      <c r="U976" s="231"/>
    </row>
    <row r="977" spans="1:21" ht="13.2">
      <c r="A977" s="231"/>
      <c r="B977" s="232"/>
      <c r="C977" s="231"/>
      <c r="D977" s="231"/>
      <c r="E977" s="231"/>
      <c r="F977" s="231"/>
      <c r="G977" s="231"/>
      <c r="H977" s="233"/>
      <c r="I977" s="233"/>
      <c r="J977" s="233"/>
      <c r="K977" s="233"/>
      <c r="L977" s="233"/>
      <c r="M977" s="233"/>
      <c r="N977" s="233"/>
      <c r="O977" s="234"/>
      <c r="P977" s="234"/>
      <c r="Q977" s="233"/>
      <c r="R977" s="233"/>
      <c r="S977" s="233"/>
      <c r="T977" s="233"/>
      <c r="U977" s="231"/>
    </row>
    <row r="978" spans="1:21" ht="13.2">
      <c r="A978" s="231"/>
      <c r="B978" s="232"/>
      <c r="C978" s="231"/>
      <c r="D978" s="231"/>
      <c r="E978" s="231"/>
      <c r="F978" s="231"/>
      <c r="G978" s="231"/>
      <c r="H978" s="233"/>
      <c r="I978" s="233"/>
      <c r="J978" s="233"/>
      <c r="K978" s="233"/>
      <c r="L978" s="233"/>
      <c r="M978" s="233"/>
      <c r="N978" s="233"/>
      <c r="O978" s="234"/>
      <c r="P978" s="234"/>
      <c r="Q978" s="233"/>
      <c r="R978" s="233"/>
      <c r="S978" s="233"/>
      <c r="T978" s="233"/>
      <c r="U978" s="231"/>
    </row>
    <row r="979" spans="1:21" ht="13.2">
      <c r="A979" s="231"/>
      <c r="B979" s="232"/>
      <c r="C979" s="231"/>
      <c r="D979" s="231"/>
      <c r="E979" s="231"/>
      <c r="F979" s="231"/>
      <c r="G979" s="231"/>
      <c r="H979" s="233"/>
      <c r="I979" s="233"/>
      <c r="J979" s="233"/>
      <c r="K979" s="233"/>
      <c r="L979" s="233"/>
      <c r="M979" s="233"/>
      <c r="N979" s="233"/>
      <c r="O979" s="234"/>
      <c r="P979" s="234"/>
      <c r="Q979" s="233"/>
      <c r="R979" s="233"/>
      <c r="S979" s="233"/>
      <c r="T979" s="233"/>
      <c r="U979" s="231"/>
    </row>
    <row r="980" spans="1:21" ht="13.2">
      <c r="A980" s="231"/>
      <c r="B980" s="232"/>
      <c r="C980" s="231"/>
      <c r="D980" s="231"/>
      <c r="E980" s="231"/>
      <c r="F980" s="231"/>
      <c r="G980" s="231"/>
      <c r="H980" s="233"/>
      <c r="I980" s="233"/>
      <c r="J980" s="233"/>
      <c r="K980" s="233"/>
      <c r="L980" s="233"/>
      <c r="M980" s="233"/>
      <c r="N980" s="233"/>
      <c r="O980" s="234"/>
      <c r="P980" s="234"/>
      <c r="Q980" s="233"/>
      <c r="R980" s="233"/>
      <c r="S980" s="233"/>
      <c r="T980" s="233"/>
      <c r="U980" s="231"/>
    </row>
    <row r="981" spans="1:21" ht="13.2">
      <c r="A981" s="231"/>
      <c r="B981" s="232"/>
      <c r="C981" s="231"/>
      <c r="D981" s="231"/>
      <c r="E981" s="231"/>
      <c r="F981" s="231"/>
      <c r="G981" s="231"/>
      <c r="H981" s="233"/>
      <c r="I981" s="233"/>
      <c r="J981" s="233"/>
      <c r="K981" s="233"/>
      <c r="L981" s="233"/>
      <c r="M981" s="233"/>
      <c r="N981" s="233"/>
      <c r="O981" s="234"/>
      <c r="P981" s="234"/>
      <c r="Q981" s="233"/>
      <c r="R981" s="233"/>
      <c r="S981" s="233"/>
      <c r="T981" s="233"/>
      <c r="U981" s="231"/>
    </row>
    <row r="982" spans="1:21" ht="13.2">
      <c r="A982" s="231"/>
      <c r="B982" s="232"/>
      <c r="C982" s="231"/>
      <c r="D982" s="231"/>
      <c r="E982" s="231"/>
      <c r="F982" s="231"/>
      <c r="G982" s="231"/>
      <c r="H982" s="233"/>
      <c r="I982" s="233"/>
      <c r="J982" s="233"/>
      <c r="K982" s="233"/>
      <c r="L982" s="233"/>
      <c r="M982" s="233"/>
      <c r="N982" s="233"/>
      <c r="O982" s="234"/>
      <c r="P982" s="234"/>
      <c r="Q982" s="233"/>
      <c r="R982" s="233"/>
      <c r="S982" s="233"/>
      <c r="T982" s="233"/>
      <c r="U982" s="231"/>
    </row>
    <row r="983" spans="1:21" ht="13.2">
      <c r="A983" s="231"/>
      <c r="B983" s="232"/>
      <c r="C983" s="231"/>
      <c r="D983" s="231"/>
      <c r="E983" s="231"/>
      <c r="F983" s="231"/>
      <c r="G983" s="231"/>
      <c r="H983" s="233"/>
      <c r="I983" s="233"/>
      <c r="J983" s="233"/>
      <c r="K983" s="233"/>
      <c r="L983" s="233"/>
      <c r="M983" s="233"/>
      <c r="N983" s="233"/>
      <c r="O983" s="234"/>
      <c r="P983" s="234"/>
      <c r="Q983" s="233"/>
      <c r="R983" s="233"/>
      <c r="S983" s="233"/>
      <c r="T983" s="233"/>
      <c r="U983" s="231"/>
    </row>
    <row r="984" spans="1:21" ht="13.2">
      <c r="A984" s="231"/>
      <c r="B984" s="232"/>
      <c r="C984" s="231"/>
      <c r="D984" s="231"/>
      <c r="E984" s="231"/>
      <c r="F984" s="231"/>
      <c r="G984" s="231"/>
      <c r="H984" s="233"/>
      <c r="I984" s="233"/>
      <c r="J984" s="233"/>
      <c r="K984" s="233"/>
      <c r="L984" s="233"/>
      <c r="M984" s="233"/>
      <c r="N984" s="233"/>
      <c r="O984" s="234"/>
      <c r="P984" s="234"/>
      <c r="Q984" s="233"/>
      <c r="R984" s="233"/>
      <c r="S984" s="233"/>
      <c r="T984" s="233"/>
      <c r="U984" s="231"/>
    </row>
    <row r="985" spans="1:21" ht="13.2">
      <c r="A985" s="231"/>
      <c r="B985" s="232"/>
      <c r="C985" s="231"/>
      <c r="D985" s="231"/>
      <c r="E985" s="231"/>
      <c r="F985" s="231"/>
      <c r="G985" s="231"/>
      <c r="H985" s="233"/>
      <c r="I985" s="233"/>
      <c r="J985" s="233"/>
      <c r="K985" s="233"/>
      <c r="L985" s="233"/>
      <c r="M985" s="233"/>
      <c r="N985" s="233"/>
      <c r="O985" s="234"/>
      <c r="P985" s="234"/>
      <c r="Q985" s="233"/>
      <c r="R985" s="233"/>
      <c r="S985" s="233"/>
      <c r="T985" s="233"/>
      <c r="U985" s="231"/>
    </row>
    <row r="986" spans="1:21" ht="13.2">
      <c r="A986" s="231"/>
      <c r="B986" s="232"/>
      <c r="C986" s="231"/>
      <c r="D986" s="231"/>
      <c r="E986" s="231"/>
      <c r="F986" s="231"/>
      <c r="G986" s="231"/>
      <c r="H986" s="233"/>
      <c r="I986" s="233"/>
      <c r="J986" s="233"/>
      <c r="K986" s="233"/>
      <c r="L986" s="233"/>
      <c r="M986" s="233"/>
      <c r="N986" s="233"/>
      <c r="O986" s="234"/>
      <c r="P986" s="234"/>
      <c r="Q986" s="233"/>
      <c r="R986" s="233"/>
      <c r="S986" s="233"/>
      <c r="T986" s="233"/>
      <c r="U986" s="231"/>
    </row>
    <row r="987" spans="1:21" ht="13.2">
      <c r="A987" s="231"/>
      <c r="B987" s="232"/>
      <c r="C987" s="231"/>
      <c r="D987" s="231"/>
      <c r="E987" s="231"/>
      <c r="F987" s="231"/>
      <c r="G987" s="231"/>
      <c r="H987" s="233"/>
      <c r="I987" s="233"/>
      <c r="J987" s="233"/>
      <c r="K987" s="233"/>
      <c r="L987" s="233"/>
      <c r="M987" s="233"/>
      <c r="N987" s="233"/>
      <c r="O987" s="234"/>
      <c r="P987" s="234"/>
      <c r="Q987" s="233"/>
      <c r="R987" s="233"/>
      <c r="S987" s="233"/>
      <c r="T987" s="233"/>
      <c r="U987" s="231"/>
    </row>
    <row r="988" spans="1:21" ht="13.2">
      <c r="A988" s="231"/>
      <c r="B988" s="232"/>
      <c r="C988" s="231"/>
      <c r="D988" s="231"/>
      <c r="E988" s="231"/>
      <c r="F988" s="231"/>
      <c r="G988" s="231"/>
      <c r="H988" s="233"/>
      <c r="I988" s="233"/>
      <c r="J988" s="233"/>
      <c r="K988" s="233"/>
      <c r="L988" s="233"/>
      <c r="M988" s="233"/>
      <c r="N988" s="233"/>
      <c r="O988" s="234"/>
      <c r="P988" s="234"/>
      <c r="Q988" s="233"/>
      <c r="R988" s="233"/>
      <c r="S988" s="233"/>
      <c r="T988" s="233"/>
      <c r="U988" s="231"/>
    </row>
    <row r="989" spans="1:21" ht="13.2">
      <c r="A989" s="231"/>
      <c r="B989" s="232"/>
      <c r="C989" s="231"/>
      <c r="D989" s="231"/>
      <c r="E989" s="231"/>
      <c r="F989" s="231"/>
      <c r="G989" s="231"/>
      <c r="H989" s="233"/>
      <c r="I989" s="233"/>
      <c r="J989" s="233"/>
      <c r="K989" s="233"/>
      <c r="L989" s="233"/>
      <c r="M989" s="233"/>
      <c r="N989" s="233"/>
      <c r="O989" s="234"/>
      <c r="P989" s="234"/>
      <c r="Q989" s="233"/>
      <c r="R989" s="233"/>
      <c r="S989" s="233"/>
      <c r="T989" s="233"/>
      <c r="U989" s="231"/>
    </row>
    <row r="990" spans="1:21" ht="13.2">
      <c r="A990" s="231"/>
      <c r="B990" s="232"/>
      <c r="C990" s="231"/>
      <c r="D990" s="231"/>
      <c r="E990" s="231"/>
      <c r="F990" s="231"/>
      <c r="G990" s="231"/>
      <c r="H990" s="233"/>
      <c r="I990" s="233"/>
      <c r="J990" s="233"/>
      <c r="K990" s="233"/>
      <c r="L990" s="233"/>
      <c r="M990" s="233"/>
      <c r="N990" s="233"/>
      <c r="O990" s="234"/>
      <c r="P990" s="234"/>
      <c r="Q990" s="233"/>
      <c r="R990" s="233"/>
      <c r="S990" s="233"/>
      <c r="T990" s="233"/>
      <c r="U990" s="231"/>
    </row>
    <row r="991" spans="1:21" ht="13.2">
      <c r="A991" s="231"/>
      <c r="B991" s="232"/>
      <c r="C991" s="231"/>
      <c r="D991" s="231"/>
      <c r="E991" s="231"/>
      <c r="F991" s="231"/>
      <c r="G991" s="231"/>
      <c r="H991" s="233"/>
      <c r="I991" s="233"/>
      <c r="J991" s="233"/>
      <c r="K991" s="233"/>
      <c r="L991" s="233"/>
      <c r="M991" s="233"/>
      <c r="N991" s="233"/>
      <c r="O991" s="234"/>
      <c r="P991" s="234"/>
      <c r="Q991" s="233"/>
      <c r="R991" s="233"/>
      <c r="S991" s="233"/>
      <c r="T991" s="233"/>
      <c r="U991" s="231"/>
    </row>
    <row r="992" spans="1:21" ht="13.2">
      <c r="A992" s="231"/>
      <c r="B992" s="232"/>
      <c r="C992" s="231"/>
      <c r="D992" s="231"/>
      <c r="E992" s="231"/>
      <c r="F992" s="231"/>
      <c r="G992" s="231"/>
      <c r="H992" s="233"/>
      <c r="I992" s="233"/>
      <c r="J992" s="233"/>
      <c r="K992" s="233"/>
      <c r="L992" s="233"/>
      <c r="M992" s="233"/>
      <c r="N992" s="233"/>
      <c r="O992" s="234"/>
      <c r="P992" s="234"/>
      <c r="Q992" s="233"/>
      <c r="R992" s="233"/>
      <c r="S992" s="233"/>
      <c r="T992" s="233"/>
      <c r="U992" s="231"/>
    </row>
    <row r="993" spans="1:21" ht="13.2">
      <c r="A993" s="231"/>
      <c r="B993" s="232"/>
      <c r="C993" s="231"/>
      <c r="D993" s="231"/>
      <c r="E993" s="231"/>
      <c r="F993" s="231"/>
      <c r="G993" s="231"/>
      <c r="H993" s="233"/>
      <c r="I993" s="233"/>
      <c r="J993" s="233"/>
      <c r="K993" s="233"/>
      <c r="L993" s="233"/>
      <c r="M993" s="233"/>
      <c r="N993" s="233"/>
      <c r="O993" s="234"/>
      <c r="P993" s="234"/>
      <c r="Q993" s="233"/>
      <c r="R993" s="233"/>
      <c r="S993" s="233"/>
      <c r="T993" s="233"/>
      <c r="U993" s="231"/>
    </row>
    <row r="994" spans="1:21" ht="13.2">
      <c r="A994" s="231"/>
      <c r="B994" s="232"/>
      <c r="C994" s="231"/>
      <c r="D994" s="231"/>
      <c r="E994" s="231"/>
      <c r="F994" s="231"/>
      <c r="G994" s="231"/>
      <c r="H994" s="233"/>
      <c r="I994" s="233"/>
      <c r="J994" s="233"/>
      <c r="K994" s="233"/>
      <c r="L994" s="233"/>
      <c r="M994" s="233"/>
      <c r="N994" s="233"/>
      <c r="O994" s="234"/>
      <c r="P994" s="234"/>
      <c r="Q994" s="233"/>
      <c r="R994" s="233"/>
      <c r="S994" s="233"/>
      <c r="T994" s="233"/>
      <c r="U994" s="231"/>
    </row>
    <row r="995" spans="1:21" ht="13.2">
      <c r="A995" s="231"/>
      <c r="B995" s="232"/>
      <c r="C995" s="231"/>
      <c r="D995" s="231"/>
      <c r="E995" s="231"/>
      <c r="F995" s="231"/>
      <c r="G995" s="231"/>
      <c r="H995" s="233"/>
      <c r="I995" s="233"/>
      <c r="J995" s="233"/>
      <c r="K995" s="233"/>
      <c r="L995" s="233"/>
      <c r="M995" s="233"/>
      <c r="N995" s="233"/>
      <c r="O995" s="234"/>
      <c r="P995" s="234"/>
      <c r="Q995" s="233"/>
      <c r="R995" s="233"/>
      <c r="S995" s="233"/>
      <c r="T995" s="233"/>
      <c r="U995" s="231"/>
    </row>
    <row r="996" spans="1:21" ht="13.2">
      <c r="A996" s="231"/>
      <c r="B996" s="232"/>
      <c r="C996" s="231"/>
      <c r="D996" s="231"/>
      <c r="E996" s="231"/>
      <c r="F996" s="231"/>
      <c r="G996" s="231"/>
      <c r="H996" s="233"/>
      <c r="I996" s="233"/>
      <c r="J996" s="233"/>
      <c r="K996" s="233"/>
      <c r="L996" s="233"/>
      <c r="M996" s="233"/>
      <c r="N996" s="233"/>
      <c r="O996" s="234"/>
      <c r="P996" s="234"/>
      <c r="Q996" s="233"/>
      <c r="R996" s="233"/>
      <c r="S996" s="233"/>
      <c r="T996" s="233"/>
      <c r="U996" s="231"/>
    </row>
    <row r="997" spans="1:21" ht="13.2">
      <c r="A997" s="231"/>
      <c r="B997" s="232"/>
      <c r="C997" s="231"/>
      <c r="D997" s="231"/>
      <c r="E997" s="231"/>
      <c r="F997" s="231"/>
      <c r="G997" s="231"/>
      <c r="H997" s="233"/>
      <c r="I997" s="233"/>
      <c r="J997" s="233"/>
      <c r="K997" s="233"/>
      <c r="L997" s="233"/>
      <c r="M997" s="233"/>
      <c r="N997" s="233"/>
      <c r="O997" s="234"/>
      <c r="P997" s="234"/>
      <c r="Q997" s="233"/>
      <c r="R997" s="233"/>
      <c r="S997" s="233"/>
      <c r="T997" s="233"/>
      <c r="U997" s="231"/>
    </row>
    <row r="998" spans="1:21" ht="13.2">
      <c r="A998" s="231"/>
      <c r="B998" s="232"/>
      <c r="C998" s="231"/>
      <c r="D998" s="231"/>
      <c r="E998" s="231"/>
      <c r="F998" s="231"/>
      <c r="G998" s="231"/>
      <c r="H998" s="233"/>
      <c r="I998" s="233"/>
      <c r="J998" s="233"/>
      <c r="K998" s="233"/>
      <c r="L998" s="233"/>
      <c r="M998" s="233"/>
      <c r="N998" s="233"/>
      <c r="O998" s="234"/>
      <c r="P998" s="234"/>
      <c r="Q998" s="233"/>
      <c r="R998" s="233"/>
      <c r="S998" s="233"/>
      <c r="T998" s="233"/>
      <c r="U998" s="231"/>
    </row>
    <row r="999" spans="1:21" ht="13.2">
      <c r="A999" s="231"/>
      <c r="B999" s="232"/>
      <c r="C999" s="231"/>
      <c r="D999" s="231"/>
      <c r="E999" s="231"/>
      <c r="F999" s="231"/>
      <c r="G999" s="231"/>
      <c r="H999" s="233"/>
      <c r="I999" s="233"/>
      <c r="J999" s="233"/>
      <c r="K999" s="233"/>
      <c r="L999" s="233"/>
      <c r="M999" s="233"/>
      <c r="N999" s="233"/>
      <c r="O999" s="234"/>
      <c r="P999" s="234"/>
      <c r="Q999" s="233"/>
      <c r="R999" s="233"/>
      <c r="S999" s="233"/>
      <c r="T999" s="233"/>
      <c r="U999" s="231"/>
    </row>
    <row r="1000" spans="1:21" ht="13.2">
      <c r="A1000" s="231"/>
      <c r="B1000" s="232"/>
      <c r="C1000" s="231"/>
      <c r="D1000" s="231"/>
      <c r="E1000" s="231"/>
      <c r="F1000" s="231"/>
      <c r="G1000" s="231"/>
      <c r="H1000" s="233"/>
      <c r="I1000" s="233"/>
      <c r="J1000" s="233"/>
      <c r="K1000" s="233"/>
      <c r="L1000" s="233"/>
      <c r="M1000" s="233"/>
      <c r="N1000" s="233"/>
      <c r="O1000" s="234"/>
      <c r="P1000" s="234"/>
      <c r="Q1000" s="233"/>
      <c r="R1000" s="233"/>
      <c r="S1000" s="233"/>
      <c r="T1000" s="233"/>
      <c r="U1000" s="231"/>
    </row>
    <row r="1001" spans="1:21" ht="13.2">
      <c r="A1001" s="231"/>
      <c r="B1001" s="232"/>
      <c r="C1001" s="231"/>
      <c r="D1001" s="231"/>
      <c r="E1001" s="231"/>
      <c r="F1001" s="231"/>
      <c r="G1001" s="231"/>
      <c r="H1001" s="233"/>
      <c r="I1001" s="233"/>
      <c r="J1001" s="233"/>
      <c r="K1001" s="233"/>
      <c r="L1001" s="233"/>
      <c r="M1001" s="233"/>
      <c r="N1001" s="233"/>
      <c r="O1001" s="234"/>
      <c r="P1001" s="234"/>
      <c r="Q1001" s="233"/>
      <c r="R1001" s="233"/>
      <c r="S1001" s="233"/>
      <c r="T1001" s="233"/>
      <c r="U1001" s="231"/>
    </row>
    <row r="1002" spans="1:21" ht="13.2">
      <c r="A1002" s="231"/>
      <c r="B1002" s="232"/>
      <c r="C1002" s="231"/>
      <c r="D1002" s="231"/>
      <c r="E1002" s="231"/>
      <c r="F1002" s="231"/>
      <c r="G1002" s="231"/>
      <c r="H1002" s="233"/>
      <c r="I1002" s="233"/>
      <c r="J1002" s="233"/>
      <c r="K1002" s="233"/>
      <c r="L1002" s="233"/>
      <c r="M1002" s="233"/>
      <c r="N1002" s="233"/>
      <c r="O1002" s="234"/>
      <c r="P1002" s="234"/>
      <c r="Q1002" s="233"/>
      <c r="R1002" s="233"/>
      <c r="S1002" s="233"/>
      <c r="T1002" s="233"/>
      <c r="U1002" s="231"/>
    </row>
    <row r="1003" spans="1:21" ht="13.2">
      <c r="A1003" s="231"/>
      <c r="B1003" s="232"/>
      <c r="C1003" s="231"/>
      <c r="D1003" s="231"/>
      <c r="E1003" s="231"/>
      <c r="F1003" s="231"/>
      <c r="G1003" s="231"/>
      <c r="H1003" s="233"/>
      <c r="I1003" s="233"/>
      <c r="J1003" s="233"/>
      <c r="K1003" s="233"/>
      <c r="L1003" s="233"/>
      <c r="M1003" s="233"/>
      <c r="N1003" s="233"/>
      <c r="O1003" s="234"/>
      <c r="P1003" s="234"/>
      <c r="Q1003" s="233"/>
      <c r="R1003" s="233"/>
      <c r="S1003" s="233"/>
      <c r="T1003" s="233"/>
      <c r="U1003" s="231"/>
    </row>
    <row r="1004" spans="1:21" ht="13.2">
      <c r="A1004" s="231"/>
      <c r="B1004" s="232"/>
      <c r="C1004" s="231"/>
      <c r="D1004" s="231"/>
      <c r="E1004" s="231"/>
      <c r="F1004" s="231"/>
      <c r="G1004" s="231"/>
      <c r="H1004" s="233"/>
      <c r="I1004" s="233"/>
      <c r="J1004" s="233"/>
      <c r="K1004" s="233"/>
      <c r="L1004" s="233"/>
      <c r="M1004" s="233"/>
      <c r="N1004" s="233"/>
      <c r="O1004" s="234"/>
      <c r="P1004" s="234"/>
      <c r="Q1004" s="233"/>
      <c r="R1004" s="233"/>
      <c r="S1004" s="233"/>
      <c r="T1004" s="233"/>
      <c r="U1004" s="231"/>
    </row>
    <row r="1005" spans="1:21" ht="13.2">
      <c r="A1005" s="231"/>
      <c r="B1005" s="232"/>
      <c r="C1005" s="231"/>
      <c r="D1005" s="231"/>
      <c r="E1005" s="231"/>
      <c r="F1005" s="231"/>
      <c r="G1005" s="231"/>
      <c r="H1005" s="233"/>
      <c r="I1005" s="233"/>
      <c r="J1005" s="233"/>
      <c r="K1005" s="233"/>
      <c r="L1005" s="233"/>
      <c r="M1005" s="233"/>
      <c r="N1005" s="233"/>
      <c r="O1005" s="234"/>
      <c r="P1005" s="234"/>
      <c r="Q1005" s="233"/>
      <c r="R1005" s="233"/>
      <c r="S1005" s="233"/>
      <c r="T1005" s="233"/>
      <c r="U1005" s="231"/>
    </row>
    <row r="1006" spans="1:21" ht="13.2">
      <c r="A1006" s="231"/>
      <c r="B1006" s="232"/>
      <c r="C1006" s="231"/>
      <c r="D1006" s="231"/>
      <c r="E1006" s="231"/>
      <c r="F1006" s="231"/>
      <c r="G1006" s="231"/>
      <c r="H1006" s="233"/>
      <c r="I1006" s="233"/>
      <c r="J1006" s="233"/>
      <c r="K1006" s="233"/>
      <c r="L1006" s="233"/>
      <c r="M1006" s="233"/>
      <c r="N1006" s="233"/>
      <c r="O1006" s="234"/>
      <c r="P1006" s="234"/>
      <c r="Q1006" s="233"/>
      <c r="R1006" s="233"/>
      <c r="S1006" s="233"/>
      <c r="T1006" s="233"/>
      <c r="U1006" s="231"/>
    </row>
    <row r="1007" spans="1:21" ht="13.2">
      <c r="A1007" s="231"/>
      <c r="B1007" s="232"/>
      <c r="C1007" s="231"/>
      <c r="D1007" s="231"/>
      <c r="E1007" s="231"/>
      <c r="F1007" s="231"/>
      <c r="G1007" s="231"/>
      <c r="H1007" s="233"/>
      <c r="I1007" s="233"/>
      <c r="J1007" s="233"/>
      <c r="K1007" s="233"/>
      <c r="L1007" s="233"/>
      <c r="M1007" s="233"/>
      <c r="N1007" s="233"/>
      <c r="O1007" s="234"/>
      <c r="P1007" s="234"/>
      <c r="Q1007" s="233"/>
      <c r="R1007" s="233"/>
      <c r="S1007" s="233"/>
      <c r="T1007" s="233"/>
      <c r="U1007" s="231"/>
    </row>
    <row r="1008" spans="1:21" ht="13.2">
      <c r="A1008" s="231"/>
      <c r="B1008" s="232"/>
      <c r="C1008" s="231"/>
      <c r="D1008" s="231"/>
      <c r="E1008" s="231"/>
      <c r="F1008" s="231"/>
      <c r="G1008" s="231"/>
      <c r="H1008" s="233"/>
      <c r="I1008" s="233"/>
      <c r="J1008" s="233"/>
      <c r="K1008" s="233"/>
      <c r="L1008" s="233"/>
      <c r="M1008" s="233"/>
      <c r="N1008" s="233"/>
      <c r="O1008" s="234"/>
      <c r="P1008" s="234"/>
      <c r="Q1008" s="233"/>
      <c r="R1008" s="233"/>
      <c r="S1008" s="233"/>
      <c r="T1008" s="233"/>
      <c r="U1008" s="231"/>
    </row>
    <row r="1009" spans="1:21" ht="13.2">
      <c r="A1009" s="231"/>
      <c r="B1009" s="232"/>
      <c r="C1009" s="231"/>
      <c r="D1009" s="231"/>
      <c r="E1009" s="231"/>
      <c r="F1009" s="231"/>
      <c r="G1009" s="231"/>
      <c r="H1009" s="233"/>
      <c r="I1009" s="233"/>
      <c r="J1009" s="233"/>
      <c r="K1009" s="233"/>
      <c r="L1009" s="233"/>
      <c r="M1009" s="233"/>
      <c r="N1009" s="233"/>
      <c r="O1009" s="234"/>
      <c r="P1009" s="234"/>
      <c r="Q1009" s="233"/>
      <c r="R1009" s="233"/>
      <c r="S1009" s="233"/>
      <c r="T1009" s="233"/>
      <c r="U1009" s="231"/>
    </row>
    <row r="1010" spans="1:21" ht="13.2">
      <c r="A1010" s="231"/>
      <c r="B1010" s="232"/>
      <c r="C1010" s="231"/>
      <c r="D1010" s="231"/>
      <c r="E1010" s="231"/>
      <c r="F1010" s="231"/>
      <c r="G1010" s="231"/>
      <c r="H1010" s="233"/>
      <c r="I1010" s="233"/>
      <c r="J1010" s="233"/>
      <c r="K1010" s="233"/>
      <c r="L1010" s="233"/>
      <c r="M1010" s="233"/>
      <c r="N1010" s="233"/>
      <c r="O1010" s="234"/>
      <c r="P1010" s="234"/>
      <c r="Q1010" s="233"/>
      <c r="R1010" s="233"/>
      <c r="S1010" s="233"/>
      <c r="T1010" s="233"/>
      <c r="U1010" s="231"/>
    </row>
    <row r="1011" spans="1:21" ht="13.2">
      <c r="A1011" s="231"/>
      <c r="B1011" s="232"/>
      <c r="C1011" s="231"/>
      <c r="D1011" s="231"/>
      <c r="E1011" s="231"/>
      <c r="F1011" s="231"/>
      <c r="G1011" s="231"/>
      <c r="H1011" s="233"/>
      <c r="I1011" s="233"/>
      <c r="J1011" s="233"/>
      <c r="K1011" s="233"/>
      <c r="L1011" s="233"/>
      <c r="M1011" s="233"/>
      <c r="N1011" s="233"/>
      <c r="O1011" s="234"/>
      <c r="P1011" s="234"/>
      <c r="Q1011" s="233"/>
      <c r="R1011" s="233"/>
      <c r="S1011" s="233"/>
      <c r="T1011" s="233"/>
      <c r="U1011" s="231"/>
    </row>
    <row r="1012" spans="1:21" ht="13.2">
      <c r="A1012" s="231"/>
      <c r="B1012" s="232"/>
      <c r="C1012" s="231"/>
      <c r="D1012" s="231"/>
      <c r="E1012" s="231"/>
      <c r="F1012" s="231"/>
      <c r="G1012" s="231"/>
      <c r="H1012" s="233"/>
      <c r="I1012" s="233"/>
      <c r="J1012" s="233"/>
      <c r="K1012" s="233"/>
      <c r="L1012" s="233"/>
      <c r="M1012" s="233"/>
      <c r="N1012" s="233"/>
      <c r="O1012" s="234"/>
      <c r="P1012" s="234"/>
      <c r="Q1012" s="233"/>
      <c r="R1012" s="233"/>
      <c r="S1012" s="233"/>
      <c r="T1012" s="233"/>
      <c r="U1012" s="231"/>
    </row>
    <row r="1013" spans="1:21" ht="13.2">
      <c r="A1013" s="231"/>
      <c r="B1013" s="232"/>
      <c r="C1013" s="231"/>
      <c r="D1013" s="231"/>
      <c r="E1013" s="231"/>
      <c r="F1013" s="231"/>
      <c r="G1013" s="231"/>
      <c r="H1013" s="233"/>
      <c r="I1013" s="233"/>
      <c r="J1013" s="233"/>
      <c r="K1013" s="233"/>
      <c r="L1013" s="233"/>
      <c r="M1013" s="233"/>
      <c r="N1013" s="233"/>
      <c r="O1013" s="234"/>
      <c r="P1013" s="234"/>
      <c r="Q1013" s="233"/>
      <c r="R1013" s="233"/>
      <c r="S1013" s="233"/>
      <c r="T1013" s="233"/>
      <c r="U1013" s="231"/>
    </row>
    <row r="1014" spans="1:21" ht="13.2">
      <c r="A1014" s="231"/>
      <c r="B1014" s="232"/>
      <c r="C1014" s="231"/>
      <c r="D1014" s="231"/>
      <c r="E1014" s="231"/>
      <c r="F1014" s="231"/>
      <c r="G1014" s="231"/>
      <c r="H1014" s="233"/>
      <c r="I1014" s="233"/>
      <c r="J1014" s="233"/>
      <c r="K1014" s="233"/>
      <c r="L1014" s="233"/>
      <c r="M1014" s="233"/>
      <c r="N1014" s="233"/>
      <c r="O1014" s="234"/>
      <c r="P1014" s="234"/>
      <c r="Q1014" s="233"/>
      <c r="R1014" s="233"/>
      <c r="S1014" s="233"/>
      <c r="T1014" s="233"/>
      <c r="U1014" s="231"/>
    </row>
    <row r="1015" spans="1:21" ht="13.2">
      <c r="A1015" s="231"/>
      <c r="B1015" s="232"/>
      <c r="C1015" s="231"/>
      <c r="D1015" s="231"/>
      <c r="E1015" s="231"/>
      <c r="F1015" s="231"/>
      <c r="G1015" s="231"/>
      <c r="H1015" s="233"/>
      <c r="I1015" s="233"/>
      <c r="J1015" s="233"/>
      <c r="K1015" s="233"/>
      <c r="L1015" s="233"/>
      <c r="M1015" s="233"/>
      <c r="N1015" s="233"/>
      <c r="O1015" s="234"/>
      <c r="P1015" s="234"/>
      <c r="Q1015" s="233"/>
      <c r="R1015" s="233"/>
      <c r="S1015" s="233"/>
      <c r="T1015" s="233"/>
      <c r="U1015" s="231"/>
    </row>
    <row r="1016" spans="1:21" ht="13.2">
      <c r="A1016" s="231"/>
      <c r="B1016" s="232"/>
      <c r="C1016" s="231"/>
      <c r="D1016" s="231"/>
      <c r="E1016" s="231"/>
      <c r="F1016" s="231"/>
      <c r="G1016" s="231"/>
      <c r="H1016" s="233"/>
      <c r="I1016" s="233"/>
      <c r="J1016" s="233"/>
      <c r="K1016" s="233"/>
      <c r="L1016" s="233"/>
      <c r="M1016" s="233"/>
      <c r="N1016" s="233"/>
      <c r="O1016" s="234"/>
      <c r="P1016" s="234"/>
      <c r="Q1016" s="233"/>
      <c r="R1016" s="233"/>
      <c r="S1016" s="233"/>
      <c r="T1016" s="233"/>
      <c r="U1016" s="231"/>
    </row>
    <row r="1017" spans="1:21" ht="13.2">
      <c r="A1017" s="231"/>
      <c r="B1017" s="232"/>
      <c r="C1017" s="231"/>
      <c r="D1017" s="231"/>
      <c r="E1017" s="231"/>
      <c r="F1017" s="231"/>
      <c r="G1017" s="231"/>
      <c r="H1017" s="233"/>
      <c r="I1017" s="233"/>
      <c r="J1017" s="233"/>
      <c r="K1017" s="233"/>
      <c r="L1017" s="233"/>
      <c r="M1017" s="233"/>
      <c r="N1017" s="233"/>
      <c r="O1017" s="234"/>
      <c r="P1017" s="234"/>
      <c r="Q1017" s="233"/>
      <c r="R1017" s="233"/>
      <c r="S1017" s="233"/>
      <c r="T1017" s="233"/>
      <c r="U1017" s="231"/>
    </row>
    <row r="1018" spans="1:21" ht="13.2">
      <c r="A1018" s="231"/>
      <c r="B1018" s="232"/>
      <c r="C1018" s="231"/>
      <c r="D1018" s="231"/>
      <c r="E1018" s="231"/>
      <c r="F1018" s="231"/>
      <c r="G1018" s="231"/>
      <c r="H1018" s="233"/>
      <c r="I1018" s="233"/>
      <c r="J1018" s="233"/>
      <c r="K1018" s="233"/>
      <c r="L1018" s="233"/>
      <c r="M1018" s="233"/>
      <c r="N1018" s="233"/>
      <c r="O1018" s="234"/>
      <c r="P1018" s="234"/>
      <c r="Q1018" s="233"/>
      <c r="R1018" s="233"/>
      <c r="S1018" s="233"/>
      <c r="T1018" s="233"/>
      <c r="U1018" s="231"/>
    </row>
    <row r="1019" spans="1:21" ht="13.2">
      <c r="A1019" s="231"/>
      <c r="B1019" s="232"/>
      <c r="C1019" s="231"/>
      <c r="D1019" s="231"/>
      <c r="E1019" s="231"/>
      <c r="F1019" s="231"/>
      <c r="G1019" s="231"/>
      <c r="H1019" s="233"/>
      <c r="I1019" s="233"/>
      <c r="J1019" s="233"/>
      <c r="K1019" s="233"/>
      <c r="L1019" s="233"/>
      <c r="M1019" s="233"/>
      <c r="N1019" s="233"/>
      <c r="O1019" s="234"/>
      <c r="P1019" s="234"/>
      <c r="Q1019" s="233"/>
      <c r="R1019" s="233"/>
      <c r="S1019" s="233"/>
      <c r="T1019" s="233"/>
      <c r="U1019" s="231"/>
    </row>
    <row r="1020" spans="1:21" ht="13.2">
      <c r="A1020" s="231"/>
      <c r="B1020" s="232"/>
      <c r="C1020" s="231"/>
      <c r="D1020" s="231"/>
      <c r="E1020" s="231"/>
      <c r="F1020" s="231"/>
      <c r="G1020" s="231"/>
      <c r="H1020" s="233"/>
      <c r="I1020" s="233"/>
      <c r="J1020" s="233"/>
      <c r="K1020" s="233"/>
      <c r="L1020" s="233"/>
      <c r="M1020" s="233"/>
      <c r="N1020" s="233"/>
      <c r="O1020" s="234"/>
      <c r="P1020" s="234"/>
      <c r="Q1020" s="233"/>
      <c r="R1020" s="233"/>
      <c r="S1020" s="233"/>
      <c r="T1020" s="233"/>
      <c r="U1020" s="231"/>
    </row>
    <row r="1021" spans="1:21" ht="13.2">
      <c r="A1021" s="231"/>
      <c r="B1021" s="232"/>
      <c r="C1021" s="231"/>
      <c r="D1021" s="231"/>
      <c r="E1021" s="231"/>
      <c r="F1021" s="231"/>
      <c r="G1021" s="231"/>
      <c r="H1021" s="233"/>
      <c r="I1021" s="233"/>
      <c r="J1021" s="233"/>
      <c r="K1021" s="233"/>
      <c r="L1021" s="233"/>
      <c r="M1021" s="233"/>
      <c r="N1021" s="233"/>
      <c r="O1021" s="234"/>
      <c r="P1021" s="234"/>
      <c r="Q1021" s="233"/>
      <c r="R1021" s="233"/>
      <c r="S1021" s="233"/>
      <c r="T1021" s="233"/>
      <c r="U1021" s="231"/>
    </row>
    <row r="1022" spans="1:21" ht="13.2">
      <c r="A1022" s="231"/>
      <c r="B1022" s="232"/>
      <c r="C1022" s="231"/>
      <c r="D1022" s="231"/>
      <c r="E1022" s="231"/>
      <c r="F1022" s="231"/>
      <c r="G1022" s="231"/>
      <c r="H1022" s="233"/>
      <c r="I1022" s="233"/>
      <c r="J1022" s="233"/>
      <c r="K1022" s="233"/>
      <c r="L1022" s="233"/>
      <c r="M1022" s="233"/>
      <c r="N1022" s="233"/>
      <c r="O1022" s="234"/>
      <c r="P1022" s="234"/>
      <c r="Q1022" s="233"/>
      <c r="R1022" s="233"/>
      <c r="S1022" s="233"/>
      <c r="T1022" s="233"/>
      <c r="U1022" s="231"/>
    </row>
    <row r="1023" spans="1:21" ht="13.2">
      <c r="A1023" s="231"/>
      <c r="B1023" s="232"/>
      <c r="C1023" s="231"/>
      <c r="D1023" s="231"/>
      <c r="E1023" s="231"/>
      <c r="F1023" s="231"/>
      <c r="G1023" s="231"/>
      <c r="H1023" s="233"/>
      <c r="I1023" s="233"/>
      <c r="J1023" s="233"/>
      <c r="K1023" s="233"/>
      <c r="L1023" s="233"/>
      <c r="M1023" s="233"/>
      <c r="N1023" s="233"/>
      <c r="O1023" s="234"/>
      <c r="P1023" s="234"/>
      <c r="Q1023" s="233"/>
      <c r="R1023" s="233"/>
      <c r="S1023" s="233"/>
      <c r="T1023" s="233"/>
      <c r="U1023" s="231"/>
    </row>
    <row r="1024" spans="1:21" ht="13.2">
      <c r="A1024" s="231"/>
      <c r="B1024" s="232"/>
      <c r="C1024" s="231"/>
      <c r="D1024" s="231"/>
      <c r="E1024" s="231"/>
      <c r="F1024" s="231"/>
      <c r="G1024" s="231"/>
      <c r="H1024" s="233"/>
      <c r="I1024" s="233"/>
      <c r="J1024" s="233"/>
      <c r="K1024" s="233"/>
      <c r="L1024" s="233"/>
      <c r="M1024" s="233"/>
      <c r="N1024" s="233"/>
      <c r="O1024" s="234"/>
      <c r="P1024" s="234"/>
      <c r="Q1024" s="233"/>
      <c r="R1024" s="233"/>
      <c r="S1024" s="233"/>
      <c r="T1024" s="233"/>
      <c r="U1024" s="231"/>
    </row>
    <row r="1025" spans="1:21" ht="13.2">
      <c r="A1025" s="231"/>
      <c r="B1025" s="232"/>
      <c r="C1025" s="231"/>
      <c r="D1025" s="231"/>
      <c r="E1025" s="231"/>
      <c r="F1025" s="231"/>
      <c r="G1025" s="231"/>
      <c r="H1025" s="233"/>
      <c r="I1025" s="233"/>
      <c r="J1025" s="233"/>
      <c r="K1025" s="233"/>
      <c r="L1025" s="233"/>
      <c r="M1025" s="233"/>
      <c r="N1025" s="233"/>
      <c r="O1025" s="234"/>
      <c r="P1025" s="234"/>
      <c r="Q1025" s="233"/>
      <c r="R1025" s="233"/>
      <c r="S1025" s="233"/>
      <c r="T1025" s="233"/>
      <c r="U1025" s="231"/>
    </row>
    <row r="1026" spans="1:21" ht="13.2">
      <c r="A1026" s="231"/>
      <c r="B1026" s="232"/>
      <c r="C1026" s="231"/>
      <c r="D1026" s="231"/>
      <c r="E1026" s="231"/>
      <c r="F1026" s="231"/>
      <c r="G1026" s="231"/>
      <c r="H1026" s="233"/>
      <c r="I1026" s="233"/>
      <c r="J1026" s="233"/>
      <c r="K1026" s="233"/>
      <c r="L1026" s="233"/>
      <c r="M1026" s="233"/>
      <c r="N1026" s="233"/>
      <c r="O1026" s="234"/>
      <c r="P1026" s="234"/>
      <c r="Q1026" s="233"/>
      <c r="R1026" s="233"/>
      <c r="S1026" s="233"/>
      <c r="T1026" s="233"/>
      <c r="U1026" s="231"/>
    </row>
    <row r="1027" spans="1:21" ht="13.2">
      <c r="A1027" s="231"/>
      <c r="B1027" s="232"/>
      <c r="C1027" s="231"/>
      <c r="D1027" s="231"/>
      <c r="E1027" s="231"/>
      <c r="F1027" s="231"/>
      <c r="G1027" s="231"/>
      <c r="H1027" s="233"/>
      <c r="I1027" s="233"/>
      <c r="J1027" s="233"/>
      <c r="K1027" s="233"/>
      <c r="L1027" s="233"/>
      <c r="M1027" s="233"/>
      <c r="N1027" s="233"/>
      <c r="O1027" s="234"/>
      <c r="P1027" s="234"/>
      <c r="Q1027" s="233"/>
      <c r="R1027" s="233"/>
      <c r="S1027" s="233"/>
      <c r="T1027" s="233"/>
      <c r="U1027" s="231"/>
    </row>
    <row r="1028" spans="1:21" ht="13.2">
      <c r="A1028" s="231"/>
      <c r="B1028" s="232"/>
      <c r="C1028" s="231"/>
      <c r="D1028" s="231"/>
      <c r="E1028" s="231"/>
      <c r="F1028" s="231"/>
      <c r="G1028" s="231"/>
      <c r="H1028" s="233"/>
      <c r="I1028" s="233"/>
      <c r="J1028" s="233"/>
      <c r="K1028" s="233"/>
      <c r="L1028" s="233"/>
      <c r="M1028" s="233"/>
      <c r="N1028" s="233"/>
      <c r="O1028" s="234"/>
      <c r="P1028" s="234"/>
      <c r="Q1028" s="233"/>
      <c r="R1028" s="233"/>
      <c r="S1028" s="233"/>
      <c r="T1028" s="233"/>
      <c r="U1028" s="231"/>
    </row>
    <row r="1029" spans="1:21" ht="13.2">
      <c r="A1029" s="231"/>
      <c r="B1029" s="232"/>
      <c r="C1029" s="231"/>
      <c r="D1029" s="231"/>
      <c r="E1029" s="231"/>
      <c r="F1029" s="231"/>
      <c r="G1029" s="231"/>
      <c r="H1029" s="233"/>
      <c r="I1029" s="233"/>
      <c r="J1029" s="233"/>
      <c r="K1029" s="233"/>
      <c r="L1029" s="233"/>
      <c r="M1029" s="233"/>
      <c r="N1029" s="233"/>
      <c r="O1029" s="234"/>
      <c r="P1029" s="234"/>
      <c r="Q1029" s="233"/>
      <c r="R1029" s="233"/>
      <c r="S1029" s="233"/>
      <c r="T1029" s="233"/>
      <c r="U1029" s="231"/>
    </row>
    <row r="1030" spans="1:21" ht="13.2">
      <c r="A1030" s="231"/>
      <c r="B1030" s="232"/>
      <c r="C1030" s="231"/>
      <c r="D1030" s="231"/>
      <c r="E1030" s="231"/>
      <c r="F1030" s="231"/>
      <c r="G1030" s="231"/>
      <c r="H1030" s="233"/>
      <c r="I1030" s="233"/>
      <c r="J1030" s="233"/>
      <c r="K1030" s="233"/>
      <c r="L1030" s="233"/>
      <c r="M1030" s="233"/>
      <c r="N1030" s="233"/>
      <c r="O1030" s="234"/>
      <c r="P1030" s="234"/>
      <c r="Q1030" s="233"/>
      <c r="R1030" s="233"/>
      <c r="S1030" s="233"/>
      <c r="T1030" s="233"/>
      <c r="U1030" s="231"/>
    </row>
    <row r="1031" spans="1:21" ht="13.2">
      <c r="A1031" s="231"/>
      <c r="B1031" s="232"/>
      <c r="C1031" s="231"/>
      <c r="D1031" s="231"/>
      <c r="E1031" s="231"/>
      <c r="F1031" s="231"/>
      <c r="G1031" s="231"/>
      <c r="H1031" s="233"/>
      <c r="I1031" s="233"/>
      <c r="J1031" s="233"/>
      <c r="K1031" s="233"/>
      <c r="L1031" s="233"/>
      <c r="M1031" s="233"/>
      <c r="N1031" s="233"/>
      <c r="O1031" s="234"/>
      <c r="P1031" s="234"/>
      <c r="Q1031" s="233"/>
      <c r="R1031" s="233"/>
      <c r="S1031" s="233"/>
      <c r="T1031" s="233"/>
      <c r="U1031" s="231"/>
    </row>
    <row r="1032" spans="1:21" ht="13.2">
      <c r="A1032" s="231"/>
      <c r="B1032" s="232"/>
      <c r="C1032" s="231"/>
      <c r="D1032" s="231"/>
      <c r="E1032" s="231"/>
      <c r="F1032" s="231"/>
      <c r="G1032" s="231"/>
      <c r="H1032" s="233"/>
      <c r="I1032" s="233"/>
      <c r="J1032" s="233"/>
      <c r="K1032" s="233"/>
      <c r="L1032" s="233"/>
      <c r="M1032" s="233"/>
      <c r="N1032" s="233"/>
      <c r="O1032" s="234"/>
      <c r="P1032" s="234"/>
      <c r="Q1032" s="233"/>
      <c r="R1032" s="233"/>
      <c r="S1032" s="233"/>
      <c r="T1032" s="233"/>
      <c r="U1032" s="231"/>
    </row>
    <row r="1033" spans="1:21" ht="13.2">
      <c r="A1033" s="231"/>
      <c r="B1033" s="232"/>
      <c r="C1033" s="231"/>
      <c r="D1033" s="231"/>
      <c r="E1033" s="231"/>
      <c r="F1033" s="231"/>
      <c r="G1033" s="231"/>
      <c r="H1033" s="233"/>
      <c r="I1033" s="233"/>
      <c r="J1033" s="233"/>
      <c r="K1033" s="233"/>
      <c r="L1033" s="233"/>
      <c r="M1033" s="233"/>
      <c r="N1033" s="233"/>
      <c r="O1033" s="234"/>
      <c r="P1033" s="234"/>
      <c r="Q1033" s="233"/>
      <c r="R1033" s="233"/>
      <c r="S1033" s="233"/>
      <c r="T1033" s="233"/>
      <c r="U1033" s="231"/>
    </row>
    <row r="1034" spans="1:21" ht="13.2">
      <c r="A1034" s="231"/>
      <c r="B1034" s="232"/>
      <c r="C1034" s="231"/>
      <c r="D1034" s="231"/>
      <c r="E1034" s="231"/>
      <c r="F1034" s="231"/>
      <c r="G1034" s="231"/>
      <c r="H1034" s="233"/>
      <c r="I1034" s="233"/>
      <c r="J1034" s="233"/>
      <c r="K1034" s="233"/>
      <c r="L1034" s="233"/>
      <c r="M1034" s="233"/>
      <c r="N1034" s="233"/>
      <c r="O1034" s="234"/>
      <c r="P1034" s="234"/>
      <c r="Q1034" s="233"/>
      <c r="R1034" s="233"/>
      <c r="S1034" s="233"/>
      <c r="T1034" s="233"/>
      <c r="U1034" s="231"/>
    </row>
    <row r="1035" spans="1:21" ht="13.2">
      <c r="A1035" s="231"/>
      <c r="B1035" s="232"/>
      <c r="C1035" s="231"/>
      <c r="D1035" s="231"/>
      <c r="E1035" s="231"/>
      <c r="F1035" s="231"/>
      <c r="G1035" s="231"/>
      <c r="H1035" s="233"/>
      <c r="I1035" s="233"/>
      <c r="J1035" s="233"/>
      <c r="K1035" s="233"/>
      <c r="L1035" s="233"/>
      <c r="M1035" s="233"/>
      <c r="N1035" s="233"/>
      <c r="O1035" s="234"/>
      <c r="P1035" s="234"/>
      <c r="Q1035" s="233"/>
      <c r="R1035" s="233"/>
      <c r="S1035" s="233"/>
      <c r="T1035" s="233"/>
      <c r="U1035" s="231"/>
    </row>
    <row r="1036" spans="1:21" ht="13.2">
      <c r="A1036" s="231"/>
      <c r="B1036" s="232"/>
      <c r="C1036" s="231"/>
      <c r="D1036" s="231"/>
      <c r="E1036" s="231"/>
      <c r="F1036" s="231"/>
      <c r="G1036" s="231"/>
      <c r="H1036" s="233"/>
      <c r="I1036" s="233"/>
      <c r="J1036" s="233"/>
      <c r="K1036" s="233"/>
      <c r="L1036" s="233"/>
      <c r="M1036" s="233"/>
      <c r="N1036" s="233"/>
      <c r="O1036" s="234"/>
      <c r="P1036" s="234"/>
      <c r="Q1036" s="233"/>
      <c r="R1036" s="233"/>
      <c r="S1036" s="233"/>
      <c r="T1036" s="233"/>
      <c r="U1036" s="231"/>
    </row>
    <row r="1037" spans="1:21" ht="13.2">
      <c r="A1037" s="231"/>
      <c r="B1037" s="232"/>
      <c r="C1037" s="231"/>
      <c r="D1037" s="231"/>
      <c r="E1037" s="231"/>
      <c r="F1037" s="231"/>
      <c r="G1037" s="231"/>
      <c r="H1037" s="233"/>
      <c r="I1037" s="233"/>
      <c r="J1037" s="233"/>
      <c r="K1037" s="233"/>
      <c r="L1037" s="233"/>
      <c r="M1037" s="233"/>
      <c r="N1037" s="233"/>
      <c r="O1037" s="234"/>
      <c r="P1037" s="234"/>
      <c r="Q1037" s="233"/>
      <c r="R1037" s="233"/>
      <c r="S1037" s="233"/>
      <c r="T1037" s="233"/>
      <c r="U1037" s="231"/>
    </row>
    <row r="1038" spans="1:21" ht="13.2">
      <c r="A1038" s="231"/>
      <c r="B1038" s="232"/>
      <c r="C1038" s="231"/>
      <c r="D1038" s="231"/>
      <c r="E1038" s="231"/>
      <c r="F1038" s="231"/>
      <c r="G1038" s="231"/>
      <c r="H1038" s="233"/>
      <c r="I1038" s="233"/>
      <c r="J1038" s="233"/>
      <c r="K1038" s="233"/>
      <c r="L1038" s="233"/>
      <c r="M1038" s="233"/>
      <c r="N1038" s="233"/>
      <c r="O1038" s="234"/>
      <c r="P1038" s="234"/>
      <c r="Q1038" s="233"/>
      <c r="R1038" s="233"/>
      <c r="S1038" s="233"/>
      <c r="T1038" s="233"/>
      <c r="U1038" s="231"/>
    </row>
    <row r="1039" spans="1:21" ht="13.2">
      <c r="A1039" s="231"/>
      <c r="B1039" s="232"/>
      <c r="C1039" s="231"/>
      <c r="D1039" s="231"/>
      <c r="E1039" s="231"/>
      <c r="F1039" s="231"/>
      <c r="G1039" s="231"/>
      <c r="H1039" s="233"/>
      <c r="I1039" s="233"/>
      <c r="J1039" s="233"/>
      <c r="K1039" s="233"/>
      <c r="L1039" s="233"/>
      <c r="M1039" s="233"/>
      <c r="N1039" s="233"/>
      <c r="O1039" s="234"/>
      <c r="P1039" s="234"/>
      <c r="Q1039" s="233"/>
      <c r="R1039" s="233"/>
      <c r="S1039" s="233"/>
      <c r="T1039" s="233"/>
      <c r="U1039" s="231"/>
    </row>
    <row r="1040" spans="1:21" ht="13.2">
      <c r="A1040" s="231"/>
      <c r="B1040" s="232"/>
      <c r="C1040" s="231"/>
      <c r="D1040" s="231"/>
      <c r="E1040" s="231"/>
      <c r="F1040" s="231"/>
      <c r="G1040" s="231"/>
      <c r="H1040" s="233"/>
      <c r="I1040" s="233"/>
      <c r="J1040" s="233"/>
      <c r="K1040" s="233"/>
      <c r="L1040" s="233"/>
      <c r="M1040" s="233"/>
      <c r="N1040" s="233"/>
      <c r="O1040" s="234"/>
      <c r="P1040" s="234"/>
      <c r="Q1040" s="233"/>
      <c r="R1040" s="233"/>
      <c r="S1040" s="233"/>
      <c r="T1040" s="233"/>
      <c r="U1040" s="231"/>
    </row>
    <row r="1041" spans="1:21" ht="13.2">
      <c r="A1041" s="231"/>
      <c r="B1041" s="232"/>
      <c r="C1041" s="231"/>
      <c r="D1041" s="231"/>
      <c r="E1041" s="231"/>
      <c r="F1041" s="231"/>
      <c r="G1041" s="231"/>
      <c r="H1041" s="233"/>
      <c r="I1041" s="233"/>
      <c r="J1041" s="233"/>
      <c r="K1041" s="233"/>
      <c r="L1041" s="233"/>
      <c r="M1041" s="233"/>
      <c r="N1041" s="233"/>
      <c r="O1041" s="234"/>
      <c r="P1041" s="234"/>
      <c r="Q1041" s="233"/>
      <c r="R1041" s="233"/>
      <c r="S1041" s="233"/>
      <c r="T1041" s="233"/>
      <c r="U1041" s="231"/>
    </row>
    <row r="1042" spans="1:21" ht="13.2">
      <c r="A1042" s="231"/>
      <c r="B1042" s="232"/>
      <c r="C1042" s="231"/>
      <c r="D1042" s="231"/>
      <c r="E1042" s="231"/>
      <c r="F1042" s="231"/>
      <c r="G1042" s="231"/>
      <c r="H1042" s="233"/>
      <c r="I1042" s="233"/>
      <c r="J1042" s="233"/>
      <c r="K1042" s="233"/>
      <c r="L1042" s="233"/>
      <c r="M1042" s="233"/>
      <c r="N1042" s="233"/>
      <c r="O1042" s="234"/>
      <c r="P1042" s="234"/>
      <c r="Q1042" s="233"/>
      <c r="R1042" s="233"/>
      <c r="S1042" s="233"/>
      <c r="T1042" s="233"/>
      <c r="U1042" s="231"/>
    </row>
    <row r="1043" spans="1:21" ht="13.2">
      <c r="A1043" s="231"/>
      <c r="B1043" s="232"/>
      <c r="C1043" s="231"/>
      <c r="D1043" s="231"/>
      <c r="E1043" s="231"/>
      <c r="F1043" s="231"/>
      <c r="G1043" s="231"/>
      <c r="H1043" s="233"/>
      <c r="I1043" s="233"/>
      <c r="J1043" s="233"/>
      <c r="K1043" s="233"/>
      <c r="L1043" s="233"/>
      <c r="M1043" s="233"/>
      <c r="N1043" s="233"/>
      <c r="O1043" s="234"/>
      <c r="P1043" s="234"/>
      <c r="Q1043" s="233"/>
      <c r="R1043" s="233"/>
      <c r="S1043" s="233"/>
      <c r="T1043" s="233"/>
      <c r="U1043" s="231"/>
    </row>
    <row r="1044" spans="1:21" ht="13.2">
      <c r="A1044" s="231"/>
      <c r="B1044" s="232"/>
      <c r="C1044" s="231"/>
      <c r="D1044" s="231"/>
      <c r="E1044" s="231"/>
      <c r="F1044" s="231"/>
      <c r="G1044" s="231"/>
      <c r="H1044" s="233"/>
      <c r="I1044" s="233"/>
      <c r="J1044" s="233"/>
      <c r="K1044" s="233"/>
      <c r="L1044" s="233"/>
      <c r="M1044" s="233"/>
      <c r="N1044" s="233"/>
      <c r="O1044" s="234"/>
      <c r="P1044" s="234"/>
      <c r="Q1044" s="233"/>
      <c r="R1044" s="233"/>
      <c r="S1044" s="233"/>
      <c r="T1044" s="233"/>
      <c r="U1044" s="231"/>
    </row>
    <row r="1045" spans="1:21" ht="13.2">
      <c r="A1045" s="231"/>
      <c r="B1045" s="232"/>
      <c r="C1045" s="231"/>
      <c r="D1045" s="231"/>
      <c r="E1045" s="231"/>
      <c r="F1045" s="231"/>
      <c r="G1045" s="231"/>
      <c r="H1045" s="233"/>
      <c r="I1045" s="233"/>
      <c r="J1045" s="233"/>
      <c r="K1045" s="233"/>
      <c r="L1045" s="233"/>
      <c r="M1045" s="233"/>
      <c r="N1045" s="233"/>
      <c r="O1045" s="234"/>
      <c r="P1045" s="234"/>
      <c r="Q1045" s="233"/>
      <c r="R1045" s="233"/>
      <c r="S1045" s="233"/>
      <c r="T1045" s="233"/>
      <c r="U1045" s="231"/>
    </row>
    <row r="1046" spans="1:21" ht="13.2">
      <c r="A1046" s="231"/>
      <c r="B1046" s="232"/>
      <c r="C1046" s="231"/>
      <c r="D1046" s="231"/>
      <c r="E1046" s="231"/>
      <c r="F1046" s="231"/>
      <c r="G1046" s="231"/>
      <c r="H1046" s="233"/>
      <c r="I1046" s="233"/>
      <c r="J1046" s="233"/>
      <c r="K1046" s="233"/>
      <c r="L1046" s="233"/>
      <c r="M1046" s="233"/>
      <c r="N1046" s="233"/>
      <c r="O1046" s="234"/>
      <c r="P1046" s="234"/>
      <c r="Q1046" s="233"/>
      <c r="R1046" s="233"/>
      <c r="S1046" s="233"/>
      <c r="T1046" s="233"/>
      <c r="U1046" s="231"/>
    </row>
    <row r="1047" spans="1:21" ht="13.2">
      <c r="A1047" s="231"/>
      <c r="B1047" s="232"/>
      <c r="C1047" s="231"/>
      <c r="D1047" s="231"/>
      <c r="E1047" s="231"/>
      <c r="F1047" s="231"/>
      <c r="G1047" s="231"/>
      <c r="H1047" s="233"/>
      <c r="I1047" s="233"/>
      <c r="J1047" s="233"/>
      <c r="K1047" s="233"/>
      <c r="L1047" s="233"/>
      <c r="M1047" s="233"/>
      <c r="N1047" s="233"/>
      <c r="O1047" s="234"/>
      <c r="P1047" s="234"/>
      <c r="Q1047" s="233"/>
      <c r="R1047" s="233"/>
      <c r="S1047" s="233"/>
      <c r="T1047" s="233"/>
      <c r="U1047" s="231"/>
    </row>
    <row r="1048" spans="1:21" ht="13.2">
      <c r="A1048" s="231"/>
      <c r="B1048" s="232"/>
      <c r="C1048" s="231"/>
      <c r="D1048" s="231"/>
      <c r="E1048" s="231"/>
      <c r="F1048" s="231"/>
      <c r="G1048" s="231"/>
      <c r="H1048" s="233"/>
      <c r="I1048" s="233"/>
      <c r="J1048" s="233"/>
      <c r="K1048" s="233"/>
      <c r="L1048" s="233"/>
      <c r="M1048" s="233"/>
      <c r="N1048" s="233"/>
      <c r="O1048" s="234"/>
      <c r="P1048" s="234"/>
      <c r="Q1048" s="233"/>
      <c r="R1048" s="233"/>
      <c r="S1048" s="233"/>
      <c r="T1048" s="233"/>
      <c r="U1048" s="231"/>
    </row>
    <row r="1049" spans="1:21" ht="13.2">
      <c r="A1049" s="231"/>
      <c r="B1049" s="232"/>
      <c r="C1049" s="231"/>
      <c r="D1049" s="231"/>
      <c r="E1049" s="231"/>
      <c r="F1049" s="231"/>
      <c r="G1049" s="231"/>
      <c r="H1049" s="233"/>
      <c r="I1049" s="233"/>
      <c r="J1049" s="233"/>
      <c r="K1049" s="233"/>
      <c r="L1049" s="233"/>
      <c r="M1049" s="233"/>
      <c r="N1049" s="233"/>
      <c r="O1049" s="234"/>
      <c r="P1049" s="234"/>
      <c r="Q1049" s="233"/>
      <c r="R1049" s="233"/>
      <c r="S1049" s="233"/>
      <c r="T1049" s="233"/>
      <c r="U1049" s="231"/>
    </row>
    <row r="1050" spans="1:21" ht="13.2">
      <c r="A1050" s="231"/>
      <c r="B1050" s="232"/>
      <c r="C1050" s="231"/>
      <c r="D1050" s="231"/>
      <c r="E1050" s="231"/>
      <c r="F1050" s="231"/>
      <c r="G1050" s="231"/>
      <c r="H1050" s="233"/>
      <c r="I1050" s="233"/>
      <c r="J1050" s="233"/>
      <c r="K1050" s="233"/>
      <c r="L1050" s="233"/>
      <c r="M1050" s="233"/>
      <c r="N1050" s="233"/>
      <c r="O1050" s="234"/>
      <c r="P1050" s="234"/>
      <c r="Q1050" s="233"/>
      <c r="R1050" s="233"/>
      <c r="S1050" s="233"/>
      <c r="T1050" s="233"/>
      <c r="U1050" s="231"/>
    </row>
    <row r="1051" spans="1:21" ht="13.2">
      <c r="A1051" s="231"/>
      <c r="B1051" s="232"/>
      <c r="C1051" s="231"/>
      <c r="D1051" s="231"/>
      <c r="E1051" s="231"/>
      <c r="F1051" s="231"/>
      <c r="G1051" s="231"/>
      <c r="H1051" s="233"/>
      <c r="I1051" s="233"/>
      <c r="J1051" s="233"/>
      <c r="K1051" s="233"/>
      <c r="L1051" s="233"/>
      <c r="M1051" s="233"/>
      <c r="N1051" s="233"/>
      <c r="O1051" s="234"/>
      <c r="P1051" s="234"/>
      <c r="Q1051" s="233"/>
      <c r="R1051" s="233"/>
      <c r="S1051" s="233"/>
      <c r="T1051" s="233"/>
      <c r="U1051" s="231"/>
    </row>
    <row r="1052" spans="1:21" ht="13.2">
      <c r="A1052" s="231"/>
      <c r="B1052" s="232"/>
      <c r="C1052" s="231"/>
      <c r="D1052" s="231"/>
      <c r="E1052" s="231"/>
      <c r="F1052" s="231"/>
      <c r="G1052" s="231"/>
      <c r="H1052" s="233"/>
      <c r="I1052" s="233"/>
      <c r="J1052" s="233"/>
      <c r="K1052" s="233"/>
      <c r="L1052" s="233"/>
      <c r="M1052" s="233"/>
      <c r="N1052" s="233"/>
      <c r="O1052" s="234"/>
      <c r="P1052" s="234"/>
      <c r="Q1052" s="233"/>
      <c r="R1052" s="233"/>
      <c r="S1052" s="233"/>
      <c r="T1052" s="233"/>
      <c r="U1052" s="231"/>
    </row>
    <row r="1053" spans="1:21" ht="13.2">
      <c r="A1053" s="231"/>
      <c r="B1053" s="232"/>
      <c r="C1053" s="231"/>
      <c r="D1053" s="231"/>
      <c r="E1053" s="231"/>
      <c r="F1053" s="231"/>
      <c r="G1053" s="231"/>
      <c r="H1053" s="233"/>
      <c r="I1053" s="233"/>
      <c r="J1053" s="233"/>
      <c r="K1053" s="233"/>
      <c r="L1053" s="233"/>
      <c r="M1053" s="233"/>
      <c r="N1053" s="233"/>
      <c r="O1053" s="234"/>
      <c r="P1053" s="234"/>
      <c r="Q1053" s="233"/>
      <c r="R1053" s="233"/>
      <c r="S1053" s="233"/>
      <c r="T1053" s="233"/>
      <c r="U1053" s="231"/>
    </row>
    <row r="1054" spans="1:21" ht="13.2">
      <c r="A1054" s="231"/>
      <c r="B1054" s="232"/>
      <c r="C1054" s="231"/>
      <c r="D1054" s="231"/>
      <c r="E1054" s="231"/>
      <c r="F1054" s="231"/>
      <c r="G1054" s="231"/>
      <c r="H1054" s="233"/>
      <c r="I1054" s="233"/>
      <c r="J1054" s="233"/>
      <c r="K1054" s="233"/>
      <c r="L1054" s="233"/>
      <c r="M1054" s="233"/>
      <c r="N1054" s="233"/>
      <c r="O1054" s="234"/>
      <c r="P1054" s="234"/>
      <c r="Q1054" s="233"/>
      <c r="R1054" s="233"/>
      <c r="S1054" s="233"/>
      <c r="T1054" s="233"/>
      <c r="U1054" s="231"/>
    </row>
    <row r="1055" spans="1:21" ht="13.2">
      <c r="A1055" s="231"/>
      <c r="B1055" s="232"/>
      <c r="C1055" s="231"/>
      <c r="D1055" s="231"/>
      <c r="E1055" s="231"/>
      <c r="F1055" s="231"/>
      <c r="G1055" s="231"/>
      <c r="H1055" s="233"/>
      <c r="I1055" s="233"/>
      <c r="J1055" s="233"/>
      <c r="K1055" s="233"/>
      <c r="L1055" s="233"/>
      <c r="M1055" s="233"/>
      <c r="N1055" s="233"/>
      <c r="O1055" s="234"/>
      <c r="P1055" s="234"/>
      <c r="Q1055" s="233"/>
      <c r="R1055" s="233"/>
      <c r="S1055" s="233"/>
      <c r="T1055" s="233"/>
      <c r="U1055" s="231"/>
    </row>
    <row r="1056" spans="1:21" ht="13.2">
      <c r="A1056" s="231"/>
      <c r="B1056" s="232"/>
      <c r="C1056" s="231"/>
      <c r="D1056" s="231"/>
      <c r="E1056" s="231"/>
      <c r="F1056" s="231"/>
      <c r="G1056" s="231"/>
      <c r="H1056" s="233"/>
      <c r="I1056" s="233"/>
      <c r="J1056" s="233"/>
      <c r="K1056" s="233"/>
      <c r="L1056" s="233"/>
      <c r="M1056" s="233"/>
      <c r="N1056" s="233"/>
      <c r="O1056" s="234"/>
      <c r="P1056" s="234"/>
      <c r="Q1056" s="233"/>
      <c r="R1056" s="233"/>
      <c r="S1056" s="233"/>
      <c r="T1056" s="233"/>
      <c r="U1056" s="231"/>
    </row>
    <row r="1057" spans="1:21" ht="13.2">
      <c r="A1057" s="231"/>
      <c r="B1057" s="232"/>
      <c r="C1057" s="231"/>
      <c r="D1057" s="231"/>
      <c r="E1057" s="231"/>
      <c r="F1057" s="231"/>
      <c r="G1057" s="231"/>
      <c r="H1057" s="233"/>
      <c r="I1057" s="233"/>
      <c r="J1057" s="233"/>
      <c r="K1057" s="233"/>
      <c r="L1057" s="233"/>
      <c r="M1057" s="233"/>
      <c r="N1057" s="233"/>
      <c r="O1057" s="234"/>
      <c r="P1057" s="234"/>
      <c r="Q1057" s="233"/>
      <c r="R1057" s="233"/>
      <c r="S1057" s="233"/>
      <c r="T1057" s="233"/>
      <c r="U1057" s="231"/>
    </row>
    <row r="1058" spans="1:21" ht="13.2">
      <c r="A1058" s="231"/>
      <c r="B1058" s="232"/>
      <c r="C1058" s="231"/>
      <c r="D1058" s="231"/>
      <c r="E1058" s="231"/>
      <c r="F1058" s="231"/>
      <c r="G1058" s="231"/>
      <c r="H1058" s="233"/>
      <c r="I1058" s="233"/>
      <c r="J1058" s="233"/>
      <c r="K1058" s="233"/>
      <c r="L1058" s="233"/>
      <c r="M1058" s="233"/>
      <c r="N1058" s="233"/>
      <c r="O1058" s="234"/>
      <c r="P1058" s="234"/>
      <c r="Q1058" s="233"/>
      <c r="R1058" s="233"/>
      <c r="S1058" s="233"/>
      <c r="T1058" s="233"/>
      <c r="U1058" s="231"/>
    </row>
    <row r="1059" spans="1:21" ht="13.2">
      <c r="A1059" s="231"/>
      <c r="B1059" s="232"/>
      <c r="C1059" s="231"/>
      <c r="D1059" s="231"/>
      <c r="E1059" s="231"/>
      <c r="F1059" s="231"/>
      <c r="G1059" s="231"/>
      <c r="H1059" s="233"/>
      <c r="I1059" s="233"/>
      <c r="J1059" s="233"/>
      <c r="K1059" s="233"/>
      <c r="L1059" s="233"/>
      <c r="M1059" s="233"/>
      <c r="N1059" s="233"/>
      <c r="O1059" s="234"/>
      <c r="P1059" s="234"/>
      <c r="Q1059" s="233"/>
      <c r="R1059" s="233"/>
      <c r="S1059" s="233"/>
      <c r="T1059" s="233"/>
      <c r="U1059" s="231"/>
    </row>
    <row r="1060" spans="1:21" ht="13.2">
      <c r="A1060" s="231"/>
      <c r="B1060" s="232"/>
      <c r="C1060" s="231"/>
      <c r="D1060" s="231"/>
      <c r="E1060" s="231"/>
      <c r="F1060" s="231"/>
      <c r="G1060" s="231"/>
      <c r="H1060" s="233"/>
      <c r="I1060" s="233"/>
      <c r="J1060" s="233"/>
      <c r="K1060" s="233"/>
      <c r="L1060" s="233"/>
      <c r="M1060" s="233"/>
      <c r="N1060" s="233"/>
      <c r="O1060" s="234"/>
      <c r="P1060" s="234"/>
      <c r="Q1060" s="233"/>
      <c r="R1060" s="233"/>
      <c r="S1060" s="233"/>
      <c r="T1060" s="233"/>
      <c r="U1060" s="231"/>
    </row>
    <row r="1061" spans="1:21" ht="13.2">
      <c r="A1061" s="231"/>
      <c r="B1061" s="232"/>
      <c r="C1061" s="231"/>
      <c r="D1061" s="231"/>
      <c r="E1061" s="231"/>
      <c r="F1061" s="231"/>
      <c r="G1061" s="231"/>
      <c r="H1061" s="233"/>
      <c r="I1061" s="233"/>
      <c r="J1061" s="233"/>
      <c r="K1061" s="233"/>
      <c r="L1061" s="233"/>
      <c r="M1061" s="233"/>
      <c r="N1061" s="233"/>
      <c r="O1061" s="234"/>
      <c r="P1061" s="234"/>
      <c r="Q1061" s="233"/>
      <c r="R1061" s="233"/>
      <c r="S1061" s="233"/>
      <c r="T1061" s="233"/>
      <c r="U1061" s="231"/>
    </row>
    <row r="1062" spans="1:21" ht="13.2">
      <c r="A1062" s="231"/>
      <c r="B1062" s="232"/>
      <c r="C1062" s="231"/>
      <c r="D1062" s="231"/>
      <c r="E1062" s="231"/>
      <c r="F1062" s="231"/>
      <c r="G1062" s="231"/>
      <c r="H1062" s="233"/>
      <c r="I1062" s="233"/>
      <c r="J1062" s="233"/>
      <c r="K1062" s="233"/>
      <c r="L1062" s="233"/>
      <c r="M1062" s="233"/>
      <c r="N1062" s="233"/>
      <c r="O1062" s="234"/>
      <c r="P1062" s="234"/>
      <c r="Q1062" s="233"/>
      <c r="R1062" s="233"/>
      <c r="S1062" s="233"/>
      <c r="T1062" s="233"/>
      <c r="U1062" s="231"/>
    </row>
    <row r="1063" spans="1:21" ht="13.2">
      <c r="A1063" s="231"/>
      <c r="B1063" s="232"/>
      <c r="C1063" s="231"/>
      <c r="D1063" s="231"/>
      <c r="E1063" s="231"/>
      <c r="F1063" s="231"/>
      <c r="G1063" s="231"/>
      <c r="H1063" s="233"/>
      <c r="I1063" s="233"/>
      <c r="J1063" s="233"/>
      <c r="K1063" s="233"/>
      <c r="L1063" s="233"/>
      <c r="M1063" s="233"/>
      <c r="N1063" s="233"/>
      <c r="O1063" s="234"/>
      <c r="P1063" s="234"/>
      <c r="Q1063" s="233"/>
      <c r="R1063" s="233"/>
      <c r="S1063" s="233"/>
      <c r="T1063" s="233"/>
      <c r="U1063" s="231"/>
    </row>
    <row r="1064" spans="1:21" ht="13.2">
      <c r="A1064" s="231"/>
      <c r="B1064" s="232"/>
      <c r="C1064" s="231"/>
      <c r="D1064" s="231"/>
      <c r="E1064" s="231"/>
      <c r="F1064" s="231"/>
      <c r="G1064" s="231"/>
      <c r="H1064" s="233"/>
      <c r="I1064" s="233"/>
      <c r="J1064" s="233"/>
      <c r="K1064" s="233"/>
      <c r="L1064" s="233"/>
      <c r="M1064" s="233"/>
      <c r="N1064" s="233"/>
      <c r="O1064" s="234"/>
      <c r="P1064" s="234"/>
      <c r="Q1064" s="233"/>
      <c r="R1064" s="233"/>
      <c r="S1064" s="233"/>
      <c r="T1064" s="233"/>
      <c r="U1064" s="231"/>
    </row>
    <row r="1065" spans="1:21" ht="13.2">
      <c r="A1065" s="231"/>
      <c r="B1065" s="232"/>
      <c r="C1065" s="231"/>
      <c r="D1065" s="231"/>
      <c r="E1065" s="231"/>
      <c r="F1065" s="231"/>
      <c r="G1065" s="231"/>
      <c r="H1065" s="233"/>
      <c r="I1065" s="233"/>
      <c r="J1065" s="233"/>
      <c r="K1065" s="233"/>
      <c r="L1065" s="233"/>
      <c r="M1065" s="233"/>
      <c r="N1065" s="233"/>
      <c r="O1065" s="234"/>
      <c r="P1065" s="234"/>
      <c r="Q1065" s="233"/>
      <c r="R1065" s="233"/>
      <c r="S1065" s="233"/>
      <c r="T1065" s="233"/>
      <c r="U1065" s="231"/>
    </row>
    <row r="1066" spans="1:21" ht="13.2">
      <c r="A1066" s="231"/>
      <c r="B1066" s="232"/>
      <c r="C1066" s="231"/>
      <c r="D1066" s="231"/>
      <c r="E1066" s="231"/>
      <c r="F1066" s="231"/>
      <c r="G1066" s="231"/>
      <c r="H1066" s="233"/>
      <c r="I1066" s="233"/>
      <c r="J1066" s="233"/>
      <c r="K1066" s="233"/>
      <c r="L1066" s="233"/>
      <c r="M1066" s="233"/>
      <c r="N1066" s="233"/>
      <c r="O1066" s="234"/>
      <c r="P1066" s="234"/>
      <c r="Q1066" s="233"/>
      <c r="R1066" s="233"/>
      <c r="S1066" s="233"/>
      <c r="T1066" s="233"/>
      <c r="U1066" s="231"/>
    </row>
    <row r="1067" spans="1:21" ht="13.2">
      <c r="A1067" s="231"/>
      <c r="B1067" s="232"/>
      <c r="C1067" s="231"/>
      <c r="D1067" s="231"/>
      <c r="E1067" s="231"/>
      <c r="F1067" s="231"/>
      <c r="G1067" s="231"/>
      <c r="H1067" s="233"/>
      <c r="I1067" s="233"/>
      <c r="J1067" s="233"/>
      <c r="K1067" s="233"/>
      <c r="L1067" s="233"/>
      <c r="M1067" s="233"/>
      <c r="N1067" s="233"/>
      <c r="O1067" s="234"/>
      <c r="P1067" s="234"/>
      <c r="Q1067" s="233"/>
      <c r="R1067" s="233"/>
      <c r="S1067" s="233"/>
      <c r="T1067" s="233"/>
      <c r="U1067" s="231"/>
    </row>
    <row r="1068" spans="1:21" ht="13.2">
      <c r="A1068" s="231"/>
      <c r="B1068" s="232"/>
      <c r="C1068" s="231"/>
      <c r="D1068" s="231"/>
      <c r="E1068" s="231"/>
      <c r="F1068" s="231"/>
      <c r="G1068" s="231"/>
      <c r="H1068" s="233"/>
      <c r="I1068" s="233"/>
      <c r="J1068" s="233"/>
      <c r="K1068" s="233"/>
      <c r="L1068" s="233"/>
      <c r="M1068" s="233"/>
      <c r="N1068" s="233"/>
      <c r="O1068" s="234"/>
      <c r="P1068" s="234"/>
      <c r="Q1068" s="233"/>
      <c r="R1068" s="233"/>
      <c r="S1068" s="233"/>
      <c r="T1068" s="233"/>
      <c r="U1068" s="231"/>
    </row>
    <row r="1069" spans="1:21" ht="13.2">
      <c r="A1069" s="231"/>
      <c r="B1069" s="232"/>
      <c r="C1069" s="231"/>
      <c r="D1069" s="231"/>
      <c r="E1069" s="231"/>
      <c r="F1069" s="231"/>
      <c r="G1069" s="231"/>
      <c r="H1069" s="233"/>
      <c r="I1069" s="233"/>
      <c r="J1069" s="233"/>
      <c r="K1069" s="233"/>
      <c r="L1069" s="233"/>
      <c r="M1069" s="233"/>
      <c r="N1069" s="233"/>
      <c r="O1069" s="234"/>
      <c r="P1069" s="234"/>
      <c r="Q1069" s="233"/>
      <c r="R1069" s="233"/>
      <c r="S1069" s="233"/>
      <c r="T1069" s="233"/>
      <c r="U1069" s="231"/>
    </row>
    <row r="1070" spans="1:21" ht="13.2">
      <c r="A1070" s="231"/>
      <c r="B1070" s="232"/>
      <c r="C1070" s="231"/>
      <c r="D1070" s="231"/>
      <c r="E1070" s="231"/>
      <c r="F1070" s="231"/>
      <c r="G1070" s="231"/>
      <c r="H1070" s="233"/>
      <c r="I1070" s="233"/>
      <c r="J1070" s="233"/>
      <c r="K1070" s="233"/>
      <c r="L1070" s="233"/>
      <c r="M1070" s="233"/>
      <c r="N1070" s="233"/>
      <c r="O1070" s="234"/>
      <c r="P1070" s="234"/>
      <c r="Q1070" s="233"/>
      <c r="R1070" s="233"/>
      <c r="S1070" s="233"/>
      <c r="T1070" s="233"/>
      <c r="U1070" s="231"/>
    </row>
    <row r="1071" spans="1:21" ht="13.2">
      <c r="A1071" s="231"/>
      <c r="B1071" s="232"/>
      <c r="C1071" s="231"/>
      <c r="D1071" s="231"/>
      <c r="E1071" s="231"/>
      <c r="F1071" s="231"/>
      <c r="G1071" s="231"/>
      <c r="H1071" s="233"/>
      <c r="I1071" s="233"/>
      <c r="J1071" s="233"/>
      <c r="K1071" s="233"/>
      <c r="L1071" s="233"/>
      <c r="M1071" s="233"/>
      <c r="N1071" s="233"/>
      <c r="O1071" s="234"/>
      <c r="P1071" s="234"/>
      <c r="Q1071" s="233"/>
      <c r="R1071" s="233"/>
      <c r="S1071" s="233"/>
      <c r="T1071" s="233"/>
      <c r="U1071" s="231"/>
    </row>
    <row r="1072" spans="1:21" ht="13.2">
      <c r="A1072" s="231"/>
      <c r="B1072" s="232"/>
      <c r="C1072" s="231"/>
      <c r="D1072" s="231"/>
      <c r="E1072" s="231"/>
      <c r="F1072" s="231"/>
      <c r="G1072" s="231"/>
      <c r="H1072" s="233"/>
      <c r="I1072" s="233"/>
      <c r="J1072" s="233"/>
      <c r="K1072" s="233"/>
      <c r="L1072" s="233"/>
      <c r="M1072" s="233"/>
      <c r="N1072" s="233"/>
      <c r="O1072" s="234"/>
      <c r="P1072" s="234"/>
      <c r="Q1072" s="233"/>
      <c r="R1072" s="233"/>
      <c r="S1072" s="233"/>
      <c r="T1072" s="233"/>
      <c r="U1072" s="231"/>
    </row>
    <row r="1073" spans="1:21" ht="13.2">
      <c r="A1073" s="231"/>
      <c r="B1073" s="232"/>
      <c r="C1073" s="231"/>
      <c r="D1073" s="231"/>
      <c r="E1073" s="231"/>
      <c r="F1073" s="231"/>
      <c r="G1073" s="231"/>
      <c r="H1073" s="233"/>
      <c r="I1073" s="233"/>
      <c r="J1073" s="233"/>
      <c r="K1073" s="233"/>
      <c r="L1073" s="233"/>
      <c r="M1073" s="233"/>
      <c r="N1073" s="233"/>
      <c r="O1073" s="234"/>
      <c r="P1073" s="234"/>
      <c r="Q1073" s="233"/>
      <c r="R1073" s="233"/>
      <c r="S1073" s="233"/>
      <c r="T1073" s="233"/>
      <c r="U1073" s="231"/>
    </row>
    <row r="1074" spans="1:21" ht="13.2">
      <c r="A1074" s="231"/>
      <c r="B1074" s="232"/>
      <c r="C1074" s="231"/>
      <c r="D1074" s="231"/>
      <c r="E1074" s="231"/>
      <c r="F1074" s="231"/>
      <c r="G1074" s="231"/>
      <c r="H1074" s="233"/>
      <c r="I1074" s="233"/>
      <c r="J1074" s="233"/>
      <c r="K1074" s="233"/>
      <c r="L1074" s="233"/>
      <c r="M1074" s="233"/>
      <c r="N1074" s="233"/>
      <c r="O1074" s="234"/>
      <c r="P1074" s="234"/>
      <c r="Q1074" s="233"/>
      <c r="R1074" s="233"/>
      <c r="S1074" s="233"/>
      <c r="T1074" s="233"/>
      <c r="U1074" s="231"/>
    </row>
    <row r="1075" spans="1:21" ht="13.2">
      <c r="A1075" s="231"/>
      <c r="B1075" s="232"/>
      <c r="C1075" s="231"/>
      <c r="D1075" s="231"/>
      <c r="E1075" s="231"/>
      <c r="F1075" s="231"/>
      <c r="G1075" s="231"/>
      <c r="H1075" s="233"/>
      <c r="I1075" s="233"/>
      <c r="J1075" s="233"/>
      <c r="K1075" s="233"/>
      <c r="L1075" s="233"/>
      <c r="M1075" s="233"/>
      <c r="N1075" s="233"/>
      <c r="O1075" s="234"/>
      <c r="P1075" s="234"/>
      <c r="Q1075" s="233"/>
      <c r="R1075" s="233"/>
      <c r="S1075" s="233"/>
      <c r="T1075" s="233"/>
      <c r="U1075" s="231"/>
    </row>
    <row r="1076" spans="1:21" ht="13.2">
      <c r="A1076" s="231"/>
      <c r="B1076" s="232"/>
      <c r="C1076" s="231"/>
      <c r="D1076" s="231"/>
      <c r="E1076" s="231"/>
      <c r="F1076" s="231"/>
      <c r="G1076" s="231"/>
      <c r="H1076" s="233"/>
      <c r="I1076" s="233"/>
      <c r="J1076" s="233"/>
      <c r="K1076" s="233"/>
      <c r="L1076" s="233"/>
      <c r="M1076" s="233"/>
      <c r="N1076" s="233"/>
      <c r="O1076" s="234"/>
      <c r="P1076" s="234"/>
      <c r="Q1076" s="233"/>
      <c r="R1076" s="233"/>
      <c r="S1076" s="233"/>
      <c r="T1076" s="233"/>
      <c r="U1076" s="231"/>
    </row>
    <row r="1077" spans="1:21" ht="13.2">
      <c r="A1077" s="231"/>
      <c r="B1077" s="232"/>
      <c r="C1077" s="231"/>
      <c r="D1077" s="231"/>
      <c r="E1077" s="231"/>
      <c r="F1077" s="231"/>
      <c r="G1077" s="231"/>
      <c r="H1077" s="233"/>
      <c r="I1077" s="233"/>
      <c r="J1077" s="233"/>
      <c r="K1077" s="233"/>
      <c r="L1077" s="233"/>
      <c r="M1077" s="233"/>
      <c r="N1077" s="233"/>
      <c r="O1077" s="234"/>
      <c r="P1077" s="234"/>
      <c r="Q1077" s="233"/>
      <c r="R1077" s="233"/>
      <c r="S1077" s="233"/>
      <c r="T1077" s="233"/>
      <c r="U1077" s="231"/>
    </row>
    <row r="1078" spans="1:21" ht="13.2">
      <c r="A1078" s="231"/>
      <c r="B1078" s="232"/>
      <c r="C1078" s="231"/>
      <c r="D1078" s="231"/>
      <c r="E1078" s="231"/>
      <c r="F1078" s="231"/>
      <c r="G1078" s="231"/>
      <c r="H1078" s="233"/>
      <c r="I1078" s="233"/>
      <c r="J1078" s="233"/>
      <c r="K1078" s="233"/>
      <c r="L1078" s="233"/>
      <c r="M1078" s="233"/>
      <c r="N1078" s="233"/>
      <c r="O1078" s="234"/>
      <c r="P1078" s="234"/>
      <c r="Q1078" s="233"/>
      <c r="R1078" s="233"/>
      <c r="S1078" s="233"/>
      <c r="T1078" s="233"/>
      <c r="U1078" s="231"/>
    </row>
    <row r="1079" spans="1:21" ht="13.2">
      <c r="A1079" s="231"/>
      <c r="B1079" s="232"/>
      <c r="C1079" s="231"/>
      <c r="D1079" s="231"/>
      <c r="E1079" s="231"/>
      <c r="F1079" s="231"/>
      <c r="G1079" s="231"/>
      <c r="H1079" s="233"/>
      <c r="I1079" s="233"/>
      <c r="J1079" s="233"/>
      <c r="K1079" s="233"/>
      <c r="L1079" s="233"/>
      <c r="M1079" s="233"/>
      <c r="N1079" s="233"/>
      <c r="O1079" s="234"/>
      <c r="P1079" s="234"/>
      <c r="Q1079" s="233"/>
      <c r="R1079" s="233"/>
      <c r="S1079" s="233"/>
      <c r="T1079" s="233"/>
      <c r="U1079" s="231"/>
    </row>
    <row r="1080" spans="1:21" ht="13.2">
      <c r="A1080" s="231"/>
      <c r="B1080" s="232"/>
      <c r="C1080" s="231"/>
      <c r="D1080" s="231"/>
      <c r="E1080" s="231"/>
      <c r="F1080" s="231"/>
      <c r="G1080" s="231"/>
      <c r="H1080" s="233"/>
      <c r="I1080" s="233"/>
      <c r="J1080" s="233"/>
      <c r="K1080" s="233"/>
      <c r="L1080" s="233"/>
      <c r="M1080" s="233"/>
      <c r="N1080" s="233"/>
      <c r="O1080" s="234"/>
      <c r="P1080" s="234"/>
      <c r="Q1080" s="233"/>
      <c r="R1080" s="233"/>
      <c r="S1080" s="233"/>
      <c r="T1080" s="233"/>
      <c r="U1080" s="231"/>
    </row>
    <row r="1081" spans="1:21" ht="13.2">
      <c r="A1081" s="231"/>
      <c r="B1081" s="232"/>
      <c r="C1081" s="231"/>
      <c r="D1081" s="231"/>
      <c r="E1081" s="231"/>
      <c r="F1081" s="231"/>
      <c r="G1081" s="231"/>
      <c r="H1081" s="233"/>
      <c r="I1081" s="233"/>
      <c r="J1081" s="233"/>
      <c r="K1081" s="233"/>
      <c r="L1081" s="233"/>
      <c r="M1081" s="233"/>
      <c r="N1081" s="233"/>
      <c r="O1081" s="234"/>
      <c r="P1081" s="234"/>
      <c r="Q1081" s="233"/>
      <c r="R1081" s="233"/>
      <c r="S1081" s="233"/>
      <c r="T1081" s="233"/>
      <c r="U1081" s="231"/>
    </row>
    <row r="1082" spans="1:21" ht="13.2">
      <c r="A1082" s="231"/>
      <c r="B1082" s="232"/>
      <c r="C1082" s="231"/>
      <c r="D1082" s="231"/>
      <c r="E1082" s="231"/>
      <c r="F1082" s="231"/>
      <c r="G1082" s="231"/>
      <c r="H1082" s="233"/>
      <c r="I1082" s="233"/>
      <c r="J1082" s="233"/>
      <c r="K1082" s="233"/>
      <c r="L1082" s="233"/>
      <c r="M1082" s="233"/>
      <c r="N1082" s="233"/>
      <c r="O1082" s="234"/>
      <c r="P1082" s="234"/>
      <c r="Q1082" s="233"/>
      <c r="R1082" s="233"/>
      <c r="S1082" s="233"/>
      <c r="T1082" s="233"/>
      <c r="U1082" s="231"/>
    </row>
    <row r="1083" spans="1:21" ht="13.2">
      <c r="A1083" s="231"/>
      <c r="B1083" s="232"/>
      <c r="C1083" s="231"/>
      <c r="D1083" s="231"/>
      <c r="E1083" s="231"/>
      <c r="F1083" s="231"/>
      <c r="G1083" s="231"/>
      <c r="H1083" s="233"/>
      <c r="I1083" s="233"/>
      <c r="J1083" s="233"/>
      <c r="K1083" s="233"/>
      <c r="L1083" s="233"/>
      <c r="M1083" s="233"/>
      <c r="N1083" s="233"/>
      <c r="O1083" s="234"/>
      <c r="P1083" s="234"/>
      <c r="Q1083" s="233"/>
      <c r="R1083" s="233"/>
      <c r="S1083" s="233"/>
      <c r="T1083" s="233"/>
      <c r="U1083" s="231"/>
    </row>
    <row r="1084" spans="1:21" ht="13.2">
      <c r="A1084" s="231"/>
      <c r="B1084" s="232"/>
      <c r="C1084" s="231"/>
      <c r="D1084" s="231"/>
      <c r="E1084" s="231"/>
      <c r="F1084" s="231"/>
      <c r="G1084" s="231"/>
      <c r="H1084" s="233"/>
      <c r="I1084" s="233"/>
      <c r="J1084" s="233"/>
      <c r="K1084" s="233"/>
      <c r="L1084" s="233"/>
      <c r="M1084" s="233"/>
      <c r="N1084" s="233"/>
      <c r="O1084" s="234"/>
      <c r="P1084" s="234"/>
      <c r="Q1084" s="233"/>
      <c r="R1084" s="233"/>
      <c r="S1084" s="233"/>
      <c r="T1084" s="233"/>
      <c r="U1084" s="231"/>
    </row>
    <row r="1085" spans="1:21" ht="13.2">
      <c r="A1085" s="231"/>
      <c r="B1085" s="232"/>
      <c r="C1085" s="231"/>
      <c r="D1085" s="231"/>
      <c r="E1085" s="231"/>
      <c r="F1085" s="231"/>
      <c r="G1085" s="231"/>
      <c r="H1085" s="233"/>
      <c r="I1085" s="233"/>
      <c r="J1085" s="233"/>
      <c r="K1085" s="233"/>
      <c r="L1085" s="233"/>
      <c r="M1085" s="233"/>
      <c r="N1085" s="233"/>
      <c r="O1085" s="234"/>
      <c r="P1085" s="234"/>
      <c r="Q1085" s="233"/>
      <c r="R1085" s="233"/>
      <c r="S1085" s="233"/>
      <c r="T1085" s="233"/>
      <c r="U1085" s="231"/>
    </row>
    <row r="1086" spans="1:21" ht="13.2">
      <c r="A1086" s="231"/>
      <c r="B1086" s="232"/>
      <c r="C1086" s="231"/>
      <c r="D1086" s="231"/>
      <c r="E1086" s="231"/>
      <c r="F1086" s="231"/>
      <c r="G1086" s="231"/>
      <c r="H1086" s="233"/>
      <c r="I1086" s="233"/>
      <c r="J1086" s="233"/>
      <c r="K1086" s="233"/>
      <c r="L1086" s="233"/>
      <c r="M1086" s="233"/>
      <c r="N1086" s="233"/>
      <c r="O1086" s="234"/>
      <c r="P1086" s="234"/>
      <c r="Q1086" s="233"/>
      <c r="R1086" s="233"/>
      <c r="S1086" s="233"/>
      <c r="T1086" s="233"/>
      <c r="U1086" s="231"/>
    </row>
    <row r="1087" spans="1:21" ht="13.2">
      <c r="A1087" s="231"/>
      <c r="B1087" s="232"/>
      <c r="C1087" s="231"/>
      <c r="D1087" s="231"/>
      <c r="E1087" s="231"/>
      <c r="F1087" s="231"/>
      <c r="G1087" s="231"/>
      <c r="H1087" s="233"/>
      <c r="I1087" s="233"/>
      <c r="J1087" s="233"/>
      <c r="K1087" s="233"/>
      <c r="L1087" s="233"/>
      <c r="M1087" s="233"/>
      <c r="N1087" s="233"/>
      <c r="O1087" s="234"/>
      <c r="P1087" s="234"/>
      <c r="Q1087" s="233"/>
      <c r="R1087" s="233"/>
      <c r="S1087" s="233"/>
      <c r="T1087" s="233"/>
      <c r="U1087" s="231"/>
    </row>
    <row r="1088" spans="1:21" ht="13.2">
      <c r="A1088" s="231"/>
      <c r="B1088" s="232"/>
      <c r="C1088" s="231"/>
      <c r="D1088" s="231"/>
      <c r="E1088" s="231"/>
      <c r="F1088" s="231"/>
      <c r="G1088" s="231"/>
      <c r="H1088" s="233"/>
      <c r="I1088" s="233"/>
      <c r="J1088" s="233"/>
      <c r="K1088" s="233"/>
      <c r="L1088" s="233"/>
      <c r="M1088" s="233"/>
      <c r="N1088" s="233"/>
      <c r="O1088" s="234"/>
      <c r="P1088" s="234"/>
      <c r="Q1088" s="233"/>
      <c r="R1088" s="233"/>
      <c r="S1088" s="233"/>
      <c r="T1088" s="233"/>
      <c r="U1088" s="231"/>
    </row>
    <row r="1089" spans="1:21" ht="13.2">
      <c r="A1089" s="231"/>
      <c r="B1089" s="232"/>
      <c r="C1089" s="231"/>
      <c r="D1089" s="231"/>
      <c r="E1089" s="231"/>
      <c r="F1089" s="231"/>
      <c r="G1089" s="231"/>
      <c r="H1089" s="233"/>
      <c r="I1089" s="233"/>
      <c r="J1089" s="233"/>
      <c r="K1089" s="233"/>
      <c r="L1089" s="233"/>
      <c r="M1089" s="233"/>
      <c r="N1089" s="233"/>
      <c r="O1089" s="234"/>
      <c r="P1089" s="234"/>
      <c r="Q1089" s="233"/>
      <c r="R1089" s="233"/>
      <c r="S1089" s="233"/>
      <c r="T1089" s="233"/>
      <c r="U1089" s="231"/>
    </row>
    <row r="1090" spans="1:21" ht="13.2">
      <c r="A1090" s="231"/>
      <c r="B1090" s="232"/>
      <c r="C1090" s="231"/>
      <c r="D1090" s="231"/>
      <c r="E1090" s="231"/>
      <c r="F1090" s="231"/>
      <c r="G1090" s="231"/>
      <c r="H1090" s="233"/>
      <c r="I1090" s="233"/>
      <c r="J1090" s="233"/>
      <c r="K1090" s="233"/>
      <c r="L1090" s="233"/>
      <c r="M1090" s="233"/>
      <c r="N1090" s="233"/>
      <c r="O1090" s="234"/>
      <c r="P1090" s="234"/>
      <c r="Q1090" s="233"/>
      <c r="R1090" s="233"/>
      <c r="S1090" s="233"/>
      <c r="T1090" s="233"/>
      <c r="U1090" s="231"/>
    </row>
    <row r="1091" spans="1:21" ht="13.2">
      <c r="A1091" s="231"/>
      <c r="B1091" s="232"/>
      <c r="C1091" s="231"/>
      <c r="D1091" s="231"/>
      <c r="E1091" s="231"/>
      <c r="F1091" s="231"/>
      <c r="G1091" s="231"/>
      <c r="H1091" s="233"/>
      <c r="I1091" s="233"/>
      <c r="J1091" s="233"/>
      <c r="K1091" s="233"/>
      <c r="L1091" s="233"/>
      <c r="M1091" s="233"/>
      <c r="N1091" s="233"/>
      <c r="O1091" s="234"/>
      <c r="P1091" s="234"/>
      <c r="Q1091" s="233"/>
      <c r="R1091" s="233"/>
      <c r="S1091" s="233"/>
      <c r="T1091" s="233"/>
      <c r="U1091" s="231"/>
    </row>
    <row r="1092" spans="1:21" ht="13.2">
      <c r="A1092" s="231"/>
      <c r="B1092" s="232"/>
      <c r="C1092" s="231"/>
      <c r="D1092" s="231"/>
      <c r="E1092" s="231"/>
      <c r="F1092" s="231"/>
      <c r="G1092" s="231"/>
      <c r="H1092" s="233"/>
      <c r="I1092" s="233"/>
      <c r="J1092" s="233"/>
      <c r="K1092" s="233"/>
      <c r="L1092" s="233"/>
      <c r="M1092" s="233"/>
      <c r="N1092" s="233"/>
      <c r="O1092" s="234"/>
      <c r="P1092" s="234"/>
      <c r="Q1092" s="233"/>
      <c r="R1092" s="233"/>
      <c r="S1092" s="233"/>
      <c r="T1092" s="233"/>
      <c r="U1092" s="231"/>
    </row>
    <row r="1093" spans="1:21" ht="13.2">
      <c r="A1093" s="231"/>
      <c r="B1093" s="232"/>
      <c r="C1093" s="231"/>
      <c r="D1093" s="231"/>
      <c r="E1093" s="231"/>
      <c r="F1093" s="231"/>
      <c r="G1093" s="231"/>
      <c r="H1093" s="233"/>
      <c r="I1093" s="233"/>
      <c r="J1093" s="233"/>
      <c r="K1093" s="233"/>
      <c r="L1093" s="233"/>
      <c r="M1093" s="233"/>
      <c r="N1093" s="233"/>
      <c r="O1093" s="234"/>
      <c r="P1093" s="234"/>
      <c r="Q1093" s="233"/>
      <c r="R1093" s="233"/>
      <c r="S1093" s="233"/>
      <c r="T1093" s="233"/>
      <c r="U1093" s="231"/>
    </row>
    <row r="1094" spans="1:21" ht="13.2">
      <c r="A1094" s="231"/>
      <c r="B1094" s="232"/>
      <c r="C1094" s="231"/>
      <c r="D1094" s="231"/>
      <c r="E1094" s="231"/>
      <c r="F1094" s="231"/>
      <c r="G1094" s="231"/>
      <c r="H1094" s="233"/>
      <c r="I1094" s="233"/>
      <c r="J1094" s="233"/>
      <c r="K1094" s="233"/>
      <c r="L1094" s="233"/>
      <c r="M1094" s="233"/>
      <c r="N1094" s="233"/>
      <c r="O1094" s="234"/>
      <c r="P1094" s="234"/>
      <c r="Q1094" s="233"/>
      <c r="R1094" s="233"/>
      <c r="S1094" s="233"/>
      <c r="T1094" s="233"/>
      <c r="U1094" s="231"/>
    </row>
    <row r="1095" spans="1:21" ht="13.2">
      <c r="A1095" s="231"/>
      <c r="B1095" s="232"/>
      <c r="C1095" s="231"/>
      <c r="D1095" s="231"/>
      <c r="E1095" s="231"/>
      <c r="F1095" s="231"/>
      <c r="G1095" s="231"/>
      <c r="H1095" s="233"/>
      <c r="I1095" s="233"/>
      <c r="J1095" s="233"/>
      <c r="K1095" s="233"/>
      <c r="L1095" s="233"/>
      <c r="M1095" s="233"/>
      <c r="N1095" s="233"/>
      <c r="O1095" s="234"/>
      <c r="P1095" s="234"/>
      <c r="Q1095" s="233"/>
      <c r="R1095" s="233"/>
      <c r="S1095" s="233"/>
      <c r="T1095" s="233"/>
      <c r="U1095" s="231"/>
    </row>
    <row r="1096" spans="1:21" ht="13.2">
      <c r="A1096" s="231"/>
      <c r="B1096" s="232"/>
      <c r="C1096" s="231"/>
      <c r="D1096" s="231"/>
      <c r="E1096" s="231"/>
      <c r="F1096" s="231"/>
      <c r="G1096" s="231"/>
      <c r="H1096" s="233"/>
      <c r="I1096" s="233"/>
      <c r="J1096" s="233"/>
      <c r="K1096" s="233"/>
      <c r="L1096" s="233"/>
      <c r="M1096" s="233"/>
      <c r="N1096" s="233"/>
      <c r="O1096" s="234"/>
      <c r="P1096" s="234"/>
      <c r="Q1096" s="233"/>
      <c r="R1096" s="233"/>
      <c r="S1096" s="233"/>
      <c r="T1096" s="233"/>
      <c r="U1096" s="231"/>
    </row>
    <row r="1097" spans="1:21" ht="13.2">
      <c r="A1097" s="231"/>
      <c r="B1097" s="232"/>
      <c r="C1097" s="231"/>
      <c r="D1097" s="231"/>
      <c r="E1097" s="231"/>
      <c r="F1097" s="231"/>
      <c r="G1097" s="231"/>
      <c r="H1097" s="233"/>
      <c r="I1097" s="233"/>
      <c r="J1097" s="233"/>
      <c r="K1097" s="233"/>
      <c r="L1097" s="233"/>
      <c r="M1097" s="233"/>
      <c r="N1097" s="233"/>
      <c r="O1097" s="234"/>
      <c r="P1097" s="234"/>
      <c r="Q1097" s="233"/>
      <c r="R1097" s="233"/>
      <c r="S1097" s="233"/>
      <c r="T1097" s="233"/>
      <c r="U1097" s="231"/>
    </row>
    <row r="1098" spans="1:21" ht="13.2">
      <c r="A1098" s="231"/>
      <c r="B1098" s="232"/>
      <c r="C1098" s="231"/>
      <c r="D1098" s="231"/>
      <c r="E1098" s="231"/>
      <c r="F1098" s="231"/>
      <c r="G1098" s="231"/>
      <c r="H1098" s="233"/>
      <c r="I1098" s="233"/>
      <c r="J1098" s="233"/>
      <c r="K1098" s="233"/>
      <c r="L1098" s="233"/>
      <c r="M1098" s="233"/>
      <c r="N1098" s="233"/>
      <c r="O1098" s="234"/>
      <c r="P1098" s="234"/>
      <c r="Q1098" s="233"/>
      <c r="R1098" s="233"/>
      <c r="S1098" s="233"/>
      <c r="T1098" s="233"/>
      <c r="U1098" s="231"/>
    </row>
    <row r="1099" spans="1:21" ht="13.2">
      <c r="A1099" s="231"/>
      <c r="B1099" s="232"/>
      <c r="C1099" s="231"/>
      <c r="D1099" s="231"/>
      <c r="E1099" s="231"/>
      <c r="F1099" s="231"/>
      <c r="G1099" s="231"/>
      <c r="H1099" s="233"/>
      <c r="I1099" s="233"/>
      <c r="J1099" s="233"/>
      <c r="K1099" s="233"/>
      <c r="L1099" s="233"/>
      <c r="M1099" s="233"/>
      <c r="N1099" s="233"/>
      <c r="O1099" s="234"/>
      <c r="P1099" s="234"/>
      <c r="Q1099" s="233"/>
      <c r="R1099" s="233"/>
      <c r="S1099" s="233"/>
      <c r="T1099" s="233"/>
      <c r="U1099" s="231"/>
    </row>
    <row r="1100" spans="1:21" ht="13.2">
      <c r="A1100" s="231"/>
      <c r="B1100" s="232"/>
      <c r="C1100" s="231"/>
      <c r="D1100" s="231"/>
      <c r="E1100" s="231"/>
      <c r="F1100" s="231"/>
      <c r="G1100" s="231"/>
      <c r="H1100" s="233"/>
      <c r="I1100" s="233"/>
      <c r="J1100" s="233"/>
      <c r="K1100" s="233"/>
      <c r="L1100" s="233"/>
      <c r="M1100" s="233"/>
      <c r="N1100" s="233"/>
      <c r="O1100" s="234"/>
      <c r="P1100" s="234"/>
      <c r="Q1100" s="233"/>
      <c r="R1100" s="233"/>
      <c r="S1100" s="233"/>
      <c r="T1100" s="233"/>
      <c r="U1100" s="231"/>
    </row>
    <row r="1101" spans="1:21" ht="13.2">
      <c r="A1101" s="231"/>
      <c r="B1101" s="232"/>
      <c r="C1101" s="231"/>
      <c r="D1101" s="231"/>
      <c r="E1101" s="231"/>
      <c r="F1101" s="231"/>
      <c r="G1101" s="231"/>
      <c r="H1101" s="233"/>
      <c r="I1101" s="233"/>
      <c r="J1101" s="233"/>
      <c r="K1101" s="233"/>
      <c r="L1101" s="233"/>
      <c r="M1101" s="233"/>
      <c r="N1101" s="233"/>
      <c r="O1101" s="234"/>
      <c r="P1101" s="234"/>
      <c r="Q1101" s="233"/>
      <c r="R1101" s="233"/>
      <c r="S1101" s="233"/>
      <c r="T1101" s="233"/>
      <c r="U1101" s="231"/>
    </row>
    <row r="1102" spans="1:21" ht="13.2">
      <c r="A1102" s="231"/>
      <c r="B1102" s="232"/>
      <c r="C1102" s="231"/>
      <c r="D1102" s="231"/>
      <c r="E1102" s="231"/>
      <c r="F1102" s="231"/>
      <c r="G1102" s="231"/>
      <c r="H1102" s="233"/>
      <c r="I1102" s="233"/>
      <c r="J1102" s="233"/>
      <c r="K1102" s="233"/>
      <c r="L1102" s="233"/>
      <c r="M1102" s="233"/>
      <c r="N1102" s="233"/>
      <c r="O1102" s="234"/>
      <c r="P1102" s="234"/>
      <c r="Q1102" s="233"/>
      <c r="R1102" s="233"/>
      <c r="S1102" s="233"/>
      <c r="T1102" s="233"/>
      <c r="U1102" s="231"/>
    </row>
    <row r="1103" spans="1:21" ht="13.2">
      <c r="A1103" s="231"/>
      <c r="B1103" s="232"/>
      <c r="C1103" s="231"/>
      <c r="D1103" s="231"/>
      <c r="E1103" s="231"/>
      <c r="F1103" s="231"/>
      <c r="G1103" s="231"/>
      <c r="H1103" s="233"/>
      <c r="I1103" s="233"/>
      <c r="J1103" s="233"/>
      <c r="K1103" s="233"/>
      <c r="L1103" s="233"/>
      <c r="M1103" s="233"/>
      <c r="N1103" s="233"/>
      <c r="O1103" s="234"/>
      <c r="P1103" s="234"/>
      <c r="Q1103" s="233"/>
      <c r="R1103" s="233"/>
      <c r="S1103" s="233"/>
      <c r="T1103" s="233"/>
      <c r="U1103" s="231"/>
    </row>
    <row r="1104" spans="1:21" ht="13.2">
      <c r="A1104" s="231"/>
      <c r="B1104" s="232"/>
      <c r="C1104" s="231"/>
      <c r="D1104" s="231"/>
      <c r="E1104" s="231"/>
      <c r="F1104" s="231"/>
      <c r="G1104" s="231"/>
      <c r="H1104" s="233"/>
      <c r="I1104" s="233"/>
      <c r="J1104" s="233"/>
      <c r="K1104" s="233"/>
      <c r="L1104" s="233"/>
      <c r="M1104" s="233"/>
      <c r="N1104" s="233"/>
      <c r="O1104" s="234"/>
      <c r="P1104" s="234"/>
      <c r="Q1104" s="233"/>
      <c r="R1104" s="233"/>
      <c r="S1104" s="233"/>
      <c r="T1104" s="233"/>
      <c r="U1104" s="231"/>
    </row>
    <row r="1105" spans="1:21" ht="13.2">
      <c r="A1105" s="231"/>
      <c r="B1105" s="232"/>
      <c r="C1105" s="231"/>
      <c r="D1105" s="231"/>
      <c r="E1105" s="231"/>
      <c r="F1105" s="231"/>
      <c r="G1105" s="231"/>
      <c r="H1105" s="233"/>
      <c r="I1105" s="233"/>
      <c r="J1105" s="233"/>
      <c r="K1105" s="233"/>
      <c r="L1105" s="233"/>
      <c r="M1105" s="233"/>
      <c r="N1105" s="233"/>
      <c r="O1105" s="234"/>
      <c r="P1105" s="234"/>
      <c r="Q1105" s="233"/>
      <c r="R1105" s="233"/>
      <c r="S1105" s="233"/>
      <c r="T1105" s="233"/>
      <c r="U1105" s="231"/>
    </row>
    <row r="1106" spans="1:21" ht="13.2">
      <c r="A1106" s="231"/>
      <c r="B1106" s="232"/>
      <c r="C1106" s="231"/>
      <c r="D1106" s="231"/>
      <c r="E1106" s="231"/>
      <c r="F1106" s="231"/>
      <c r="G1106" s="231"/>
      <c r="H1106" s="233"/>
      <c r="I1106" s="233"/>
      <c r="J1106" s="233"/>
      <c r="K1106" s="233"/>
      <c r="L1106" s="233"/>
      <c r="M1106" s="233"/>
      <c r="N1106" s="233"/>
      <c r="O1106" s="234"/>
      <c r="P1106" s="234"/>
      <c r="Q1106" s="233"/>
      <c r="R1106" s="233"/>
      <c r="S1106" s="233"/>
      <c r="T1106" s="233"/>
      <c r="U1106" s="231"/>
    </row>
    <row r="1107" spans="1:21" ht="13.2">
      <c r="A1107" s="231"/>
      <c r="B1107" s="232"/>
      <c r="C1107" s="231"/>
      <c r="D1107" s="231"/>
      <c r="E1107" s="231"/>
      <c r="F1107" s="231"/>
      <c r="G1107" s="231"/>
      <c r="H1107" s="233"/>
      <c r="I1107" s="233"/>
      <c r="J1107" s="233"/>
      <c r="K1107" s="233"/>
      <c r="L1107" s="233"/>
      <c r="M1107" s="233"/>
      <c r="N1107" s="233"/>
      <c r="O1107" s="234"/>
      <c r="P1107" s="234"/>
      <c r="Q1107" s="233"/>
      <c r="R1107" s="233"/>
      <c r="S1107" s="233"/>
      <c r="T1107" s="233"/>
      <c r="U1107" s="231"/>
    </row>
    <row r="1108" spans="1:21" ht="13.2">
      <c r="A1108" s="231"/>
      <c r="B1108" s="232"/>
      <c r="C1108" s="231"/>
      <c r="D1108" s="231"/>
      <c r="E1108" s="231"/>
      <c r="F1108" s="231"/>
      <c r="G1108" s="231"/>
      <c r="H1108" s="233"/>
      <c r="I1108" s="233"/>
      <c r="J1108" s="233"/>
      <c r="K1108" s="233"/>
      <c r="L1108" s="233"/>
      <c r="M1108" s="233"/>
      <c r="N1108" s="233"/>
      <c r="O1108" s="234"/>
      <c r="P1108" s="234"/>
      <c r="Q1108" s="233"/>
      <c r="R1108" s="233"/>
      <c r="S1108" s="233"/>
      <c r="T1108" s="233"/>
      <c r="U1108" s="231"/>
    </row>
    <row r="1109" spans="1:21" ht="13.2">
      <c r="A1109" s="231"/>
      <c r="B1109" s="232"/>
      <c r="C1109" s="231"/>
      <c r="D1109" s="231"/>
      <c r="E1109" s="231"/>
      <c r="F1109" s="231"/>
      <c r="G1109" s="231"/>
      <c r="H1109" s="233"/>
      <c r="I1109" s="233"/>
      <c r="J1109" s="233"/>
      <c r="K1109" s="233"/>
      <c r="L1109" s="233"/>
      <c r="M1109" s="233"/>
      <c r="N1109" s="233"/>
      <c r="O1109" s="234"/>
      <c r="P1109" s="234"/>
      <c r="Q1109" s="233"/>
      <c r="R1109" s="233"/>
      <c r="S1109" s="233"/>
      <c r="T1109" s="233"/>
      <c r="U1109" s="231"/>
    </row>
    <row r="1110" spans="1:21" ht="13.2">
      <c r="A1110" s="231"/>
      <c r="B1110" s="232"/>
      <c r="C1110" s="231"/>
      <c r="D1110" s="231"/>
      <c r="E1110" s="231"/>
      <c r="F1110" s="231"/>
      <c r="G1110" s="231"/>
      <c r="H1110" s="233"/>
      <c r="I1110" s="233"/>
      <c r="J1110" s="233"/>
      <c r="K1110" s="233"/>
      <c r="L1110" s="233"/>
      <c r="M1110" s="233"/>
      <c r="N1110" s="233"/>
      <c r="O1110" s="234"/>
      <c r="P1110" s="234"/>
      <c r="Q1110" s="233"/>
      <c r="R1110" s="233"/>
      <c r="S1110" s="233"/>
      <c r="T1110" s="233"/>
      <c r="U1110" s="231"/>
    </row>
    <row r="1111" spans="1:21" ht="13.2">
      <c r="A1111" s="231"/>
      <c r="B1111" s="232"/>
      <c r="C1111" s="231"/>
      <c r="D1111" s="231"/>
      <c r="E1111" s="231"/>
      <c r="F1111" s="231"/>
      <c r="G1111" s="231"/>
      <c r="H1111" s="233"/>
      <c r="I1111" s="233"/>
      <c r="J1111" s="233"/>
      <c r="K1111" s="233"/>
      <c r="L1111" s="233"/>
      <c r="M1111" s="233"/>
      <c r="N1111" s="233"/>
      <c r="O1111" s="234"/>
      <c r="P1111" s="234"/>
      <c r="Q1111" s="233"/>
      <c r="R1111" s="233"/>
      <c r="S1111" s="233"/>
      <c r="T1111" s="233"/>
      <c r="U1111" s="231"/>
    </row>
    <row r="1112" spans="1:21" ht="13.2">
      <c r="A1112" s="231"/>
      <c r="B1112" s="232"/>
      <c r="C1112" s="231"/>
      <c r="D1112" s="231"/>
      <c r="E1112" s="231"/>
      <c r="F1112" s="231"/>
      <c r="G1112" s="231"/>
      <c r="H1112" s="233"/>
      <c r="I1112" s="233"/>
      <c r="J1112" s="233"/>
      <c r="K1112" s="233"/>
      <c r="L1112" s="233"/>
      <c r="M1112" s="233"/>
      <c r="N1112" s="233"/>
      <c r="O1112" s="234"/>
      <c r="P1112" s="234"/>
      <c r="Q1112" s="233"/>
      <c r="R1112" s="233"/>
      <c r="S1112" s="233"/>
      <c r="T1112" s="233"/>
      <c r="U1112" s="231"/>
    </row>
    <row r="1113" spans="1:21" ht="13.2">
      <c r="A1113" s="231"/>
      <c r="B1113" s="232"/>
      <c r="C1113" s="231"/>
      <c r="D1113" s="231"/>
      <c r="E1113" s="231"/>
      <c r="F1113" s="231"/>
      <c r="G1113" s="231"/>
      <c r="H1113" s="233"/>
      <c r="I1113" s="233"/>
      <c r="J1113" s="233"/>
      <c r="K1113" s="233"/>
      <c r="L1113" s="233"/>
      <c r="M1113" s="233"/>
      <c r="N1113" s="233"/>
      <c r="O1113" s="234"/>
      <c r="P1113" s="234"/>
      <c r="Q1113" s="233"/>
      <c r="R1113" s="233"/>
      <c r="S1113" s="233"/>
      <c r="T1113" s="233"/>
      <c r="U1113" s="231"/>
    </row>
    <row r="1114" spans="1:21" ht="13.2">
      <c r="A1114" s="231"/>
      <c r="B1114" s="232"/>
      <c r="C1114" s="231"/>
      <c r="D1114" s="231"/>
      <c r="E1114" s="231"/>
      <c r="F1114" s="231"/>
      <c r="G1114" s="231"/>
      <c r="H1114" s="233"/>
      <c r="I1114" s="233"/>
      <c r="J1114" s="233"/>
      <c r="K1114" s="233"/>
      <c r="L1114" s="233"/>
      <c r="M1114" s="233"/>
      <c r="N1114" s="233"/>
      <c r="O1114" s="234"/>
      <c r="P1114" s="234"/>
      <c r="Q1114" s="233"/>
      <c r="R1114" s="233"/>
      <c r="S1114" s="233"/>
      <c r="T1114" s="233"/>
      <c r="U1114" s="231"/>
    </row>
    <row r="1115" spans="1:21" ht="13.2">
      <c r="A1115" s="231"/>
      <c r="B1115" s="232"/>
      <c r="C1115" s="231"/>
      <c r="D1115" s="231"/>
      <c r="E1115" s="231"/>
      <c r="F1115" s="231"/>
      <c r="G1115" s="231"/>
      <c r="H1115" s="233"/>
      <c r="I1115" s="233"/>
      <c r="J1115" s="233"/>
      <c r="K1115" s="233"/>
      <c r="L1115" s="233"/>
      <c r="M1115" s="233"/>
      <c r="N1115" s="233"/>
      <c r="O1115" s="234"/>
      <c r="P1115" s="234"/>
      <c r="Q1115" s="233"/>
      <c r="R1115" s="233"/>
      <c r="S1115" s="233"/>
      <c r="T1115" s="233"/>
      <c r="U1115" s="231"/>
    </row>
    <row r="1116" spans="1:21" ht="13.2">
      <c r="A1116" s="231"/>
      <c r="B1116" s="232"/>
      <c r="C1116" s="231"/>
      <c r="D1116" s="231"/>
      <c r="E1116" s="231"/>
      <c r="F1116" s="231"/>
      <c r="G1116" s="231"/>
      <c r="H1116" s="233"/>
      <c r="I1116" s="233"/>
      <c r="J1116" s="233"/>
      <c r="K1116" s="233"/>
      <c r="L1116" s="233"/>
      <c r="M1116" s="233"/>
      <c r="N1116" s="233"/>
      <c r="O1116" s="234"/>
      <c r="P1116" s="234"/>
      <c r="Q1116" s="233"/>
      <c r="R1116" s="233"/>
      <c r="S1116" s="233"/>
      <c r="T1116" s="233"/>
      <c r="U1116" s="231"/>
    </row>
    <row r="1117" spans="1:21" ht="13.2">
      <c r="A1117" s="231"/>
      <c r="B1117" s="232"/>
      <c r="C1117" s="231"/>
      <c r="D1117" s="231"/>
      <c r="E1117" s="231"/>
      <c r="F1117" s="231"/>
      <c r="G1117" s="231"/>
      <c r="H1117" s="233"/>
      <c r="I1117" s="233"/>
      <c r="J1117" s="233"/>
      <c r="K1117" s="233"/>
      <c r="L1117" s="233"/>
      <c r="M1117" s="233"/>
      <c r="N1117" s="233"/>
      <c r="O1117" s="234"/>
      <c r="P1117" s="234"/>
      <c r="Q1117" s="233"/>
      <c r="R1117" s="233"/>
      <c r="S1117" s="233"/>
      <c r="T1117" s="233"/>
      <c r="U1117" s="231"/>
    </row>
    <row r="1118" spans="1:21" ht="13.2">
      <c r="A1118" s="231"/>
      <c r="B1118" s="232"/>
      <c r="C1118" s="231"/>
      <c r="D1118" s="231"/>
      <c r="E1118" s="231"/>
      <c r="F1118" s="231"/>
      <c r="G1118" s="231"/>
      <c r="H1118" s="233"/>
      <c r="I1118" s="233"/>
      <c r="J1118" s="233"/>
      <c r="K1118" s="233"/>
      <c r="L1118" s="233"/>
      <c r="M1118" s="233"/>
      <c r="N1118" s="233"/>
      <c r="O1118" s="234"/>
      <c r="P1118" s="234"/>
      <c r="Q1118" s="233"/>
      <c r="R1118" s="233"/>
      <c r="S1118" s="233"/>
      <c r="T1118" s="233"/>
      <c r="U1118" s="231"/>
    </row>
    <row r="1119" spans="1:21" ht="13.2">
      <c r="A1119" s="231"/>
      <c r="B1119" s="232"/>
      <c r="C1119" s="231"/>
      <c r="D1119" s="231"/>
      <c r="E1119" s="231"/>
      <c r="F1119" s="231"/>
      <c r="G1119" s="231"/>
      <c r="H1119" s="233"/>
      <c r="I1119" s="233"/>
      <c r="J1119" s="233"/>
      <c r="K1119" s="233"/>
      <c r="L1119" s="233"/>
      <c r="M1119" s="233"/>
      <c r="N1119" s="233"/>
      <c r="O1119" s="234"/>
      <c r="P1119" s="234"/>
      <c r="Q1119" s="233"/>
      <c r="R1119" s="233"/>
      <c r="S1119" s="233"/>
      <c r="T1119" s="233"/>
      <c r="U1119" s="231"/>
    </row>
    <row r="1120" spans="1:21" ht="13.2">
      <c r="A1120" s="231"/>
      <c r="B1120" s="232"/>
      <c r="C1120" s="231"/>
      <c r="D1120" s="231"/>
      <c r="E1120" s="231"/>
      <c r="F1120" s="231"/>
      <c r="G1120" s="231"/>
      <c r="H1120" s="233"/>
      <c r="I1120" s="233"/>
      <c r="J1120" s="233"/>
      <c r="K1120" s="233"/>
      <c r="L1120" s="233"/>
      <c r="M1120" s="233"/>
      <c r="N1120" s="233"/>
      <c r="O1120" s="234"/>
      <c r="P1120" s="234"/>
      <c r="Q1120" s="233"/>
      <c r="R1120" s="233"/>
      <c r="S1120" s="233"/>
      <c r="T1120" s="233"/>
      <c r="U1120" s="231"/>
    </row>
    <row r="1121" spans="1:21" ht="13.2">
      <c r="A1121" s="231"/>
      <c r="B1121" s="232"/>
      <c r="C1121" s="231"/>
      <c r="D1121" s="231"/>
      <c r="E1121" s="231"/>
      <c r="F1121" s="231"/>
      <c r="G1121" s="231"/>
      <c r="H1121" s="233"/>
      <c r="I1121" s="233"/>
      <c r="J1121" s="233"/>
      <c r="K1121" s="233"/>
      <c r="L1121" s="233"/>
      <c r="M1121" s="233"/>
      <c r="N1121" s="233"/>
      <c r="O1121" s="234"/>
      <c r="P1121" s="234"/>
      <c r="Q1121" s="233"/>
      <c r="R1121" s="233"/>
      <c r="S1121" s="233"/>
      <c r="T1121" s="233"/>
      <c r="U1121" s="231"/>
    </row>
    <row r="1122" spans="1:21" ht="13.2">
      <c r="A1122" s="231"/>
      <c r="B1122" s="232"/>
      <c r="C1122" s="231"/>
      <c r="D1122" s="231"/>
      <c r="E1122" s="231"/>
      <c r="F1122" s="231"/>
      <c r="G1122" s="231"/>
      <c r="H1122" s="233"/>
      <c r="I1122" s="233"/>
      <c r="J1122" s="233"/>
      <c r="K1122" s="233"/>
      <c r="L1122" s="233"/>
      <c r="M1122" s="233"/>
      <c r="N1122" s="233"/>
      <c r="O1122" s="234"/>
      <c r="P1122" s="234"/>
      <c r="Q1122" s="233"/>
      <c r="R1122" s="233"/>
      <c r="S1122" s="233"/>
      <c r="T1122" s="233"/>
      <c r="U1122" s="231"/>
    </row>
    <row r="1123" spans="1:21" ht="13.2">
      <c r="A1123" s="231"/>
      <c r="B1123" s="232"/>
      <c r="C1123" s="231"/>
      <c r="D1123" s="231"/>
      <c r="E1123" s="231"/>
      <c r="F1123" s="231"/>
      <c r="G1123" s="231"/>
      <c r="H1123" s="233"/>
      <c r="I1123" s="233"/>
      <c r="J1123" s="233"/>
      <c r="K1123" s="233"/>
      <c r="L1123" s="233"/>
      <c r="M1123" s="233"/>
      <c r="N1123" s="233"/>
      <c r="O1123" s="234"/>
      <c r="P1123" s="234"/>
      <c r="Q1123" s="233"/>
      <c r="R1123" s="233"/>
      <c r="S1123" s="233"/>
      <c r="T1123" s="233"/>
      <c r="U1123" s="231"/>
    </row>
    <row r="1124" spans="1:21" ht="13.2">
      <c r="A1124" s="231"/>
      <c r="B1124" s="232"/>
      <c r="C1124" s="231"/>
      <c r="D1124" s="231"/>
      <c r="E1124" s="231"/>
      <c r="F1124" s="231"/>
      <c r="G1124" s="231"/>
      <c r="H1124" s="233"/>
      <c r="I1124" s="233"/>
      <c r="J1124" s="233"/>
      <c r="K1124" s="233"/>
      <c r="L1124" s="233"/>
      <c r="M1124" s="233"/>
      <c r="N1124" s="233"/>
      <c r="O1124" s="234"/>
      <c r="P1124" s="234"/>
      <c r="Q1124" s="233"/>
      <c r="R1124" s="233"/>
      <c r="S1124" s="233"/>
      <c r="T1124" s="233"/>
      <c r="U1124" s="231"/>
    </row>
    <row r="1125" spans="1:21" ht="13.2">
      <c r="A1125" s="231"/>
      <c r="B1125" s="232"/>
      <c r="C1125" s="231"/>
      <c r="D1125" s="231"/>
      <c r="E1125" s="231"/>
      <c r="F1125" s="231"/>
      <c r="G1125" s="231"/>
      <c r="H1125" s="233"/>
      <c r="I1125" s="233"/>
      <c r="J1125" s="233"/>
      <c r="K1125" s="233"/>
      <c r="L1125" s="233"/>
      <c r="M1125" s="233"/>
      <c r="N1125" s="233"/>
      <c r="O1125" s="234"/>
      <c r="P1125" s="234"/>
      <c r="Q1125" s="233"/>
      <c r="R1125" s="233"/>
      <c r="S1125" s="233"/>
      <c r="T1125" s="233"/>
      <c r="U1125" s="231"/>
    </row>
    <row r="1126" spans="1:21" ht="13.2">
      <c r="A1126" s="231"/>
      <c r="B1126" s="232"/>
      <c r="C1126" s="231"/>
      <c r="D1126" s="231"/>
      <c r="E1126" s="231"/>
      <c r="F1126" s="231"/>
      <c r="G1126" s="231"/>
      <c r="H1126" s="233"/>
      <c r="I1126" s="233"/>
      <c r="J1126" s="233"/>
      <c r="K1126" s="233"/>
      <c r="L1126" s="233"/>
      <c r="M1126" s="233"/>
      <c r="N1126" s="233"/>
      <c r="O1126" s="234"/>
      <c r="P1126" s="234"/>
      <c r="Q1126" s="233"/>
      <c r="R1126" s="233"/>
      <c r="S1126" s="233"/>
      <c r="T1126" s="233"/>
      <c r="U1126" s="231"/>
    </row>
    <row r="1127" spans="1:21" ht="13.2">
      <c r="A1127" s="231"/>
      <c r="B1127" s="232"/>
      <c r="C1127" s="231"/>
      <c r="D1127" s="231"/>
      <c r="E1127" s="231"/>
      <c r="F1127" s="231"/>
      <c r="G1127" s="231"/>
      <c r="H1127" s="233"/>
      <c r="I1127" s="233"/>
      <c r="J1127" s="233"/>
      <c r="K1127" s="233"/>
      <c r="L1127" s="233"/>
      <c r="M1127" s="233"/>
      <c r="N1127" s="233"/>
      <c r="O1127" s="234"/>
      <c r="P1127" s="234"/>
      <c r="Q1127" s="233"/>
      <c r="R1127" s="233"/>
      <c r="S1127" s="233"/>
      <c r="T1127" s="233"/>
      <c r="U1127" s="231"/>
    </row>
    <row r="1128" spans="1:21" ht="13.2">
      <c r="A1128" s="231"/>
      <c r="B1128" s="232"/>
      <c r="C1128" s="231"/>
      <c r="D1128" s="231"/>
      <c r="E1128" s="231"/>
      <c r="F1128" s="231"/>
      <c r="G1128" s="231"/>
      <c r="H1128" s="233"/>
      <c r="I1128" s="233"/>
      <c r="J1128" s="233"/>
      <c r="K1128" s="233"/>
      <c r="L1128" s="233"/>
      <c r="M1128" s="233"/>
      <c r="N1128" s="233"/>
      <c r="O1128" s="234"/>
      <c r="P1128" s="234"/>
      <c r="Q1128" s="233"/>
      <c r="R1128" s="233"/>
      <c r="S1128" s="233"/>
      <c r="T1128" s="233"/>
      <c r="U1128" s="231"/>
    </row>
    <row r="1129" spans="1:21" ht="13.2">
      <c r="A1129" s="231"/>
      <c r="B1129" s="232"/>
      <c r="C1129" s="231"/>
      <c r="D1129" s="231"/>
      <c r="E1129" s="231"/>
      <c r="F1129" s="231"/>
      <c r="G1129" s="231"/>
      <c r="H1129" s="233"/>
      <c r="I1129" s="233"/>
      <c r="J1129" s="233"/>
      <c r="K1129" s="233"/>
      <c r="L1129" s="233"/>
      <c r="M1129" s="233"/>
      <c r="N1129" s="233"/>
      <c r="O1129" s="234"/>
      <c r="P1129" s="234"/>
      <c r="Q1129" s="233"/>
      <c r="R1129" s="233"/>
      <c r="S1129" s="233"/>
      <c r="T1129" s="233"/>
      <c r="U1129" s="231"/>
    </row>
    <row r="1130" spans="1:21" ht="13.2">
      <c r="A1130" s="231"/>
      <c r="B1130" s="232"/>
      <c r="C1130" s="231"/>
      <c r="D1130" s="231"/>
      <c r="E1130" s="231"/>
      <c r="F1130" s="231"/>
      <c r="G1130" s="231"/>
      <c r="H1130" s="233"/>
      <c r="I1130" s="233"/>
      <c r="J1130" s="233"/>
      <c r="K1130" s="233"/>
      <c r="L1130" s="233"/>
      <c r="M1130" s="233"/>
      <c r="N1130" s="233"/>
      <c r="O1130" s="234"/>
      <c r="P1130" s="234"/>
      <c r="Q1130" s="233"/>
      <c r="R1130" s="233"/>
      <c r="S1130" s="233"/>
      <c r="T1130" s="233"/>
      <c r="U1130" s="231"/>
    </row>
    <row r="1131" spans="1:21" ht="13.2">
      <c r="A1131" s="231"/>
      <c r="B1131" s="232"/>
      <c r="C1131" s="231"/>
      <c r="D1131" s="231"/>
      <c r="E1131" s="231"/>
      <c r="F1131" s="231"/>
      <c r="G1131" s="231"/>
      <c r="H1131" s="233"/>
      <c r="I1131" s="233"/>
      <c r="J1131" s="233"/>
      <c r="K1131" s="233"/>
      <c r="L1131" s="233"/>
      <c r="M1131" s="233"/>
      <c r="N1131" s="233"/>
      <c r="O1131" s="234"/>
      <c r="P1131" s="234"/>
      <c r="Q1131" s="233"/>
      <c r="R1131" s="233"/>
      <c r="S1131" s="233"/>
      <c r="T1131" s="233"/>
      <c r="U1131" s="231"/>
    </row>
    <row r="1132" spans="1:21" ht="13.2">
      <c r="A1132" s="231"/>
      <c r="B1132" s="232"/>
      <c r="C1132" s="231"/>
      <c r="D1132" s="231"/>
      <c r="E1132" s="231"/>
      <c r="F1132" s="231"/>
      <c r="G1132" s="231"/>
      <c r="H1132" s="233"/>
      <c r="I1132" s="233"/>
      <c r="J1132" s="233"/>
      <c r="K1132" s="233"/>
      <c r="L1132" s="233"/>
      <c r="M1132" s="233"/>
      <c r="N1132" s="233"/>
      <c r="O1132" s="234"/>
      <c r="P1132" s="234"/>
      <c r="Q1132" s="233"/>
      <c r="R1132" s="233"/>
      <c r="S1132" s="233"/>
      <c r="T1132" s="233"/>
      <c r="U1132" s="231"/>
    </row>
    <row r="1133" spans="1:21" ht="13.2">
      <c r="A1133" s="231"/>
      <c r="B1133" s="232"/>
      <c r="C1133" s="231"/>
      <c r="D1133" s="231"/>
      <c r="E1133" s="231"/>
      <c r="F1133" s="231"/>
      <c r="G1133" s="231"/>
      <c r="H1133" s="233"/>
      <c r="I1133" s="233"/>
      <c r="J1133" s="233"/>
      <c r="K1133" s="233"/>
      <c r="L1133" s="233"/>
      <c r="M1133" s="233"/>
      <c r="N1133" s="233"/>
      <c r="O1133" s="234"/>
      <c r="P1133" s="234"/>
      <c r="Q1133" s="233"/>
      <c r="R1133" s="233"/>
      <c r="S1133" s="233"/>
      <c r="T1133" s="233"/>
      <c r="U1133" s="231"/>
    </row>
    <row r="1134" spans="1:21" ht="13.2">
      <c r="A1134" s="231"/>
      <c r="B1134" s="232"/>
      <c r="C1134" s="231"/>
      <c r="D1134" s="231"/>
      <c r="E1134" s="231"/>
      <c r="F1134" s="231"/>
      <c r="G1134" s="231"/>
      <c r="H1134" s="233"/>
      <c r="I1134" s="233"/>
      <c r="J1134" s="233"/>
      <c r="K1134" s="233"/>
      <c r="L1134" s="233"/>
      <c r="M1134" s="233"/>
      <c r="N1134" s="233"/>
      <c r="O1134" s="234"/>
      <c r="P1134" s="234"/>
      <c r="Q1134" s="233"/>
      <c r="R1134" s="233"/>
      <c r="S1134" s="233"/>
      <c r="T1134" s="233"/>
      <c r="U1134" s="231"/>
    </row>
    <row r="1135" spans="1:21" ht="13.2">
      <c r="A1135" s="231"/>
      <c r="B1135" s="232"/>
      <c r="C1135" s="231"/>
      <c r="D1135" s="231"/>
      <c r="E1135" s="231"/>
      <c r="F1135" s="231"/>
      <c r="G1135" s="231"/>
      <c r="H1135" s="233"/>
      <c r="I1135" s="233"/>
      <c r="J1135" s="233"/>
      <c r="K1135" s="233"/>
      <c r="L1135" s="233"/>
      <c r="M1135" s="233"/>
      <c r="N1135" s="233"/>
      <c r="O1135" s="234"/>
      <c r="P1135" s="234"/>
      <c r="Q1135" s="233"/>
      <c r="R1135" s="233"/>
      <c r="S1135" s="233"/>
      <c r="T1135" s="233"/>
      <c r="U1135" s="231"/>
    </row>
    <row r="1136" spans="1:21" ht="13.2">
      <c r="A1136" s="231"/>
      <c r="B1136" s="232"/>
      <c r="C1136" s="231"/>
      <c r="D1136" s="231"/>
      <c r="E1136" s="231"/>
      <c r="F1136" s="231"/>
      <c r="G1136" s="231"/>
      <c r="H1136" s="233"/>
      <c r="I1136" s="233"/>
      <c r="J1136" s="233"/>
      <c r="K1136" s="233"/>
      <c r="L1136" s="233"/>
      <c r="M1136" s="233"/>
      <c r="N1136" s="233"/>
      <c r="O1136" s="234"/>
      <c r="P1136" s="234"/>
      <c r="Q1136" s="233"/>
      <c r="R1136" s="233"/>
      <c r="S1136" s="233"/>
      <c r="T1136" s="233"/>
      <c r="U1136" s="231"/>
    </row>
    <row r="1137" spans="1:21" ht="13.2">
      <c r="A1137" s="231"/>
      <c r="B1137" s="232"/>
      <c r="C1137" s="231"/>
      <c r="D1137" s="231"/>
      <c r="E1137" s="231"/>
      <c r="F1137" s="231"/>
      <c r="G1137" s="231"/>
      <c r="H1137" s="233"/>
      <c r="I1137" s="233"/>
      <c r="J1137" s="233"/>
      <c r="K1137" s="233"/>
      <c r="L1137" s="233"/>
      <c r="M1137" s="233"/>
      <c r="N1137" s="233"/>
      <c r="O1137" s="234"/>
      <c r="P1137" s="234"/>
      <c r="Q1137" s="233"/>
      <c r="R1137" s="233"/>
      <c r="S1137" s="233"/>
      <c r="T1137" s="233"/>
      <c r="U1137" s="231"/>
    </row>
    <row r="1138" spans="1:21" ht="13.2">
      <c r="A1138" s="231"/>
      <c r="B1138" s="232"/>
      <c r="C1138" s="231"/>
      <c r="D1138" s="231"/>
      <c r="E1138" s="231"/>
      <c r="F1138" s="231"/>
      <c r="G1138" s="231"/>
      <c r="H1138" s="233"/>
      <c r="I1138" s="233"/>
      <c r="J1138" s="233"/>
      <c r="K1138" s="233"/>
      <c r="L1138" s="233"/>
      <c r="M1138" s="233"/>
      <c r="N1138" s="233"/>
      <c r="O1138" s="234"/>
      <c r="P1138" s="234"/>
      <c r="Q1138" s="233"/>
      <c r="R1138" s="233"/>
      <c r="S1138" s="233"/>
      <c r="T1138" s="233"/>
      <c r="U1138" s="231"/>
    </row>
    <row r="1139" spans="1:21" ht="13.2">
      <c r="A1139" s="231"/>
      <c r="B1139" s="232"/>
      <c r="C1139" s="231"/>
      <c r="D1139" s="231"/>
      <c r="E1139" s="231"/>
      <c r="F1139" s="231"/>
      <c r="G1139" s="231"/>
      <c r="H1139" s="233"/>
      <c r="I1139" s="233"/>
      <c r="J1139" s="233"/>
      <c r="K1139" s="233"/>
      <c r="L1139" s="233"/>
      <c r="M1139" s="233"/>
      <c r="N1139" s="233"/>
      <c r="O1139" s="234"/>
      <c r="P1139" s="234"/>
      <c r="Q1139" s="233"/>
      <c r="R1139" s="233"/>
      <c r="S1139" s="233"/>
      <c r="T1139" s="233"/>
      <c r="U1139" s="231"/>
    </row>
    <row r="1140" spans="1:21" ht="13.2">
      <c r="A1140" s="231"/>
      <c r="B1140" s="232"/>
      <c r="C1140" s="231"/>
      <c r="D1140" s="231"/>
      <c r="E1140" s="231"/>
      <c r="F1140" s="231"/>
      <c r="G1140" s="231"/>
      <c r="H1140" s="233"/>
      <c r="I1140" s="233"/>
      <c r="J1140" s="233"/>
      <c r="K1140" s="233"/>
      <c r="L1140" s="233"/>
      <c r="M1140" s="233"/>
      <c r="N1140" s="233"/>
      <c r="O1140" s="234"/>
      <c r="P1140" s="234"/>
      <c r="Q1140" s="233"/>
      <c r="R1140" s="233"/>
      <c r="S1140" s="233"/>
      <c r="T1140" s="233"/>
      <c r="U1140" s="231"/>
    </row>
    <row r="1141" spans="1:21" ht="13.2">
      <c r="A1141" s="231"/>
      <c r="B1141" s="232"/>
      <c r="C1141" s="231"/>
      <c r="D1141" s="231"/>
      <c r="E1141" s="231"/>
      <c r="F1141" s="231"/>
      <c r="G1141" s="231"/>
      <c r="H1141" s="233"/>
      <c r="I1141" s="233"/>
      <c r="J1141" s="233"/>
      <c r="K1141" s="233"/>
      <c r="L1141" s="233"/>
      <c r="M1141" s="233"/>
      <c r="N1141" s="233"/>
      <c r="O1141" s="234"/>
      <c r="P1141" s="234"/>
      <c r="Q1141" s="233"/>
      <c r="R1141" s="233"/>
      <c r="S1141" s="233"/>
      <c r="T1141" s="233"/>
      <c r="U1141" s="231"/>
    </row>
    <row r="1142" spans="1:21" ht="13.2">
      <c r="A1142" s="231"/>
      <c r="B1142" s="232"/>
      <c r="C1142" s="231"/>
      <c r="D1142" s="231"/>
      <c r="E1142" s="231"/>
      <c r="F1142" s="231"/>
      <c r="G1142" s="231"/>
      <c r="H1142" s="233"/>
      <c r="I1142" s="233"/>
      <c r="J1142" s="233"/>
      <c r="K1142" s="233"/>
      <c r="L1142" s="233"/>
      <c r="M1142" s="233"/>
      <c r="N1142" s="233"/>
      <c r="O1142" s="234"/>
      <c r="P1142" s="234"/>
      <c r="Q1142" s="233"/>
      <c r="R1142" s="233"/>
      <c r="S1142" s="233"/>
      <c r="T1142" s="233"/>
      <c r="U1142" s="231"/>
    </row>
    <row r="1143" spans="1:21" ht="13.2">
      <c r="A1143" s="231"/>
      <c r="B1143" s="232"/>
      <c r="C1143" s="231"/>
      <c r="D1143" s="231"/>
      <c r="E1143" s="231"/>
      <c r="F1143" s="231"/>
      <c r="G1143" s="231"/>
      <c r="H1143" s="233"/>
      <c r="I1143" s="233"/>
      <c r="J1143" s="233"/>
      <c r="K1143" s="233"/>
      <c r="L1143" s="233"/>
      <c r="M1143" s="233"/>
      <c r="N1143" s="233"/>
      <c r="O1143" s="234"/>
      <c r="P1143" s="234"/>
      <c r="Q1143" s="233"/>
      <c r="R1143" s="233"/>
      <c r="S1143" s="233"/>
      <c r="T1143" s="233"/>
      <c r="U1143" s="231"/>
    </row>
    <row r="1144" spans="1:21" ht="13.2">
      <c r="A1144" s="231"/>
      <c r="B1144" s="232"/>
      <c r="C1144" s="231"/>
      <c r="D1144" s="231"/>
      <c r="E1144" s="231"/>
      <c r="F1144" s="231"/>
      <c r="G1144" s="231"/>
      <c r="H1144" s="233"/>
      <c r="I1144" s="233"/>
      <c r="J1144" s="233"/>
      <c r="K1144" s="233"/>
      <c r="L1144" s="233"/>
      <c r="M1144" s="233"/>
      <c r="N1144" s="233"/>
      <c r="O1144" s="234"/>
      <c r="P1144" s="234"/>
      <c r="Q1144" s="233"/>
      <c r="R1144" s="233"/>
      <c r="S1144" s="233"/>
      <c r="T1144" s="233"/>
      <c r="U1144" s="231"/>
    </row>
    <row r="1145" spans="1:21" ht="13.2">
      <c r="A1145" s="231"/>
      <c r="B1145" s="232"/>
      <c r="C1145" s="231"/>
      <c r="D1145" s="231"/>
      <c r="E1145" s="231"/>
      <c r="F1145" s="231"/>
      <c r="G1145" s="231"/>
      <c r="H1145" s="233"/>
      <c r="I1145" s="233"/>
      <c r="J1145" s="233"/>
      <c r="K1145" s="233"/>
      <c r="L1145" s="233"/>
      <c r="M1145" s="233"/>
      <c r="N1145" s="233"/>
      <c r="O1145" s="234"/>
      <c r="P1145" s="234"/>
      <c r="Q1145" s="233"/>
      <c r="R1145" s="233"/>
      <c r="S1145" s="233"/>
      <c r="T1145" s="233"/>
      <c r="U1145" s="231"/>
    </row>
    <row r="1146" spans="1:21" ht="13.2">
      <c r="A1146" s="231"/>
      <c r="B1146" s="232"/>
      <c r="C1146" s="231"/>
      <c r="D1146" s="231"/>
      <c r="E1146" s="231"/>
      <c r="F1146" s="231"/>
      <c r="G1146" s="231"/>
      <c r="H1146" s="233"/>
      <c r="I1146" s="233"/>
      <c r="J1146" s="233"/>
      <c r="K1146" s="233"/>
      <c r="L1146" s="233"/>
      <c r="M1146" s="233"/>
      <c r="N1146" s="233"/>
      <c r="O1146" s="234"/>
      <c r="P1146" s="234"/>
      <c r="Q1146" s="233"/>
      <c r="R1146" s="233"/>
      <c r="S1146" s="233"/>
      <c r="T1146" s="233"/>
      <c r="U1146" s="231"/>
    </row>
    <row r="1147" spans="1:21" ht="13.2">
      <c r="A1147" s="231"/>
      <c r="B1147" s="232"/>
      <c r="C1147" s="231"/>
      <c r="D1147" s="231"/>
      <c r="E1147" s="231"/>
      <c r="F1147" s="231"/>
      <c r="G1147" s="231"/>
      <c r="H1147" s="233"/>
      <c r="I1147" s="233"/>
      <c r="J1147" s="233"/>
      <c r="K1147" s="233"/>
      <c r="L1147" s="233"/>
      <c r="M1147" s="233"/>
      <c r="N1147" s="233"/>
      <c r="O1147" s="234"/>
      <c r="P1147" s="234"/>
      <c r="Q1147" s="233"/>
      <c r="R1147" s="233"/>
      <c r="S1147" s="233"/>
      <c r="T1147" s="233"/>
      <c r="U1147" s="231"/>
    </row>
    <row r="1148" spans="1:21" ht="13.2">
      <c r="A1148" s="231"/>
      <c r="B1148" s="232"/>
      <c r="C1148" s="231"/>
      <c r="D1148" s="231"/>
      <c r="E1148" s="231"/>
      <c r="F1148" s="231"/>
      <c r="G1148" s="231"/>
      <c r="H1148" s="233"/>
      <c r="I1148" s="233"/>
      <c r="J1148" s="233"/>
      <c r="K1148" s="233"/>
      <c r="L1148" s="233"/>
      <c r="M1148" s="233"/>
      <c r="N1148" s="233"/>
      <c r="O1148" s="234"/>
      <c r="P1148" s="234"/>
      <c r="Q1148" s="233"/>
      <c r="R1148" s="233"/>
      <c r="S1148" s="233"/>
      <c r="T1148" s="233"/>
      <c r="U1148" s="231"/>
    </row>
    <row r="1149" spans="1:21" ht="13.2">
      <c r="A1149" s="231"/>
      <c r="B1149" s="232"/>
      <c r="C1149" s="231"/>
      <c r="D1149" s="231"/>
      <c r="E1149" s="231"/>
      <c r="F1149" s="231"/>
      <c r="G1149" s="231"/>
      <c r="H1149" s="233"/>
      <c r="I1149" s="233"/>
      <c r="J1149" s="233"/>
      <c r="K1149" s="233"/>
      <c r="L1149" s="233"/>
      <c r="M1149" s="233"/>
      <c r="N1149" s="233"/>
      <c r="O1149" s="234"/>
      <c r="P1149" s="234"/>
      <c r="Q1149" s="233"/>
      <c r="R1149" s="233"/>
      <c r="S1149" s="233"/>
      <c r="T1149" s="233"/>
      <c r="U1149" s="231"/>
    </row>
    <row r="1150" spans="1:21" ht="13.2">
      <c r="A1150" s="231"/>
      <c r="B1150" s="232"/>
      <c r="C1150" s="231"/>
      <c r="D1150" s="231"/>
      <c r="E1150" s="231"/>
      <c r="F1150" s="231"/>
      <c r="G1150" s="231"/>
      <c r="H1150" s="233"/>
      <c r="I1150" s="233"/>
      <c r="J1150" s="233"/>
      <c r="K1150" s="233"/>
      <c r="L1150" s="233"/>
      <c r="M1150" s="233"/>
      <c r="N1150" s="233"/>
      <c r="O1150" s="234"/>
      <c r="P1150" s="234"/>
      <c r="Q1150" s="233"/>
      <c r="R1150" s="233"/>
      <c r="S1150" s="233"/>
      <c r="T1150" s="233"/>
      <c r="U1150" s="231"/>
    </row>
    <row r="1151" spans="1:21" ht="13.2">
      <c r="A1151" s="231"/>
      <c r="B1151" s="232"/>
      <c r="C1151" s="231"/>
      <c r="D1151" s="231"/>
      <c r="E1151" s="231"/>
      <c r="F1151" s="231"/>
      <c r="G1151" s="231"/>
      <c r="H1151" s="233"/>
      <c r="I1151" s="233"/>
      <c r="J1151" s="233"/>
      <c r="K1151" s="233"/>
      <c r="L1151" s="233"/>
      <c r="M1151" s="233"/>
      <c r="N1151" s="233"/>
      <c r="O1151" s="234"/>
      <c r="P1151" s="234"/>
      <c r="Q1151" s="233"/>
      <c r="R1151" s="233"/>
      <c r="S1151" s="233"/>
      <c r="T1151" s="233"/>
      <c r="U1151" s="231"/>
    </row>
    <row r="1152" spans="1:21" ht="13.2">
      <c r="A1152" s="231"/>
      <c r="B1152" s="232"/>
      <c r="C1152" s="231"/>
      <c r="D1152" s="231"/>
      <c r="E1152" s="231"/>
      <c r="F1152" s="231"/>
      <c r="G1152" s="231"/>
      <c r="H1152" s="233"/>
      <c r="I1152" s="233"/>
      <c r="J1152" s="233"/>
      <c r="K1152" s="233"/>
      <c r="L1152" s="233"/>
      <c r="M1152" s="233"/>
      <c r="N1152" s="233"/>
      <c r="O1152" s="234"/>
      <c r="P1152" s="234"/>
      <c r="Q1152" s="233"/>
      <c r="R1152" s="233"/>
      <c r="S1152" s="233"/>
      <c r="T1152" s="233"/>
      <c r="U1152" s="231"/>
    </row>
    <row r="1153" spans="1:21" ht="13.2">
      <c r="A1153" s="231"/>
      <c r="B1153" s="232"/>
      <c r="C1153" s="231"/>
      <c r="D1153" s="231"/>
      <c r="E1153" s="231"/>
      <c r="F1153" s="231"/>
      <c r="G1153" s="231"/>
      <c r="H1153" s="233"/>
      <c r="I1153" s="233"/>
      <c r="J1153" s="233"/>
      <c r="K1153" s="233"/>
      <c r="L1153" s="233"/>
      <c r="M1153" s="233"/>
      <c r="N1153" s="233"/>
      <c r="O1153" s="234"/>
      <c r="P1153" s="234"/>
      <c r="Q1153" s="233"/>
      <c r="R1153" s="233"/>
      <c r="S1153" s="233"/>
      <c r="T1153" s="233"/>
      <c r="U1153" s="231"/>
    </row>
    <row r="1154" spans="1:21" ht="13.2">
      <c r="A1154" s="231"/>
      <c r="B1154" s="232"/>
      <c r="C1154" s="231"/>
      <c r="D1154" s="231"/>
      <c r="E1154" s="231"/>
      <c r="F1154" s="231"/>
      <c r="G1154" s="231"/>
      <c r="H1154" s="233"/>
      <c r="I1154" s="233"/>
      <c r="J1154" s="233"/>
      <c r="K1154" s="233"/>
      <c r="L1154" s="233"/>
      <c r="M1154" s="233"/>
      <c r="N1154" s="233"/>
      <c r="O1154" s="234"/>
      <c r="P1154" s="234"/>
      <c r="Q1154" s="233"/>
      <c r="R1154" s="233"/>
      <c r="S1154" s="233"/>
      <c r="T1154" s="233"/>
      <c r="U1154" s="231"/>
    </row>
    <row r="1155" spans="1:21" ht="13.2">
      <c r="A1155" s="231"/>
      <c r="B1155" s="232"/>
      <c r="C1155" s="231"/>
      <c r="D1155" s="231"/>
      <c r="E1155" s="231"/>
      <c r="F1155" s="231"/>
      <c r="G1155" s="231"/>
      <c r="H1155" s="233"/>
      <c r="I1155" s="233"/>
      <c r="J1155" s="233"/>
      <c r="K1155" s="233"/>
      <c r="L1155" s="233"/>
      <c r="M1155" s="233"/>
      <c r="N1155" s="233"/>
      <c r="O1155" s="234"/>
      <c r="P1155" s="234"/>
      <c r="Q1155" s="233"/>
      <c r="R1155" s="233"/>
      <c r="S1155" s="233"/>
      <c r="T1155" s="233"/>
      <c r="U1155" s="231"/>
    </row>
    <row r="1156" spans="1:21" ht="13.2">
      <c r="A1156" s="231"/>
      <c r="B1156" s="232"/>
      <c r="C1156" s="231"/>
      <c r="D1156" s="231"/>
      <c r="E1156" s="231"/>
      <c r="F1156" s="231"/>
      <c r="G1156" s="231"/>
      <c r="H1156" s="233"/>
      <c r="I1156" s="233"/>
      <c r="J1156" s="233"/>
      <c r="K1156" s="233"/>
      <c r="L1156" s="233"/>
      <c r="M1156" s="233"/>
      <c r="N1156" s="233"/>
      <c r="O1156" s="234"/>
      <c r="P1156" s="234"/>
      <c r="Q1156" s="233"/>
      <c r="R1156" s="233"/>
      <c r="S1156" s="233"/>
      <c r="T1156" s="233"/>
      <c r="U1156" s="231"/>
    </row>
    <row r="1157" spans="1:21" ht="13.2">
      <c r="A1157" s="231"/>
      <c r="B1157" s="232"/>
      <c r="C1157" s="231"/>
      <c r="D1157" s="231"/>
      <c r="E1157" s="231"/>
      <c r="F1157" s="231"/>
      <c r="G1157" s="231"/>
      <c r="H1157" s="233"/>
      <c r="I1157" s="233"/>
      <c r="J1157" s="233"/>
      <c r="K1157" s="233"/>
      <c r="L1157" s="233"/>
      <c r="M1157" s="233"/>
      <c r="N1157" s="233"/>
      <c r="O1157" s="234"/>
      <c r="P1157" s="234"/>
      <c r="Q1157" s="233"/>
      <c r="R1157" s="233"/>
      <c r="S1157" s="233"/>
      <c r="T1157" s="233"/>
      <c r="U1157" s="231"/>
    </row>
    <row r="1158" spans="1:21" ht="13.2">
      <c r="A1158" s="231"/>
      <c r="B1158" s="232"/>
      <c r="C1158" s="231"/>
      <c r="D1158" s="231"/>
      <c r="E1158" s="231"/>
      <c r="F1158" s="231"/>
      <c r="G1158" s="231"/>
      <c r="H1158" s="233"/>
      <c r="I1158" s="233"/>
      <c r="J1158" s="233"/>
      <c r="K1158" s="233"/>
      <c r="L1158" s="233"/>
      <c r="M1158" s="233"/>
      <c r="N1158" s="233"/>
      <c r="O1158" s="234"/>
      <c r="P1158" s="234"/>
      <c r="Q1158" s="233"/>
      <c r="R1158" s="233"/>
      <c r="S1158" s="233"/>
      <c r="T1158" s="233"/>
      <c r="U1158" s="231"/>
    </row>
    <row r="1159" spans="1:21" ht="13.2">
      <c r="A1159" s="231"/>
      <c r="B1159" s="232"/>
      <c r="C1159" s="231"/>
      <c r="D1159" s="231"/>
      <c r="E1159" s="231"/>
      <c r="F1159" s="231"/>
      <c r="G1159" s="231"/>
      <c r="H1159" s="233"/>
      <c r="I1159" s="233"/>
      <c r="J1159" s="233"/>
      <c r="K1159" s="233"/>
      <c r="L1159" s="233"/>
      <c r="M1159" s="233"/>
      <c r="N1159" s="233"/>
      <c r="O1159" s="234"/>
      <c r="P1159" s="234"/>
      <c r="Q1159" s="233"/>
      <c r="R1159" s="233"/>
      <c r="S1159" s="233"/>
      <c r="T1159" s="233"/>
      <c r="U1159" s="231"/>
    </row>
    <row r="1160" spans="1:21" ht="13.2">
      <c r="A1160" s="231"/>
      <c r="B1160" s="232"/>
      <c r="C1160" s="231"/>
      <c r="D1160" s="231"/>
      <c r="E1160" s="231"/>
      <c r="F1160" s="231"/>
      <c r="G1160" s="231"/>
      <c r="H1160" s="233"/>
      <c r="I1160" s="233"/>
      <c r="J1160" s="233"/>
      <c r="K1160" s="233"/>
      <c r="L1160" s="233"/>
      <c r="M1160" s="233"/>
      <c r="N1160" s="233"/>
      <c r="O1160" s="234"/>
      <c r="P1160" s="234"/>
      <c r="Q1160" s="233"/>
      <c r="R1160" s="233"/>
      <c r="S1160" s="233"/>
      <c r="T1160" s="233"/>
      <c r="U1160" s="231"/>
    </row>
    <row r="1161" spans="1:21" ht="13.2">
      <c r="A1161" s="231"/>
      <c r="B1161" s="232"/>
      <c r="C1161" s="231"/>
      <c r="D1161" s="231"/>
      <c r="E1161" s="231"/>
      <c r="F1161" s="231"/>
      <c r="G1161" s="231"/>
      <c r="H1161" s="233"/>
      <c r="I1161" s="233"/>
      <c r="J1161" s="233"/>
      <c r="K1161" s="233"/>
      <c r="L1161" s="233"/>
      <c r="M1161" s="233"/>
      <c r="N1161" s="233"/>
      <c r="O1161" s="234"/>
      <c r="P1161" s="234"/>
      <c r="Q1161" s="233"/>
      <c r="R1161" s="233"/>
      <c r="S1161" s="233"/>
      <c r="T1161" s="233"/>
      <c r="U1161" s="231"/>
    </row>
    <row r="1162" spans="1:21" ht="13.2">
      <c r="A1162" s="231"/>
      <c r="B1162" s="232"/>
      <c r="C1162" s="231"/>
      <c r="D1162" s="231"/>
      <c r="E1162" s="231"/>
      <c r="F1162" s="231"/>
      <c r="G1162" s="231"/>
      <c r="H1162" s="233"/>
      <c r="I1162" s="233"/>
      <c r="J1162" s="233"/>
      <c r="K1162" s="233"/>
      <c r="L1162" s="233"/>
      <c r="M1162" s="233"/>
      <c r="N1162" s="233"/>
      <c r="O1162" s="234"/>
      <c r="P1162" s="234"/>
      <c r="Q1162" s="233"/>
      <c r="R1162" s="233"/>
      <c r="S1162" s="233"/>
      <c r="T1162" s="233"/>
      <c r="U1162" s="231"/>
    </row>
    <row r="1163" spans="1:21" ht="13.2">
      <c r="A1163" s="231"/>
      <c r="B1163" s="232"/>
      <c r="C1163" s="231"/>
      <c r="D1163" s="231"/>
      <c r="E1163" s="231"/>
      <c r="F1163" s="231"/>
      <c r="G1163" s="231"/>
      <c r="H1163" s="233"/>
      <c r="I1163" s="233"/>
      <c r="J1163" s="233"/>
      <c r="K1163" s="233"/>
      <c r="L1163" s="233"/>
      <c r="M1163" s="233"/>
      <c r="N1163" s="233"/>
      <c r="O1163" s="234"/>
      <c r="P1163" s="234"/>
      <c r="Q1163" s="233"/>
      <c r="R1163" s="233"/>
      <c r="S1163" s="233"/>
      <c r="T1163" s="233"/>
      <c r="U1163" s="231"/>
    </row>
    <row r="1164" spans="1:21" ht="13.2">
      <c r="A1164" s="231"/>
      <c r="B1164" s="232"/>
      <c r="C1164" s="231"/>
      <c r="D1164" s="231"/>
      <c r="E1164" s="231"/>
      <c r="F1164" s="231"/>
      <c r="G1164" s="231"/>
      <c r="H1164" s="233"/>
      <c r="I1164" s="233"/>
      <c r="J1164" s="233"/>
      <c r="K1164" s="233"/>
      <c r="L1164" s="233"/>
      <c r="M1164" s="233"/>
      <c r="N1164" s="233"/>
      <c r="O1164" s="234"/>
      <c r="P1164" s="234"/>
      <c r="Q1164" s="233"/>
      <c r="R1164" s="233"/>
      <c r="S1164" s="233"/>
      <c r="T1164" s="233"/>
      <c r="U1164" s="231"/>
    </row>
    <row r="1165" spans="1:21" ht="13.2">
      <c r="A1165" s="231"/>
      <c r="B1165" s="232"/>
      <c r="C1165" s="231"/>
      <c r="D1165" s="231"/>
      <c r="E1165" s="231"/>
      <c r="F1165" s="231"/>
      <c r="G1165" s="231"/>
      <c r="H1165" s="233"/>
      <c r="I1165" s="233"/>
      <c r="J1165" s="233"/>
      <c r="K1165" s="233"/>
      <c r="L1165" s="233"/>
      <c r="M1165" s="233"/>
      <c r="N1165" s="233"/>
      <c r="O1165" s="234"/>
      <c r="P1165" s="234"/>
      <c r="Q1165" s="233"/>
      <c r="R1165" s="233"/>
      <c r="S1165" s="233"/>
      <c r="T1165" s="233"/>
      <c r="U1165" s="231"/>
    </row>
    <row r="1166" spans="1:21" ht="13.2">
      <c r="A1166" s="231"/>
      <c r="B1166" s="232"/>
      <c r="C1166" s="231"/>
      <c r="D1166" s="231"/>
      <c r="E1166" s="231"/>
      <c r="F1166" s="231"/>
      <c r="G1166" s="231"/>
      <c r="H1166" s="233"/>
      <c r="I1166" s="233"/>
      <c r="J1166" s="233"/>
      <c r="K1166" s="233"/>
      <c r="L1166" s="233"/>
      <c r="M1166" s="233"/>
      <c r="N1166" s="233"/>
      <c r="O1166" s="234"/>
      <c r="P1166" s="234"/>
      <c r="Q1166" s="233"/>
      <c r="R1166" s="233"/>
      <c r="S1166" s="233"/>
      <c r="T1166" s="233"/>
      <c r="U1166" s="231"/>
    </row>
    <row r="1167" spans="1:21" ht="13.2">
      <c r="A1167" s="231"/>
      <c r="B1167" s="232"/>
      <c r="C1167" s="231"/>
      <c r="D1167" s="231"/>
      <c r="E1167" s="231"/>
      <c r="F1167" s="231"/>
      <c r="G1167" s="231"/>
      <c r="H1167" s="233"/>
      <c r="I1167" s="233"/>
      <c r="J1167" s="233"/>
      <c r="K1167" s="233"/>
      <c r="L1167" s="233"/>
      <c r="M1167" s="233"/>
      <c r="N1167" s="233"/>
      <c r="O1167" s="234"/>
      <c r="P1167" s="234"/>
      <c r="Q1167" s="233"/>
      <c r="R1167" s="233"/>
      <c r="S1167" s="233"/>
      <c r="T1167" s="233"/>
      <c r="U1167" s="231"/>
    </row>
    <row r="1168" spans="1:21" ht="13.2">
      <c r="A1168" s="231"/>
      <c r="B1168" s="232"/>
      <c r="C1168" s="231"/>
      <c r="D1168" s="231"/>
      <c r="E1168" s="231"/>
      <c r="F1168" s="231"/>
      <c r="G1168" s="231"/>
      <c r="H1168" s="233"/>
      <c r="I1168" s="233"/>
      <c r="J1168" s="233"/>
      <c r="K1168" s="233"/>
      <c r="L1168" s="233"/>
      <c r="M1168" s="233"/>
      <c r="N1168" s="233"/>
      <c r="O1168" s="234"/>
      <c r="P1168" s="234"/>
      <c r="Q1168" s="233"/>
      <c r="R1168" s="233"/>
      <c r="S1168" s="233"/>
      <c r="T1168" s="233"/>
      <c r="U1168" s="231"/>
    </row>
    <row r="1169" spans="1:21" ht="13.2">
      <c r="A1169" s="231"/>
      <c r="B1169" s="232"/>
      <c r="C1169" s="231"/>
      <c r="D1169" s="231"/>
      <c r="E1169" s="231"/>
      <c r="F1169" s="231"/>
      <c r="G1169" s="231"/>
      <c r="H1169" s="233"/>
      <c r="I1169" s="233"/>
      <c r="J1169" s="233"/>
      <c r="K1169" s="233"/>
      <c r="L1169" s="233"/>
      <c r="M1169" s="233"/>
      <c r="N1169" s="233"/>
      <c r="O1169" s="234"/>
      <c r="P1169" s="234"/>
      <c r="Q1169" s="233"/>
      <c r="R1169" s="233"/>
      <c r="S1169" s="233"/>
      <c r="T1169" s="233"/>
      <c r="U1169" s="231"/>
    </row>
    <row r="1170" spans="1:21" ht="13.2">
      <c r="A1170" s="231"/>
      <c r="B1170" s="232"/>
      <c r="C1170" s="231"/>
      <c r="D1170" s="231"/>
      <c r="E1170" s="231"/>
      <c r="F1170" s="231"/>
      <c r="G1170" s="231"/>
      <c r="H1170" s="233"/>
      <c r="I1170" s="233"/>
      <c r="J1170" s="233"/>
      <c r="K1170" s="233"/>
      <c r="L1170" s="233"/>
      <c r="M1170" s="233"/>
      <c r="N1170" s="233"/>
      <c r="O1170" s="234"/>
      <c r="P1170" s="234"/>
      <c r="Q1170" s="233"/>
      <c r="R1170" s="233"/>
      <c r="S1170" s="233"/>
      <c r="T1170" s="233"/>
      <c r="U1170" s="231"/>
    </row>
    <row r="1171" spans="1:21" ht="13.2">
      <c r="A1171" s="231"/>
      <c r="B1171" s="232"/>
      <c r="C1171" s="231"/>
      <c r="D1171" s="231"/>
      <c r="E1171" s="231"/>
      <c r="F1171" s="231"/>
      <c r="G1171" s="231"/>
      <c r="H1171" s="233"/>
      <c r="I1171" s="233"/>
      <c r="J1171" s="233"/>
      <c r="K1171" s="233"/>
      <c r="L1171" s="233"/>
      <c r="M1171" s="233"/>
      <c r="N1171" s="233"/>
      <c r="O1171" s="234"/>
      <c r="P1171" s="234"/>
      <c r="Q1171" s="233"/>
      <c r="R1171" s="233"/>
      <c r="S1171" s="233"/>
      <c r="T1171" s="233"/>
      <c r="U1171" s="231"/>
    </row>
    <row r="1172" spans="1:21" ht="13.2">
      <c r="A1172" s="231"/>
      <c r="B1172" s="232"/>
      <c r="C1172" s="231"/>
      <c r="D1172" s="231"/>
      <c r="E1172" s="231"/>
      <c r="F1172" s="231"/>
      <c r="G1172" s="231"/>
      <c r="H1172" s="233"/>
      <c r="I1172" s="233"/>
      <c r="J1172" s="233"/>
      <c r="K1172" s="233"/>
      <c r="L1172" s="233"/>
      <c r="M1172" s="233"/>
      <c r="N1172" s="233"/>
      <c r="O1172" s="234"/>
      <c r="P1172" s="234"/>
      <c r="Q1172" s="233"/>
      <c r="R1172" s="233"/>
      <c r="S1172" s="233"/>
      <c r="T1172" s="233"/>
      <c r="U1172" s="231"/>
    </row>
    <row r="1173" spans="1:21" ht="13.2">
      <c r="A1173" s="231"/>
      <c r="B1173" s="232"/>
      <c r="C1173" s="231"/>
      <c r="D1173" s="231"/>
      <c r="E1173" s="231"/>
      <c r="F1173" s="231"/>
      <c r="G1173" s="231"/>
      <c r="H1173" s="233"/>
      <c r="I1173" s="233"/>
      <c r="J1173" s="233"/>
      <c r="K1173" s="233"/>
      <c r="L1173" s="233"/>
      <c r="M1173" s="233"/>
      <c r="N1173" s="233"/>
      <c r="O1173" s="234"/>
      <c r="P1173" s="234"/>
      <c r="Q1173" s="233"/>
      <c r="R1173" s="233"/>
      <c r="S1173" s="233"/>
      <c r="T1173" s="233"/>
      <c r="U1173" s="231"/>
    </row>
    <row r="1174" spans="1:21" ht="15.6">
      <c r="A1174" s="231"/>
      <c r="B1174" s="232"/>
      <c r="C1174" s="231"/>
      <c r="D1174" s="231"/>
      <c r="E1174" s="231"/>
      <c r="F1174" s="231"/>
      <c r="G1174" s="231"/>
      <c r="H1174" s="233"/>
      <c r="I1174" s="233"/>
      <c r="J1174" s="233"/>
      <c r="K1174" s="204">
        <f>H1174-I1174</f>
        <v>0</v>
      </c>
      <c r="L1174" s="233"/>
      <c r="M1174" s="233"/>
      <c r="N1174" s="233"/>
      <c r="O1174" s="234"/>
      <c r="P1174" s="234"/>
      <c r="Q1174" s="233"/>
      <c r="R1174" s="233"/>
      <c r="S1174" s="233"/>
      <c r="T1174" s="233"/>
      <c r="U1174" s="231"/>
    </row>
  </sheetData>
  <mergeCells count="12">
    <mergeCell ref="A241:A243"/>
    <mergeCell ref="A244:A246"/>
    <mergeCell ref="A210:A212"/>
    <mergeCell ref="A213:A215"/>
    <mergeCell ref="A217:A219"/>
    <mergeCell ref="A223:A225"/>
    <mergeCell ref="A232:A233"/>
    <mergeCell ref="A247:A249"/>
    <mergeCell ref="A253:A255"/>
    <mergeCell ref="A257:A258"/>
    <mergeCell ref="A260:A262"/>
    <mergeCell ref="A263:A265"/>
  </mergeCells>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2" r:id="rId101" xr:uid="{00000000-0004-0000-0100-000064000000}"/>
    <hyperlink ref="A103" r:id="rId102" xr:uid="{00000000-0004-0000-0100-000065000000}"/>
    <hyperlink ref="A104" r:id="rId103" xr:uid="{00000000-0004-0000-0100-000066000000}"/>
    <hyperlink ref="A105" r:id="rId104" xr:uid="{00000000-0004-0000-0100-000067000000}"/>
    <hyperlink ref="A106" r:id="rId105" xr:uid="{00000000-0004-0000-0100-000068000000}"/>
    <hyperlink ref="A111" r:id="rId106" xr:uid="{00000000-0004-0000-0100-000069000000}"/>
    <hyperlink ref="A112" r:id="rId107" xr:uid="{00000000-0004-0000-0100-00006A000000}"/>
    <hyperlink ref="A113" r:id="rId108" xr:uid="{00000000-0004-0000-0100-00006B000000}"/>
    <hyperlink ref="A126" r:id="rId109" xr:uid="{00000000-0004-0000-0100-00006C000000}"/>
    <hyperlink ref="A127" r:id="rId110" xr:uid="{00000000-0004-0000-0100-00006D000000}"/>
    <hyperlink ref="A128" r:id="rId111" xr:uid="{00000000-0004-0000-0100-00006E000000}"/>
    <hyperlink ref="A132" r:id="rId112" xr:uid="{00000000-0004-0000-0100-00006F000000}"/>
    <hyperlink ref="A133" r:id="rId113" xr:uid="{00000000-0004-0000-0100-000070000000}"/>
    <hyperlink ref="A134" r:id="rId114" xr:uid="{00000000-0004-0000-0100-000071000000}"/>
    <hyperlink ref="A135" r:id="rId115" xr:uid="{00000000-0004-0000-0100-000072000000}"/>
    <hyperlink ref="A136" r:id="rId116" xr:uid="{00000000-0004-0000-0100-000073000000}"/>
    <hyperlink ref="A137" r:id="rId117" xr:uid="{00000000-0004-0000-0100-000074000000}"/>
    <hyperlink ref="A138" r:id="rId118" xr:uid="{00000000-0004-0000-0100-000075000000}"/>
    <hyperlink ref="A139" r:id="rId119" xr:uid="{00000000-0004-0000-0100-000076000000}"/>
    <hyperlink ref="A140" r:id="rId120" xr:uid="{00000000-0004-0000-0100-000077000000}"/>
    <hyperlink ref="A141" r:id="rId121" xr:uid="{00000000-0004-0000-0100-000078000000}"/>
    <hyperlink ref="A142" r:id="rId122" xr:uid="{00000000-0004-0000-0100-000079000000}"/>
    <hyperlink ref="A143" r:id="rId123" xr:uid="{00000000-0004-0000-0100-00007A000000}"/>
    <hyperlink ref="A144" r:id="rId124" xr:uid="{00000000-0004-0000-0100-00007B000000}"/>
    <hyperlink ref="A145" r:id="rId125" xr:uid="{00000000-0004-0000-0100-00007C000000}"/>
    <hyperlink ref="A146" r:id="rId126" xr:uid="{00000000-0004-0000-0100-00007D000000}"/>
    <hyperlink ref="A147" r:id="rId127" xr:uid="{00000000-0004-0000-0100-00007E000000}"/>
    <hyperlink ref="A148" r:id="rId128" xr:uid="{00000000-0004-0000-0100-00007F000000}"/>
    <hyperlink ref="A149" r:id="rId129" xr:uid="{00000000-0004-0000-0100-000080000000}"/>
    <hyperlink ref="A150" r:id="rId130" xr:uid="{00000000-0004-0000-0100-000081000000}"/>
    <hyperlink ref="A151" r:id="rId131" xr:uid="{00000000-0004-0000-0100-000082000000}"/>
    <hyperlink ref="A152" r:id="rId132" xr:uid="{00000000-0004-0000-0100-000083000000}"/>
    <hyperlink ref="A153" r:id="rId133" xr:uid="{00000000-0004-0000-0100-000084000000}"/>
    <hyperlink ref="A154" r:id="rId134" xr:uid="{00000000-0004-0000-0100-000085000000}"/>
    <hyperlink ref="A155" r:id="rId135" xr:uid="{00000000-0004-0000-0100-000086000000}"/>
    <hyperlink ref="A156" r:id="rId136" xr:uid="{00000000-0004-0000-0100-000087000000}"/>
    <hyperlink ref="A158" r:id="rId137" xr:uid="{00000000-0004-0000-0100-000088000000}"/>
    <hyperlink ref="A159" r:id="rId138" xr:uid="{00000000-0004-0000-0100-000089000000}"/>
    <hyperlink ref="A160" r:id="rId139" xr:uid="{00000000-0004-0000-0100-00008A000000}"/>
    <hyperlink ref="A161" r:id="rId140" xr:uid="{00000000-0004-0000-0100-00008B000000}"/>
    <hyperlink ref="A162" r:id="rId141" xr:uid="{00000000-0004-0000-0100-00008C000000}"/>
    <hyperlink ref="A163" r:id="rId142" xr:uid="{00000000-0004-0000-0100-00008D000000}"/>
    <hyperlink ref="A164" r:id="rId143" xr:uid="{00000000-0004-0000-0100-00008E000000}"/>
    <hyperlink ref="A165" r:id="rId144" xr:uid="{00000000-0004-0000-0100-00008F000000}"/>
    <hyperlink ref="A166" r:id="rId145" xr:uid="{00000000-0004-0000-0100-000090000000}"/>
    <hyperlink ref="A167" r:id="rId146" xr:uid="{00000000-0004-0000-0100-000091000000}"/>
    <hyperlink ref="A168" r:id="rId147" xr:uid="{00000000-0004-0000-0100-000092000000}"/>
    <hyperlink ref="A169" r:id="rId148" xr:uid="{00000000-0004-0000-0100-000093000000}"/>
    <hyperlink ref="A170" r:id="rId149" xr:uid="{00000000-0004-0000-0100-000094000000}"/>
    <hyperlink ref="A171" r:id="rId150" xr:uid="{00000000-0004-0000-0100-000095000000}"/>
    <hyperlink ref="A172" r:id="rId151" xr:uid="{00000000-0004-0000-0100-000096000000}"/>
    <hyperlink ref="A173" r:id="rId152" xr:uid="{00000000-0004-0000-0100-000097000000}"/>
    <hyperlink ref="A174" r:id="rId153" xr:uid="{00000000-0004-0000-0100-000098000000}"/>
    <hyperlink ref="A175" r:id="rId154" xr:uid="{00000000-0004-0000-0100-000099000000}"/>
    <hyperlink ref="A176" r:id="rId155" xr:uid="{00000000-0004-0000-0100-00009A000000}"/>
    <hyperlink ref="A177" r:id="rId156" xr:uid="{00000000-0004-0000-0100-00009B000000}"/>
    <hyperlink ref="A178" r:id="rId157" xr:uid="{00000000-0004-0000-0100-00009C000000}"/>
    <hyperlink ref="A179" r:id="rId158" xr:uid="{00000000-0004-0000-0100-00009D000000}"/>
    <hyperlink ref="A180" r:id="rId159" xr:uid="{00000000-0004-0000-0100-00009E000000}"/>
    <hyperlink ref="A181" r:id="rId160" xr:uid="{00000000-0004-0000-0100-00009F000000}"/>
    <hyperlink ref="A182" r:id="rId161" xr:uid="{00000000-0004-0000-0100-0000A0000000}"/>
    <hyperlink ref="A183" r:id="rId162" xr:uid="{00000000-0004-0000-0100-0000A1000000}"/>
    <hyperlink ref="A184" r:id="rId163" xr:uid="{00000000-0004-0000-0100-0000A2000000}"/>
    <hyperlink ref="A185" r:id="rId164" xr:uid="{00000000-0004-0000-0100-0000A3000000}"/>
    <hyperlink ref="A186" r:id="rId165" xr:uid="{00000000-0004-0000-0100-0000A4000000}"/>
    <hyperlink ref="A187" r:id="rId166" xr:uid="{00000000-0004-0000-0100-0000A5000000}"/>
    <hyperlink ref="A188" r:id="rId167" xr:uid="{00000000-0004-0000-0100-0000A6000000}"/>
    <hyperlink ref="A189" r:id="rId168" xr:uid="{00000000-0004-0000-0100-0000A7000000}"/>
    <hyperlink ref="A190" r:id="rId169" xr:uid="{00000000-0004-0000-0100-0000A8000000}"/>
    <hyperlink ref="A191" r:id="rId170" xr:uid="{00000000-0004-0000-0100-0000A9000000}"/>
    <hyperlink ref="A192" r:id="rId171" xr:uid="{00000000-0004-0000-0100-0000AA000000}"/>
    <hyperlink ref="A193" r:id="rId172" xr:uid="{00000000-0004-0000-0100-0000AB000000}"/>
    <hyperlink ref="A194" r:id="rId173" xr:uid="{00000000-0004-0000-0100-0000AC000000}"/>
    <hyperlink ref="A195" r:id="rId174" xr:uid="{00000000-0004-0000-0100-0000AD000000}"/>
    <hyperlink ref="A196" r:id="rId175" xr:uid="{00000000-0004-0000-0100-0000AE000000}"/>
    <hyperlink ref="A197" r:id="rId176" xr:uid="{00000000-0004-0000-0100-0000AF000000}"/>
    <hyperlink ref="A198" r:id="rId177" xr:uid="{00000000-0004-0000-0100-0000B0000000}"/>
    <hyperlink ref="A199" r:id="rId178" xr:uid="{00000000-0004-0000-0100-0000B1000000}"/>
    <hyperlink ref="A200" r:id="rId179" xr:uid="{00000000-0004-0000-0100-0000B2000000}"/>
    <hyperlink ref="A201" r:id="rId180" xr:uid="{00000000-0004-0000-0100-0000B3000000}"/>
    <hyperlink ref="A202" r:id="rId181" xr:uid="{00000000-0004-0000-0100-0000B4000000}"/>
    <hyperlink ref="A203" r:id="rId182" xr:uid="{00000000-0004-0000-0100-0000B5000000}"/>
    <hyperlink ref="A204" r:id="rId183" xr:uid="{00000000-0004-0000-0100-0000B6000000}"/>
    <hyperlink ref="A205" r:id="rId184" xr:uid="{00000000-0004-0000-0100-0000B7000000}"/>
    <hyperlink ref="A206" r:id="rId185" xr:uid="{00000000-0004-0000-0100-0000B8000000}"/>
    <hyperlink ref="A207" r:id="rId186" xr:uid="{00000000-0004-0000-0100-0000B9000000}"/>
    <hyperlink ref="A208" r:id="rId187" xr:uid="{00000000-0004-0000-0100-0000BA000000}"/>
    <hyperlink ref="A209" r:id="rId188" xr:uid="{00000000-0004-0000-0100-0000BB000000}"/>
    <hyperlink ref="A210" r:id="rId189" xr:uid="{00000000-0004-0000-0100-0000BC000000}"/>
    <hyperlink ref="A213" r:id="rId190" xr:uid="{00000000-0004-0000-0100-0000BD000000}"/>
    <hyperlink ref="A217" r:id="rId191" xr:uid="{00000000-0004-0000-0100-0000BE000000}"/>
    <hyperlink ref="A220" r:id="rId192" xr:uid="{00000000-0004-0000-0100-0000BF000000}"/>
    <hyperlink ref="A221" r:id="rId193" xr:uid="{00000000-0004-0000-0100-0000C0000000}"/>
    <hyperlink ref="A222" r:id="rId194" xr:uid="{00000000-0004-0000-0100-0000C1000000}"/>
    <hyperlink ref="A223" r:id="rId195" xr:uid="{00000000-0004-0000-0100-0000C2000000}"/>
    <hyperlink ref="A226" r:id="rId196" xr:uid="{00000000-0004-0000-0100-0000C3000000}"/>
    <hyperlink ref="A227" r:id="rId197" xr:uid="{00000000-0004-0000-0100-0000C4000000}"/>
    <hyperlink ref="A228" r:id="rId198" xr:uid="{00000000-0004-0000-0100-0000C5000000}"/>
    <hyperlink ref="A229" r:id="rId199" xr:uid="{00000000-0004-0000-0100-0000C6000000}"/>
    <hyperlink ref="A230" r:id="rId200" xr:uid="{00000000-0004-0000-0100-0000C7000000}"/>
    <hyperlink ref="A231" r:id="rId201" xr:uid="{00000000-0004-0000-0100-0000C8000000}"/>
    <hyperlink ref="A232" r:id="rId202" xr:uid="{00000000-0004-0000-0100-0000C9000000}"/>
    <hyperlink ref="A234" r:id="rId203" xr:uid="{00000000-0004-0000-0100-0000CA000000}"/>
    <hyperlink ref="A235" r:id="rId204" xr:uid="{00000000-0004-0000-0100-0000CB000000}"/>
    <hyperlink ref="A236" r:id="rId205" xr:uid="{00000000-0004-0000-0100-0000CC000000}"/>
    <hyperlink ref="A237" r:id="rId206" xr:uid="{00000000-0004-0000-0100-0000CD000000}"/>
    <hyperlink ref="A238" r:id="rId207" xr:uid="{00000000-0004-0000-0100-0000CE000000}"/>
    <hyperlink ref="A239" r:id="rId208" xr:uid="{00000000-0004-0000-0100-0000CF000000}"/>
    <hyperlink ref="A240" r:id="rId209" xr:uid="{00000000-0004-0000-0100-0000D0000000}"/>
    <hyperlink ref="A241" r:id="rId210" xr:uid="{00000000-0004-0000-0100-0000D1000000}"/>
    <hyperlink ref="A244" r:id="rId211" xr:uid="{00000000-0004-0000-0100-0000D2000000}"/>
    <hyperlink ref="A247" r:id="rId212" xr:uid="{00000000-0004-0000-0100-0000D3000000}"/>
    <hyperlink ref="A250" r:id="rId213" xr:uid="{00000000-0004-0000-0100-0000D4000000}"/>
    <hyperlink ref="A251" r:id="rId214" xr:uid="{00000000-0004-0000-0100-0000D5000000}"/>
    <hyperlink ref="A252" r:id="rId215" xr:uid="{00000000-0004-0000-0100-0000D6000000}"/>
    <hyperlink ref="A253" r:id="rId216" xr:uid="{00000000-0004-0000-0100-0000D7000000}"/>
    <hyperlink ref="A257" r:id="rId217" xr:uid="{00000000-0004-0000-0100-0000D8000000}"/>
    <hyperlink ref="A259" r:id="rId218" xr:uid="{00000000-0004-0000-0100-0000D9000000}"/>
    <hyperlink ref="A260" r:id="rId219" xr:uid="{00000000-0004-0000-0100-0000DA000000}"/>
    <hyperlink ref="A263" r:id="rId220" xr:uid="{00000000-0004-0000-0100-0000DB000000}"/>
  </hyperlinks>
  <pageMargins left="0.7" right="0.7" top="0.75" bottom="0.75" header="0.3" footer="0.3"/>
  <legacyDrawing r:id="rId22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workbookViewId="0">
      <selection sqref="A1:E1"/>
    </sheetView>
  </sheetViews>
  <sheetFormatPr defaultColWidth="12.6640625" defaultRowHeight="15.75" customHeight="1"/>
  <cols>
    <col min="1" max="2" width="6.44140625" customWidth="1"/>
    <col min="3" max="3" width="48.88671875" customWidth="1"/>
    <col min="4" max="4" width="35.6640625" customWidth="1"/>
    <col min="5" max="5" width="52.33203125" customWidth="1"/>
    <col min="6" max="6" width="22.44140625" customWidth="1"/>
    <col min="7" max="7" width="19.44140625" customWidth="1"/>
    <col min="8" max="8" width="11.88671875" customWidth="1"/>
    <col min="9" max="9" width="23.33203125" customWidth="1"/>
  </cols>
  <sheetData>
    <row r="1" spans="1:10">
      <c r="A1" s="262" t="s">
        <v>5460</v>
      </c>
      <c r="B1" s="257"/>
      <c r="C1" s="257"/>
      <c r="D1" s="257"/>
      <c r="E1" s="257"/>
      <c r="F1" s="236">
        <v>45638</v>
      </c>
      <c r="G1" s="237" t="s">
        <v>5461</v>
      </c>
      <c r="H1" s="235"/>
      <c r="I1" s="235"/>
      <c r="J1" s="203"/>
    </row>
    <row r="2" spans="1:10">
      <c r="A2" s="203" t="s">
        <v>1</v>
      </c>
      <c r="B2" s="203" t="s">
        <v>2</v>
      </c>
      <c r="C2" s="203" t="s">
        <v>5462</v>
      </c>
      <c r="D2" s="203" t="s">
        <v>5463</v>
      </c>
      <c r="E2" s="203" t="s">
        <v>5464</v>
      </c>
      <c r="F2" s="238" t="s">
        <v>5465</v>
      </c>
      <c r="G2" s="203" t="s">
        <v>5466</v>
      </c>
      <c r="H2" s="203" t="s">
        <v>5467</v>
      </c>
      <c r="I2" s="203" t="s">
        <v>5468</v>
      </c>
      <c r="J2" s="203"/>
    </row>
    <row r="3" spans="1:10">
      <c r="A3" s="229">
        <v>1</v>
      </c>
      <c r="B3" s="229" t="s">
        <v>3359</v>
      </c>
      <c r="C3" s="229" t="s">
        <v>3360</v>
      </c>
      <c r="D3" s="229" t="s">
        <v>5469</v>
      </c>
      <c r="E3" s="239"/>
      <c r="F3" s="239">
        <v>45422</v>
      </c>
      <c r="G3" s="240" t="s">
        <v>3359</v>
      </c>
      <c r="H3" s="229"/>
      <c r="I3" s="229" t="s">
        <v>5470</v>
      </c>
      <c r="J3" s="203" t="b">
        <v>1</v>
      </c>
    </row>
    <row r="4" spans="1:10">
      <c r="A4" s="229">
        <v>2</v>
      </c>
      <c r="B4" s="229" t="s">
        <v>3400</v>
      </c>
      <c r="C4" s="229" t="s">
        <v>3401</v>
      </c>
      <c r="D4" s="229" t="s">
        <v>5469</v>
      </c>
      <c r="E4" s="239"/>
      <c r="F4" s="239">
        <v>45422</v>
      </c>
      <c r="G4" s="240" t="s">
        <v>3400</v>
      </c>
      <c r="H4" s="229"/>
      <c r="I4" s="229" t="s">
        <v>5470</v>
      </c>
      <c r="J4" s="203" t="b">
        <v>1</v>
      </c>
    </row>
    <row r="5" spans="1:10">
      <c r="A5" s="229">
        <v>3</v>
      </c>
      <c r="B5" s="229" t="s">
        <v>3470</v>
      </c>
      <c r="C5" s="229" t="s">
        <v>3471</v>
      </c>
      <c r="D5" s="229" t="s">
        <v>5469</v>
      </c>
      <c r="E5" s="239"/>
      <c r="F5" s="239">
        <v>45418</v>
      </c>
      <c r="G5" s="240" t="s">
        <v>3470</v>
      </c>
      <c r="H5" s="229"/>
      <c r="I5" s="229" t="s">
        <v>5470</v>
      </c>
      <c r="J5" s="203" t="b">
        <v>1</v>
      </c>
    </row>
    <row r="6" spans="1:10">
      <c r="A6" s="203">
        <v>4</v>
      </c>
      <c r="B6" s="203" t="s">
        <v>2435</v>
      </c>
      <c r="C6" s="203" t="s">
        <v>2436</v>
      </c>
      <c r="D6" s="203" t="s">
        <v>5469</v>
      </c>
      <c r="E6" s="238"/>
      <c r="F6" s="238">
        <v>45414</v>
      </c>
      <c r="G6" s="200" t="s">
        <v>2435</v>
      </c>
      <c r="H6" s="203"/>
      <c r="I6" s="203" t="s">
        <v>5471</v>
      </c>
      <c r="J6" s="203" t="b">
        <v>1</v>
      </c>
    </row>
    <row r="7" spans="1:10">
      <c r="A7" s="203">
        <v>5</v>
      </c>
      <c r="B7" s="203" t="s">
        <v>2681</v>
      </c>
      <c r="C7" s="203" t="s">
        <v>2682</v>
      </c>
      <c r="D7" s="203" t="s">
        <v>5469</v>
      </c>
      <c r="E7" s="241"/>
      <c r="F7" s="238">
        <v>45587</v>
      </c>
      <c r="G7" s="200" t="s">
        <v>2681</v>
      </c>
      <c r="H7" s="203"/>
      <c r="I7" s="203" t="s">
        <v>5471</v>
      </c>
      <c r="J7" s="203" t="b">
        <v>1</v>
      </c>
    </row>
    <row r="8" spans="1:10">
      <c r="A8" s="203">
        <v>6</v>
      </c>
      <c r="B8" s="203" t="s">
        <v>2996</v>
      </c>
      <c r="C8" s="203" t="s">
        <v>5304</v>
      </c>
      <c r="D8" s="203" t="s">
        <v>5469</v>
      </c>
      <c r="E8" s="238"/>
      <c r="F8" s="238">
        <v>45541</v>
      </c>
      <c r="G8" s="200" t="s">
        <v>2996</v>
      </c>
      <c r="H8" s="203"/>
      <c r="I8" s="203" t="s">
        <v>5471</v>
      </c>
      <c r="J8" s="203" t="b">
        <v>1</v>
      </c>
    </row>
    <row r="9" spans="1:10">
      <c r="A9" s="229">
        <v>7</v>
      </c>
      <c r="B9" s="229" t="s">
        <v>2953</v>
      </c>
      <c r="C9" s="229" t="s">
        <v>5296</v>
      </c>
      <c r="D9" s="229" t="s">
        <v>5469</v>
      </c>
      <c r="E9" s="239"/>
      <c r="F9" s="239">
        <v>45541</v>
      </c>
      <c r="G9" s="240" t="s">
        <v>2953</v>
      </c>
      <c r="H9" s="229"/>
      <c r="I9" s="229" t="s">
        <v>5470</v>
      </c>
      <c r="J9" s="203" t="b">
        <v>1</v>
      </c>
    </row>
    <row r="10" spans="1:10">
      <c r="A10" s="229">
        <v>8</v>
      </c>
      <c r="B10" s="229" t="s">
        <v>3521</v>
      </c>
      <c r="C10" s="229" t="s">
        <v>3522</v>
      </c>
      <c r="D10" s="229" t="s">
        <v>5469</v>
      </c>
      <c r="E10" s="239"/>
      <c r="F10" s="239">
        <v>45597</v>
      </c>
      <c r="G10" s="240" t="s">
        <v>3521</v>
      </c>
      <c r="H10" s="229"/>
      <c r="I10" s="229" t="s">
        <v>5470</v>
      </c>
      <c r="J10" s="203" t="b">
        <v>1</v>
      </c>
    </row>
    <row r="11" spans="1:10">
      <c r="A11" s="242">
        <v>9</v>
      </c>
      <c r="B11" s="242" t="s">
        <v>2902</v>
      </c>
      <c r="C11" s="242" t="s">
        <v>5291</v>
      </c>
      <c r="D11" s="242" t="s">
        <v>5469</v>
      </c>
      <c r="E11" s="243"/>
      <c r="F11" s="243">
        <v>45681</v>
      </c>
      <c r="G11" s="240" t="s">
        <v>2902</v>
      </c>
      <c r="H11" s="242" t="s">
        <v>5472</v>
      </c>
      <c r="I11" s="229" t="s">
        <v>5470</v>
      </c>
      <c r="J11" s="203" t="b">
        <v>1</v>
      </c>
    </row>
    <row r="12" spans="1:10">
      <c r="A12" s="229">
        <v>10</v>
      </c>
      <c r="B12" s="229" t="s">
        <v>3713</v>
      </c>
      <c r="C12" s="229" t="s">
        <v>3714</v>
      </c>
      <c r="D12" s="229" t="s">
        <v>5469</v>
      </c>
      <c r="E12" s="244"/>
      <c r="F12" s="239">
        <v>45615</v>
      </c>
      <c r="G12" s="240" t="s">
        <v>3713</v>
      </c>
      <c r="H12" s="229"/>
      <c r="I12" s="229" t="s">
        <v>5470</v>
      </c>
      <c r="J12" s="203" t="b">
        <v>1</v>
      </c>
    </row>
    <row r="13" spans="1:10">
      <c r="A13" s="229">
        <v>11</v>
      </c>
      <c r="B13" s="229" t="s">
        <v>2052</v>
      </c>
      <c r="C13" s="229" t="s">
        <v>5473</v>
      </c>
      <c r="D13" s="229" t="s">
        <v>5469</v>
      </c>
      <c r="E13" s="239"/>
      <c r="F13" s="239">
        <v>45299</v>
      </c>
      <c r="G13" s="240" t="s">
        <v>2052</v>
      </c>
      <c r="H13" s="229" t="s">
        <v>5474</v>
      </c>
      <c r="I13" s="229" t="s">
        <v>5470</v>
      </c>
      <c r="J13" s="203" t="b">
        <v>0</v>
      </c>
    </row>
    <row r="14" spans="1:10">
      <c r="A14" s="229">
        <v>12</v>
      </c>
      <c r="B14" s="229" t="s">
        <v>2547</v>
      </c>
      <c r="C14" s="229" t="s">
        <v>5436</v>
      </c>
      <c r="D14" s="229" t="s">
        <v>5469</v>
      </c>
      <c r="E14" s="239"/>
      <c r="F14" s="239">
        <v>45491</v>
      </c>
      <c r="G14" s="240" t="s">
        <v>2547</v>
      </c>
      <c r="H14" s="229"/>
      <c r="I14" s="229" t="s">
        <v>5470</v>
      </c>
      <c r="J14" s="203" t="b">
        <v>1</v>
      </c>
    </row>
    <row r="15" spans="1:10">
      <c r="A15" s="229">
        <v>13</v>
      </c>
      <c r="B15" s="229" t="s">
        <v>2418</v>
      </c>
      <c r="C15" s="229" t="s">
        <v>5475</v>
      </c>
      <c r="D15" s="229" t="s">
        <v>5476</v>
      </c>
      <c r="E15" s="229" t="s">
        <v>5477</v>
      </c>
      <c r="F15" s="239">
        <v>45545</v>
      </c>
      <c r="G15" s="240" t="s">
        <v>5478</v>
      </c>
      <c r="H15" s="229"/>
      <c r="I15" s="229" t="s">
        <v>5470</v>
      </c>
      <c r="J15" s="203" t="b">
        <v>1</v>
      </c>
    </row>
    <row r="16" spans="1:10">
      <c r="A16" s="229">
        <v>14</v>
      </c>
      <c r="B16" s="229" t="s">
        <v>5082</v>
      </c>
      <c r="C16" s="229" t="s">
        <v>5479</v>
      </c>
      <c r="D16" s="229" t="s">
        <v>5476</v>
      </c>
      <c r="E16" s="229" t="s">
        <v>5477</v>
      </c>
      <c r="F16" s="239">
        <v>45211</v>
      </c>
      <c r="G16" s="240" t="s">
        <v>5082</v>
      </c>
      <c r="H16" s="229"/>
      <c r="I16" s="229" t="s">
        <v>5480</v>
      </c>
      <c r="J16" s="203" t="b">
        <v>1</v>
      </c>
    </row>
    <row r="17" spans="1:10">
      <c r="A17" s="203">
        <v>15</v>
      </c>
      <c r="B17" s="203" t="s">
        <v>2572</v>
      </c>
      <c r="C17" s="203" t="s">
        <v>2573</v>
      </c>
      <c r="D17" s="203" t="s">
        <v>5476</v>
      </c>
      <c r="E17" s="203" t="s">
        <v>5477</v>
      </c>
      <c r="F17" s="238">
        <v>45393</v>
      </c>
      <c r="G17" s="200" t="s">
        <v>2572</v>
      </c>
      <c r="H17" s="203"/>
      <c r="I17" s="203" t="s">
        <v>5471</v>
      </c>
      <c r="J17" s="203" t="b">
        <v>1</v>
      </c>
    </row>
    <row r="18" spans="1:10">
      <c r="A18" s="229">
        <v>16</v>
      </c>
      <c r="B18" s="229" t="s">
        <v>5089</v>
      </c>
      <c r="C18" s="229" t="s">
        <v>5481</v>
      </c>
      <c r="D18" s="229" t="s">
        <v>5476</v>
      </c>
      <c r="E18" s="229" t="s">
        <v>5477</v>
      </c>
      <c r="F18" s="239">
        <v>45391</v>
      </c>
      <c r="G18" s="240" t="s">
        <v>5089</v>
      </c>
      <c r="H18" s="229"/>
      <c r="I18" s="229" t="s">
        <v>5480</v>
      </c>
      <c r="J18" s="203" t="b">
        <v>1</v>
      </c>
    </row>
    <row r="19" spans="1:10">
      <c r="A19" s="203">
        <v>17</v>
      </c>
      <c r="B19" s="203" t="s">
        <v>2743</v>
      </c>
      <c r="C19" s="203" t="s">
        <v>2744</v>
      </c>
      <c r="D19" s="203" t="s">
        <v>5476</v>
      </c>
      <c r="E19" s="203" t="s">
        <v>5477</v>
      </c>
      <c r="F19" s="238">
        <v>45393</v>
      </c>
      <c r="G19" s="200" t="s">
        <v>2743</v>
      </c>
      <c r="H19" s="203"/>
      <c r="I19" s="203" t="s">
        <v>5471</v>
      </c>
      <c r="J19" s="203" t="b">
        <v>1</v>
      </c>
    </row>
    <row r="20" spans="1:10">
      <c r="A20" s="203">
        <v>18</v>
      </c>
      <c r="B20" s="203" t="s">
        <v>2795</v>
      </c>
      <c r="C20" s="203" t="s">
        <v>2796</v>
      </c>
      <c r="D20" s="203" t="s">
        <v>5476</v>
      </c>
      <c r="E20" s="203" t="s">
        <v>5477</v>
      </c>
      <c r="F20" s="238">
        <v>43948</v>
      </c>
      <c r="G20" s="200" t="s">
        <v>2795</v>
      </c>
      <c r="H20" s="203"/>
      <c r="I20" s="203" t="s">
        <v>5471</v>
      </c>
      <c r="J20" s="203" t="b">
        <v>1</v>
      </c>
    </row>
    <row r="21" spans="1:10">
      <c r="A21" s="203">
        <v>19</v>
      </c>
      <c r="B21" s="203" t="s">
        <v>3138</v>
      </c>
      <c r="C21" s="203" t="s">
        <v>5482</v>
      </c>
      <c r="D21" s="203" t="s">
        <v>5476</v>
      </c>
      <c r="E21" s="203" t="s">
        <v>5477</v>
      </c>
      <c r="F21" s="238">
        <v>45576</v>
      </c>
      <c r="G21" s="200" t="s">
        <v>3138</v>
      </c>
      <c r="H21" s="203"/>
      <c r="I21" s="203" t="s">
        <v>5471</v>
      </c>
      <c r="J21" s="203" t="b">
        <v>1</v>
      </c>
    </row>
    <row r="22" spans="1:10">
      <c r="A22" s="203">
        <v>20</v>
      </c>
      <c r="B22" s="203" t="s">
        <v>4407</v>
      </c>
      <c r="C22" s="203" t="s">
        <v>5483</v>
      </c>
      <c r="D22" s="203" t="s">
        <v>5476</v>
      </c>
      <c r="E22" s="203" t="s">
        <v>5484</v>
      </c>
      <c r="F22" s="238">
        <v>45286</v>
      </c>
      <c r="G22" s="200" t="s">
        <v>4407</v>
      </c>
      <c r="H22" s="203"/>
      <c r="I22" s="203" t="s">
        <v>5471</v>
      </c>
      <c r="J22" s="203" t="b">
        <v>1</v>
      </c>
    </row>
    <row r="23" spans="1:10">
      <c r="A23" s="229">
        <v>21</v>
      </c>
      <c r="B23" s="229" t="s">
        <v>5108</v>
      </c>
      <c r="C23" s="229" t="s">
        <v>5335</v>
      </c>
      <c r="D23" s="229" t="s">
        <v>5476</v>
      </c>
      <c r="E23" s="229" t="s">
        <v>5485</v>
      </c>
      <c r="F23" s="239">
        <v>45439</v>
      </c>
      <c r="G23" s="240" t="s">
        <v>5108</v>
      </c>
      <c r="H23" s="229"/>
      <c r="I23" s="229" t="s">
        <v>5480</v>
      </c>
      <c r="J23" s="203" t="b">
        <v>1</v>
      </c>
    </row>
    <row r="24" spans="1:10">
      <c r="A24" s="203">
        <v>22</v>
      </c>
      <c r="B24" s="203" t="s">
        <v>3180</v>
      </c>
      <c r="C24" s="203" t="s">
        <v>5339</v>
      </c>
      <c r="D24" s="203" t="s">
        <v>5476</v>
      </c>
      <c r="E24" s="203" t="s">
        <v>5477</v>
      </c>
      <c r="F24" s="238">
        <v>45414</v>
      </c>
      <c r="G24" s="200" t="s">
        <v>3180</v>
      </c>
      <c r="H24" s="203"/>
      <c r="I24" s="203" t="s">
        <v>5471</v>
      </c>
      <c r="J24" s="203" t="b">
        <v>1</v>
      </c>
    </row>
    <row r="25" spans="1:10">
      <c r="A25" s="229">
        <v>23</v>
      </c>
      <c r="B25" s="229" t="s">
        <v>5118</v>
      </c>
      <c r="C25" s="229" t="s">
        <v>5363</v>
      </c>
      <c r="D25" s="229" t="s">
        <v>5476</v>
      </c>
      <c r="E25" s="229" t="s">
        <v>5477</v>
      </c>
      <c r="F25" s="239">
        <v>45573</v>
      </c>
      <c r="G25" s="240" t="s">
        <v>5118</v>
      </c>
      <c r="H25" s="229"/>
      <c r="I25" s="229" t="s">
        <v>5480</v>
      </c>
      <c r="J25" s="203" t="b">
        <v>1</v>
      </c>
    </row>
    <row r="26" spans="1:10">
      <c r="A26" s="203">
        <v>24</v>
      </c>
      <c r="B26" s="203" t="s">
        <v>3413</v>
      </c>
      <c r="C26" s="203" t="s">
        <v>3414</v>
      </c>
      <c r="D26" s="203" t="s">
        <v>5476</v>
      </c>
      <c r="E26" s="203" t="s">
        <v>5477</v>
      </c>
      <c r="F26" s="238">
        <v>45589</v>
      </c>
      <c r="G26" s="200" t="s">
        <v>3413</v>
      </c>
      <c r="H26" s="203"/>
      <c r="I26" s="203" t="s">
        <v>5471</v>
      </c>
      <c r="J26" s="203" t="b">
        <v>1</v>
      </c>
    </row>
    <row r="27" spans="1:10">
      <c r="A27" s="203">
        <v>25</v>
      </c>
      <c r="B27" s="203" t="s">
        <v>3539</v>
      </c>
      <c r="C27" s="203" t="s">
        <v>3540</v>
      </c>
      <c r="D27" s="203" t="s">
        <v>5476</v>
      </c>
      <c r="E27" s="203" t="s">
        <v>5477</v>
      </c>
      <c r="F27" s="238">
        <v>45392</v>
      </c>
      <c r="G27" s="200" t="s">
        <v>3539</v>
      </c>
      <c r="H27" s="203"/>
      <c r="I27" s="203" t="s">
        <v>5471</v>
      </c>
      <c r="J27" s="203" t="b">
        <v>1</v>
      </c>
    </row>
    <row r="28" spans="1:10">
      <c r="A28" s="229">
        <v>26</v>
      </c>
      <c r="B28" s="229" t="s">
        <v>5126</v>
      </c>
      <c r="C28" s="229" t="s">
        <v>5486</v>
      </c>
      <c r="D28" s="229" t="s">
        <v>5476</v>
      </c>
      <c r="E28" s="229" t="s">
        <v>5477</v>
      </c>
      <c r="F28" s="239">
        <v>45392</v>
      </c>
      <c r="G28" s="240" t="s">
        <v>5126</v>
      </c>
      <c r="H28" s="229"/>
      <c r="I28" s="229" t="s">
        <v>5480</v>
      </c>
      <c r="J28" s="203" t="b">
        <v>1</v>
      </c>
    </row>
    <row r="29" spans="1:10">
      <c r="A29" s="203">
        <v>27</v>
      </c>
      <c r="B29" s="203" t="s">
        <v>3741</v>
      </c>
      <c r="C29" s="203" t="s">
        <v>5487</v>
      </c>
      <c r="D29" s="203" t="s">
        <v>5476</v>
      </c>
      <c r="E29" s="203" t="s">
        <v>5477</v>
      </c>
      <c r="F29" s="238">
        <v>45393</v>
      </c>
      <c r="G29" s="200" t="s">
        <v>3741</v>
      </c>
      <c r="H29" s="203"/>
      <c r="I29" s="203" t="s">
        <v>5471</v>
      </c>
      <c r="J29" s="203" t="b">
        <v>1</v>
      </c>
    </row>
    <row r="30" spans="1:10">
      <c r="A30" s="203">
        <v>28</v>
      </c>
      <c r="B30" s="203" t="s">
        <v>4902</v>
      </c>
      <c r="C30" s="203" t="s">
        <v>5424</v>
      </c>
      <c r="D30" s="203" t="s">
        <v>5476</v>
      </c>
      <c r="E30" s="203" t="s">
        <v>5477</v>
      </c>
      <c r="F30" s="238">
        <v>45415</v>
      </c>
      <c r="G30" s="200" t="s">
        <v>4902</v>
      </c>
      <c r="H30" s="203"/>
      <c r="I30" s="203" t="s">
        <v>5471</v>
      </c>
      <c r="J30" s="203" t="b">
        <v>1</v>
      </c>
    </row>
    <row r="31" spans="1:10">
      <c r="A31" s="203">
        <v>29</v>
      </c>
      <c r="B31" s="203" t="s">
        <v>3828</v>
      </c>
      <c r="C31" s="203" t="s">
        <v>5488</v>
      </c>
      <c r="D31" s="203" t="s">
        <v>5476</v>
      </c>
      <c r="E31" s="203" t="s">
        <v>5477</v>
      </c>
      <c r="F31" s="238">
        <v>45386</v>
      </c>
      <c r="G31" s="200" t="s">
        <v>3828</v>
      </c>
      <c r="H31" s="203"/>
      <c r="I31" s="203" t="s">
        <v>5471</v>
      </c>
      <c r="J31" s="203" t="b">
        <v>1</v>
      </c>
    </row>
    <row r="32" spans="1:10">
      <c r="A32" s="229">
        <v>30</v>
      </c>
      <c r="B32" s="229" t="s">
        <v>5074</v>
      </c>
      <c r="C32" s="229" t="s">
        <v>5489</v>
      </c>
      <c r="D32" s="229" t="s">
        <v>5476</v>
      </c>
      <c r="E32" s="229" t="s">
        <v>5490</v>
      </c>
      <c r="F32" s="239">
        <v>45392</v>
      </c>
      <c r="G32" s="240" t="s">
        <v>5074</v>
      </c>
      <c r="H32" s="229"/>
      <c r="I32" s="229" t="s">
        <v>5480</v>
      </c>
      <c r="J32" s="203" t="b">
        <v>1</v>
      </c>
    </row>
    <row r="33" spans="1:10">
      <c r="A33" s="203">
        <v>31</v>
      </c>
      <c r="B33" s="203" t="s">
        <v>2450</v>
      </c>
      <c r="C33" s="203" t="s">
        <v>5491</v>
      </c>
      <c r="D33" s="203" t="s">
        <v>5476</v>
      </c>
      <c r="E33" s="203" t="s">
        <v>5490</v>
      </c>
      <c r="F33" s="238">
        <v>45394</v>
      </c>
      <c r="G33" s="200" t="s">
        <v>2450</v>
      </c>
      <c r="H33" s="203"/>
      <c r="I33" s="203" t="s">
        <v>5471</v>
      </c>
      <c r="J33" s="203" t="b">
        <v>1</v>
      </c>
    </row>
    <row r="34" spans="1:10">
      <c r="A34" s="203">
        <v>32</v>
      </c>
      <c r="B34" s="203" t="s">
        <v>2465</v>
      </c>
      <c r="C34" s="203" t="s">
        <v>2466</v>
      </c>
      <c r="D34" s="203" t="s">
        <v>5476</v>
      </c>
      <c r="E34" s="203" t="s">
        <v>5490</v>
      </c>
      <c r="F34" s="238">
        <v>45019</v>
      </c>
      <c r="G34" s="200" t="s">
        <v>2465</v>
      </c>
      <c r="H34" s="203"/>
      <c r="I34" s="203" t="s">
        <v>5471</v>
      </c>
      <c r="J34" s="203" t="b">
        <v>1</v>
      </c>
    </row>
    <row r="35" spans="1:10">
      <c r="A35" s="203">
        <v>33</v>
      </c>
      <c r="B35" s="203" t="s">
        <v>2542</v>
      </c>
      <c r="C35" s="203" t="s">
        <v>5492</v>
      </c>
      <c r="D35" s="203" t="s">
        <v>5476</v>
      </c>
      <c r="E35" s="203" t="s">
        <v>5490</v>
      </c>
      <c r="F35" s="238">
        <v>45539</v>
      </c>
      <c r="G35" s="200" t="s">
        <v>2542</v>
      </c>
      <c r="H35" s="203"/>
      <c r="I35" s="203" t="s">
        <v>5471</v>
      </c>
      <c r="J35" s="203" t="b">
        <v>1</v>
      </c>
    </row>
    <row r="36" spans="1:10">
      <c r="A36" s="229">
        <v>34</v>
      </c>
      <c r="B36" s="229" t="s">
        <v>5084</v>
      </c>
      <c r="C36" s="229" t="s">
        <v>5493</v>
      </c>
      <c r="D36" s="229" t="s">
        <v>5476</v>
      </c>
      <c r="E36" s="229" t="s">
        <v>5490</v>
      </c>
      <c r="F36" s="239">
        <v>45392</v>
      </c>
      <c r="G36" s="240" t="s">
        <v>5084</v>
      </c>
      <c r="H36" s="229"/>
      <c r="I36" s="229" t="s">
        <v>5480</v>
      </c>
      <c r="J36" s="203" t="b">
        <v>1</v>
      </c>
    </row>
    <row r="37" spans="1:10">
      <c r="A37" s="203">
        <v>35</v>
      </c>
      <c r="B37" s="203" t="s">
        <v>2773</v>
      </c>
      <c r="C37" s="203" t="s">
        <v>5494</v>
      </c>
      <c r="D37" s="203" t="s">
        <v>5476</v>
      </c>
      <c r="E37" s="203" t="s">
        <v>5495</v>
      </c>
      <c r="F37" s="238">
        <v>45554</v>
      </c>
      <c r="G37" s="200" t="s">
        <v>2773</v>
      </c>
      <c r="H37" s="203"/>
      <c r="I37" s="203" t="s">
        <v>5471</v>
      </c>
      <c r="J37" s="203" t="b">
        <v>1</v>
      </c>
    </row>
    <row r="38" spans="1:10">
      <c r="A38" s="203">
        <v>36</v>
      </c>
      <c r="B38" s="203" t="s">
        <v>2816</v>
      </c>
      <c r="C38" s="203" t="s">
        <v>2817</v>
      </c>
      <c r="D38" s="203" t="s">
        <v>5476</v>
      </c>
      <c r="E38" s="203" t="s">
        <v>5490</v>
      </c>
      <c r="F38" s="238">
        <v>43915</v>
      </c>
      <c r="G38" s="200" t="s">
        <v>2816</v>
      </c>
      <c r="H38" s="203"/>
      <c r="I38" s="203" t="s">
        <v>5471</v>
      </c>
      <c r="J38" s="203" t="b">
        <v>1</v>
      </c>
    </row>
    <row r="39" spans="1:10">
      <c r="A39" s="203">
        <v>37</v>
      </c>
      <c r="B39" s="203" t="s">
        <v>2850</v>
      </c>
      <c r="C39" s="203" t="s">
        <v>5282</v>
      </c>
      <c r="D39" s="203" t="s">
        <v>5476</v>
      </c>
      <c r="E39" s="203" t="s">
        <v>5490</v>
      </c>
      <c r="F39" s="238">
        <v>45014</v>
      </c>
      <c r="G39" s="200" t="s">
        <v>2850</v>
      </c>
      <c r="H39" s="203"/>
      <c r="I39" s="203" t="s">
        <v>5471</v>
      </c>
      <c r="J39" s="203" t="b">
        <v>1</v>
      </c>
    </row>
    <row r="40" spans="1:10">
      <c r="A40" s="203">
        <v>38</v>
      </c>
      <c r="B40" s="203" t="s">
        <v>2922</v>
      </c>
      <c r="C40" s="203" t="s">
        <v>5496</v>
      </c>
      <c r="D40" s="203" t="s">
        <v>5476</v>
      </c>
      <c r="E40" s="203" t="s">
        <v>5490</v>
      </c>
      <c r="F40" s="238">
        <v>44841</v>
      </c>
      <c r="G40" s="200" t="s">
        <v>2922</v>
      </c>
      <c r="H40" s="203"/>
      <c r="I40" s="203" t="s">
        <v>5471</v>
      </c>
      <c r="J40" s="203" t="b">
        <v>1</v>
      </c>
    </row>
    <row r="41" spans="1:10">
      <c r="A41" s="203">
        <v>39</v>
      </c>
      <c r="B41" s="203" t="s">
        <v>3051</v>
      </c>
      <c r="C41" s="203" t="s">
        <v>3052</v>
      </c>
      <c r="D41" s="203" t="s">
        <v>5476</v>
      </c>
      <c r="E41" s="203" t="s">
        <v>5490</v>
      </c>
      <c r="F41" s="238">
        <v>45407</v>
      </c>
      <c r="G41" s="200" t="s">
        <v>3051</v>
      </c>
      <c r="H41" s="203"/>
      <c r="I41" s="203" t="s">
        <v>5471</v>
      </c>
      <c r="J41" s="203" t="b">
        <v>1</v>
      </c>
    </row>
    <row r="42" spans="1:10">
      <c r="A42" s="203">
        <v>40</v>
      </c>
      <c r="B42" s="203" t="s">
        <v>3067</v>
      </c>
      <c r="C42" s="203" t="s">
        <v>5319</v>
      </c>
      <c r="D42" s="203" t="s">
        <v>5476</v>
      </c>
      <c r="E42" s="203" t="s">
        <v>5490</v>
      </c>
      <c r="F42" s="238">
        <v>45373</v>
      </c>
      <c r="G42" s="200" t="s">
        <v>3067</v>
      </c>
      <c r="H42" s="203"/>
      <c r="I42" s="203" t="s">
        <v>5471</v>
      </c>
      <c r="J42" s="203" t="b">
        <v>1</v>
      </c>
    </row>
    <row r="43" spans="1:10">
      <c r="A43" s="229">
        <v>41</v>
      </c>
      <c r="B43" s="229" t="s">
        <v>5104</v>
      </c>
      <c r="C43" s="229" t="s">
        <v>5443</v>
      </c>
      <c r="D43" s="229" t="s">
        <v>5476</v>
      </c>
      <c r="E43" s="229" t="s">
        <v>5490</v>
      </c>
      <c r="F43" s="239">
        <v>45390</v>
      </c>
      <c r="G43" s="240" t="s">
        <v>5104</v>
      </c>
      <c r="H43" s="229"/>
      <c r="I43" s="229" t="s">
        <v>5480</v>
      </c>
      <c r="J43" s="203" t="b">
        <v>1</v>
      </c>
    </row>
    <row r="44" spans="1:10">
      <c r="A44" s="242">
        <v>42</v>
      </c>
      <c r="B44" s="242" t="s">
        <v>3091</v>
      </c>
      <c r="C44" s="242" t="s">
        <v>3092</v>
      </c>
      <c r="D44" s="242" t="s">
        <v>5476</v>
      </c>
      <c r="E44" s="242" t="s">
        <v>5495</v>
      </c>
      <c r="F44" s="243">
        <v>45561</v>
      </c>
      <c r="G44" s="245" t="s">
        <v>3091</v>
      </c>
      <c r="H44" s="242"/>
      <c r="I44" s="242" t="s">
        <v>5470</v>
      </c>
      <c r="J44" s="203" t="b">
        <v>1</v>
      </c>
    </row>
    <row r="45" spans="1:10">
      <c r="A45" s="203">
        <v>43</v>
      </c>
      <c r="B45" s="203" t="s">
        <v>3104</v>
      </c>
      <c r="C45" s="203" t="s">
        <v>5328</v>
      </c>
      <c r="D45" s="203" t="s">
        <v>5476</v>
      </c>
      <c r="E45" s="203" t="s">
        <v>5490</v>
      </c>
      <c r="F45" s="238">
        <v>44383</v>
      </c>
      <c r="G45" s="200" t="s">
        <v>3104</v>
      </c>
      <c r="H45" s="203"/>
      <c r="I45" s="203" t="s">
        <v>5471</v>
      </c>
      <c r="J45" s="203" t="b">
        <v>1</v>
      </c>
    </row>
    <row r="46" spans="1:10">
      <c r="A46" s="203">
        <v>44</v>
      </c>
      <c r="B46" s="203" t="s">
        <v>3278</v>
      </c>
      <c r="C46" s="203" t="s">
        <v>5346</v>
      </c>
      <c r="D46" s="203" t="s">
        <v>5476</v>
      </c>
      <c r="E46" s="203" t="s">
        <v>5490</v>
      </c>
      <c r="F46" s="238">
        <v>45558</v>
      </c>
      <c r="G46" s="200" t="s">
        <v>3278</v>
      </c>
      <c r="H46" s="203"/>
      <c r="I46" s="203" t="s">
        <v>5471</v>
      </c>
      <c r="J46" s="203" t="b">
        <v>1</v>
      </c>
    </row>
    <row r="47" spans="1:10">
      <c r="A47" s="203">
        <v>45</v>
      </c>
      <c r="B47" s="203" t="s">
        <v>3215</v>
      </c>
      <c r="C47" s="203" t="s">
        <v>5497</v>
      </c>
      <c r="D47" s="203" t="s">
        <v>5476</v>
      </c>
      <c r="E47" s="203" t="s">
        <v>5490</v>
      </c>
      <c r="F47" s="238">
        <v>45380</v>
      </c>
      <c r="G47" s="200" t="s">
        <v>3215</v>
      </c>
      <c r="H47" s="203"/>
      <c r="I47" s="203" t="s">
        <v>5471</v>
      </c>
      <c r="J47" s="203" t="b">
        <v>1</v>
      </c>
    </row>
    <row r="48" spans="1:10">
      <c r="A48" s="203">
        <v>46</v>
      </c>
      <c r="B48" s="203" t="s">
        <v>3285</v>
      </c>
      <c r="C48" s="203" t="s">
        <v>3286</v>
      </c>
      <c r="D48" s="203" t="s">
        <v>5476</v>
      </c>
      <c r="E48" s="203" t="s">
        <v>5490</v>
      </c>
      <c r="F48" s="238">
        <v>45386</v>
      </c>
      <c r="G48" s="200" t="s">
        <v>3285</v>
      </c>
      <c r="H48" s="203"/>
      <c r="I48" s="203" t="s">
        <v>5471</v>
      </c>
      <c r="J48" s="203" t="b">
        <v>1</v>
      </c>
    </row>
    <row r="49" spans="1:10">
      <c r="A49" s="203">
        <v>47</v>
      </c>
      <c r="B49" s="203" t="s">
        <v>3289</v>
      </c>
      <c r="C49" s="203" t="s">
        <v>3290</v>
      </c>
      <c r="D49" s="203" t="s">
        <v>5476</v>
      </c>
      <c r="E49" s="203" t="s">
        <v>5490</v>
      </c>
      <c r="F49" s="238">
        <v>44909</v>
      </c>
      <c r="G49" s="200" t="s">
        <v>3289</v>
      </c>
      <c r="H49" s="203"/>
      <c r="I49" s="203" t="s">
        <v>5471</v>
      </c>
      <c r="J49" s="203" t="b">
        <v>1</v>
      </c>
    </row>
    <row r="50" spans="1:10">
      <c r="A50" s="203">
        <v>48</v>
      </c>
      <c r="B50" s="203" t="s">
        <v>3347</v>
      </c>
      <c r="C50" s="203" t="s">
        <v>3348</v>
      </c>
      <c r="D50" s="203" t="s">
        <v>5476</v>
      </c>
      <c r="E50" s="203" t="s">
        <v>5490</v>
      </c>
      <c r="F50" s="238">
        <v>44067</v>
      </c>
      <c r="G50" s="200" t="s">
        <v>3347</v>
      </c>
      <c r="H50" s="203"/>
      <c r="I50" s="203" t="s">
        <v>5471</v>
      </c>
      <c r="J50" s="203" t="b">
        <v>1</v>
      </c>
    </row>
    <row r="51" spans="1:10">
      <c r="A51" s="229">
        <v>49</v>
      </c>
      <c r="B51" s="229" t="s">
        <v>5120</v>
      </c>
      <c r="C51" s="229" t="s">
        <v>5444</v>
      </c>
      <c r="D51" s="229" t="s">
        <v>5476</v>
      </c>
      <c r="E51" s="229" t="s">
        <v>5490</v>
      </c>
      <c r="F51" s="239">
        <v>45581</v>
      </c>
      <c r="G51" s="240" t="s">
        <v>5120</v>
      </c>
      <c r="H51" s="229"/>
      <c r="I51" s="229" t="s">
        <v>5480</v>
      </c>
      <c r="J51" s="203" t="b">
        <v>1</v>
      </c>
    </row>
    <row r="52" spans="1:10">
      <c r="A52" s="203">
        <v>50</v>
      </c>
      <c r="B52" s="203" t="s">
        <v>3378</v>
      </c>
      <c r="C52" s="203" t="s">
        <v>3379</v>
      </c>
      <c r="D52" s="203" t="s">
        <v>5476</v>
      </c>
      <c r="E52" s="203" t="s">
        <v>5490</v>
      </c>
      <c r="F52" s="203">
        <v>2020</v>
      </c>
      <c r="G52" s="200" t="s">
        <v>3378</v>
      </c>
      <c r="H52" s="203"/>
      <c r="I52" s="203" t="s">
        <v>5471</v>
      </c>
      <c r="J52" s="203" t="b">
        <v>1</v>
      </c>
    </row>
    <row r="53" spans="1:10">
      <c r="A53" s="203">
        <v>51</v>
      </c>
      <c r="B53" s="203" t="s">
        <v>3554</v>
      </c>
      <c r="C53" s="203" t="s">
        <v>5498</v>
      </c>
      <c r="D53" s="203" t="s">
        <v>5476</v>
      </c>
      <c r="E53" s="203" t="s">
        <v>5499</v>
      </c>
      <c r="F53" s="238">
        <v>45328</v>
      </c>
      <c r="G53" s="200" t="s">
        <v>3378</v>
      </c>
      <c r="H53" s="203"/>
      <c r="I53" s="203" t="s">
        <v>5471</v>
      </c>
      <c r="J53" s="203" t="b">
        <v>1</v>
      </c>
    </row>
    <row r="54" spans="1:10">
      <c r="A54" s="203">
        <v>52</v>
      </c>
      <c r="B54" s="203" t="s">
        <v>3644</v>
      </c>
      <c r="C54" s="203" t="s">
        <v>3645</v>
      </c>
      <c r="D54" s="203" t="s">
        <v>5476</v>
      </c>
      <c r="E54" s="203" t="s">
        <v>5490</v>
      </c>
      <c r="F54" s="238">
        <v>43916</v>
      </c>
      <c r="G54" s="200" t="s">
        <v>3644</v>
      </c>
      <c r="H54" s="203"/>
      <c r="I54" s="203" t="s">
        <v>5471</v>
      </c>
      <c r="J54" s="203" t="b">
        <v>1</v>
      </c>
    </row>
    <row r="55" spans="1:10">
      <c r="A55" s="203">
        <v>53</v>
      </c>
      <c r="B55" s="203" t="s">
        <v>3654</v>
      </c>
      <c r="C55" s="203" t="s">
        <v>3655</v>
      </c>
      <c r="D55" s="203" t="s">
        <v>5476</v>
      </c>
      <c r="E55" s="203" t="s">
        <v>5490</v>
      </c>
      <c r="F55" s="238">
        <v>45392</v>
      </c>
      <c r="G55" s="200" t="s">
        <v>3654</v>
      </c>
      <c r="H55" s="203"/>
      <c r="I55" s="203" t="s">
        <v>5471</v>
      </c>
      <c r="J55" s="203" t="b">
        <v>1</v>
      </c>
    </row>
    <row r="56" spans="1:10">
      <c r="A56" s="203">
        <v>54</v>
      </c>
      <c r="B56" s="203" t="s">
        <v>3659</v>
      </c>
      <c r="C56" s="203" t="s">
        <v>3660</v>
      </c>
      <c r="D56" s="203" t="s">
        <v>5476</v>
      </c>
      <c r="E56" s="203" t="s">
        <v>5490</v>
      </c>
      <c r="F56" s="238">
        <v>45027</v>
      </c>
      <c r="G56" s="200" t="s">
        <v>3659</v>
      </c>
      <c r="H56" s="203"/>
      <c r="I56" s="203" t="s">
        <v>5471</v>
      </c>
      <c r="J56" s="203" t="b">
        <v>1</v>
      </c>
    </row>
    <row r="57" spans="1:10">
      <c r="A57" s="229">
        <v>55</v>
      </c>
      <c r="B57" s="229" t="s">
        <v>5135</v>
      </c>
      <c r="C57" s="229" t="s">
        <v>5414</v>
      </c>
      <c r="D57" s="229" t="s">
        <v>5476</v>
      </c>
      <c r="E57" s="229" t="s">
        <v>5490</v>
      </c>
      <c r="F57" s="239">
        <v>44603</v>
      </c>
      <c r="G57" s="240" t="s">
        <v>5135</v>
      </c>
      <c r="H57" s="229"/>
      <c r="I57" s="229" t="s">
        <v>5480</v>
      </c>
      <c r="J57" s="203" t="b">
        <v>1</v>
      </c>
    </row>
    <row r="58" spans="1:10">
      <c r="A58" s="203">
        <v>56</v>
      </c>
      <c r="B58" s="203" t="s">
        <v>3726</v>
      </c>
      <c r="C58" s="203" t="s">
        <v>3727</v>
      </c>
      <c r="D58" s="203" t="s">
        <v>5476</v>
      </c>
      <c r="E58" s="203" t="s">
        <v>5490</v>
      </c>
      <c r="F58" s="238">
        <v>45373</v>
      </c>
      <c r="G58" s="200" t="s">
        <v>3726</v>
      </c>
      <c r="H58" s="203"/>
      <c r="I58" s="203" t="s">
        <v>5471</v>
      </c>
      <c r="J58" s="203" t="b">
        <v>1</v>
      </c>
    </row>
    <row r="59" spans="1:10">
      <c r="A59" s="203">
        <v>57</v>
      </c>
      <c r="B59" s="203" t="s">
        <v>3746</v>
      </c>
      <c r="C59" s="203" t="s">
        <v>5421</v>
      </c>
      <c r="D59" s="203" t="s">
        <v>5476</v>
      </c>
      <c r="E59" s="203" t="s">
        <v>5490</v>
      </c>
      <c r="F59" s="238">
        <v>44670</v>
      </c>
      <c r="G59" s="200" t="s">
        <v>3746</v>
      </c>
      <c r="H59" s="203"/>
      <c r="I59" s="203" t="s">
        <v>5471</v>
      </c>
      <c r="J59" s="203" t="b">
        <v>1</v>
      </c>
    </row>
    <row r="60" spans="1:10">
      <c r="A60" s="203">
        <v>58</v>
      </c>
      <c r="B60" s="203" t="s">
        <v>3766</v>
      </c>
      <c r="C60" s="203" t="s">
        <v>5500</v>
      </c>
      <c r="D60" s="203" t="s">
        <v>5476</v>
      </c>
      <c r="E60" s="203" t="s">
        <v>5490</v>
      </c>
      <c r="F60" s="238">
        <v>45372</v>
      </c>
      <c r="G60" s="200" t="s">
        <v>3766</v>
      </c>
      <c r="H60" s="203"/>
      <c r="I60" s="203" t="s">
        <v>5471</v>
      </c>
      <c r="J60" s="203" t="b">
        <v>1</v>
      </c>
    </row>
    <row r="61" spans="1:10">
      <c r="A61" s="229">
        <v>59</v>
      </c>
      <c r="B61" s="229" t="s">
        <v>5067</v>
      </c>
      <c r="C61" s="229" t="s">
        <v>5068</v>
      </c>
      <c r="D61" s="229" t="s">
        <v>5476</v>
      </c>
      <c r="E61" s="229" t="s">
        <v>5501</v>
      </c>
      <c r="F61" s="239">
        <v>45439</v>
      </c>
      <c r="G61" s="240" t="s">
        <v>5067</v>
      </c>
      <c r="H61" s="229"/>
      <c r="I61" s="229" t="s">
        <v>5480</v>
      </c>
      <c r="J61" s="203" t="b">
        <v>1</v>
      </c>
    </row>
    <row r="62" spans="1:10">
      <c r="A62" s="229">
        <v>60</v>
      </c>
      <c r="B62" s="229" t="s">
        <v>5087</v>
      </c>
      <c r="C62" s="229" t="s">
        <v>5446</v>
      </c>
      <c r="D62" s="229" t="s">
        <v>5476</v>
      </c>
      <c r="E62" s="229" t="s">
        <v>5502</v>
      </c>
      <c r="F62" s="239"/>
      <c r="G62" s="229" t="s">
        <v>5503</v>
      </c>
      <c r="H62" s="229"/>
      <c r="I62" s="229" t="s">
        <v>5480</v>
      </c>
      <c r="J62" s="203" t="b">
        <v>1</v>
      </c>
    </row>
    <row r="63" spans="1:10">
      <c r="A63" s="229">
        <v>61</v>
      </c>
      <c r="B63" s="229" t="s">
        <v>5091</v>
      </c>
      <c r="C63" s="229" t="s">
        <v>5449</v>
      </c>
      <c r="D63" s="229" t="s">
        <v>5476</v>
      </c>
      <c r="E63" s="229" t="s">
        <v>5502</v>
      </c>
      <c r="F63" s="239"/>
      <c r="G63" s="229" t="s">
        <v>5503</v>
      </c>
      <c r="H63" s="229"/>
      <c r="I63" s="229" t="s">
        <v>5480</v>
      </c>
      <c r="J63" s="203" t="b">
        <v>1</v>
      </c>
    </row>
    <row r="64" spans="1:10">
      <c r="A64" s="229">
        <v>62</v>
      </c>
      <c r="B64" s="229" t="s">
        <v>5109</v>
      </c>
      <c r="C64" s="229" t="s">
        <v>5450</v>
      </c>
      <c r="D64" s="229" t="s">
        <v>5476</v>
      </c>
      <c r="E64" s="229" t="s">
        <v>5502</v>
      </c>
      <c r="F64" s="239"/>
      <c r="G64" s="229" t="s">
        <v>5503</v>
      </c>
      <c r="H64" s="229" t="s">
        <v>5504</v>
      </c>
      <c r="I64" s="229" t="s">
        <v>5480</v>
      </c>
      <c r="J64" s="203" t="b">
        <v>0</v>
      </c>
    </row>
    <row r="65" spans="1:10">
      <c r="A65" s="203">
        <v>63</v>
      </c>
      <c r="B65" s="203" t="s">
        <v>2388</v>
      </c>
      <c r="C65" s="203" t="s">
        <v>5505</v>
      </c>
      <c r="D65" s="203" t="s">
        <v>5476</v>
      </c>
      <c r="E65" s="203" t="s">
        <v>5506</v>
      </c>
      <c r="F65" s="238">
        <v>45511</v>
      </c>
      <c r="G65" s="200" t="s">
        <v>2388</v>
      </c>
      <c r="H65" s="203"/>
      <c r="I65" s="203" t="s">
        <v>5471</v>
      </c>
      <c r="J65" s="203" t="b">
        <v>1</v>
      </c>
    </row>
    <row r="66" spans="1:10">
      <c r="A66" s="203">
        <v>64</v>
      </c>
      <c r="B66" s="203" t="s">
        <v>2674</v>
      </c>
      <c r="C66" s="203" t="s">
        <v>5507</v>
      </c>
      <c r="D66" s="203" t="s">
        <v>5476</v>
      </c>
      <c r="E66" s="203" t="s">
        <v>5506</v>
      </c>
      <c r="F66" s="238">
        <v>45519</v>
      </c>
      <c r="G66" s="200" t="s">
        <v>2674</v>
      </c>
      <c r="H66" s="203"/>
      <c r="I66" s="203" t="s">
        <v>5471</v>
      </c>
      <c r="J66" s="203" t="b">
        <v>1</v>
      </c>
    </row>
    <row r="67" spans="1:10">
      <c r="A67" s="203">
        <v>65</v>
      </c>
      <c r="B67" s="203" t="s">
        <v>2763</v>
      </c>
      <c r="C67" s="203" t="s">
        <v>5508</v>
      </c>
      <c r="D67" s="203" t="s">
        <v>5476</v>
      </c>
      <c r="E67" s="203" t="s">
        <v>5506</v>
      </c>
      <c r="F67" s="238">
        <v>45519</v>
      </c>
      <c r="G67" s="200" t="s">
        <v>2763</v>
      </c>
      <c r="H67" s="203"/>
      <c r="I67" s="203" t="s">
        <v>5471</v>
      </c>
      <c r="J67" s="203" t="b">
        <v>1</v>
      </c>
    </row>
    <row r="68" spans="1:10">
      <c r="A68" s="203">
        <v>66</v>
      </c>
      <c r="B68" s="203" t="s">
        <v>2833</v>
      </c>
      <c r="C68" s="203" t="s">
        <v>5509</v>
      </c>
      <c r="D68" s="203" t="s">
        <v>5476</v>
      </c>
      <c r="E68" s="203" t="s">
        <v>5506</v>
      </c>
      <c r="F68" s="238">
        <v>45519</v>
      </c>
      <c r="G68" s="200" t="s">
        <v>2833</v>
      </c>
      <c r="H68" s="203"/>
      <c r="I68" s="203" t="s">
        <v>5471</v>
      </c>
      <c r="J68" s="203" t="b">
        <v>1</v>
      </c>
    </row>
    <row r="69" spans="1:10">
      <c r="A69" s="203">
        <v>67</v>
      </c>
      <c r="B69" s="203" t="s">
        <v>2840</v>
      </c>
      <c r="C69" s="203" t="s">
        <v>5510</v>
      </c>
      <c r="D69" s="203" t="s">
        <v>5476</v>
      </c>
      <c r="E69" s="203" t="s">
        <v>5506</v>
      </c>
      <c r="F69" s="238">
        <v>45534</v>
      </c>
      <c r="G69" s="200" t="s">
        <v>2840</v>
      </c>
      <c r="H69" s="203"/>
      <c r="I69" s="203" t="s">
        <v>5471</v>
      </c>
      <c r="J69" s="203" t="b">
        <v>1</v>
      </c>
    </row>
    <row r="70" spans="1:10">
      <c r="A70" s="203">
        <v>68</v>
      </c>
      <c r="B70" s="203" t="s">
        <v>2944</v>
      </c>
      <c r="C70" s="203" t="s">
        <v>5294</v>
      </c>
      <c r="D70" s="203" t="s">
        <v>5476</v>
      </c>
      <c r="E70" s="203" t="s">
        <v>5506</v>
      </c>
      <c r="F70" s="238">
        <v>45534</v>
      </c>
      <c r="G70" s="200" t="s">
        <v>2944</v>
      </c>
      <c r="H70" s="203"/>
      <c r="I70" s="203" t="s">
        <v>5471</v>
      </c>
      <c r="J70" s="203" t="b">
        <v>1</v>
      </c>
    </row>
    <row r="71" spans="1:10">
      <c r="A71" s="229">
        <v>69</v>
      </c>
      <c r="B71" s="229" t="s">
        <v>5097</v>
      </c>
      <c r="C71" s="229" t="s">
        <v>5453</v>
      </c>
      <c r="D71" s="229" t="s">
        <v>5476</v>
      </c>
      <c r="E71" s="229" t="s">
        <v>5506</v>
      </c>
      <c r="F71" s="239">
        <v>45530</v>
      </c>
      <c r="G71" s="240" t="s">
        <v>5097</v>
      </c>
      <c r="H71" s="229"/>
      <c r="I71" s="229" t="s">
        <v>5480</v>
      </c>
      <c r="J71" s="203" t="b">
        <v>1</v>
      </c>
    </row>
    <row r="72" spans="1:10">
      <c r="A72" s="229">
        <v>70</v>
      </c>
      <c r="B72" s="229" t="s">
        <v>3174</v>
      </c>
      <c r="C72" s="229" t="s">
        <v>3175</v>
      </c>
      <c r="D72" s="229" t="s">
        <v>5476</v>
      </c>
      <c r="E72" s="229" t="s">
        <v>5506</v>
      </c>
      <c r="F72" s="239">
        <v>45520</v>
      </c>
      <c r="G72" s="240" t="s">
        <v>3174</v>
      </c>
      <c r="H72" s="229"/>
      <c r="I72" s="229" t="s">
        <v>5470</v>
      </c>
      <c r="J72" s="203" t="b">
        <v>1</v>
      </c>
    </row>
    <row r="73" spans="1:10">
      <c r="A73" s="203">
        <v>71</v>
      </c>
      <c r="B73" s="203" t="s">
        <v>3270</v>
      </c>
      <c r="C73" s="203" t="s">
        <v>3271</v>
      </c>
      <c r="D73" s="203" t="s">
        <v>5476</v>
      </c>
      <c r="E73" s="203" t="s">
        <v>5506</v>
      </c>
      <c r="F73" s="238">
        <v>45517</v>
      </c>
      <c r="G73" s="200" t="s">
        <v>3270</v>
      </c>
      <c r="H73" s="203"/>
      <c r="I73" s="203" t="s">
        <v>5471</v>
      </c>
      <c r="J73" s="203" t="b">
        <v>1</v>
      </c>
    </row>
    <row r="74" spans="1:10">
      <c r="A74" s="229">
        <v>72</v>
      </c>
      <c r="B74" s="229" t="s">
        <v>5115</v>
      </c>
      <c r="C74" s="229" t="s">
        <v>5511</v>
      </c>
      <c r="D74" s="229" t="s">
        <v>5476</v>
      </c>
      <c r="E74" s="229" t="s">
        <v>5506</v>
      </c>
      <c r="F74" s="239">
        <v>45534</v>
      </c>
      <c r="G74" s="240" t="s">
        <v>5115</v>
      </c>
      <c r="H74" s="229"/>
      <c r="I74" s="229" t="s">
        <v>5480</v>
      </c>
      <c r="J74" s="203" t="b">
        <v>1</v>
      </c>
    </row>
    <row r="75" spans="1:10">
      <c r="A75" s="203">
        <v>73</v>
      </c>
      <c r="B75" s="203" t="s">
        <v>3403</v>
      </c>
      <c r="C75" s="203" t="s">
        <v>3404</v>
      </c>
      <c r="D75" s="203" t="s">
        <v>5476</v>
      </c>
      <c r="E75" s="203" t="s">
        <v>5506</v>
      </c>
      <c r="F75" s="238">
        <v>45534</v>
      </c>
      <c r="G75" s="200" t="s">
        <v>5512</v>
      </c>
      <c r="H75" s="203"/>
      <c r="I75" s="203" t="s">
        <v>5471</v>
      </c>
      <c r="J75" s="203" t="b">
        <v>1</v>
      </c>
    </row>
    <row r="76" spans="1:10">
      <c r="A76" s="203">
        <v>74</v>
      </c>
      <c r="B76" s="203" t="s">
        <v>3461</v>
      </c>
      <c r="C76" s="203" t="s">
        <v>5390</v>
      </c>
      <c r="D76" s="203" t="s">
        <v>5476</v>
      </c>
      <c r="E76" s="203" t="s">
        <v>5506</v>
      </c>
      <c r="F76" s="238">
        <v>45420</v>
      </c>
      <c r="G76" s="200" t="s">
        <v>3461</v>
      </c>
      <c r="H76" s="203"/>
      <c r="I76" s="203" t="s">
        <v>5471</v>
      </c>
      <c r="J76" s="203" t="b">
        <v>1</v>
      </c>
    </row>
    <row r="77" spans="1:10">
      <c r="A77" s="203">
        <v>75</v>
      </c>
      <c r="B77" s="203" t="s">
        <v>4773</v>
      </c>
      <c r="C77" s="203" t="s">
        <v>5513</v>
      </c>
      <c r="D77" s="203" t="s">
        <v>5476</v>
      </c>
      <c r="E77" s="203" t="s">
        <v>5506</v>
      </c>
      <c r="F77" s="238">
        <v>45537</v>
      </c>
      <c r="G77" s="200" t="s">
        <v>4773</v>
      </c>
      <c r="H77" s="203"/>
      <c r="I77" s="203" t="s">
        <v>5471</v>
      </c>
      <c r="J77" s="203" t="b">
        <v>1</v>
      </c>
    </row>
    <row r="78" spans="1:10">
      <c r="A78" s="203">
        <v>76</v>
      </c>
      <c r="B78" s="203" t="s">
        <v>3534</v>
      </c>
      <c r="C78" s="203" t="s">
        <v>3535</v>
      </c>
      <c r="D78" s="203" t="s">
        <v>5476</v>
      </c>
      <c r="E78" s="203" t="s">
        <v>5506</v>
      </c>
      <c r="F78" s="238"/>
      <c r="G78" s="203"/>
      <c r="H78" s="203"/>
      <c r="I78" s="203" t="s">
        <v>5471</v>
      </c>
      <c r="J78" s="203" t="b">
        <v>1</v>
      </c>
    </row>
    <row r="79" spans="1:10">
      <c r="A79" s="203">
        <v>77</v>
      </c>
      <c r="B79" s="203" t="s">
        <v>3544</v>
      </c>
      <c r="C79" s="203" t="s">
        <v>5403</v>
      </c>
      <c r="D79" s="203" t="s">
        <v>5476</v>
      </c>
      <c r="E79" s="203" t="s">
        <v>5506</v>
      </c>
      <c r="F79" s="238"/>
      <c r="G79" s="203"/>
      <c r="H79" s="203"/>
      <c r="I79" s="203" t="s">
        <v>5471</v>
      </c>
      <c r="J79" s="203" t="b">
        <v>1</v>
      </c>
    </row>
    <row r="80" spans="1:10">
      <c r="A80" s="203">
        <v>78</v>
      </c>
      <c r="B80" s="203" t="s">
        <v>3586</v>
      </c>
      <c r="C80" s="203" t="s">
        <v>5514</v>
      </c>
      <c r="D80" s="203" t="s">
        <v>5476</v>
      </c>
      <c r="E80" s="203" t="s">
        <v>5506</v>
      </c>
      <c r="F80" s="238"/>
      <c r="G80" s="203"/>
      <c r="H80" s="203"/>
      <c r="I80" s="203" t="s">
        <v>5471</v>
      </c>
      <c r="J80" s="203" t="b">
        <v>1</v>
      </c>
    </row>
    <row r="81" spans="1:10">
      <c r="A81" s="203">
        <v>79</v>
      </c>
      <c r="B81" s="203" t="s">
        <v>3693</v>
      </c>
      <c r="C81" s="203" t="s">
        <v>3694</v>
      </c>
      <c r="D81" s="203" t="s">
        <v>5476</v>
      </c>
      <c r="E81" s="203" t="s">
        <v>5506</v>
      </c>
      <c r="F81" s="238"/>
      <c r="G81" s="203"/>
      <c r="H81" s="203"/>
      <c r="I81" s="203" t="s">
        <v>5471</v>
      </c>
      <c r="J81" s="203" t="b">
        <v>1</v>
      </c>
    </row>
    <row r="82" spans="1:10">
      <c r="A82" s="203">
        <v>80</v>
      </c>
      <c r="B82" s="203" t="s">
        <v>3708</v>
      </c>
      <c r="C82" s="203" t="s">
        <v>3709</v>
      </c>
      <c r="D82" s="203" t="s">
        <v>5476</v>
      </c>
      <c r="E82" s="203" t="s">
        <v>5506</v>
      </c>
      <c r="F82" s="238"/>
      <c r="G82" s="203"/>
      <c r="H82" s="203"/>
      <c r="I82" s="203" t="s">
        <v>5471</v>
      </c>
      <c r="J82" s="203" t="b">
        <v>1</v>
      </c>
    </row>
    <row r="83" spans="1:10">
      <c r="A83" s="229">
        <v>81</v>
      </c>
      <c r="B83" s="229" t="s">
        <v>5137</v>
      </c>
      <c r="C83" s="229" t="s">
        <v>5419</v>
      </c>
      <c r="D83" s="229" t="s">
        <v>5476</v>
      </c>
      <c r="E83" s="229" t="s">
        <v>5506</v>
      </c>
      <c r="F83" s="239"/>
      <c r="G83" s="229"/>
      <c r="H83" s="229"/>
      <c r="I83" s="229" t="s">
        <v>5480</v>
      </c>
      <c r="J83" s="203" t="b">
        <v>1</v>
      </c>
    </row>
    <row r="84" spans="1:10">
      <c r="A84" s="203">
        <v>82</v>
      </c>
      <c r="B84" s="203" t="s">
        <v>3856</v>
      </c>
      <c r="C84" s="203" t="s">
        <v>3857</v>
      </c>
      <c r="D84" s="203" t="s">
        <v>5476</v>
      </c>
      <c r="E84" s="203" t="s">
        <v>5506</v>
      </c>
      <c r="F84" s="238"/>
      <c r="G84" s="203"/>
      <c r="H84" s="203"/>
      <c r="I84" s="203" t="s">
        <v>5471</v>
      </c>
      <c r="J84" s="203" t="b">
        <v>1</v>
      </c>
    </row>
    <row r="85" spans="1:10">
      <c r="A85" s="211">
        <v>83</v>
      </c>
      <c r="B85" s="211" t="s">
        <v>2619</v>
      </c>
      <c r="C85" s="211" t="s">
        <v>5515</v>
      </c>
      <c r="D85" s="211" t="s">
        <v>5476</v>
      </c>
      <c r="E85" s="211" t="s">
        <v>5516</v>
      </c>
      <c r="F85" s="246"/>
      <c r="G85" s="211"/>
      <c r="H85" s="211" t="s">
        <v>5517</v>
      </c>
      <c r="I85" s="211" t="s">
        <v>5471</v>
      </c>
      <c r="J85" s="211" t="b">
        <v>0</v>
      </c>
    </row>
    <row r="86" spans="1:10">
      <c r="A86" s="203">
        <v>84</v>
      </c>
      <c r="B86" s="203" t="s">
        <v>3099</v>
      </c>
      <c r="C86" s="203" t="s">
        <v>3100</v>
      </c>
      <c r="D86" s="203" t="s">
        <v>5476</v>
      </c>
      <c r="E86" s="203" t="s">
        <v>5518</v>
      </c>
      <c r="F86" s="238"/>
      <c r="G86" s="203"/>
      <c r="H86" s="203"/>
      <c r="I86" s="203" t="s">
        <v>5471</v>
      </c>
      <c r="J86" s="203" t="b">
        <v>1</v>
      </c>
    </row>
    <row r="87" spans="1:10">
      <c r="A87" s="229">
        <v>85</v>
      </c>
      <c r="B87" s="229" t="s">
        <v>5070</v>
      </c>
      <c r="C87" s="229" t="s">
        <v>5209</v>
      </c>
      <c r="D87" s="229" t="s">
        <v>5476</v>
      </c>
      <c r="E87" s="229" t="s">
        <v>5519</v>
      </c>
      <c r="F87" s="239"/>
      <c r="G87" s="229"/>
      <c r="H87" s="229"/>
      <c r="I87" s="229" t="s">
        <v>5480</v>
      </c>
      <c r="J87" s="203" t="b">
        <v>1</v>
      </c>
    </row>
    <row r="88" spans="1:10">
      <c r="A88" s="203">
        <v>86</v>
      </c>
      <c r="B88" s="203" t="s">
        <v>3466</v>
      </c>
      <c r="C88" s="203" t="s">
        <v>5520</v>
      </c>
      <c r="D88" s="203" t="s">
        <v>5476</v>
      </c>
      <c r="E88" s="203" t="s">
        <v>5519</v>
      </c>
      <c r="F88" s="238"/>
      <c r="G88" s="203"/>
      <c r="H88" s="203"/>
      <c r="I88" s="203" t="s">
        <v>5471</v>
      </c>
      <c r="J88" s="203" t="b">
        <v>1</v>
      </c>
    </row>
    <row r="89" spans="1:10">
      <c r="A89" s="203">
        <v>87</v>
      </c>
      <c r="B89" s="203" t="s">
        <v>2592</v>
      </c>
      <c r="C89" s="203" t="s">
        <v>5521</v>
      </c>
      <c r="D89" s="203" t="s">
        <v>5476</v>
      </c>
      <c r="E89" s="203" t="s">
        <v>5522</v>
      </c>
      <c r="F89" s="238">
        <v>45490</v>
      </c>
      <c r="G89" s="200" t="s">
        <v>2592</v>
      </c>
      <c r="H89" s="203"/>
      <c r="I89" s="203" t="s">
        <v>5471</v>
      </c>
      <c r="J89" s="203" t="b">
        <v>1</v>
      </c>
    </row>
    <row r="90" spans="1:10">
      <c r="A90" s="203">
        <v>88</v>
      </c>
      <c r="B90" s="203" t="s">
        <v>3408</v>
      </c>
      <c r="C90" s="203" t="s">
        <v>3409</v>
      </c>
      <c r="D90" s="203" t="s">
        <v>5476</v>
      </c>
      <c r="E90" s="203" t="s">
        <v>5522</v>
      </c>
      <c r="F90" s="238">
        <v>45526</v>
      </c>
      <c r="G90" s="200" t="s">
        <v>3408</v>
      </c>
      <c r="H90" s="203"/>
      <c r="I90" s="203" t="s">
        <v>5471</v>
      </c>
      <c r="J90" s="203" t="b">
        <v>1</v>
      </c>
    </row>
    <row r="91" spans="1:10">
      <c r="A91" s="229">
        <v>89</v>
      </c>
      <c r="B91" s="229" t="s">
        <v>5128</v>
      </c>
      <c r="C91" s="229" t="s">
        <v>5456</v>
      </c>
      <c r="D91" s="229" t="s">
        <v>5476</v>
      </c>
      <c r="E91" s="229" t="s">
        <v>5490</v>
      </c>
      <c r="F91" s="239">
        <v>45390</v>
      </c>
      <c r="G91" s="240" t="s">
        <v>5128</v>
      </c>
      <c r="H91" s="229"/>
      <c r="I91" s="229" t="s">
        <v>5480</v>
      </c>
      <c r="J91" s="203" t="b">
        <v>1</v>
      </c>
    </row>
    <row r="92" spans="1:10">
      <c r="A92" s="203">
        <v>90</v>
      </c>
      <c r="B92" s="203" t="s">
        <v>2535</v>
      </c>
      <c r="C92" s="203" t="s">
        <v>5523</v>
      </c>
      <c r="D92" s="203" t="s">
        <v>5476</v>
      </c>
      <c r="E92" s="203" t="s">
        <v>5524</v>
      </c>
      <c r="F92" s="238">
        <v>45384</v>
      </c>
      <c r="G92" s="200" t="s">
        <v>2535</v>
      </c>
      <c r="H92" s="203"/>
      <c r="I92" s="203" t="s">
        <v>5471</v>
      </c>
      <c r="J92" s="203" t="b">
        <v>1</v>
      </c>
    </row>
    <row r="93" spans="1:10">
      <c r="A93" s="229">
        <v>91</v>
      </c>
      <c r="B93" s="229" t="s">
        <v>5122</v>
      </c>
      <c r="C93" s="229" t="s">
        <v>5457</v>
      </c>
      <c r="D93" s="229" t="s">
        <v>5476</v>
      </c>
      <c r="E93" s="229" t="s">
        <v>5502</v>
      </c>
      <c r="F93" s="239"/>
      <c r="G93" s="229" t="s">
        <v>5503</v>
      </c>
      <c r="H93" s="229" t="s">
        <v>5504</v>
      </c>
      <c r="I93" s="229" t="s">
        <v>5480</v>
      </c>
      <c r="J93" s="203" t="b">
        <v>0</v>
      </c>
    </row>
    <row r="94" spans="1:10">
      <c r="A94" s="229">
        <v>92</v>
      </c>
      <c r="B94" s="229" t="s">
        <v>5086</v>
      </c>
      <c r="C94" s="229" t="s">
        <v>5459</v>
      </c>
      <c r="D94" s="229" t="s">
        <v>5476</v>
      </c>
      <c r="E94" s="229" t="s">
        <v>5502</v>
      </c>
      <c r="F94" s="239"/>
      <c r="G94" s="229" t="s">
        <v>5503</v>
      </c>
      <c r="H94" s="229" t="s">
        <v>5504</v>
      </c>
      <c r="I94" s="229" t="s">
        <v>5480</v>
      </c>
      <c r="J94" s="203" t="b">
        <v>0</v>
      </c>
    </row>
    <row r="95" spans="1:10">
      <c r="A95" s="203">
        <v>93</v>
      </c>
      <c r="B95" s="203" t="s">
        <v>2898</v>
      </c>
      <c r="C95" s="203" t="s">
        <v>5289</v>
      </c>
      <c r="D95" s="203" t="s">
        <v>5476</v>
      </c>
      <c r="E95" s="203" t="s">
        <v>5522</v>
      </c>
      <c r="F95" s="238">
        <v>45519</v>
      </c>
      <c r="G95" s="200" t="s">
        <v>2898</v>
      </c>
      <c r="H95" s="203"/>
      <c r="I95" s="203" t="s">
        <v>5471</v>
      </c>
      <c r="J95" s="203" t="b">
        <v>1</v>
      </c>
    </row>
    <row r="96" spans="1:10">
      <c r="A96" s="203">
        <v>94</v>
      </c>
      <c r="B96" s="203" t="s">
        <v>2981</v>
      </c>
      <c r="C96" s="203" t="s">
        <v>5300</v>
      </c>
      <c r="D96" s="203" t="s">
        <v>5476</v>
      </c>
      <c r="E96" s="203" t="s">
        <v>5525</v>
      </c>
      <c r="F96" s="238">
        <v>45519</v>
      </c>
      <c r="G96" s="200" t="s">
        <v>2981</v>
      </c>
      <c r="H96" s="203"/>
      <c r="I96" s="203" t="s">
        <v>5471</v>
      </c>
      <c r="J96" s="203" t="b">
        <v>1</v>
      </c>
    </row>
    <row r="97" spans="1:10">
      <c r="A97" s="203">
        <v>95</v>
      </c>
      <c r="B97" s="203" t="s">
        <v>3890</v>
      </c>
      <c r="C97" s="203" t="s">
        <v>3891</v>
      </c>
      <c r="D97" s="203" t="s">
        <v>5476</v>
      </c>
      <c r="E97" s="203" t="s">
        <v>5522</v>
      </c>
      <c r="F97" s="238">
        <v>45607</v>
      </c>
      <c r="G97" s="200" t="s">
        <v>3890</v>
      </c>
      <c r="H97" s="203"/>
      <c r="I97" s="203" t="s">
        <v>5471</v>
      </c>
      <c r="J97" s="203" t="b">
        <v>1</v>
      </c>
    </row>
    <row r="98" spans="1:10">
      <c r="A98" s="203"/>
      <c r="B98" s="203"/>
      <c r="C98" s="203"/>
      <c r="D98" s="203"/>
      <c r="E98" s="203"/>
      <c r="F98" s="238"/>
      <c r="G98" s="203"/>
      <c r="H98" s="203"/>
      <c r="I98" s="203"/>
      <c r="J98" s="203"/>
    </row>
    <row r="99" spans="1:10">
      <c r="A99" s="203">
        <v>2023</v>
      </c>
      <c r="B99" s="203"/>
      <c r="C99" s="203"/>
      <c r="D99" s="203"/>
      <c r="E99" s="203"/>
      <c r="F99" s="238"/>
      <c r="G99" s="203"/>
      <c r="H99" s="203"/>
      <c r="I99" s="203"/>
      <c r="J99" s="203"/>
    </row>
    <row r="100" spans="1:10">
      <c r="A100" s="263" t="s">
        <v>5460</v>
      </c>
      <c r="B100" s="257"/>
      <c r="C100" s="257"/>
      <c r="D100" s="257"/>
      <c r="E100" s="257"/>
      <c r="F100" s="248">
        <v>45638</v>
      </c>
      <c r="G100" s="249" t="s">
        <v>5461</v>
      </c>
      <c r="H100" s="247"/>
      <c r="I100" s="247"/>
      <c r="J100" s="222"/>
    </row>
    <row r="101" spans="1:10">
      <c r="A101" s="203" t="s">
        <v>1</v>
      </c>
      <c r="B101" s="203" t="s">
        <v>2</v>
      </c>
      <c r="C101" s="203" t="s">
        <v>5462</v>
      </c>
      <c r="D101" s="203" t="s">
        <v>5463</v>
      </c>
      <c r="E101" s="203" t="s">
        <v>5464</v>
      </c>
      <c r="F101" s="238" t="s">
        <v>5465</v>
      </c>
      <c r="G101" s="203" t="s">
        <v>5466</v>
      </c>
      <c r="H101" s="203" t="s">
        <v>5467</v>
      </c>
      <c r="I101" s="203" t="s">
        <v>5468</v>
      </c>
      <c r="J101" s="203"/>
    </row>
    <row r="102" spans="1:10">
      <c r="A102" s="203">
        <v>1</v>
      </c>
      <c r="B102" s="203" t="s">
        <v>5070</v>
      </c>
      <c r="C102" s="203"/>
      <c r="D102" s="203" t="s">
        <v>5476</v>
      </c>
      <c r="E102" s="203" t="s">
        <v>5477</v>
      </c>
      <c r="F102" s="203">
        <v>2023</v>
      </c>
      <c r="G102" s="203"/>
      <c r="H102" s="203"/>
      <c r="I102" s="203" t="s">
        <v>5480</v>
      </c>
      <c r="J102" s="203"/>
    </row>
    <row r="103" spans="1:10">
      <c r="A103" s="203">
        <v>2</v>
      </c>
      <c r="B103" s="203" t="s">
        <v>5072</v>
      </c>
      <c r="C103" s="203"/>
      <c r="D103" s="203" t="s">
        <v>5476</v>
      </c>
      <c r="E103" s="203" t="s">
        <v>5526</v>
      </c>
      <c r="F103" s="203">
        <v>2023</v>
      </c>
      <c r="G103" s="203"/>
      <c r="H103" s="203"/>
      <c r="I103" s="203" t="s">
        <v>5480</v>
      </c>
      <c r="J103" s="203"/>
    </row>
    <row r="104" spans="1:10">
      <c r="A104" s="203">
        <v>3</v>
      </c>
      <c r="B104" s="203" t="s">
        <v>4005</v>
      </c>
      <c r="C104" s="203"/>
      <c r="D104" s="203" t="s">
        <v>5476</v>
      </c>
      <c r="E104" s="203" t="s">
        <v>5502</v>
      </c>
      <c r="F104" s="203">
        <v>2023</v>
      </c>
      <c r="G104" s="203"/>
      <c r="H104" s="203"/>
      <c r="I104" s="203" t="s">
        <v>5471</v>
      </c>
      <c r="J104" s="203"/>
    </row>
    <row r="105" spans="1:10">
      <c r="A105" s="203">
        <v>4</v>
      </c>
      <c r="B105" s="203" t="s">
        <v>2418</v>
      </c>
      <c r="C105" s="203"/>
      <c r="D105" s="203" t="s">
        <v>5476</v>
      </c>
      <c r="E105" s="203" t="s">
        <v>5495</v>
      </c>
      <c r="F105" s="203">
        <v>2023</v>
      </c>
      <c r="G105" s="203"/>
      <c r="H105" s="203"/>
      <c r="I105" s="203" t="s">
        <v>5471</v>
      </c>
      <c r="J105" s="203"/>
    </row>
    <row r="106" spans="1:10">
      <c r="A106" s="203">
        <v>5</v>
      </c>
      <c r="B106" s="203" t="s">
        <v>2435</v>
      </c>
      <c r="C106" s="203"/>
      <c r="D106" s="203" t="s">
        <v>5476</v>
      </c>
      <c r="E106" s="203" t="s">
        <v>5477</v>
      </c>
      <c r="F106" s="203">
        <v>2023</v>
      </c>
      <c r="G106" s="203"/>
      <c r="H106" s="203"/>
      <c r="I106" s="203" t="s">
        <v>5480</v>
      </c>
      <c r="J106" s="203"/>
    </row>
    <row r="107" spans="1:10">
      <c r="A107" s="203">
        <v>6</v>
      </c>
      <c r="B107" s="203" t="s">
        <v>5074</v>
      </c>
      <c r="C107" s="203"/>
      <c r="D107" s="203" t="s">
        <v>5476</v>
      </c>
      <c r="E107" s="203" t="s">
        <v>5527</v>
      </c>
      <c r="F107" s="203">
        <v>2023</v>
      </c>
      <c r="G107" s="203"/>
      <c r="H107" s="203"/>
      <c r="I107" s="203" t="s">
        <v>5480</v>
      </c>
      <c r="J107" s="203"/>
    </row>
    <row r="108" spans="1:10">
      <c r="A108" s="203">
        <v>7</v>
      </c>
      <c r="B108" s="203" t="s">
        <v>5075</v>
      </c>
      <c r="C108" s="203"/>
      <c r="D108" s="203" t="s">
        <v>5476</v>
      </c>
      <c r="E108" s="203" t="s">
        <v>5527</v>
      </c>
      <c r="F108" s="203">
        <v>2023</v>
      </c>
      <c r="G108" s="203"/>
      <c r="H108" s="203"/>
      <c r="I108" s="203" t="s">
        <v>5480</v>
      </c>
      <c r="J108" s="203"/>
    </row>
    <row r="109" spans="1:10">
      <c r="A109" s="203">
        <v>8</v>
      </c>
      <c r="B109" s="203" t="s">
        <v>2450</v>
      </c>
      <c r="C109" s="203"/>
      <c r="D109" s="203" t="s">
        <v>5476</v>
      </c>
      <c r="E109" s="203" t="s">
        <v>5490</v>
      </c>
      <c r="F109" s="203">
        <v>2023</v>
      </c>
      <c r="G109" s="203"/>
      <c r="H109" s="203"/>
      <c r="I109" s="203" t="s">
        <v>5471</v>
      </c>
      <c r="J109" s="203"/>
    </row>
    <row r="110" spans="1:10">
      <c r="A110" s="203">
        <v>9</v>
      </c>
      <c r="B110" s="203" t="s">
        <v>5076</v>
      </c>
      <c r="C110" s="203"/>
      <c r="D110" s="203" t="s">
        <v>5476</v>
      </c>
      <c r="E110" s="203" t="s">
        <v>5502</v>
      </c>
      <c r="F110" s="203">
        <v>2023</v>
      </c>
      <c r="G110" s="203"/>
      <c r="H110" s="203"/>
      <c r="I110" s="203" t="s">
        <v>5480</v>
      </c>
      <c r="J110" s="203"/>
    </row>
    <row r="111" spans="1:10">
      <c r="A111" s="203">
        <v>10</v>
      </c>
      <c r="B111" s="203" t="s">
        <v>2465</v>
      </c>
      <c r="C111" s="203"/>
      <c r="D111" s="203" t="s">
        <v>5476</v>
      </c>
      <c r="E111" s="203" t="s">
        <v>5490</v>
      </c>
      <c r="F111" s="203">
        <v>2023</v>
      </c>
      <c r="G111" s="203"/>
      <c r="H111" s="203"/>
      <c r="I111" s="203" t="s">
        <v>5471</v>
      </c>
      <c r="J111" s="203"/>
    </row>
    <row r="112" spans="1:10">
      <c r="A112" s="203">
        <v>11</v>
      </c>
      <c r="B112" s="203" t="s">
        <v>2572</v>
      </c>
      <c r="C112" s="203"/>
      <c r="D112" s="203" t="s">
        <v>5476</v>
      </c>
      <c r="E112" s="203" t="s">
        <v>5490</v>
      </c>
      <c r="F112" s="203">
        <v>2023</v>
      </c>
      <c r="G112" s="203"/>
      <c r="H112" s="203"/>
      <c r="I112" s="203" t="s">
        <v>5471</v>
      </c>
      <c r="J112" s="203"/>
    </row>
    <row r="113" spans="1:10">
      <c r="A113" s="203">
        <v>12</v>
      </c>
      <c r="B113" s="203" t="s">
        <v>5082</v>
      </c>
      <c r="C113" s="203"/>
      <c r="D113" s="203" t="s">
        <v>5476</v>
      </c>
      <c r="E113" s="203" t="s">
        <v>5490</v>
      </c>
      <c r="F113" s="203">
        <v>2023</v>
      </c>
      <c r="G113" s="203"/>
      <c r="H113" s="203"/>
      <c r="I113" s="203" t="s">
        <v>5480</v>
      </c>
      <c r="J113" s="203"/>
    </row>
    <row r="114" spans="1:10">
      <c r="A114" s="203">
        <v>13</v>
      </c>
      <c r="B114" s="203" t="s">
        <v>2681</v>
      </c>
      <c r="C114" s="203"/>
      <c r="D114" s="203" t="s">
        <v>5476</v>
      </c>
      <c r="E114" s="203" t="s">
        <v>5490</v>
      </c>
      <c r="F114" s="203">
        <v>2023</v>
      </c>
      <c r="G114" s="203"/>
      <c r="H114" s="203"/>
      <c r="I114" s="203" t="s">
        <v>5480</v>
      </c>
      <c r="J114" s="203"/>
    </row>
    <row r="115" spans="1:10">
      <c r="A115" s="203">
        <v>14</v>
      </c>
      <c r="B115" s="203" t="s">
        <v>2686</v>
      </c>
      <c r="C115" s="203"/>
      <c r="D115" s="203" t="s">
        <v>5476</v>
      </c>
      <c r="E115" s="203" t="s">
        <v>5528</v>
      </c>
      <c r="F115" s="203">
        <v>2023</v>
      </c>
      <c r="G115" s="203"/>
      <c r="H115" s="203"/>
      <c r="I115" s="203" t="s">
        <v>5471</v>
      </c>
      <c r="J115" s="203"/>
    </row>
    <row r="116" spans="1:10">
      <c r="A116" s="203">
        <v>15</v>
      </c>
      <c r="B116" s="203" t="s">
        <v>475</v>
      </c>
      <c r="C116" s="203"/>
      <c r="D116" s="203" t="s">
        <v>5476</v>
      </c>
      <c r="E116" s="203" t="s">
        <v>5527</v>
      </c>
      <c r="F116" s="203">
        <v>2023</v>
      </c>
      <c r="G116" s="203"/>
      <c r="H116" s="203"/>
      <c r="I116" s="203" t="s">
        <v>5480</v>
      </c>
      <c r="J116" s="203"/>
    </row>
    <row r="117" spans="1:10">
      <c r="A117" s="203">
        <v>16</v>
      </c>
      <c r="B117" s="203" t="s">
        <v>2743</v>
      </c>
      <c r="C117" s="203"/>
      <c r="D117" s="203" t="s">
        <v>5476</v>
      </c>
      <c r="E117" s="203" t="s">
        <v>5490</v>
      </c>
      <c r="F117" s="203">
        <v>2023</v>
      </c>
      <c r="G117" s="203"/>
      <c r="H117" s="203"/>
      <c r="I117" s="203" t="s">
        <v>5471</v>
      </c>
      <c r="J117" s="203"/>
    </row>
    <row r="118" spans="1:10">
      <c r="A118" s="203">
        <v>17</v>
      </c>
      <c r="B118" s="203" t="s">
        <v>2773</v>
      </c>
      <c r="C118" s="203"/>
      <c r="D118" s="203" t="s">
        <v>5476</v>
      </c>
      <c r="E118" s="203" t="s">
        <v>5527</v>
      </c>
      <c r="F118" s="203">
        <v>2023</v>
      </c>
      <c r="G118" s="203"/>
      <c r="H118" s="203"/>
      <c r="I118" s="203" t="s">
        <v>5471</v>
      </c>
      <c r="J118" s="203"/>
    </row>
    <row r="119" spans="1:10">
      <c r="A119" s="203">
        <v>18</v>
      </c>
      <c r="B119" s="203" t="s">
        <v>2795</v>
      </c>
      <c r="C119" s="203"/>
      <c r="D119" s="203" t="s">
        <v>5476</v>
      </c>
      <c r="E119" s="203" t="s">
        <v>5527</v>
      </c>
      <c r="F119" s="203">
        <v>2023</v>
      </c>
      <c r="G119" s="203"/>
      <c r="H119" s="203"/>
      <c r="I119" s="203" t="s">
        <v>5471</v>
      </c>
      <c r="J119" s="203"/>
    </row>
    <row r="120" spans="1:10">
      <c r="A120" s="203">
        <v>19</v>
      </c>
      <c r="B120" s="203" t="s">
        <v>5088</v>
      </c>
      <c r="C120" s="203"/>
      <c r="D120" s="203" t="s">
        <v>5476</v>
      </c>
      <c r="E120" s="203" t="s">
        <v>5527</v>
      </c>
      <c r="F120" s="203">
        <v>2023</v>
      </c>
      <c r="G120" s="203"/>
      <c r="H120" s="203"/>
      <c r="I120" s="203" t="s">
        <v>5480</v>
      </c>
      <c r="J120" s="203"/>
    </row>
    <row r="121" spans="1:10">
      <c r="A121" s="203">
        <v>20</v>
      </c>
      <c r="B121" s="203" t="s">
        <v>2816</v>
      </c>
      <c r="C121" s="203"/>
      <c r="D121" s="203" t="s">
        <v>5476</v>
      </c>
      <c r="E121" s="203" t="s">
        <v>5490</v>
      </c>
      <c r="F121" s="203">
        <v>2023</v>
      </c>
      <c r="G121" s="203"/>
      <c r="H121" s="203"/>
      <c r="I121" s="203" t="s">
        <v>5471</v>
      </c>
      <c r="J121" s="203"/>
    </row>
    <row r="122" spans="1:10">
      <c r="A122" s="203">
        <v>21</v>
      </c>
      <c r="B122" s="203" t="s">
        <v>5089</v>
      </c>
      <c r="C122" s="203"/>
      <c r="D122" s="203" t="s">
        <v>5476</v>
      </c>
      <c r="E122" s="203" t="s">
        <v>5490</v>
      </c>
      <c r="F122" s="203">
        <v>2023</v>
      </c>
      <c r="G122" s="203"/>
      <c r="H122" s="203"/>
      <c r="I122" s="203" t="s">
        <v>5480</v>
      </c>
      <c r="J122" s="203"/>
    </row>
    <row r="123" spans="1:10">
      <c r="A123" s="203">
        <v>22</v>
      </c>
      <c r="B123" s="203" t="s">
        <v>2850</v>
      </c>
      <c r="C123" s="203"/>
      <c r="D123" s="203" t="s">
        <v>5476</v>
      </c>
      <c r="E123" s="203" t="s">
        <v>5490</v>
      </c>
      <c r="F123" s="203">
        <v>2023</v>
      </c>
      <c r="G123" s="203"/>
      <c r="H123" s="203"/>
      <c r="I123" s="203" t="s">
        <v>5471</v>
      </c>
      <c r="J123" s="203"/>
    </row>
    <row r="124" spans="1:10">
      <c r="A124" s="203">
        <v>23</v>
      </c>
      <c r="B124" s="203" t="s">
        <v>2873</v>
      </c>
      <c r="C124" s="203"/>
      <c r="D124" s="203" t="s">
        <v>5476</v>
      </c>
      <c r="E124" s="203" t="s">
        <v>5527</v>
      </c>
      <c r="F124" s="203">
        <v>2023</v>
      </c>
      <c r="G124" s="203"/>
      <c r="H124" s="203"/>
      <c r="I124" s="203" t="s">
        <v>5471</v>
      </c>
      <c r="J124" s="203"/>
    </row>
    <row r="125" spans="1:10">
      <c r="A125" s="203">
        <v>24</v>
      </c>
      <c r="B125" s="203" t="s">
        <v>2898</v>
      </c>
      <c r="C125" s="203"/>
      <c r="D125" s="203" t="s">
        <v>5476</v>
      </c>
      <c r="E125" s="203" t="s">
        <v>5527</v>
      </c>
      <c r="F125" s="203">
        <v>2023</v>
      </c>
      <c r="G125" s="203"/>
      <c r="H125" s="203"/>
      <c r="I125" s="203" t="s">
        <v>5471</v>
      </c>
      <c r="J125" s="203"/>
    </row>
    <row r="126" spans="1:10">
      <c r="A126" s="203">
        <v>25</v>
      </c>
      <c r="B126" s="203" t="s">
        <v>2902</v>
      </c>
      <c r="C126" s="203"/>
      <c r="D126" s="203" t="s">
        <v>5476</v>
      </c>
      <c r="E126" s="203" t="s">
        <v>5490</v>
      </c>
      <c r="F126" s="203">
        <v>2023</v>
      </c>
      <c r="G126" s="203"/>
      <c r="H126" s="203"/>
      <c r="I126" s="203" t="s">
        <v>5480</v>
      </c>
      <c r="J126" s="203"/>
    </row>
    <row r="127" spans="1:10">
      <c r="A127" s="203">
        <v>26</v>
      </c>
      <c r="B127" s="211" t="s">
        <v>2922</v>
      </c>
      <c r="C127" s="203"/>
      <c r="D127" s="203" t="s">
        <v>5476</v>
      </c>
      <c r="E127" s="203" t="s">
        <v>5490</v>
      </c>
      <c r="F127" s="203">
        <v>2023</v>
      </c>
      <c r="G127" s="203"/>
      <c r="H127" s="203"/>
      <c r="I127" s="203" t="s">
        <v>5471</v>
      </c>
      <c r="J127" s="203"/>
    </row>
    <row r="128" spans="1:10">
      <c r="A128" s="203">
        <v>27</v>
      </c>
      <c r="B128" s="203" t="s">
        <v>2944</v>
      </c>
      <c r="C128" s="203"/>
      <c r="D128" s="203" t="s">
        <v>5476</v>
      </c>
      <c r="E128" s="203" t="s">
        <v>5527</v>
      </c>
      <c r="F128" s="203">
        <v>2023</v>
      </c>
      <c r="G128" s="203"/>
      <c r="H128" s="203"/>
      <c r="I128" s="203" t="s">
        <v>5471</v>
      </c>
      <c r="J128" s="203"/>
    </row>
    <row r="129" spans="1:10">
      <c r="A129" s="203">
        <v>28</v>
      </c>
      <c r="B129" s="250" t="s">
        <v>2953</v>
      </c>
      <c r="C129" s="203"/>
      <c r="D129" s="203" t="s">
        <v>5476</v>
      </c>
      <c r="E129" s="203" t="s">
        <v>5484</v>
      </c>
      <c r="F129" s="203">
        <v>2023</v>
      </c>
      <c r="G129" s="203"/>
      <c r="H129" s="203"/>
      <c r="I129" s="203" t="s">
        <v>5480</v>
      </c>
      <c r="J129" s="203"/>
    </row>
    <row r="130" spans="1:10">
      <c r="A130" s="203">
        <v>29</v>
      </c>
      <c r="B130" s="203" t="s">
        <v>2981</v>
      </c>
      <c r="C130" s="203"/>
      <c r="D130" s="203" t="s">
        <v>5476</v>
      </c>
      <c r="E130" s="203" t="s">
        <v>5529</v>
      </c>
      <c r="F130" s="203">
        <v>2023</v>
      </c>
      <c r="G130" s="203"/>
      <c r="H130" s="203"/>
      <c r="I130" s="203" t="s">
        <v>5471</v>
      </c>
      <c r="J130" s="203"/>
    </row>
    <row r="131" spans="1:10">
      <c r="A131" s="203">
        <v>30</v>
      </c>
      <c r="B131" s="203" t="s">
        <v>2996</v>
      </c>
      <c r="C131" s="203"/>
      <c r="D131" s="203" t="s">
        <v>5476</v>
      </c>
      <c r="E131" s="203" t="s">
        <v>5477</v>
      </c>
      <c r="F131" s="203">
        <v>2023</v>
      </c>
      <c r="G131" s="203"/>
      <c r="H131" s="203"/>
      <c r="I131" s="203" t="s">
        <v>5471</v>
      </c>
      <c r="J131" s="203"/>
    </row>
    <row r="132" spans="1:10">
      <c r="A132" s="203">
        <v>31</v>
      </c>
      <c r="B132" s="203" t="s">
        <v>5098</v>
      </c>
      <c r="C132" s="203"/>
      <c r="D132" s="203" t="s">
        <v>5476</v>
      </c>
      <c r="E132" s="203" t="s">
        <v>5495</v>
      </c>
      <c r="F132" s="203">
        <v>2023</v>
      </c>
      <c r="G132" s="203"/>
      <c r="H132" s="203"/>
      <c r="I132" s="203" t="s">
        <v>5480</v>
      </c>
      <c r="J132" s="203"/>
    </row>
    <row r="133" spans="1:10">
      <c r="A133" s="203">
        <v>32</v>
      </c>
      <c r="B133" s="203" t="s">
        <v>3021</v>
      </c>
      <c r="C133" s="203"/>
      <c r="D133" s="203" t="s">
        <v>5476</v>
      </c>
      <c r="E133" s="203" t="s">
        <v>5530</v>
      </c>
      <c r="F133" s="203">
        <v>2023</v>
      </c>
      <c r="G133" s="203"/>
      <c r="H133" s="203"/>
      <c r="I133" s="203" t="s">
        <v>5471</v>
      </c>
      <c r="J133" s="203"/>
    </row>
    <row r="134" spans="1:10">
      <c r="A134" s="203">
        <v>33</v>
      </c>
      <c r="B134" s="203" t="s">
        <v>3026</v>
      </c>
      <c r="C134" s="203"/>
      <c r="D134" s="203" t="s">
        <v>5476</v>
      </c>
      <c r="E134" s="203" t="s">
        <v>5527</v>
      </c>
      <c r="F134" s="203">
        <v>2023</v>
      </c>
      <c r="G134" s="203"/>
      <c r="H134" s="203"/>
      <c r="I134" s="203" t="s">
        <v>5471</v>
      </c>
      <c r="J134" s="203"/>
    </row>
    <row r="135" spans="1:10">
      <c r="A135" s="203">
        <v>34</v>
      </c>
      <c r="B135" s="203" t="s">
        <v>4407</v>
      </c>
      <c r="C135" s="203"/>
      <c r="D135" s="203" t="s">
        <v>5476</v>
      </c>
      <c r="E135" s="203" t="s">
        <v>5484</v>
      </c>
      <c r="F135" s="203">
        <v>2023</v>
      </c>
      <c r="G135" s="203"/>
      <c r="H135" s="203"/>
      <c r="I135" s="203" t="s">
        <v>5471</v>
      </c>
      <c r="J135" s="203"/>
    </row>
    <row r="136" spans="1:10">
      <c r="A136" s="203">
        <v>35</v>
      </c>
      <c r="B136" s="203" t="s">
        <v>3067</v>
      </c>
      <c r="C136" s="203"/>
      <c r="D136" s="203" t="s">
        <v>5476</v>
      </c>
      <c r="E136" s="203" t="s">
        <v>5531</v>
      </c>
      <c r="F136" s="203">
        <v>2023</v>
      </c>
      <c r="G136" s="203"/>
      <c r="H136" s="203"/>
      <c r="I136" s="203" t="s">
        <v>5471</v>
      </c>
      <c r="J136" s="203"/>
    </row>
    <row r="137" spans="1:10">
      <c r="A137" s="203">
        <v>36</v>
      </c>
      <c r="B137" s="203" t="s">
        <v>4415</v>
      </c>
      <c r="C137" s="203"/>
      <c r="D137" s="203" t="s">
        <v>5476</v>
      </c>
      <c r="E137" s="203" t="s">
        <v>5495</v>
      </c>
      <c r="F137" s="203">
        <v>2023</v>
      </c>
      <c r="G137" s="203"/>
      <c r="H137" s="203"/>
      <c r="I137" s="203" t="s">
        <v>5480</v>
      </c>
      <c r="J137" s="203"/>
    </row>
    <row r="138" spans="1:10">
      <c r="A138" s="203">
        <v>37</v>
      </c>
      <c r="B138" s="203" t="s">
        <v>3091</v>
      </c>
      <c r="C138" s="203"/>
      <c r="D138" s="203" t="s">
        <v>5476</v>
      </c>
      <c r="E138" s="203" t="s">
        <v>5490</v>
      </c>
      <c r="F138" s="203">
        <v>2023</v>
      </c>
      <c r="G138" s="203"/>
      <c r="H138" s="203"/>
      <c r="I138" s="203" t="s">
        <v>5532</v>
      </c>
      <c r="J138" s="203"/>
    </row>
    <row r="139" spans="1:10">
      <c r="A139" s="203">
        <v>38</v>
      </c>
      <c r="B139" s="203" t="s">
        <v>3104</v>
      </c>
      <c r="C139" s="203"/>
      <c r="D139" s="203" t="s">
        <v>5476</v>
      </c>
      <c r="E139" s="203" t="s">
        <v>5490</v>
      </c>
      <c r="F139" s="203">
        <v>2023</v>
      </c>
      <c r="G139" s="203"/>
      <c r="H139" s="203"/>
      <c r="I139" s="203" t="s">
        <v>5471</v>
      </c>
      <c r="J139" s="203"/>
    </row>
    <row r="140" spans="1:10">
      <c r="A140" s="203">
        <v>39</v>
      </c>
      <c r="B140" s="203" t="s">
        <v>3174</v>
      </c>
      <c r="C140" s="203"/>
      <c r="D140" s="203" t="s">
        <v>5476</v>
      </c>
      <c r="E140" s="203" t="s">
        <v>5477</v>
      </c>
      <c r="F140" s="203">
        <v>2023</v>
      </c>
      <c r="G140" s="203"/>
      <c r="H140" s="203"/>
      <c r="I140" s="203" t="s">
        <v>5532</v>
      </c>
      <c r="J140" s="203"/>
    </row>
    <row r="141" spans="1:10">
      <c r="A141" s="203">
        <v>40</v>
      </c>
      <c r="B141" s="203" t="s">
        <v>5108</v>
      </c>
      <c r="C141" s="203"/>
      <c r="D141" s="203" t="s">
        <v>5476</v>
      </c>
      <c r="E141" s="203" t="s">
        <v>5490</v>
      </c>
      <c r="F141" s="203">
        <v>2023</v>
      </c>
      <c r="G141" s="203"/>
      <c r="H141" s="203"/>
      <c r="I141" s="203" t="s">
        <v>5480</v>
      </c>
      <c r="J141" s="203"/>
    </row>
    <row r="142" spans="1:10">
      <c r="A142" s="203">
        <v>41</v>
      </c>
      <c r="B142" s="203" t="s">
        <v>3180</v>
      </c>
      <c r="C142" s="203"/>
      <c r="D142" s="203" t="s">
        <v>5476</v>
      </c>
      <c r="E142" s="203" t="s">
        <v>5490</v>
      </c>
      <c r="F142" s="203">
        <v>2023</v>
      </c>
      <c r="G142" s="203"/>
      <c r="H142" s="203"/>
      <c r="I142" s="203" t="s">
        <v>5471</v>
      </c>
      <c r="J142" s="203"/>
    </row>
    <row r="143" spans="1:10">
      <c r="A143" s="203">
        <v>42</v>
      </c>
      <c r="B143" s="203" t="s">
        <v>3220</v>
      </c>
      <c r="C143" s="203"/>
      <c r="D143" s="203" t="s">
        <v>5476</v>
      </c>
      <c r="E143" s="203" t="s">
        <v>5527</v>
      </c>
      <c r="F143" s="203">
        <v>2023</v>
      </c>
      <c r="G143" s="203"/>
      <c r="H143" s="203"/>
      <c r="I143" s="203" t="s">
        <v>5471</v>
      </c>
      <c r="J143" s="203"/>
    </row>
    <row r="144" spans="1:10">
      <c r="A144" s="203">
        <v>43</v>
      </c>
      <c r="B144" s="203" t="s">
        <v>3278</v>
      </c>
      <c r="C144" s="203"/>
      <c r="D144" s="203" t="s">
        <v>5476</v>
      </c>
      <c r="E144" s="203" t="s">
        <v>5490</v>
      </c>
      <c r="F144" s="203">
        <v>2023</v>
      </c>
      <c r="G144" s="203"/>
      <c r="H144" s="203"/>
      <c r="I144" s="203" t="s">
        <v>5471</v>
      </c>
      <c r="J144" s="203"/>
    </row>
    <row r="145" spans="1:10">
      <c r="A145" s="203">
        <v>44</v>
      </c>
      <c r="B145" s="203" t="s">
        <v>3285</v>
      </c>
      <c r="C145" s="203"/>
      <c r="D145" s="203"/>
      <c r="E145" s="203" t="s">
        <v>5477</v>
      </c>
      <c r="F145" s="203">
        <v>2023</v>
      </c>
      <c r="G145" s="203"/>
      <c r="H145" s="203"/>
      <c r="I145" s="203" t="s">
        <v>5471</v>
      </c>
      <c r="J145" s="203"/>
    </row>
    <row r="146" spans="1:10">
      <c r="A146" s="203">
        <v>45</v>
      </c>
      <c r="B146" s="203" t="s">
        <v>3289</v>
      </c>
      <c r="C146" s="203"/>
      <c r="D146" s="203" t="s">
        <v>5476</v>
      </c>
      <c r="E146" s="203" t="s">
        <v>5490</v>
      </c>
      <c r="F146" s="203">
        <v>2023</v>
      </c>
      <c r="G146" s="203"/>
      <c r="H146" s="203"/>
      <c r="I146" s="203" t="s">
        <v>5471</v>
      </c>
      <c r="J146" s="203"/>
    </row>
    <row r="147" spans="1:10">
      <c r="A147" s="203">
        <v>46</v>
      </c>
      <c r="B147" s="203" t="s">
        <v>3347</v>
      </c>
      <c r="C147" s="203"/>
      <c r="D147" s="203" t="s">
        <v>5476</v>
      </c>
      <c r="E147" s="203" t="s">
        <v>5490</v>
      </c>
      <c r="F147" s="203">
        <v>2023</v>
      </c>
      <c r="G147" s="203"/>
      <c r="H147" s="203"/>
      <c r="I147" s="203" t="s">
        <v>5471</v>
      </c>
      <c r="J147" s="203"/>
    </row>
    <row r="148" spans="1:10">
      <c r="A148" s="203">
        <v>47</v>
      </c>
      <c r="B148" s="203" t="s">
        <v>5116</v>
      </c>
      <c r="C148" s="203"/>
      <c r="D148" s="203" t="s">
        <v>5476</v>
      </c>
      <c r="E148" s="203" t="s">
        <v>5527</v>
      </c>
      <c r="F148" s="203">
        <v>2023</v>
      </c>
      <c r="G148" s="203"/>
      <c r="H148" s="203"/>
      <c r="I148" s="203" t="s">
        <v>5480</v>
      </c>
      <c r="J148" s="203"/>
    </row>
    <row r="149" spans="1:10">
      <c r="A149" s="203">
        <v>48</v>
      </c>
      <c r="B149" s="203" t="s">
        <v>5118</v>
      </c>
      <c r="C149" s="203"/>
      <c r="D149" s="203" t="s">
        <v>5476</v>
      </c>
      <c r="E149" s="203" t="s">
        <v>5477</v>
      </c>
      <c r="F149" s="203">
        <v>2023</v>
      </c>
      <c r="G149" s="203"/>
      <c r="H149" s="203"/>
      <c r="I149" s="203" t="s">
        <v>5480</v>
      </c>
      <c r="J149" s="203"/>
    </row>
    <row r="150" spans="1:10">
      <c r="A150" s="203">
        <v>49</v>
      </c>
      <c r="B150" s="203" t="s">
        <v>3359</v>
      </c>
      <c r="C150" s="203"/>
      <c r="D150" s="203" t="s">
        <v>5476</v>
      </c>
      <c r="E150" s="203" t="s">
        <v>5477</v>
      </c>
      <c r="F150" s="203">
        <v>2023</v>
      </c>
      <c r="G150" s="203"/>
      <c r="H150" s="203"/>
      <c r="I150" s="203" t="s">
        <v>5532</v>
      </c>
      <c r="J150" s="203"/>
    </row>
    <row r="151" spans="1:10">
      <c r="A151" s="203">
        <v>50</v>
      </c>
      <c r="B151" s="203" t="s">
        <v>3362</v>
      </c>
      <c r="C151" s="203"/>
      <c r="D151" s="203" t="s">
        <v>5476</v>
      </c>
      <c r="E151" s="203" t="s">
        <v>5490</v>
      </c>
      <c r="F151" s="203">
        <v>2023</v>
      </c>
      <c r="G151" s="203"/>
      <c r="H151" s="203"/>
      <c r="I151" s="203" t="s">
        <v>5471</v>
      </c>
      <c r="J151" s="203"/>
    </row>
    <row r="152" spans="1:10">
      <c r="A152" s="203">
        <v>51</v>
      </c>
      <c r="B152" s="203" t="s">
        <v>3373</v>
      </c>
      <c r="C152" s="203"/>
      <c r="D152" s="203" t="s">
        <v>5476</v>
      </c>
      <c r="E152" s="203" t="s">
        <v>5490</v>
      </c>
      <c r="F152" s="203">
        <v>2023</v>
      </c>
      <c r="G152" s="203"/>
      <c r="H152" s="203"/>
      <c r="I152" s="203" t="s">
        <v>5471</v>
      </c>
      <c r="J152" s="203"/>
    </row>
    <row r="153" spans="1:10">
      <c r="A153" s="203">
        <v>52</v>
      </c>
      <c r="B153" s="203" t="s">
        <v>3378</v>
      </c>
      <c r="C153" s="203"/>
      <c r="D153" s="203" t="s">
        <v>5476</v>
      </c>
      <c r="E153" s="203" t="s">
        <v>5490</v>
      </c>
      <c r="F153" s="203">
        <v>2023</v>
      </c>
      <c r="G153" s="203"/>
      <c r="H153" s="203"/>
      <c r="I153" s="203" t="s">
        <v>5471</v>
      </c>
      <c r="J153" s="203"/>
    </row>
    <row r="154" spans="1:10">
      <c r="A154" s="203">
        <v>53</v>
      </c>
      <c r="B154" s="203" t="s">
        <v>3400</v>
      </c>
      <c r="C154" s="203"/>
      <c r="D154" s="203" t="s">
        <v>5476</v>
      </c>
      <c r="E154" s="203" t="s">
        <v>5477</v>
      </c>
      <c r="F154" s="203">
        <v>2023</v>
      </c>
      <c r="G154" s="203"/>
      <c r="H154" s="203"/>
      <c r="I154" s="203" t="s">
        <v>5480</v>
      </c>
      <c r="J154" s="203"/>
    </row>
    <row r="155" spans="1:10">
      <c r="A155" s="203">
        <v>54</v>
      </c>
      <c r="B155" s="203" t="s">
        <v>3403</v>
      </c>
      <c r="C155" s="203"/>
      <c r="D155" s="203" t="s">
        <v>5476</v>
      </c>
      <c r="E155" s="203" t="s">
        <v>5527</v>
      </c>
      <c r="F155" s="203">
        <v>2023</v>
      </c>
      <c r="G155" s="203"/>
      <c r="H155" s="203"/>
      <c r="I155" s="203" t="s">
        <v>5471</v>
      </c>
      <c r="J155" s="203"/>
    </row>
    <row r="156" spans="1:10">
      <c r="A156" s="203">
        <v>55</v>
      </c>
      <c r="B156" s="203" t="s">
        <v>3413</v>
      </c>
      <c r="C156" s="203"/>
      <c r="D156" s="203" t="s">
        <v>5476</v>
      </c>
      <c r="E156" s="203" t="s">
        <v>5490</v>
      </c>
      <c r="F156" s="203">
        <v>2023</v>
      </c>
      <c r="G156" s="203"/>
      <c r="H156" s="203"/>
      <c r="I156" s="203" t="s">
        <v>5471</v>
      </c>
      <c r="J156" s="203"/>
    </row>
    <row r="157" spans="1:10">
      <c r="A157" s="203">
        <v>56</v>
      </c>
      <c r="B157" s="203" t="s">
        <v>3461</v>
      </c>
      <c r="C157" s="203"/>
      <c r="D157" s="203" t="s">
        <v>5476</v>
      </c>
      <c r="E157" s="203" t="s">
        <v>5527</v>
      </c>
      <c r="F157" s="203">
        <v>2023</v>
      </c>
      <c r="G157" s="203"/>
      <c r="H157" s="203"/>
      <c r="I157" s="203" t="s">
        <v>5471</v>
      </c>
      <c r="J157" s="203"/>
    </row>
    <row r="158" spans="1:10">
      <c r="A158" s="203">
        <v>57</v>
      </c>
      <c r="B158" s="203" t="s">
        <v>3470</v>
      </c>
      <c r="C158" s="203"/>
      <c r="D158" s="203" t="s">
        <v>5476</v>
      </c>
      <c r="E158" s="203" t="s">
        <v>5477</v>
      </c>
      <c r="F158" s="203">
        <v>2023</v>
      </c>
      <c r="G158" s="203"/>
      <c r="H158" s="203"/>
      <c r="I158" s="203" t="s">
        <v>5480</v>
      </c>
      <c r="J158" s="203"/>
    </row>
    <row r="159" spans="1:10">
      <c r="A159" s="203">
        <v>58</v>
      </c>
      <c r="B159" s="203" t="s">
        <v>5125</v>
      </c>
      <c r="C159" s="203"/>
      <c r="D159" s="203" t="s">
        <v>5476</v>
      </c>
      <c r="E159" s="203" t="s">
        <v>5502</v>
      </c>
      <c r="F159" s="203">
        <v>2023</v>
      </c>
      <c r="G159" s="203"/>
      <c r="H159" s="203"/>
      <c r="I159" s="203" t="s">
        <v>5480</v>
      </c>
      <c r="J159" s="203"/>
    </row>
    <row r="160" spans="1:10">
      <c r="A160" s="203">
        <v>59</v>
      </c>
      <c r="B160" s="203" t="s">
        <v>3521</v>
      </c>
      <c r="C160" s="203"/>
      <c r="D160" s="203" t="s">
        <v>5476</v>
      </c>
      <c r="E160" s="203" t="s">
        <v>5490</v>
      </c>
      <c r="F160" s="203">
        <v>2023</v>
      </c>
      <c r="G160" s="203"/>
      <c r="H160" s="203"/>
      <c r="I160" s="203" t="s">
        <v>5480</v>
      </c>
      <c r="J160" s="203"/>
    </row>
    <row r="161" spans="1:10">
      <c r="A161" s="203">
        <v>60</v>
      </c>
      <c r="B161" s="203" t="s">
        <v>3534</v>
      </c>
      <c r="C161" s="203"/>
      <c r="D161" s="203" t="s">
        <v>5476</v>
      </c>
      <c r="E161" s="203" t="s">
        <v>5531</v>
      </c>
      <c r="F161" s="203">
        <v>2023</v>
      </c>
      <c r="G161" s="203"/>
      <c r="H161" s="203"/>
      <c r="I161" s="203" t="s">
        <v>5471</v>
      </c>
      <c r="J161" s="203"/>
    </row>
    <row r="162" spans="1:10">
      <c r="A162" s="203">
        <v>61</v>
      </c>
      <c r="B162" s="203" t="s">
        <v>3539</v>
      </c>
      <c r="C162" s="203"/>
      <c r="D162" s="203" t="s">
        <v>5476</v>
      </c>
      <c r="E162" s="203" t="s">
        <v>5527</v>
      </c>
      <c r="F162" s="203">
        <v>2023</v>
      </c>
      <c r="G162" s="203"/>
      <c r="H162" s="203"/>
      <c r="I162" s="203" t="s">
        <v>5471</v>
      </c>
      <c r="J162" s="203"/>
    </row>
    <row r="163" spans="1:10">
      <c r="A163" s="203">
        <v>62</v>
      </c>
      <c r="B163" s="203" t="s">
        <v>3544</v>
      </c>
      <c r="C163" s="203"/>
      <c r="D163" s="203" t="s">
        <v>5476</v>
      </c>
      <c r="E163" s="203" t="s">
        <v>5528</v>
      </c>
      <c r="F163" s="203">
        <v>2023</v>
      </c>
      <c r="G163" s="203"/>
      <c r="H163" s="203"/>
      <c r="I163" s="203" t="s">
        <v>5471</v>
      </c>
      <c r="J163" s="203"/>
    </row>
    <row r="164" spans="1:10">
      <c r="A164" s="203">
        <v>63</v>
      </c>
      <c r="B164" s="203" t="s">
        <v>3554</v>
      </c>
      <c r="C164" s="203"/>
      <c r="D164" s="203" t="s">
        <v>5476</v>
      </c>
      <c r="E164" s="203" t="s">
        <v>5528</v>
      </c>
      <c r="F164" s="203">
        <v>2023</v>
      </c>
      <c r="G164" s="203"/>
      <c r="H164" s="203"/>
      <c r="I164" s="203" t="s">
        <v>5471</v>
      </c>
      <c r="J164" s="203"/>
    </row>
    <row r="165" spans="1:10">
      <c r="A165" s="203">
        <v>64</v>
      </c>
      <c r="B165" s="203" t="s">
        <v>5126</v>
      </c>
      <c r="C165" s="203"/>
      <c r="D165" s="203" t="s">
        <v>5476</v>
      </c>
      <c r="E165" s="203" t="s">
        <v>5531</v>
      </c>
      <c r="F165" s="203">
        <v>2023</v>
      </c>
      <c r="G165" s="203"/>
      <c r="H165" s="203"/>
      <c r="I165" s="203" t="s">
        <v>5480</v>
      </c>
      <c r="J165" s="203"/>
    </row>
    <row r="166" spans="1:10">
      <c r="A166" s="203">
        <v>65</v>
      </c>
      <c r="B166" s="203" t="s">
        <v>3644</v>
      </c>
      <c r="C166" s="203"/>
      <c r="D166" s="203" t="s">
        <v>5476</v>
      </c>
      <c r="E166" s="203" t="s">
        <v>5490</v>
      </c>
      <c r="F166" s="203">
        <v>2023</v>
      </c>
      <c r="G166" s="203"/>
      <c r="H166" s="203"/>
      <c r="I166" s="203" t="s">
        <v>5471</v>
      </c>
      <c r="J166" s="203"/>
    </row>
    <row r="167" spans="1:10">
      <c r="A167" s="203">
        <v>66</v>
      </c>
      <c r="B167" s="203" t="s">
        <v>3654</v>
      </c>
      <c r="C167" s="203"/>
      <c r="D167" s="203" t="s">
        <v>5476</v>
      </c>
      <c r="E167" s="203" t="s">
        <v>5527</v>
      </c>
      <c r="F167" s="203">
        <v>2023</v>
      </c>
      <c r="G167" s="203"/>
      <c r="H167" s="203"/>
      <c r="I167" s="203" t="s">
        <v>5471</v>
      </c>
      <c r="J167" s="203"/>
    </row>
    <row r="168" spans="1:10">
      <c r="A168" s="203">
        <v>67</v>
      </c>
      <c r="B168" s="203" t="s">
        <v>3659</v>
      </c>
      <c r="C168" s="203"/>
      <c r="D168" s="203" t="s">
        <v>5476</v>
      </c>
      <c r="E168" s="203" t="s">
        <v>5490</v>
      </c>
      <c r="F168" s="203">
        <v>2023</v>
      </c>
      <c r="G168" s="203"/>
      <c r="H168" s="203"/>
      <c r="I168" s="203" t="s">
        <v>5471</v>
      </c>
      <c r="J168" s="203"/>
    </row>
    <row r="169" spans="1:10">
      <c r="A169" s="203">
        <v>68</v>
      </c>
      <c r="B169" s="203" t="s">
        <v>5409</v>
      </c>
      <c r="C169" s="203"/>
      <c r="D169" s="203" t="s">
        <v>5476</v>
      </c>
      <c r="E169" s="203" t="s">
        <v>5485</v>
      </c>
      <c r="F169" s="203">
        <v>2023</v>
      </c>
      <c r="G169" s="203"/>
      <c r="H169" s="203"/>
      <c r="I169" s="203" t="s">
        <v>5480</v>
      </c>
      <c r="J169" s="203"/>
    </row>
    <row r="170" spans="1:10">
      <c r="A170" s="203">
        <v>69</v>
      </c>
      <c r="B170" s="203" t="s">
        <v>3713</v>
      </c>
      <c r="C170" s="203"/>
      <c r="D170" s="203" t="s">
        <v>5476</v>
      </c>
      <c r="E170" s="203" t="s">
        <v>5490</v>
      </c>
      <c r="F170" s="203">
        <v>2023</v>
      </c>
      <c r="G170" s="203"/>
      <c r="H170" s="203"/>
      <c r="I170" s="203" t="s">
        <v>5480</v>
      </c>
      <c r="J170" s="203"/>
    </row>
    <row r="171" spans="1:10">
      <c r="A171" s="203">
        <v>70</v>
      </c>
      <c r="B171" s="203" t="s">
        <v>5135</v>
      </c>
      <c r="C171" s="203"/>
      <c r="D171" s="203" t="s">
        <v>5476</v>
      </c>
      <c r="E171" s="203" t="s">
        <v>5490</v>
      </c>
      <c r="F171" s="203">
        <v>2023</v>
      </c>
      <c r="G171" s="203"/>
      <c r="H171" s="203"/>
      <c r="I171" s="203" t="s">
        <v>5480</v>
      </c>
      <c r="J171" s="203"/>
    </row>
    <row r="172" spans="1:10">
      <c r="A172" s="203">
        <v>71</v>
      </c>
      <c r="B172" s="203" t="s">
        <v>3726</v>
      </c>
      <c r="C172" s="203"/>
      <c r="D172" s="203" t="s">
        <v>5476</v>
      </c>
      <c r="E172" s="203" t="s">
        <v>5527</v>
      </c>
      <c r="F172" s="203">
        <v>2023</v>
      </c>
      <c r="G172" s="203"/>
      <c r="H172" s="203"/>
      <c r="I172" s="203" t="s">
        <v>5471</v>
      </c>
      <c r="J172" s="203"/>
    </row>
    <row r="173" spans="1:10">
      <c r="A173" s="203">
        <v>72</v>
      </c>
      <c r="B173" s="203" t="s">
        <v>3741</v>
      </c>
      <c r="C173" s="203"/>
      <c r="D173" s="203" t="s">
        <v>5476</v>
      </c>
      <c r="E173" s="203" t="s">
        <v>5527</v>
      </c>
      <c r="F173" s="203">
        <v>2023</v>
      </c>
      <c r="G173" s="203"/>
      <c r="H173" s="203"/>
      <c r="I173" s="203" t="s">
        <v>5471</v>
      </c>
      <c r="J173" s="203"/>
    </row>
    <row r="174" spans="1:10">
      <c r="A174" s="203">
        <v>73</v>
      </c>
      <c r="B174" s="203" t="s">
        <v>2052</v>
      </c>
      <c r="C174" s="203"/>
      <c r="D174" s="203" t="s">
        <v>5476</v>
      </c>
      <c r="E174" s="203" t="s">
        <v>5485</v>
      </c>
      <c r="F174" s="203">
        <v>2023</v>
      </c>
      <c r="G174" s="203"/>
      <c r="H174" s="203"/>
      <c r="I174" s="203" t="s">
        <v>5480</v>
      </c>
      <c r="J174" s="203"/>
    </row>
    <row r="175" spans="1:10">
      <c r="A175" s="203">
        <v>74</v>
      </c>
      <c r="B175" s="203" t="s">
        <v>5137</v>
      </c>
      <c r="C175" s="203"/>
      <c r="D175" s="203" t="s">
        <v>5476</v>
      </c>
      <c r="E175" s="203" t="s">
        <v>5527</v>
      </c>
      <c r="F175" s="203">
        <v>2023</v>
      </c>
      <c r="G175" s="203"/>
      <c r="H175" s="203"/>
      <c r="I175" s="203" t="s">
        <v>5480</v>
      </c>
      <c r="J175" s="203"/>
    </row>
    <row r="176" spans="1:10">
      <c r="A176" s="203">
        <v>75</v>
      </c>
      <c r="B176" s="203" t="s">
        <v>3746</v>
      </c>
      <c r="C176" s="203"/>
      <c r="D176" s="203" t="s">
        <v>5476</v>
      </c>
      <c r="E176" s="203" t="s">
        <v>5490</v>
      </c>
      <c r="F176" s="203">
        <v>2023</v>
      </c>
      <c r="G176" s="203"/>
      <c r="H176" s="203"/>
      <c r="I176" s="203" t="s">
        <v>5471</v>
      </c>
      <c r="J176" s="203"/>
    </row>
    <row r="177" spans="1:10">
      <c r="A177" s="203">
        <v>76</v>
      </c>
      <c r="B177" s="203" t="s">
        <v>4902</v>
      </c>
      <c r="C177" s="203"/>
      <c r="D177" s="203" t="s">
        <v>5476</v>
      </c>
      <c r="E177" s="203" t="s">
        <v>5499</v>
      </c>
      <c r="F177" s="203">
        <v>2023</v>
      </c>
      <c r="G177" s="203"/>
      <c r="H177" s="203"/>
      <c r="I177" s="203" t="s">
        <v>5471</v>
      </c>
      <c r="J177" s="203"/>
    </row>
    <row r="178" spans="1:10">
      <c r="A178" s="203">
        <v>77</v>
      </c>
      <c r="B178" s="203" t="s">
        <v>3756</v>
      </c>
      <c r="C178" s="203"/>
      <c r="D178" s="203" t="s">
        <v>5476</v>
      </c>
      <c r="E178" s="203" t="s">
        <v>5533</v>
      </c>
      <c r="F178" s="203">
        <v>2023</v>
      </c>
      <c r="G178" s="203"/>
      <c r="H178" s="203"/>
      <c r="I178" s="203" t="s">
        <v>5471</v>
      </c>
      <c r="J178" s="203"/>
    </row>
    <row r="179" spans="1:10">
      <c r="A179" s="203">
        <v>78</v>
      </c>
      <c r="B179" s="203" t="s">
        <v>3818</v>
      </c>
      <c r="C179" s="203"/>
      <c r="D179" s="203" t="s">
        <v>5476</v>
      </c>
      <c r="E179" s="203" t="s">
        <v>5534</v>
      </c>
      <c r="F179" s="203">
        <v>2023</v>
      </c>
      <c r="G179" s="203"/>
      <c r="H179" s="203"/>
      <c r="I179" s="203" t="s">
        <v>5471</v>
      </c>
      <c r="J179" s="203"/>
    </row>
    <row r="180" spans="1:10">
      <c r="A180" s="203">
        <v>79</v>
      </c>
      <c r="B180" s="203" t="s">
        <v>3822</v>
      </c>
      <c r="C180" s="203"/>
      <c r="D180" s="203" t="s">
        <v>5476</v>
      </c>
      <c r="E180" s="203" t="s">
        <v>5490</v>
      </c>
      <c r="F180" s="203">
        <v>2023</v>
      </c>
      <c r="G180" s="203"/>
      <c r="H180" s="203"/>
      <c r="I180" s="203" t="s">
        <v>5471</v>
      </c>
      <c r="J180" s="203"/>
    </row>
    <row r="181" spans="1:10">
      <c r="A181" s="203"/>
      <c r="B181" s="203"/>
      <c r="C181" s="203"/>
      <c r="D181" s="203"/>
      <c r="E181" s="203"/>
      <c r="F181" s="238"/>
      <c r="G181" s="203"/>
      <c r="H181" s="203"/>
      <c r="I181" s="203"/>
      <c r="J181" s="203"/>
    </row>
    <row r="182" spans="1:10">
      <c r="A182" s="203"/>
      <c r="B182" s="203"/>
      <c r="C182" s="203"/>
      <c r="D182" s="203"/>
      <c r="E182" s="203"/>
      <c r="F182" s="238"/>
      <c r="G182" s="203"/>
      <c r="H182" s="203"/>
      <c r="I182" s="203"/>
      <c r="J182" s="203"/>
    </row>
    <row r="183" spans="1:10">
      <c r="A183" s="203"/>
      <c r="B183" s="203"/>
      <c r="C183" s="203"/>
      <c r="D183" s="203"/>
      <c r="E183" s="203"/>
      <c r="F183" s="238"/>
      <c r="G183" s="203"/>
      <c r="H183" s="203"/>
      <c r="I183" s="203"/>
      <c r="J183" s="203"/>
    </row>
    <row r="184" spans="1:10">
      <c r="A184" s="203"/>
      <c r="B184" s="203"/>
      <c r="C184" s="203"/>
      <c r="D184" s="203"/>
      <c r="E184" s="203"/>
      <c r="F184" s="238"/>
      <c r="G184" s="203"/>
      <c r="H184" s="203"/>
      <c r="I184" s="203"/>
      <c r="J184" s="203"/>
    </row>
    <row r="185" spans="1:10">
      <c r="A185" s="203"/>
      <c r="B185" s="203"/>
      <c r="C185" s="203"/>
      <c r="D185" s="203"/>
      <c r="E185" s="203"/>
      <c r="F185" s="238"/>
      <c r="G185" s="203"/>
      <c r="H185" s="203"/>
      <c r="I185" s="203"/>
      <c r="J185" s="203"/>
    </row>
    <row r="186" spans="1:10">
      <c r="A186" s="203"/>
      <c r="B186" s="203"/>
      <c r="C186" s="203"/>
      <c r="D186" s="203"/>
      <c r="E186" s="203"/>
      <c r="F186" s="238"/>
      <c r="G186" s="203"/>
      <c r="H186" s="203"/>
      <c r="I186" s="203"/>
      <c r="J186" s="203"/>
    </row>
    <row r="187" spans="1:10">
      <c r="A187" s="203"/>
      <c r="B187" s="203"/>
      <c r="C187" s="203"/>
      <c r="D187" s="203"/>
      <c r="E187" s="203"/>
      <c r="F187" s="238"/>
      <c r="G187" s="203"/>
      <c r="H187" s="203"/>
      <c r="I187" s="203"/>
      <c r="J187" s="203"/>
    </row>
    <row r="188" spans="1:10">
      <c r="A188" s="203"/>
      <c r="B188" s="203"/>
      <c r="C188" s="203"/>
      <c r="D188" s="203"/>
      <c r="E188" s="203"/>
      <c r="F188" s="238"/>
      <c r="G188" s="203"/>
      <c r="H188" s="203"/>
      <c r="I188" s="203"/>
      <c r="J188" s="203"/>
    </row>
    <row r="189" spans="1:10">
      <c r="A189" s="203"/>
      <c r="B189" s="203"/>
      <c r="C189" s="203"/>
      <c r="D189" s="203"/>
      <c r="E189" s="203"/>
      <c r="F189" s="238"/>
      <c r="G189" s="203"/>
      <c r="H189" s="203"/>
      <c r="I189" s="203"/>
      <c r="J189" s="203"/>
    </row>
    <row r="190" spans="1:10">
      <c r="A190" s="203"/>
      <c r="B190" s="203"/>
      <c r="C190" s="203"/>
      <c r="D190" s="203"/>
      <c r="E190" s="203"/>
      <c r="F190" s="238"/>
      <c r="G190" s="203"/>
      <c r="H190" s="203"/>
      <c r="I190" s="203"/>
      <c r="J190" s="203"/>
    </row>
    <row r="191" spans="1:10">
      <c r="A191" s="203"/>
      <c r="B191" s="203"/>
      <c r="C191" s="203"/>
      <c r="D191" s="203"/>
      <c r="E191" s="203"/>
      <c r="F191" s="238"/>
      <c r="G191" s="203"/>
      <c r="H191" s="203"/>
      <c r="I191" s="203"/>
      <c r="J191" s="203"/>
    </row>
    <row r="192" spans="1:10">
      <c r="A192" s="203"/>
      <c r="B192" s="203"/>
      <c r="C192" s="203"/>
      <c r="D192" s="203"/>
      <c r="E192" s="203"/>
      <c r="F192" s="238"/>
      <c r="G192" s="203"/>
      <c r="H192" s="203"/>
      <c r="I192" s="203"/>
      <c r="J192" s="203"/>
    </row>
    <row r="193" spans="1:10">
      <c r="A193" s="203"/>
      <c r="B193" s="203"/>
      <c r="C193" s="203"/>
      <c r="D193" s="203"/>
      <c r="E193" s="203"/>
      <c r="F193" s="238"/>
      <c r="G193" s="203"/>
      <c r="H193" s="203"/>
      <c r="I193" s="203"/>
      <c r="J193" s="203"/>
    </row>
    <row r="194" spans="1:10">
      <c r="A194" s="203"/>
      <c r="B194" s="203"/>
      <c r="C194" s="203"/>
      <c r="D194" s="203"/>
      <c r="E194" s="203"/>
      <c r="F194" s="238"/>
      <c r="G194" s="203"/>
      <c r="H194" s="203"/>
      <c r="I194" s="203"/>
      <c r="J194" s="203"/>
    </row>
    <row r="195" spans="1:10">
      <c r="A195" s="203"/>
      <c r="B195" s="203"/>
      <c r="C195" s="203"/>
      <c r="D195" s="203"/>
      <c r="E195" s="203"/>
      <c r="F195" s="238"/>
      <c r="G195" s="203"/>
      <c r="H195" s="203"/>
      <c r="I195" s="203"/>
      <c r="J195" s="203"/>
    </row>
    <row r="196" spans="1:10">
      <c r="A196" s="203"/>
      <c r="B196" s="203"/>
      <c r="C196" s="203"/>
      <c r="D196" s="203"/>
      <c r="E196" s="203"/>
      <c r="F196" s="238"/>
      <c r="G196" s="203"/>
      <c r="H196" s="203"/>
      <c r="I196" s="203"/>
      <c r="J196" s="203"/>
    </row>
    <row r="197" spans="1:10">
      <c r="A197" s="203"/>
      <c r="B197" s="203"/>
      <c r="C197" s="203"/>
      <c r="D197" s="203"/>
      <c r="E197" s="203"/>
      <c r="F197" s="238"/>
      <c r="G197" s="203"/>
      <c r="H197" s="203"/>
      <c r="I197" s="203"/>
      <c r="J197" s="203"/>
    </row>
    <row r="198" spans="1:10">
      <c r="A198" s="203"/>
      <c r="B198" s="203"/>
      <c r="C198" s="203"/>
      <c r="D198" s="203"/>
      <c r="E198" s="203"/>
      <c r="F198" s="238"/>
      <c r="G198" s="203"/>
      <c r="H198" s="203"/>
      <c r="I198" s="203"/>
      <c r="J198" s="203"/>
    </row>
    <row r="199" spans="1:10">
      <c r="A199" s="203"/>
      <c r="B199" s="203"/>
      <c r="C199" s="203"/>
      <c r="D199" s="203"/>
      <c r="E199" s="203"/>
      <c r="F199" s="238"/>
      <c r="G199" s="203"/>
      <c r="H199" s="203"/>
      <c r="I199" s="203"/>
      <c r="J199" s="203"/>
    </row>
    <row r="200" spans="1:10">
      <c r="A200" s="203"/>
      <c r="B200" s="203"/>
      <c r="C200" s="203"/>
      <c r="D200" s="203"/>
      <c r="E200" s="203"/>
      <c r="F200" s="238"/>
      <c r="G200" s="203"/>
      <c r="H200" s="203"/>
      <c r="I200" s="203"/>
      <c r="J200" s="203"/>
    </row>
    <row r="201" spans="1:10">
      <c r="A201" s="203"/>
      <c r="B201" s="203"/>
      <c r="C201" s="203"/>
      <c r="D201" s="203"/>
      <c r="E201" s="203"/>
      <c r="F201" s="238"/>
      <c r="G201" s="203"/>
      <c r="H201" s="203"/>
      <c r="I201" s="203"/>
      <c r="J201" s="203"/>
    </row>
    <row r="202" spans="1:10">
      <c r="A202" s="203"/>
      <c r="B202" s="203"/>
      <c r="C202" s="203"/>
      <c r="D202" s="203"/>
      <c r="E202" s="203"/>
      <c r="F202" s="238"/>
      <c r="G202" s="203"/>
      <c r="H202" s="203"/>
      <c r="I202" s="203"/>
      <c r="J202" s="203"/>
    </row>
    <row r="203" spans="1:10">
      <c r="A203" s="203"/>
      <c r="B203" s="203"/>
      <c r="C203" s="203"/>
      <c r="D203" s="203"/>
      <c r="E203" s="203"/>
      <c r="F203" s="238"/>
      <c r="G203" s="203"/>
      <c r="H203" s="203"/>
      <c r="I203" s="203"/>
      <c r="J203" s="203"/>
    </row>
    <row r="204" spans="1:10">
      <c r="A204" s="203"/>
      <c r="B204" s="203"/>
      <c r="C204" s="203"/>
      <c r="D204" s="203"/>
      <c r="E204" s="203"/>
      <c r="F204" s="238"/>
      <c r="G204" s="203"/>
      <c r="H204" s="203"/>
      <c r="I204" s="203"/>
      <c r="J204" s="203"/>
    </row>
    <row r="205" spans="1:10">
      <c r="A205" s="203"/>
      <c r="B205" s="203"/>
      <c r="C205" s="203"/>
      <c r="D205" s="203"/>
      <c r="E205" s="203"/>
      <c r="F205" s="238"/>
      <c r="G205" s="203"/>
      <c r="H205" s="203"/>
      <c r="I205" s="203"/>
      <c r="J205" s="203"/>
    </row>
    <row r="206" spans="1:10">
      <c r="A206" s="203"/>
      <c r="B206" s="203"/>
      <c r="C206" s="203"/>
      <c r="D206" s="203"/>
      <c r="E206" s="203"/>
      <c r="F206" s="238"/>
      <c r="G206" s="203"/>
      <c r="H206" s="203"/>
      <c r="I206" s="203"/>
      <c r="J206" s="203"/>
    </row>
    <row r="207" spans="1:10">
      <c r="A207" s="203"/>
      <c r="B207" s="203"/>
      <c r="C207" s="203"/>
      <c r="D207" s="203"/>
      <c r="E207" s="203"/>
      <c r="F207" s="238"/>
      <c r="G207" s="203"/>
      <c r="H207" s="203"/>
      <c r="I207" s="203"/>
      <c r="J207" s="203"/>
    </row>
    <row r="208" spans="1:10">
      <c r="A208" s="203"/>
      <c r="B208" s="203"/>
      <c r="C208" s="203"/>
      <c r="D208" s="203"/>
      <c r="E208" s="203"/>
      <c r="F208" s="238"/>
      <c r="G208" s="203"/>
      <c r="H208" s="203"/>
      <c r="I208" s="203"/>
      <c r="J208" s="203"/>
    </row>
    <row r="209" spans="1:10">
      <c r="A209" s="203"/>
      <c r="B209" s="203"/>
      <c r="C209" s="203"/>
      <c r="D209" s="203"/>
      <c r="E209" s="203"/>
      <c r="F209" s="238"/>
      <c r="G209" s="203"/>
      <c r="H209" s="203"/>
      <c r="I209" s="203"/>
      <c r="J209" s="203"/>
    </row>
    <row r="210" spans="1:10">
      <c r="A210" s="203"/>
      <c r="B210" s="203"/>
      <c r="C210" s="203"/>
      <c r="D210" s="203"/>
      <c r="E210" s="203"/>
      <c r="F210" s="238"/>
      <c r="G210" s="203"/>
      <c r="H210" s="203"/>
      <c r="I210" s="203"/>
      <c r="J210" s="203"/>
    </row>
    <row r="211" spans="1:10">
      <c r="A211" s="203"/>
      <c r="B211" s="203"/>
      <c r="C211" s="203"/>
      <c r="D211" s="203"/>
      <c r="E211" s="203"/>
      <c r="F211" s="238"/>
      <c r="G211" s="203"/>
      <c r="H211" s="203"/>
      <c r="I211" s="203"/>
      <c r="J211" s="203"/>
    </row>
    <row r="212" spans="1:10">
      <c r="A212" s="203"/>
      <c r="B212" s="203"/>
      <c r="C212" s="203"/>
      <c r="D212" s="203"/>
      <c r="E212" s="203"/>
      <c r="F212" s="238"/>
      <c r="G212" s="203"/>
      <c r="H212" s="203"/>
      <c r="I212" s="203"/>
      <c r="J212" s="203"/>
    </row>
    <row r="213" spans="1:10">
      <c r="A213" s="203"/>
      <c r="B213" s="203"/>
      <c r="C213" s="203"/>
      <c r="D213" s="203"/>
      <c r="E213" s="203"/>
      <c r="F213" s="238"/>
      <c r="G213" s="203"/>
      <c r="H213" s="203"/>
      <c r="I213" s="203"/>
      <c r="J213" s="203"/>
    </row>
    <row r="214" spans="1:10">
      <c r="A214" s="203"/>
      <c r="B214" s="203"/>
      <c r="C214" s="203"/>
      <c r="D214" s="203"/>
      <c r="E214" s="203"/>
      <c r="F214" s="238"/>
      <c r="G214" s="203"/>
      <c r="H214" s="203"/>
      <c r="I214" s="203"/>
      <c r="J214" s="203"/>
    </row>
    <row r="215" spans="1:10">
      <c r="A215" s="203"/>
      <c r="B215" s="203"/>
      <c r="C215" s="203"/>
      <c r="D215" s="203"/>
      <c r="E215" s="203"/>
      <c r="F215" s="238"/>
      <c r="G215" s="203"/>
      <c r="H215" s="203"/>
      <c r="I215" s="203"/>
      <c r="J215" s="203"/>
    </row>
    <row r="216" spans="1:10">
      <c r="A216" s="203"/>
      <c r="B216" s="203"/>
      <c r="C216" s="203"/>
      <c r="D216" s="203"/>
      <c r="E216" s="203"/>
      <c r="F216" s="238"/>
      <c r="G216" s="203"/>
      <c r="H216" s="203"/>
      <c r="I216" s="203"/>
      <c r="J216" s="203"/>
    </row>
    <row r="217" spans="1:10">
      <c r="A217" s="203"/>
      <c r="B217" s="203"/>
      <c r="C217" s="203"/>
      <c r="D217" s="203"/>
      <c r="E217" s="203"/>
      <c r="F217" s="238"/>
      <c r="G217" s="203"/>
      <c r="H217" s="203"/>
      <c r="I217" s="203"/>
      <c r="J217" s="203"/>
    </row>
    <row r="218" spans="1:10">
      <c r="A218" s="203"/>
      <c r="B218" s="203"/>
      <c r="C218" s="203"/>
      <c r="D218" s="203"/>
      <c r="E218" s="203"/>
      <c r="F218" s="238"/>
      <c r="G218" s="203"/>
      <c r="H218" s="203"/>
      <c r="I218" s="203"/>
      <c r="J218" s="203"/>
    </row>
    <row r="219" spans="1:10">
      <c r="A219" s="203"/>
      <c r="B219" s="203"/>
      <c r="C219" s="203"/>
      <c r="D219" s="203"/>
      <c r="E219" s="203"/>
      <c r="F219" s="238"/>
      <c r="G219" s="203"/>
      <c r="H219" s="203"/>
      <c r="I219" s="203"/>
      <c r="J219" s="203"/>
    </row>
    <row r="220" spans="1:10">
      <c r="A220" s="203"/>
      <c r="B220" s="203"/>
      <c r="C220" s="203"/>
      <c r="D220" s="203"/>
      <c r="E220" s="203"/>
      <c r="F220" s="238"/>
      <c r="G220" s="203"/>
      <c r="H220" s="203"/>
      <c r="I220" s="203"/>
      <c r="J220" s="203"/>
    </row>
    <row r="221" spans="1:10">
      <c r="A221" s="203"/>
      <c r="B221" s="203"/>
      <c r="C221" s="203"/>
      <c r="D221" s="203"/>
      <c r="E221" s="203"/>
      <c r="F221" s="238"/>
      <c r="G221" s="203"/>
      <c r="H221" s="203"/>
      <c r="I221" s="203"/>
      <c r="J221" s="203"/>
    </row>
    <row r="222" spans="1:10">
      <c r="A222" s="203"/>
      <c r="B222" s="203"/>
      <c r="C222" s="203"/>
      <c r="D222" s="203"/>
      <c r="E222" s="203"/>
      <c r="F222" s="238"/>
      <c r="G222" s="203"/>
      <c r="H222" s="203"/>
      <c r="I222" s="203"/>
      <c r="J222" s="203"/>
    </row>
    <row r="223" spans="1:10">
      <c r="A223" s="203"/>
      <c r="B223" s="203"/>
      <c r="C223" s="203"/>
      <c r="D223" s="203"/>
      <c r="E223" s="203"/>
      <c r="F223" s="238"/>
      <c r="G223" s="203"/>
      <c r="H223" s="203"/>
      <c r="I223" s="203"/>
      <c r="J223" s="203"/>
    </row>
    <row r="224" spans="1:10">
      <c r="A224" s="203"/>
      <c r="B224" s="203"/>
      <c r="C224" s="203"/>
      <c r="D224" s="203"/>
      <c r="E224" s="203"/>
      <c r="F224" s="238"/>
      <c r="G224" s="203"/>
      <c r="H224" s="203"/>
      <c r="I224" s="203"/>
      <c r="J224" s="203"/>
    </row>
    <row r="225" spans="1:10">
      <c r="A225" s="203"/>
      <c r="B225" s="203"/>
      <c r="C225" s="203"/>
      <c r="D225" s="203"/>
      <c r="E225" s="203"/>
      <c r="F225" s="238"/>
      <c r="G225" s="203"/>
      <c r="H225" s="203"/>
      <c r="I225" s="203"/>
      <c r="J225" s="203"/>
    </row>
    <row r="226" spans="1:10">
      <c r="A226" s="203"/>
      <c r="B226" s="203"/>
      <c r="C226" s="203"/>
      <c r="D226" s="203"/>
      <c r="E226" s="203"/>
      <c r="F226" s="238"/>
      <c r="G226" s="203"/>
      <c r="H226" s="203"/>
      <c r="I226" s="203"/>
      <c r="J226" s="203"/>
    </row>
    <row r="227" spans="1:10">
      <c r="A227" s="203"/>
      <c r="B227" s="203"/>
      <c r="C227" s="203"/>
      <c r="D227" s="203"/>
      <c r="E227" s="203"/>
      <c r="F227" s="238"/>
      <c r="G227" s="203"/>
      <c r="H227" s="203"/>
      <c r="I227" s="203"/>
      <c r="J227" s="203"/>
    </row>
    <row r="228" spans="1:10">
      <c r="A228" s="203"/>
      <c r="B228" s="203"/>
      <c r="C228" s="203"/>
      <c r="D228" s="203"/>
      <c r="E228" s="203"/>
      <c r="F228" s="238"/>
      <c r="G228" s="203"/>
      <c r="H228" s="203"/>
      <c r="I228" s="203"/>
      <c r="J228" s="203"/>
    </row>
    <row r="229" spans="1:10">
      <c r="A229" s="203"/>
      <c r="B229" s="203"/>
      <c r="C229" s="203"/>
      <c r="D229" s="203"/>
      <c r="E229" s="203"/>
      <c r="F229" s="238"/>
      <c r="G229" s="203"/>
      <c r="H229" s="203"/>
      <c r="I229" s="203"/>
      <c r="J229" s="203"/>
    </row>
    <row r="230" spans="1:10">
      <c r="A230" s="203"/>
      <c r="B230" s="203"/>
      <c r="C230" s="203"/>
      <c r="D230" s="203"/>
      <c r="E230" s="203"/>
      <c r="F230" s="238"/>
      <c r="G230" s="203"/>
      <c r="H230" s="203"/>
      <c r="I230" s="203"/>
      <c r="J230" s="203"/>
    </row>
    <row r="231" spans="1:10">
      <c r="A231" s="203"/>
      <c r="B231" s="203"/>
      <c r="C231" s="203"/>
      <c r="D231" s="203"/>
      <c r="E231" s="203"/>
      <c r="F231" s="238"/>
      <c r="G231" s="203"/>
      <c r="H231" s="203"/>
      <c r="I231" s="203"/>
      <c r="J231" s="203"/>
    </row>
    <row r="232" spans="1:10">
      <c r="A232" s="203"/>
      <c r="B232" s="203"/>
      <c r="C232" s="203"/>
      <c r="D232" s="203"/>
      <c r="E232" s="203"/>
      <c r="F232" s="238"/>
      <c r="G232" s="203"/>
      <c r="H232" s="203"/>
      <c r="I232" s="203"/>
      <c r="J232" s="203"/>
    </row>
    <row r="233" spans="1:10">
      <c r="A233" s="203"/>
      <c r="B233" s="203"/>
      <c r="C233" s="203"/>
      <c r="D233" s="203"/>
      <c r="E233" s="203"/>
      <c r="F233" s="238"/>
      <c r="G233" s="203"/>
      <c r="H233" s="203"/>
      <c r="I233" s="203"/>
      <c r="J233" s="203"/>
    </row>
    <row r="234" spans="1:10">
      <c r="A234" s="203"/>
      <c r="B234" s="203"/>
      <c r="C234" s="203"/>
      <c r="D234" s="203"/>
      <c r="E234" s="203"/>
      <c r="F234" s="238"/>
      <c r="G234" s="203"/>
      <c r="H234" s="203"/>
      <c r="I234" s="203"/>
      <c r="J234" s="203"/>
    </row>
    <row r="235" spans="1:10">
      <c r="A235" s="203"/>
      <c r="B235" s="203"/>
      <c r="C235" s="203"/>
      <c r="D235" s="203"/>
      <c r="E235" s="203"/>
      <c r="F235" s="238"/>
      <c r="G235" s="203"/>
      <c r="H235" s="203"/>
      <c r="I235" s="203"/>
      <c r="J235" s="203"/>
    </row>
    <row r="236" spans="1:10">
      <c r="A236" s="203"/>
      <c r="B236" s="203"/>
      <c r="C236" s="203"/>
      <c r="D236" s="203"/>
      <c r="E236" s="203"/>
      <c r="F236" s="238"/>
      <c r="G236" s="203"/>
      <c r="H236" s="203"/>
      <c r="I236" s="203"/>
      <c r="J236" s="203"/>
    </row>
    <row r="237" spans="1:10">
      <c r="A237" s="203"/>
      <c r="B237" s="203"/>
      <c r="C237" s="203"/>
      <c r="D237" s="203"/>
      <c r="E237" s="203"/>
      <c r="F237" s="238"/>
      <c r="G237" s="203"/>
      <c r="H237" s="203"/>
      <c r="I237" s="203"/>
      <c r="J237" s="203"/>
    </row>
    <row r="238" spans="1:10">
      <c r="A238" s="203"/>
      <c r="B238" s="203"/>
      <c r="C238" s="203"/>
      <c r="D238" s="203"/>
      <c r="E238" s="203"/>
      <c r="F238" s="238"/>
      <c r="G238" s="203"/>
      <c r="H238" s="203"/>
      <c r="I238" s="203"/>
      <c r="J238" s="203"/>
    </row>
    <row r="239" spans="1:10">
      <c r="A239" s="203"/>
      <c r="B239" s="203"/>
      <c r="C239" s="203"/>
      <c r="D239" s="203"/>
      <c r="E239" s="203"/>
      <c r="F239" s="238"/>
      <c r="G239" s="203"/>
      <c r="H239" s="203"/>
      <c r="I239" s="203"/>
      <c r="J239" s="203"/>
    </row>
    <row r="240" spans="1:10">
      <c r="A240" s="203"/>
      <c r="B240" s="203"/>
      <c r="C240" s="203"/>
      <c r="D240" s="203"/>
      <c r="E240" s="203"/>
      <c r="F240" s="238"/>
      <c r="G240" s="203"/>
      <c r="H240" s="203"/>
      <c r="I240" s="203"/>
      <c r="J240" s="203"/>
    </row>
    <row r="241" spans="1:10">
      <c r="A241" s="203"/>
      <c r="B241" s="203"/>
      <c r="C241" s="203"/>
      <c r="D241" s="203"/>
      <c r="E241" s="203"/>
      <c r="F241" s="238"/>
      <c r="G241" s="203"/>
      <c r="H241" s="203"/>
      <c r="I241" s="203"/>
      <c r="J241" s="203"/>
    </row>
    <row r="242" spans="1:10">
      <c r="A242" s="203"/>
      <c r="B242" s="203"/>
      <c r="C242" s="203"/>
      <c r="D242" s="203"/>
      <c r="E242" s="203"/>
      <c r="F242" s="238"/>
      <c r="G242" s="203"/>
      <c r="H242" s="203"/>
      <c r="I242" s="203"/>
      <c r="J242" s="203"/>
    </row>
    <row r="243" spans="1:10">
      <c r="A243" s="203"/>
      <c r="B243" s="203"/>
      <c r="C243" s="203"/>
      <c r="D243" s="203"/>
      <c r="E243" s="203"/>
      <c r="F243" s="238"/>
      <c r="G243" s="203"/>
      <c r="H243" s="203"/>
      <c r="I243" s="203"/>
      <c r="J243" s="203"/>
    </row>
    <row r="244" spans="1:10">
      <c r="A244" s="203"/>
      <c r="B244" s="203"/>
      <c r="C244" s="203"/>
      <c r="D244" s="203"/>
      <c r="E244" s="203"/>
      <c r="F244" s="238"/>
      <c r="G244" s="203"/>
      <c r="H244" s="203"/>
      <c r="I244" s="203"/>
      <c r="J244" s="203"/>
    </row>
    <row r="245" spans="1:10">
      <c r="A245" s="203"/>
      <c r="B245" s="203"/>
      <c r="C245" s="203"/>
      <c r="D245" s="203"/>
      <c r="E245" s="203"/>
      <c r="F245" s="238"/>
      <c r="G245" s="203"/>
      <c r="H245" s="203"/>
      <c r="I245" s="203"/>
      <c r="J245" s="203"/>
    </row>
    <row r="246" spans="1:10">
      <c r="A246" s="203"/>
      <c r="B246" s="203"/>
      <c r="C246" s="203"/>
      <c r="D246" s="203"/>
      <c r="E246" s="203"/>
      <c r="F246" s="238"/>
      <c r="G246" s="203"/>
      <c r="H246" s="203"/>
      <c r="I246" s="203"/>
      <c r="J246" s="203"/>
    </row>
    <row r="247" spans="1:10">
      <c r="A247" s="203"/>
      <c r="B247" s="203"/>
      <c r="C247" s="203"/>
      <c r="D247" s="203"/>
      <c r="E247" s="203"/>
      <c r="F247" s="238"/>
      <c r="G247" s="203"/>
      <c r="H247" s="203"/>
      <c r="I247" s="203"/>
      <c r="J247" s="203"/>
    </row>
    <row r="248" spans="1:10">
      <c r="A248" s="203"/>
      <c r="B248" s="203"/>
      <c r="C248" s="203"/>
      <c r="D248" s="203"/>
      <c r="E248" s="203"/>
      <c r="F248" s="238"/>
      <c r="G248" s="203"/>
      <c r="H248" s="203"/>
      <c r="I248" s="203"/>
      <c r="J248" s="203"/>
    </row>
    <row r="249" spans="1:10">
      <c r="A249" s="203"/>
      <c r="B249" s="203"/>
      <c r="C249" s="203"/>
      <c r="D249" s="203"/>
      <c r="E249" s="203"/>
      <c r="F249" s="238"/>
      <c r="G249" s="203"/>
      <c r="H249" s="203"/>
      <c r="I249" s="203"/>
      <c r="J249" s="203"/>
    </row>
    <row r="250" spans="1:10">
      <c r="A250" s="203"/>
      <c r="B250" s="203"/>
      <c r="C250" s="203"/>
      <c r="D250" s="203"/>
      <c r="E250" s="203"/>
      <c r="F250" s="238"/>
      <c r="G250" s="203"/>
      <c r="H250" s="203"/>
      <c r="I250" s="203"/>
      <c r="J250" s="203"/>
    </row>
    <row r="251" spans="1:10">
      <c r="A251" s="203"/>
      <c r="B251" s="203"/>
      <c r="C251" s="203"/>
      <c r="D251" s="203"/>
      <c r="E251" s="203"/>
      <c r="F251" s="238"/>
      <c r="G251" s="203"/>
      <c r="H251" s="203"/>
      <c r="I251" s="203"/>
      <c r="J251" s="203"/>
    </row>
    <row r="252" spans="1:10">
      <c r="A252" s="203"/>
      <c r="B252" s="203"/>
      <c r="C252" s="203"/>
      <c r="D252" s="203"/>
      <c r="E252" s="203"/>
      <c r="F252" s="238"/>
      <c r="G252" s="203"/>
      <c r="H252" s="203"/>
      <c r="I252" s="203"/>
      <c r="J252" s="203"/>
    </row>
    <row r="253" spans="1:10">
      <c r="A253" s="203"/>
      <c r="B253" s="203"/>
      <c r="C253" s="203"/>
      <c r="D253" s="203"/>
      <c r="E253" s="203"/>
      <c r="F253" s="238"/>
      <c r="G253" s="203"/>
      <c r="H253" s="203"/>
      <c r="I253" s="203"/>
      <c r="J253" s="203"/>
    </row>
    <row r="254" spans="1:10">
      <c r="A254" s="203"/>
      <c r="B254" s="203"/>
      <c r="C254" s="203"/>
      <c r="D254" s="203"/>
      <c r="E254" s="203"/>
      <c r="F254" s="238"/>
      <c r="G254" s="203"/>
      <c r="H254" s="203"/>
      <c r="I254" s="203"/>
      <c r="J254" s="203"/>
    </row>
    <row r="255" spans="1:10">
      <c r="A255" s="203"/>
      <c r="B255" s="203"/>
      <c r="C255" s="203"/>
      <c r="D255" s="203"/>
      <c r="E255" s="203"/>
      <c r="F255" s="238"/>
      <c r="G255" s="203"/>
      <c r="H255" s="203"/>
      <c r="I255" s="203"/>
      <c r="J255" s="203"/>
    </row>
    <row r="256" spans="1:10">
      <c r="A256" s="203"/>
      <c r="B256" s="203"/>
      <c r="C256" s="203"/>
      <c r="D256" s="203"/>
      <c r="E256" s="203"/>
      <c r="F256" s="238"/>
      <c r="G256" s="203"/>
      <c r="H256" s="203"/>
      <c r="I256" s="203"/>
      <c r="J256" s="203"/>
    </row>
    <row r="257" spans="1:10">
      <c r="A257" s="203"/>
      <c r="B257" s="203"/>
      <c r="C257" s="203"/>
      <c r="D257" s="203"/>
      <c r="E257" s="203"/>
      <c r="F257" s="238"/>
      <c r="G257" s="203"/>
      <c r="H257" s="203"/>
      <c r="I257" s="203"/>
      <c r="J257" s="203"/>
    </row>
    <row r="258" spans="1:10">
      <c r="A258" s="203"/>
      <c r="B258" s="203"/>
      <c r="C258" s="203"/>
      <c r="D258" s="203"/>
      <c r="E258" s="203"/>
      <c r="F258" s="238"/>
      <c r="G258" s="203"/>
      <c r="H258" s="203"/>
      <c r="I258" s="203"/>
      <c r="J258" s="203"/>
    </row>
    <row r="259" spans="1:10">
      <c r="A259" s="203"/>
      <c r="B259" s="203"/>
      <c r="C259" s="203"/>
      <c r="D259" s="203"/>
      <c r="E259" s="203"/>
      <c r="F259" s="238"/>
      <c r="G259" s="203"/>
      <c r="H259" s="203"/>
      <c r="I259" s="203"/>
      <c r="J259" s="203"/>
    </row>
    <row r="260" spans="1:10">
      <c r="A260" s="203"/>
      <c r="B260" s="203"/>
      <c r="C260" s="203"/>
      <c r="D260" s="203"/>
      <c r="E260" s="203"/>
      <c r="F260" s="238"/>
      <c r="G260" s="203"/>
      <c r="H260" s="203"/>
      <c r="I260" s="203"/>
      <c r="J260" s="203"/>
    </row>
    <row r="261" spans="1:10">
      <c r="A261" s="203"/>
      <c r="B261" s="203"/>
      <c r="C261" s="203"/>
      <c r="D261" s="203"/>
      <c r="E261" s="203"/>
      <c r="F261" s="238"/>
      <c r="G261" s="203"/>
      <c r="H261" s="203"/>
      <c r="I261" s="203"/>
      <c r="J261" s="203"/>
    </row>
    <row r="262" spans="1:10">
      <c r="A262" s="203"/>
      <c r="B262" s="203"/>
      <c r="C262" s="203"/>
      <c r="D262" s="203"/>
      <c r="E262" s="203"/>
      <c r="F262" s="238"/>
      <c r="G262" s="203"/>
      <c r="H262" s="203"/>
      <c r="I262" s="203"/>
      <c r="J262" s="203"/>
    </row>
    <row r="263" spans="1:10">
      <c r="A263" s="203"/>
      <c r="B263" s="203"/>
      <c r="C263" s="203"/>
      <c r="D263" s="203"/>
      <c r="E263" s="203"/>
      <c r="F263" s="238"/>
      <c r="G263" s="203"/>
      <c r="H263" s="203"/>
      <c r="I263" s="203"/>
      <c r="J263" s="203"/>
    </row>
    <row r="264" spans="1:10">
      <c r="A264" s="203"/>
      <c r="B264" s="203"/>
      <c r="C264" s="203"/>
      <c r="D264" s="203"/>
      <c r="E264" s="203"/>
      <c r="F264" s="238"/>
      <c r="G264" s="203"/>
      <c r="H264" s="203"/>
      <c r="I264" s="203"/>
      <c r="J264" s="203"/>
    </row>
    <row r="265" spans="1:10">
      <c r="A265" s="203"/>
      <c r="B265" s="203"/>
      <c r="C265" s="203"/>
      <c r="D265" s="203"/>
      <c r="E265" s="203"/>
      <c r="F265" s="238"/>
      <c r="G265" s="203"/>
      <c r="H265" s="203"/>
      <c r="I265" s="203"/>
      <c r="J265" s="203"/>
    </row>
    <row r="266" spans="1:10">
      <c r="A266" s="203"/>
      <c r="B266" s="203"/>
      <c r="C266" s="203"/>
      <c r="D266" s="203"/>
      <c r="E266" s="203"/>
      <c r="F266" s="238"/>
      <c r="G266" s="203"/>
      <c r="H266" s="203"/>
      <c r="I266" s="203"/>
      <c r="J266" s="203"/>
    </row>
    <row r="267" spans="1:10">
      <c r="A267" s="203"/>
      <c r="B267" s="203"/>
      <c r="C267" s="203"/>
      <c r="D267" s="203"/>
      <c r="E267" s="203"/>
      <c r="F267" s="238"/>
      <c r="G267" s="203"/>
      <c r="H267" s="203"/>
      <c r="I267" s="203"/>
      <c r="J267" s="203"/>
    </row>
    <row r="268" spans="1:10">
      <c r="A268" s="203"/>
      <c r="B268" s="203"/>
      <c r="C268" s="203"/>
      <c r="D268" s="203"/>
      <c r="E268" s="203"/>
      <c r="F268" s="238"/>
      <c r="G268" s="203"/>
      <c r="H268" s="203"/>
      <c r="I268" s="203"/>
      <c r="J268" s="203"/>
    </row>
    <row r="269" spans="1:10">
      <c r="A269" s="203"/>
      <c r="B269" s="203"/>
      <c r="C269" s="203"/>
      <c r="D269" s="203"/>
      <c r="E269" s="203"/>
      <c r="F269" s="238"/>
      <c r="G269" s="203"/>
      <c r="H269" s="203"/>
      <c r="I269" s="203"/>
      <c r="J269" s="203"/>
    </row>
    <row r="270" spans="1:10">
      <c r="A270" s="203"/>
      <c r="B270" s="203"/>
      <c r="C270" s="203"/>
      <c r="D270" s="203"/>
      <c r="E270" s="203"/>
      <c r="F270" s="238"/>
      <c r="G270" s="203"/>
      <c r="H270" s="203"/>
      <c r="I270" s="203"/>
      <c r="J270" s="203"/>
    </row>
    <row r="271" spans="1:10">
      <c r="A271" s="203"/>
      <c r="B271" s="203"/>
      <c r="C271" s="203"/>
      <c r="D271" s="203"/>
      <c r="E271" s="203"/>
      <c r="F271" s="238"/>
      <c r="G271" s="203"/>
      <c r="H271" s="203"/>
      <c r="I271" s="203"/>
      <c r="J271" s="203"/>
    </row>
    <row r="272" spans="1:10">
      <c r="A272" s="203"/>
      <c r="B272" s="203"/>
      <c r="C272" s="203"/>
      <c r="D272" s="203"/>
      <c r="E272" s="203"/>
      <c r="F272" s="238"/>
      <c r="G272" s="203"/>
      <c r="H272" s="203"/>
      <c r="I272" s="203"/>
      <c r="J272" s="203"/>
    </row>
    <row r="273" spans="1:10">
      <c r="A273" s="203"/>
      <c r="B273" s="203"/>
      <c r="C273" s="203"/>
      <c r="D273" s="203"/>
      <c r="E273" s="203"/>
      <c r="F273" s="238"/>
      <c r="G273" s="203"/>
      <c r="H273" s="203"/>
      <c r="I273" s="203"/>
      <c r="J273" s="203"/>
    </row>
    <row r="274" spans="1:10">
      <c r="A274" s="203"/>
      <c r="B274" s="203"/>
      <c r="C274" s="203"/>
      <c r="D274" s="203"/>
      <c r="E274" s="203"/>
      <c r="F274" s="238"/>
      <c r="G274" s="203"/>
      <c r="H274" s="203"/>
      <c r="I274" s="203"/>
      <c r="J274" s="203"/>
    </row>
    <row r="275" spans="1:10">
      <c r="A275" s="203"/>
      <c r="B275" s="203"/>
      <c r="C275" s="203"/>
      <c r="D275" s="203"/>
      <c r="E275" s="203"/>
      <c r="F275" s="238"/>
      <c r="G275" s="203"/>
      <c r="H275" s="203"/>
      <c r="I275" s="203"/>
      <c r="J275" s="203"/>
    </row>
    <row r="276" spans="1:10">
      <c r="A276" s="203"/>
      <c r="B276" s="203"/>
      <c r="C276" s="203"/>
      <c r="D276" s="203"/>
      <c r="E276" s="203"/>
      <c r="F276" s="238"/>
      <c r="G276" s="203"/>
      <c r="H276" s="203"/>
      <c r="I276" s="203"/>
      <c r="J276" s="203"/>
    </row>
    <row r="277" spans="1:10">
      <c r="A277" s="203"/>
      <c r="B277" s="203"/>
      <c r="C277" s="203"/>
      <c r="D277" s="203"/>
      <c r="E277" s="203"/>
      <c r="F277" s="238"/>
      <c r="G277" s="203"/>
      <c r="H277" s="203"/>
      <c r="I277" s="203"/>
      <c r="J277" s="203"/>
    </row>
    <row r="278" spans="1:10">
      <c r="A278" s="203"/>
      <c r="B278" s="203"/>
      <c r="C278" s="203"/>
      <c r="D278" s="203"/>
      <c r="E278" s="203"/>
      <c r="F278" s="238"/>
      <c r="G278" s="203"/>
      <c r="H278" s="203"/>
      <c r="I278" s="203"/>
      <c r="J278" s="203"/>
    </row>
    <row r="279" spans="1:10">
      <c r="A279" s="203"/>
      <c r="B279" s="203"/>
      <c r="C279" s="203"/>
      <c r="D279" s="203"/>
      <c r="E279" s="203"/>
      <c r="F279" s="238"/>
      <c r="G279" s="203"/>
      <c r="H279" s="203"/>
      <c r="I279" s="203"/>
      <c r="J279" s="203"/>
    </row>
    <row r="280" spans="1:10">
      <c r="A280" s="203"/>
      <c r="B280" s="203"/>
      <c r="C280" s="203"/>
      <c r="D280" s="203"/>
      <c r="E280" s="203"/>
      <c r="F280" s="238"/>
      <c r="G280" s="203"/>
      <c r="H280" s="203"/>
      <c r="I280" s="203"/>
      <c r="J280" s="203"/>
    </row>
    <row r="281" spans="1:10">
      <c r="A281" s="203"/>
      <c r="B281" s="203"/>
      <c r="C281" s="203"/>
      <c r="D281" s="203"/>
      <c r="E281" s="203"/>
      <c r="F281" s="238"/>
      <c r="G281" s="203"/>
      <c r="H281" s="203"/>
      <c r="I281" s="203"/>
      <c r="J281" s="203"/>
    </row>
    <row r="282" spans="1:10">
      <c r="A282" s="203"/>
      <c r="B282" s="203"/>
      <c r="C282" s="203"/>
      <c r="D282" s="203"/>
      <c r="E282" s="203"/>
      <c r="F282" s="238"/>
      <c r="G282" s="203"/>
      <c r="H282" s="203"/>
      <c r="I282" s="203"/>
      <c r="J282" s="203"/>
    </row>
    <row r="283" spans="1:10">
      <c r="A283" s="203"/>
      <c r="B283" s="203"/>
      <c r="C283" s="203"/>
      <c r="D283" s="203"/>
      <c r="E283" s="203"/>
      <c r="F283" s="238"/>
      <c r="G283" s="203"/>
      <c r="H283" s="203"/>
      <c r="I283" s="203"/>
      <c r="J283" s="203"/>
    </row>
    <row r="284" spans="1:10">
      <c r="A284" s="203"/>
      <c r="B284" s="203"/>
      <c r="C284" s="203"/>
      <c r="D284" s="203"/>
      <c r="E284" s="203"/>
      <c r="F284" s="238"/>
      <c r="G284" s="203"/>
      <c r="H284" s="203"/>
      <c r="I284" s="203"/>
      <c r="J284" s="203"/>
    </row>
    <row r="285" spans="1:10">
      <c r="A285" s="203"/>
      <c r="B285" s="203"/>
      <c r="C285" s="203"/>
      <c r="D285" s="203"/>
      <c r="E285" s="203"/>
      <c r="F285" s="238"/>
      <c r="G285" s="203"/>
      <c r="H285" s="203"/>
      <c r="I285" s="203"/>
      <c r="J285" s="203"/>
    </row>
    <row r="286" spans="1:10">
      <c r="A286" s="203"/>
      <c r="B286" s="203"/>
      <c r="C286" s="203"/>
      <c r="D286" s="203"/>
      <c r="E286" s="203"/>
      <c r="F286" s="238"/>
      <c r="G286" s="203"/>
      <c r="H286" s="203"/>
      <c r="I286" s="203"/>
      <c r="J286" s="203"/>
    </row>
    <row r="287" spans="1:10">
      <c r="A287" s="203"/>
      <c r="B287" s="203"/>
      <c r="C287" s="203"/>
      <c r="D287" s="203"/>
      <c r="E287" s="203"/>
      <c r="F287" s="238"/>
      <c r="G287" s="203"/>
      <c r="H287" s="203"/>
      <c r="I287" s="203"/>
      <c r="J287" s="203"/>
    </row>
    <row r="288" spans="1:10">
      <c r="A288" s="203"/>
      <c r="B288" s="203"/>
      <c r="C288" s="203"/>
      <c r="D288" s="203"/>
      <c r="E288" s="203"/>
      <c r="F288" s="238"/>
      <c r="G288" s="203"/>
      <c r="H288" s="203"/>
      <c r="I288" s="203"/>
      <c r="J288" s="203"/>
    </row>
    <row r="289" spans="1:10">
      <c r="A289" s="203"/>
      <c r="B289" s="203"/>
      <c r="C289" s="203"/>
      <c r="D289" s="203"/>
      <c r="E289" s="203"/>
      <c r="F289" s="238"/>
      <c r="G289" s="203"/>
      <c r="H289" s="203"/>
      <c r="I289" s="203"/>
      <c r="J289" s="203"/>
    </row>
    <row r="290" spans="1:10">
      <c r="A290" s="203"/>
      <c r="B290" s="203"/>
      <c r="C290" s="203"/>
      <c r="D290" s="203"/>
      <c r="E290" s="203"/>
      <c r="F290" s="238"/>
      <c r="G290" s="203"/>
      <c r="H290" s="203"/>
      <c r="I290" s="203"/>
      <c r="J290" s="203"/>
    </row>
    <row r="291" spans="1:10">
      <c r="A291" s="203"/>
      <c r="B291" s="203"/>
      <c r="C291" s="203"/>
      <c r="D291" s="203"/>
      <c r="E291" s="203"/>
      <c r="F291" s="238"/>
      <c r="G291" s="203"/>
      <c r="H291" s="203"/>
      <c r="I291" s="203"/>
      <c r="J291" s="203"/>
    </row>
    <row r="292" spans="1:10">
      <c r="A292" s="203"/>
      <c r="B292" s="203"/>
      <c r="C292" s="203"/>
      <c r="D292" s="203"/>
      <c r="E292" s="203"/>
      <c r="F292" s="238"/>
      <c r="G292" s="203"/>
      <c r="H292" s="203"/>
      <c r="I292" s="203"/>
      <c r="J292" s="203"/>
    </row>
    <row r="293" spans="1:10">
      <c r="A293" s="203"/>
      <c r="B293" s="203"/>
      <c r="C293" s="203"/>
      <c r="D293" s="203"/>
      <c r="E293" s="203"/>
      <c r="F293" s="238"/>
      <c r="G293" s="203"/>
      <c r="H293" s="203"/>
      <c r="I293" s="203"/>
      <c r="J293" s="203"/>
    </row>
    <row r="294" spans="1:10">
      <c r="A294" s="203"/>
      <c r="B294" s="203"/>
      <c r="C294" s="203"/>
      <c r="D294" s="203"/>
      <c r="E294" s="203"/>
      <c r="F294" s="238"/>
      <c r="G294" s="203"/>
      <c r="H294" s="203"/>
      <c r="I294" s="203"/>
      <c r="J294" s="203"/>
    </row>
    <row r="295" spans="1:10">
      <c r="A295" s="203"/>
      <c r="B295" s="203"/>
      <c r="C295" s="203"/>
      <c r="D295" s="203"/>
      <c r="E295" s="203"/>
      <c r="F295" s="238"/>
      <c r="G295" s="203"/>
      <c r="H295" s="203"/>
      <c r="I295" s="203"/>
      <c r="J295" s="203"/>
    </row>
    <row r="296" spans="1:10">
      <c r="A296" s="203"/>
      <c r="B296" s="203"/>
      <c r="C296" s="203"/>
      <c r="D296" s="203"/>
      <c r="E296" s="203"/>
      <c r="F296" s="238"/>
      <c r="G296" s="203"/>
      <c r="H296" s="203"/>
      <c r="I296" s="203"/>
      <c r="J296" s="203"/>
    </row>
    <row r="297" spans="1:10">
      <c r="A297" s="203"/>
      <c r="B297" s="203"/>
      <c r="C297" s="203"/>
      <c r="D297" s="203"/>
      <c r="E297" s="203"/>
      <c r="F297" s="238"/>
      <c r="G297" s="203"/>
      <c r="H297" s="203"/>
      <c r="I297" s="203"/>
      <c r="J297" s="203"/>
    </row>
    <row r="298" spans="1:10">
      <c r="A298" s="203"/>
      <c r="B298" s="203"/>
      <c r="C298" s="203"/>
      <c r="D298" s="203"/>
      <c r="E298" s="203"/>
      <c r="F298" s="238"/>
      <c r="G298" s="203"/>
      <c r="H298" s="203"/>
      <c r="I298" s="203"/>
      <c r="J298" s="203"/>
    </row>
    <row r="299" spans="1:10">
      <c r="A299" s="203"/>
      <c r="B299" s="203"/>
      <c r="C299" s="203"/>
      <c r="D299" s="203"/>
      <c r="E299" s="203"/>
      <c r="F299" s="238"/>
      <c r="G299" s="203"/>
      <c r="H299" s="203"/>
      <c r="I299" s="203"/>
      <c r="J299" s="203"/>
    </row>
    <row r="300" spans="1:10">
      <c r="A300" s="203"/>
      <c r="B300" s="203"/>
      <c r="C300" s="203"/>
      <c r="D300" s="203"/>
      <c r="E300" s="203"/>
      <c r="F300" s="238"/>
      <c r="G300" s="203"/>
      <c r="H300" s="203"/>
      <c r="I300" s="203"/>
      <c r="J300" s="203"/>
    </row>
    <row r="301" spans="1:10">
      <c r="A301" s="203"/>
      <c r="B301" s="203"/>
      <c r="C301" s="203"/>
      <c r="D301" s="203"/>
      <c r="E301" s="203"/>
      <c r="F301" s="238"/>
      <c r="G301" s="203"/>
      <c r="H301" s="203"/>
      <c r="I301" s="203"/>
      <c r="J301" s="203"/>
    </row>
    <row r="302" spans="1:10">
      <c r="A302" s="203"/>
      <c r="B302" s="203"/>
      <c r="C302" s="203"/>
      <c r="D302" s="203"/>
      <c r="E302" s="203"/>
      <c r="F302" s="238"/>
      <c r="G302" s="203"/>
      <c r="H302" s="203"/>
      <c r="I302" s="203"/>
      <c r="J302" s="203"/>
    </row>
    <row r="303" spans="1:10">
      <c r="A303" s="203"/>
      <c r="B303" s="203"/>
      <c r="C303" s="203"/>
      <c r="D303" s="203"/>
      <c r="E303" s="203"/>
      <c r="F303" s="238"/>
      <c r="G303" s="203"/>
      <c r="H303" s="203"/>
      <c r="I303" s="203"/>
      <c r="J303" s="203"/>
    </row>
    <row r="304" spans="1:10">
      <c r="A304" s="203"/>
      <c r="B304" s="203"/>
      <c r="C304" s="203"/>
      <c r="D304" s="203"/>
      <c r="E304" s="203"/>
      <c r="F304" s="238"/>
      <c r="G304" s="203"/>
      <c r="H304" s="203"/>
      <c r="I304" s="203"/>
      <c r="J304" s="203"/>
    </row>
    <row r="305" spans="1:10">
      <c r="A305" s="203"/>
      <c r="B305" s="203"/>
      <c r="C305" s="203"/>
      <c r="D305" s="203"/>
      <c r="E305" s="203"/>
      <c r="F305" s="238"/>
      <c r="G305" s="203"/>
      <c r="H305" s="203"/>
      <c r="I305" s="203"/>
      <c r="J305" s="203"/>
    </row>
    <row r="306" spans="1:10">
      <c r="A306" s="203"/>
      <c r="B306" s="203"/>
      <c r="C306" s="203"/>
      <c r="D306" s="203"/>
      <c r="E306" s="203"/>
      <c r="F306" s="238"/>
      <c r="G306" s="203"/>
      <c r="H306" s="203"/>
      <c r="I306" s="203"/>
      <c r="J306" s="203"/>
    </row>
    <row r="307" spans="1:10">
      <c r="A307" s="203"/>
      <c r="B307" s="203"/>
      <c r="C307" s="203"/>
      <c r="D307" s="203"/>
      <c r="E307" s="203"/>
      <c r="F307" s="238"/>
      <c r="G307" s="203"/>
      <c r="H307" s="203"/>
      <c r="I307" s="203"/>
      <c r="J307" s="203"/>
    </row>
    <row r="308" spans="1:10">
      <c r="A308" s="203"/>
      <c r="B308" s="203"/>
      <c r="C308" s="203"/>
      <c r="D308" s="203"/>
      <c r="E308" s="203"/>
      <c r="F308" s="238"/>
      <c r="G308" s="203"/>
      <c r="H308" s="203"/>
      <c r="I308" s="203"/>
      <c r="J308" s="203"/>
    </row>
    <row r="309" spans="1:10">
      <c r="A309" s="203"/>
      <c r="B309" s="203"/>
      <c r="C309" s="203"/>
      <c r="D309" s="203"/>
      <c r="E309" s="203"/>
      <c r="F309" s="238"/>
      <c r="G309" s="203"/>
      <c r="H309" s="203"/>
      <c r="I309" s="203"/>
      <c r="J309" s="203"/>
    </row>
    <row r="310" spans="1:10">
      <c r="A310" s="203"/>
      <c r="B310" s="203"/>
      <c r="C310" s="203"/>
      <c r="D310" s="203"/>
      <c r="E310" s="203"/>
      <c r="F310" s="238"/>
      <c r="G310" s="203"/>
      <c r="H310" s="203"/>
      <c r="I310" s="203"/>
      <c r="J310" s="203"/>
    </row>
    <row r="311" spans="1:10">
      <c r="A311" s="203"/>
      <c r="B311" s="203"/>
      <c r="C311" s="203"/>
      <c r="D311" s="203"/>
      <c r="E311" s="203"/>
      <c r="F311" s="238"/>
      <c r="G311" s="203"/>
      <c r="H311" s="203"/>
      <c r="I311" s="203"/>
      <c r="J311" s="203"/>
    </row>
    <row r="312" spans="1:10">
      <c r="A312" s="203"/>
      <c r="B312" s="203"/>
      <c r="C312" s="203"/>
      <c r="D312" s="203"/>
      <c r="E312" s="203"/>
      <c r="F312" s="238"/>
      <c r="G312" s="203"/>
      <c r="H312" s="203"/>
      <c r="I312" s="203"/>
      <c r="J312" s="203"/>
    </row>
    <row r="313" spans="1:10">
      <c r="A313" s="203"/>
      <c r="B313" s="203"/>
      <c r="C313" s="203"/>
      <c r="D313" s="203"/>
      <c r="E313" s="203"/>
      <c r="F313" s="238"/>
      <c r="G313" s="203"/>
      <c r="H313" s="203"/>
      <c r="I313" s="203"/>
      <c r="J313" s="203"/>
    </row>
    <row r="314" spans="1:10">
      <c r="A314" s="203"/>
      <c r="B314" s="203"/>
      <c r="C314" s="203"/>
      <c r="D314" s="203"/>
      <c r="E314" s="203"/>
      <c r="F314" s="238"/>
      <c r="G314" s="203"/>
      <c r="H314" s="203"/>
      <c r="I314" s="203"/>
      <c r="J314" s="203"/>
    </row>
    <row r="315" spans="1:10">
      <c r="A315" s="203"/>
      <c r="B315" s="203"/>
      <c r="C315" s="203"/>
      <c r="D315" s="203"/>
      <c r="E315" s="203"/>
      <c r="F315" s="238"/>
      <c r="G315" s="203"/>
      <c r="H315" s="203"/>
      <c r="I315" s="203"/>
      <c r="J315" s="203"/>
    </row>
    <row r="316" spans="1:10">
      <c r="A316" s="203"/>
      <c r="B316" s="203"/>
      <c r="C316" s="203"/>
      <c r="D316" s="203"/>
      <c r="E316" s="203"/>
      <c r="F316" s="238"/>
      <c r="G316" s="203"/>
      <c r="H316" s="203"/>
      <c r="I316" s="203"/>
      <c r="J316" s="203"/>
    </row>
    <row r="317" spans="1:10">
      <c r="A317" s="203"/>
      <c r="B317" s="203"/>
      <c r="C317" s="203"/>
      <c r="D317" s="203"/>
      <c r="E317" s="203"/>
      <c r="F317" s="238"/>
      <c r="G317" s="203"/>
      <c r="H317" s="203"/>
      <c r="I317" s="203"/>
      <c r="J317" s="203"/>
    </row>
    <row r="318" spans="1:10">
      <c r="A318" s="203"/>
      <c r="B318" s="203"/>
      <c r="C318" s="203"/>
      <c r="D318" s="203"/>
      <c r="E318" s="203"/>
      <c r="F318" s="238"/>
      <c r="G318" s="203"/>
      <c r="H318" s="203"/>
      <c r="I318" s="203"/>
      <c r="J318" s="203"/>
    </row>
    <row r="319" spans="1:10">
      <c r="A319" s="203"/>
      <c r="B319" s="203"/>
      <c r="C319" s="203"/>
      <c r="D319" s="203"/>
      <c r="E319" s="203"/>
      <c r="F319" s="238"/>
      <c r="G319" s="203"/>
      <c r="H319" s="203"/>
      <c r="I319" s="203"/>
      <c r="J319" s="203"/>
    </row>
    <row r="320" spans="1:10">
      <c r="A320" s="203"/>
      <c r="B320" s="203"/>
      <c r="C320" s="203"/>
      <c r="D320" s="203"/>
      <c r="E320" s="203"/>
      <c r="F320" s="238"/>
      <c r="G320" s="203"/>
      <c r="H320" s="203"/>
      <c r="I320" s="203"/>
      <c r="J320" s="203"/>
    </row>
    <row r="321" spans="1:10">
      <c r="A321" s="203"/>
      <c r="B321" s="203"/>
      <c r="C321" s="203"/>
      <c r="D321" s="203"/>
      <c r="E321" s="203"/>
      <c r="F321" s="238"/>
      <c r="G321" s="203"/>
      <c r="H321" s="203"/>
      <c r="I321" s="203"/>
      <c r="J321" s="203"/>
    </row>
    <row r="322" spans="1:10">
      <c r="A322" s="203"/>
      <c r="B322" s="203"/>
      <c r="C322" s="203"/>
      <c r="D322" s="203"/>
      <c r="E322" s="203"/>
      <c r="F322" s="238"/>
      <c r="G322" s="203"/>
      <c r="H322" s="203"/>
      <c r="I322" s="203"/>
      <c r="J322" s="203"/>
    </row>
    <row r="323" spans="1:10">
      <c r="A323" s="203"/>
      <c r="B323" s="203"/>
      <c r="C323" s="203"/>
      <c r="D323" s="203"/>
      <c r="E323" s="203"/>
      <c r="F323" s="238"/>
      <c r="G323" s="203"/>
      <c r="H323" s="203"/>
      <c r="I323" s="203"/>
      <c r="J323" s="203"/>
    </row>
    <row r="324" spans="1:10">
      <c r="A324" s="203"/>
      <c r="B324" s="203"/>
      <c r="C324" s="203"/>
      <c r="D324" s="203"/>
      <c r="E324" s="203"/>
      <c r="F324" s="238"/>
      <c r="G324" s="203"/>
      <c r="H324" s="203"/>
      <c r="I324" s="203"/>
      <c r="J324" s="203"/>
    </row>
    <row r="325" spans="1:10">
      <c r="A325" s="203"/>
      <c r="B325" s="203"/>
      <c r="C325" s="203"/>
      <c r="D325" s="203"/>
      <c r="E325" s="203"/>
      <c r="F325" s="238"/>
      <c r="G325" s="203"/>
      <c r="H325" s="203"/>
      <c r="I325" s="203"/>
      <c r="J325" s="203"/>
    </row>
    <row r="326" spans="1:10">
      <c r="A326" s="203"/>
      <c r="B326" s="203"/>
      <c r="C326" s="203"/>
      <c r="D326" s="203"/>
      <c r="E326" s="203"/>
      <c r="F326" s="238"/>
      <c r="G326" s="203"/>
      <c r="H326" s="203"/>
      <c r="I326" s="203"/>
      <c r="J326" s="203"/>
    </row>
    <row r="327" spans="1:10">
      <c r="A327" s="203"/>
      <c r="B327" s="203"/>
      <c r="C327" s="203"/>
      <c r="D327" s="203"/>
      <c r="E327" s="203"/>
      <c r="F327" s="238"/>
      <c r="G327" s="203"/>
      <c r="H327" s="203"/>
      <c r="I327" s="203"/>
      <c r="J327" s="203"/>
    </row>
    <row r="328" spans="1:10">
      <c r="A328" s="203"/>
      <c r="B328" s="203"/>
      <c r="C328" s="203"/>
      <c r="D328" s="203"/>
      <c r="E328" s="203"/>
      <c r="F328" s="238"/>
      <c r="G328" s="203"/>
      <c r="H328" s="203"/>
      <c r="I328" s="203"/>
      <c r="J328" s="203"/>
    </row>
    <row r="329" spans="1:10">
      <c r="A329" s="203"/>
      <c r="B329" s="203"/>
      <c r="C329" s="203"/>
      <c r="D329" s="203"/>
      <c r="E329" s="203"/>
      <c r="F329" s="238"/>
      <c r="G329" s="203"/>
      <c r="H329" s="203"/>
      <c r="I329" s="203"/>
      <c r="J329" s="203"/>
    </row>
    <row r="330" spans="1:10">
      <c r="A330" s="203"/>
      <c r="B330" s="203"/>
      <c r="C330" s="203"/>
      <c r="D330" s="203"/>
      <c r="E330" s="203"/>
      <c r="F330" s="238"/>
      <c r="G330" s="203"/>
      <c r="H330" s="203"/>
      <c r="I330" s="203"/>
      <c r="J330" s="203"/>
    </row>
    <row r="331" spans="1:10">
      <c r="A331" s="203"/>
      <c r="B331" s="203"/>
      <c r="C331" s="203"/>
      <c r="D331" s="203"/>
      <c r="E331" s="203"/>
      <c r="F331" s="238"/>
      <c r="G331" s="203"/>
      <c r="H331" s="203"/>
      <c r="I331" s="203"/>
      <c r="J331" s="203"/>
    </row>
    <row r="332" spans="1:10">
      <c r="A332" s="203"/>
      <c r="B332" s="203"/>
      <c r="C332" s="203"/>
      <c r="D332" s="203"/>
      <c r="E332" s="203"/>
      <c r="F332" s="238"/>
      <c r="G332" s="203"/>
      <c r="H332" s="203"/>
      <c r="I332" s="203"/>
      <c r="J332" s="203"/>
    </row>
    <row r="333" spans="1:10">
      <c r="A333" s="203"/>
      <c r="B333" s="203"/>
      <c r="C333" s="203"/>
      <c r="D333" s="203"/>
      <c r="E333" s="203"/>
      <c r="F333" s="238"/>
      <c r="G333" s="203"/>
      <c r="H333" s="203"/>
      <c r="I333" s="203"/>
      <c r="J333" s="203"/>
    </row>
    <row r="334" spans="1:10">
      <c r="A334" s="203"/>
      <c r="B334" s="203"/>
      <c r="C334" s="203"/>
      <c r="D334" s="203"/>
      <c r="E334" s="203"/>
      <c r="F334" s="238"/>
      <c r="G334" s="203"/>
      <c r="H334" s="203"/>
      <c r="I334" s="203"/>
      <c r="J334" s="203"/>
    </row>
    <row r="335" spans="1:10">
      <c r="A335" s="203"/>
      <c r="B335" s="203"/>
      <c r="C335" s="203"/>
      <c r="D335" s="203"/>
      <c r="E335" s="203"/>
      <c r="F335" s="238"/>
      <c r="G335" s="203"/>
      <c r="H335" s="203"/>
      <c r="I335" s="203"/>
      <c r="J335" s="203"/>
    </row>
    <row r="336" spans="1:10">
      <c r="A336" s="203"/>
      <c r="B336" s="203"/>
      <c r="C336" s="203"/>
      <c r="D336" s="203"/>
      <c r="E336" s="203"/>
      <c r="F336" s="238"/>
      <c r="G336" s="203"/>
      <c r="H336" s="203"/>
      <c r="I336" s="203"/>
      <c r="J336" s="203"/>
    </row>
    <row r="337" spans="1:10">
      <c r="A337" s="203"/>
      <c r="B337" s="203"/>
      <c r="C337" s="203"/>
      <c r="D337" s="203"/>
      <c r="E337" s="203"/>
      <c r="F337" s="238"/>
      <c r="G337" s="203"/>
      <c r="H337" s="203"/>
      <c r="I337" s="203"/>
      <c r="J337" s="203"/>
    </row>
    <row r="338" spans="1:10">
      <c r="A338" s="203"/>
      <c r="B338" s="203"/>
      <c r="C338" s="203"/>
      <c r="D338" s="203"/>
      <c r="E338" s="203"/>
      <c r="F338" s="238"/>
      <c r="G338" s="203"/>
      <c r="H338" s="203"/>
      <c r="I338" s="203"/>
      <c r="J338" s="203"/>
    </row>
    <row r="339" spans="1:10">
      <c r="A339" s="203"/>
      <c r="B339" s="203"/>
      <c r="C339" s="203"/>
      <c r="D339" s="203"/>
      <c r="E339" s="203"/>
      <c r="F339" s="238"/>
      <c r="G339" s="203"/>
      <c r="H339" s="203"/>
      <c r="I339" s="203"/>
      <c r="J339" s="203"/>
    </row>
    <row r="340" spans="1:10">
      <c r="A340" s="203"/>
      <c r="B340" s="203"/>
      <c r="C340" s="203"/>
      <c r="D340" s="203"/>
      <c r="E340" s="203"/>
      <c r="F340" s="238"/>
      <c r="G340" s="203"/>
      <c r="H340" s="203"/>
      <c r="I340" s="203"/>
      <c r="J340" s="203"/>
    </row>
    <row r="341" spans="1:10">
      <c r="A341" s="203"/>
      <c r="B341" s="203"/>
      <c r="C341" s="203"/>
      <c r="D341" s="203"/>
      <c r="E341" s="203"/>
      <c r="F341" s="238"/>
      <c r="G341" s="203"/>
      <c r="H341" s="203"/>
      <c r="I341" s="203"/>
      <c r="J341" s="203"/>
    </row>
    <row r="342" spans="1:10">
      <c r="A342" s="203"/>
      <c r="B342" s="203"/>
      <c r="C342" s="203"/>
      <c r="D342" s="203"/>
      <c r="E342" s="203"/>
      <c r="F342" s="238"/>
      <c r="G342" s="203"/>
      <c r="H342" s="203"/>
      <c r="I342" s="203"/>
      <c r="J342" s="203"/>
    </row>
    <row r="343" spans="1:10">
      <c r="A343" s="203"/>
      <c r="B343" s="203"/>
      <c r="C343" s="203"/>
      <c r="D343" s="203"/>
      <c r="E343" s="203"/>
      <c r="F343" s="238"/>
      <c r="G343" s="203"/>
      <c r="H343" s="203"/>
      <c r="I343" s="203"/>
      <c r="J343" s="203"/>
    </row>
    <row r="344" spans="1:10">
      <c r="A344" s="203"/>
      <c r="B344" s="203"/>
      <c r="C344" s="203"/>
      <c r="D344" s="203"/>
      <c r="E344" s="203"/>
      <c r="F344" s="238"/>
      <c r="G344" s="203"/>
      <c r="H344" s="203"/>
      <c r="I344" s="203"/>
      <c r="J344" s="203"/>
    </row>
    <row r="345" spans="1:10">
      <c r="A345" s="203"/>
      <c r="B345" s="203"/>
      <c r="C345" s="203"/>
      <c r="D345" s="203"/>
      <c r="E345" s="203"/>
      <c r="F345" s="238"/>
      <c r="G345" s="203"/>
      <c r="H345" s="203"/>
      <c r="I345" s="203"/>
      <c r="J345" s="203"/>
    </row>
    <row r="346" spans="1:10">
      <c r="A346" s="203"/>
      <c r="B346" s="203"/>
      <c r="C346" s="203"/>
      <c r="D346" s="203"/>
      <c r="E346" s="203"/>
      <c r="F346" s="238"/>
      <c r="G346" s="203"/>
      <c r="H346" s="203"/>
      <c r="I346" s="203"/>
      <c r="J346" s="203"/>
    </row>
    <row r="347" spans="1:10">
      <c r="A347" s="203"/>
      <c r="B347" s="203"/>
      <c r="C347" s="203"/>
      <c r="D347" s="203"/>
      <c r="E347" s="203"/>
      <c r="F347" s="238"/>
      <c r="G347" s="203"/>
      <c r="H347" s="203"/>
      <c r="I347" s="203"/>
      <c r="J347" s="203"/>
    </row>
    <row r="348" spans="1:10">
      <c r="A348" s="203"/>
      <c r="B348" s="203"/>
      <c r="C348" s="203"/>
      <c r="D348" s="203"/>
      <c r="E348" s="203"/>
      <c r="F348" s="238"/>
      <c r="G348" s="203"/>
      <c r="H348" s="203"/>
      <c r="I348" s="203"/>
      <c r="J348" s="203"/>
    </row>
    <row r="349" spans="1:10">
      <c r="A349" s="203"/>
      <c r="B349" s="203"/>
      <c r="C349" s="203"/>
      <c r="D349" s="203"/>
      <c r="E349" s="203"/>
      <c r="F349" s="238"/>
      <c r="G349" s="203"/>
      <c r="H349" s="203"/>
      <c r="I349" s="203"/>
      <c r="J349" s="203"/>
    </row>
    <row r="350" spans="1:10">
      <c r="A350" s="203"/>
      <c r="B350" s="203"/>
      <c r="C350" s="203"/>
      <c r="D350" s="203"/>
      <c r="E350" s="203"/>
      <c r="F350" s="238"/>
      <c r="G350" s="203"/>
      <c r="H350" s="203"/>
      <c r="I350" s="203"/>
      <c r="J350" s="203"/>
    </row>
    <row r="351" spans="1:10">
      <c r="A351" s="203"/>
      <c r="B351" s="203"/>
      <c r="C351" s="203"/>
      <c r="D351" s="203"/>
      <c r="E351" s="203"/>
      <c r="F351" s="238"/>
      <c r="G351" s="203"/>
      <c r="H351" s="203"/>
      <c r="I351" s="203"/>
      <c r="J351" s="203"/>
    </row>
    <row r="352" spans="1:10">
      <c r="A352" s="203"/>
      <c r="B352" s="203"/>
      <c r="C352" s="203"/>
      <c r="D352" s="203"/>
      <c r="E352" s="203"/>
      <c r="F352" s="238"/>
      <c r="G352" s="203"/>
      <c r="H352" s="203"/>
      <c r="I352" s="203"/>
      <c r="J352" s="203"/>
    </row>
    <row r="353" spans="1:10">
      <c r="A353" s="203"/>
      <c r="B353" s="203"/>
      <c r="C353" s="203"/>
      <c r="D353" s="203"/>
      <c r="E353" s="203"/>
      <c r="F353" s="238"/>
      <c r="G353" s="203"/>
      <c r="H353" s="203"/>
      <c r="I353" s="203"/>
      <c r="J353" s="203"/>
    </row>
    <row r="354" spans="1:10">
      <c r="A354" s="203"/>
      <c r="B354" s="203"/>
      <c r="C354" s="203"/>
      <c r="D354" s="203"/>
      <c r="E354" s="203"/>
      <c r="F354" s="238"/>
      <c r="G354" s="203"/>
      <c r="H354" s="203"/>
      <c r="I354" s="203"/>
      <c r="J354" s="203"/>
    </row>
    <row r="355" spans="1:10">
      <c r="A355" s="203"/>
      <c r="B355" s="203"/>
      <c r="C355" s="203"/>
      <c r="D355" s="203"/>
      <c r="E355" s="203"/>
      <c r="F355" s="238"/>
      <c r="G355" s="203"/>
      <c r="H355" s="203"/>
      <c r="I355" s="203"/>
      <c r="J355" s="203"/>
    </row>
    <row r="356" spans="1:10">
      <c r="A356" s="203"/>
      <c r="B356" s="203"/>
      <c r="C356" s="203"/>
      <c r="D356" s="203"/>
      <c r="E356" s="203"/>
      <c r="F356" s="238"/>
      <c r="G356" s="203"/>
      <c r="H356" s="203"/>
      <c r="I356" s="203"/>
      <c r="J356" s="203"/>
    </row>
    <row r="357" spans="1:10">
      <c r="A357" s="203"/>
      <c r="B357" s="203"/>
      <c r="C357" s="203"/>
      <c r="D357" s="203"/>
      <c r="E357" s="203"/>
      <c r="F357" s="238"/>
      <c r="G357" s="203"/>
      <c r="H357" s="203"/>
      <c r="I357" s="203"/>
      <c r="J357" s="203"/>
    </row>
    <row r="358" spans="1:10">
      <c r="A358" s="203"/>
      <c r="B358" s="203"/>
      <c r="C358" s="203"/>
      <c r="D358" s="203"/>
      <c r="E358" s="203"/>
      <c r="F358" s="238"/>
      <c r="G358" s="203"/>
      <c r="H358" s="203"/>
      <c r="I358" s="203"/>
      <c r="J358" s="203"/>
    </row>
    <row r="359" spans="1:10">
      <c r="A359" s="203"/>
      <c r="B359" s="203"/>
      <c r="C359" s="203"/>
      <c r="D359" s="203"/>
      <c r="E359" s="203"/>
      <c r="F359" s="238"/>
      <c r="G359" s="203"/>
      <c r="H359" s="203"/>
      <c r="I359" s="203"/>
      <c r="J359" s="203"/>
    </row>
    <row r="360" spans="1:10">
      <c r="A360" s="203"/>
      <c r="B360" s="203"/>
      <c r="C360" s="203"/>
      <c r="D360" s="203"/>
      <c r="E360" s="203"/>
      <c r="F360" s="238"/>
      <c r="G360" s="203"/>
      <c r="H360" s="203"/>
      <c r="I360" s="203"/>
      <c r="J360" s="203"/>
    </row>
    <row r="361" spans="1:10">
      <c r="A361" s="203"/>
      <c r="B361" s="203"/>
      <c r="C361" s="203"/>
      <c r="D361" s="203"/>
      <c r="E361" s="203"/>
      <c r="F361" s="238"/>
      <c r="G361" s="203"/>
      <c r="H361" s="203"/>
      <c r="I361" s="203"/>
      <c r="J361" s="203"/>
    </row>
    <row r="362" spans="1:10">
      <c r="A362" s="203"/>
      <c r="B362" s="203"/>
      <c r="C362" s="203"/>
      <c r="D362" s="203"/>
      <c r="E362" s="203"/>
      <c r="F362" s="238"/>
      <c r="G362" s="203"/>
      <c r="H362" s="203"/>
      <c r="I362" s="203"/>
      <c r="J362" s="203"/>
    </row>
    <row r="363" spans="1:10">
      <c r="A363" s="203"/>
      <c r="B363" s="203"/>
      <c r="C363" s="203"/>
      <c r="D363" s="203"/>
      <c r="E363" s="203"/>
      <c r="F363" s="238"/>
      <c r="G363" s="203"/>
      <c r="H363" s="203"/>
      <c r="I363" s="203"/>
      <c r="J363" s="203"/>
    </row>
    <row r="364" spans="1:10">
      <c r="A364" s="203"/>
      <c r="B364" s="203"/>
      <c r="C364" s="203"/>
      <c r="D364" s="203"/>
      <c r="E364" s="203"/>
      <c r="F364" s="238"/>
      <c r="G364" s="203"/>
      <c r="H364" s="203"/>
      <c r="I364" s="203"/>
      <c r="J364" s="203"/>
    </row>
    <row r="365" spans="1:10">
      <c r="A365" s="203"/>
      <c r="B365" s="203"/>
      <c r="C365" s="203"/>
      <c r="D365" s="203"/>
      <c r="E365" s="203"/>
      <c r="F365" s="238"/>
      <c r="G365" s="203"/>
      <c r="H365" s="203"/>
      <c r="I365" s="203"/>
      <c r="J365" s="203"/>
    </row>
    <row r="366" spans="1:10">
      <c r="A366" s="203"/>
      <c r="B366" s="203"/>
      <c r="C366" s="203"/>
      <c r="D366" s="203"/>
      <c r="E366" s="203"/>
      <c r="F366" s="238"/>
      <c r="G366" s="203"/>
      <c r="H366" s="203"/>
      <c r="I366" s="203"/>
      <c r="J366" s="203"/>
    </row>
    <row r="367" spans="1:10">
      <c r="A367" s="203"/>
      <c r="B367" s="203"/>
      <c r="C367" s="203"/>
      <c r="D367" s="203"/>
      <c r="E367" s="203"/>
      <c r="F367" s="238"/>
      <c r="G367" s="203"/>
      <c r="H367" s="203"/>
      <c r="I367" s="203"/>
      <c r="J367" s="203"/>
    </row>
    <row r="368" spans="1:10">
      <c r="A368" s="203"/>
      <c r="B368" s="203"/>
      <c r="C368" s="203"/>
      <c r="D368" s="203"/>
      <c r="E368" s="203"/>
      <c r="F368" s="238"/>
      <c r="G368" s="203"/>
      <c r="H368" s="203"/>
      <c r="I368" s="203"/>
      <c r="J368" s="203"/>
    </row>
    <row r="369" spans="1:10">
      <c r="A369" s="203"/>
      <c r="B369" s="203"/>
      <c r="C369" s="203"/>
      <c r="D369" s="203"/>
      <c r="E369" s="203"/>
      <c r="F369" s="238"/>
      <c r="G369" s="203"/>
      <c r="H369" s="203"/>
      <c r="I369" s="203"/>
      <c r="J369" s="203"/>
    </row>
    <row r="370" spans="1:10">
      <c r="A370" s="203"/>
      <c r="B370" s="203"/>
      <c r="C370" s="203"/>
      <c r="D370" s="203"/>
      <c r="E370" s="203"/>
      <c r="F370" s="238"/>
      <c r="G370" s="203"/>
      <c r="H370" s="203"/>
      <c r="I370" s="203"/>
      <c r="J370" s="203"/>
    </row>
    <row r="371" spans="1:10">
      <c r="A371" s="203"/>
      <c r="B371" s="203"/>
      <c r="C371" s="203"/>
      <c r="D371" s="203"/>
      <c r="E371" s="203"/>
      <c r="F371" s="238"/>
      <c r="G371" s="203"/>
      <c r="H371" s="203"/>
      <c r="I371" s="203"/>
      <c r="J371" s="203"/>
    </row>
    <row r="372" spans="1:10">
      <c r="A372" s="203"/>
      <c r="B372" s="203"/>
      <c r="C372" s="203"/>
      <c r="D372" s="203"/>
      <c r="E372" s="203"/>
      <c r="F372" s="238"/>
      <c r="G372" s="203"/>
      <c r="H372" s="203"/>
      <c r="I372" s="203"/>
      <c r="J372" s="203"/>
    </row>
    <row r="373" spans="1:10">
      <c r="A373" s="203"/>
      <c r="B373" s="203"/>
      <c r="C373" s="203"/>
      <c r="D373" s="203"/>
      <c r="E373" s="203"/>
      <c r="F373" s="238"/>
      <c r="G373" s="203"/>
      <c r="H373" s="203"/>
      <c r="I373" s="203"/>
      <c r="J373" s="203"/>
    </row>
    <row r="374" spans="1:10">
      <c r="A374" s="203"/>
      <c r="B374" s="203"/>
      <c r="C374" s="203"/>
      <c r="D374" s="203"/>
      <c r="E374" s="203"/>
      <c r="F374" s="238"/>
      <c r="G374" s="203"/>
      <c r="H374" s="203"/>
      <c r="I374" s="203"/>
      <c r="J374" s="203"/>
    </row>
    <row r="375" spans="1:10">
      <c r="A375" s="203"/>
      <c r="B375" s="203"/>
      <c r="C375" s="203"/>
      <c r="D375" s="203"/>
      <c r="E375" s="203"/>
      <c r="F375" s="238"/>
      <c r="G375" s="203"/>
      <c r="H375" s="203"/>
      <c r="I375" s="203"/>
      <c r="J375" s="203"/>
    </row>
    <row r="376" spans="1:10">
      <c r="A376" s="203"/>
      <c r="B376" s="203"/>
      <c r="C376" s="203"/>
      <c r="D376" s="203"/>
      <c r="E376" s="203"/>
      <c r="F376" s="238"/>
      <c r="G376" s="203"/>
      <c r="H376" s="203"/>
      <c r="I376" s="203"/>
      <c r="J376" s="203"/>
    </row>
    <row r="377" spans="1:10">
      <c r="A377" s="203"/>
      <c r="B377" s="203"/>
      <c r="C377" s="203"/>
      <c r="D377" s="203"/>
      <c r="E377" s="203"/>
      <c r="F377" s="238"/>
      <c r="G377" s="203"/>
      <c r="H377" s="203"/>
      <c r="I377" s="203"/>
      <c r="J377" s="203"/>
    </row>
    <row r="378" spans="1:10">
      <c r="A378" s="203"/>
      <c r="B378" s="203"/>
      <c r="C378" s="203"/>
      <c r="D378" s="203"/>
      <c r="E378" s="203"/>
      <c r="F378" s="238"/>
      <c r="G378" s="203"/>
      <c r="H378" s="203"/>
      <c r="I378" s="203"/>
      <c r="J378" s="203"/>
    </row>
    <row r="379" spans="1:10">
      <c r="A379" s="203"/>
      <c r="B379" s="203"/>
      <c r="C379" s="203"/>
      <c r="D379" s="203"/>
      <c r="E379" s="203"/>
      <c r="F379" s="238"/>
      <c r="G379" s="203"/>
      <c r="H379" s="203"/>
      <c r="I379" s="203"/>
      <c r="J379" s="203"/>
    </row>
    <row r="380" spans="1:10">
      <c r="A380" s="203"/>
      <c r="B380" s="203"/>
      <c r="C380" s="203"/>
      <c r="D380" s="203"/>
      <c r="E380" s="203"/>
      <c r="F380" s="238"/>
      <c r="G380" s="203"/>
      <c r="H380" s="203"/>
      <c r="I380" s="203"/>
      <c r="J380" s="203"/>
    </row>
    <row r="381" spans="1:10">
      <c r="A381" s="203"/>
      <c r="B381" s="203"/>
      <c r="C381" s="203"/>
      <c r="D381" s="203"/>
      <c r="E381" s="203"/>
      <c r="F381" s="238"/>
      <c r="G381" s="203"/>
      <c r="H381" s="203"/>
      <c r="I381" s="203"/>
      <c r="J381" s="203"/>
    </row>
    <row r="382" spans="1:10">
      <c r="A382" s="203"/>
      <c r="B382" s="203"/>
      <c r="C382" s="203"/>
      <c r="D382" s="203"/>
      <c r="E382" s="203"/>
      <c r="F382" s="238"/>
      <c r="G382" s="203"/>
      <c r="H382" s="203"/>
      <c r="I382" s="203"/>
      <c r="J382" s="203"/>
    </row>
    <row r="383" spans="1:10">
      <c r="A383" s="203"/>
      <c r="B383" s="203"/>
      <c r="C383" s="203"/>
      <c r="D383" s="203"/>
      <c r="E383" s="203"/>
      <c r="F383" s="238"/>
      <c r="G383" s="203"/>
      <c r="H383" s="203"/>
      <c r="I383" s="203"/>
      <c r="J383" s="203"/>
    </row>
    <row r="384" spans="1:10">
      <c r="A384" s="203"/>
      <c r="B384" s="203"/>
      <c r="C384" s="203"/>
      <c r="D384" s="203"/>
      <c r="E384" s="203"/>
      <c r="F384" s="238"/>
      <c r="G384" s="203"/>
      <c r="H384" s="203"/>
      <c r="I384" s="203"/>
      <c r="J384" s="203"/>
    </row>
    <row r="385" spans="1:10">
      <c r="A385" s="203"/>
      <c r="B385" s="203"/>
      <c r="C385" s="203"/>
      <c r="D385" s="203"/>
      <c r="E385" s="203"/>
      <c r="F385" s="238"/>
      <c r="G385" s="203"/>
      <c r="H385" s="203"/>
      <c r="I385" s="203"/>
      <c r="J385" s="203"/>
    </row>
    <row r="386" spans="1:10">
      <c r="A386" s="203"/>
      <c r="B386" s="203"/>
      <c r="C386" s="203"/>
      <c r="D386" s="203"/>
      <c r="E386" s="203"/>
      <c r="F386" s="238"/>
      <c r="G386" s="203"/>
      <c r="H386" s="203"/>
      <c r="I386" s="203"/>
      <c r="J386" s="203"/>
    </row>
    <row r="387" spans="1:10">
      <c r="A387" s="203"/>
      <c r="B387" s="203"/>
      <c r="C387" s="203"/>
      <c r="D387" s="203"/>
      <c r="E387" s="203"/>
      <c r="F387" s="238"/>
      <c r="G387" s="203"/>
      <c r="H387" s="203"/>
      <c r="I387" s="203"/>
      <c r="J387" s="203"/>
    </row>
    <row r="388" spans="1:10">
      <c r="A388" s="203"/>
      <c r="B388" s="203"/>
      <c r="C388" s="203"/>
      <c r="D388" s="203"/>
      <c r="E388" s="203"/>
      <c r="F388" s="238"/>
      <c r="G388" s="203"/>
      <c r="H388" s="203"/>
      <c r="I388" s="203"/>
      <c r="J388" s="203"/>
    </row>
    <row r="389" spans="1:10">
      <c r="A389" s="203"/>
      <c r="B389" s="203"/>
      <c r="C389" s="203"/>
      <c r="D389" s="203"/>
      <c r="E389" s="203"/>
      <c r="F389" s="238"/>
      <c r="G389" s="203"/>
      <c r="H389" s="203"/>
      <c r="I389" s="203"/>
      <c r="J389" s="203"/>
    </row>
    <row r="390" spans="1:10">
      <c r="A390" s="203"/>
      <c r="B390" s="203"/>
      <c r="C390" s="203"/>
      <c r="D390" s="203"/>
      <c r="E390" s="203"/>
      <c r="F390" s="238"/>
      <c r="G390" s="203"/>
      <c r="H390" s="203"/>
      <c r="I390" s="203"/>
      <c r="J390" s="203"/>
    </row>
    <row r="391" spans="1:10">
      <c r="A391" s="203"/>
      <c r="B391" s="203"/>
      <c r="C391" s="203"/>
      <c r="D391" s="203"/>
      <c r="E391" s="203"/>
      <c r="F391" s="238"/>
      <c r="G391" s="203"/>
      <c r="H391" s="203"/>
      <c r="I391" s="203"/>
      <c r="J391" s="203"/>
    </row>
    <row r="392" spans="1:10">
      <c r="A392" s="203"/>
      <c r="B392" s="203"/>
      <c r="C392" s="203"/>
      <c r="D392" s="203"/>
      <c r="E392" s="203"/>
      <c r="F392" s="238"/>
      <c r="G392" s="203"/>
      <c r="H392" s="203"/>
      <c r="I392" s="203"/>
      <c r="J392" s="203"/>
    </row>
    <row r="393" spans="1:10">
      <c r="A393" s="203"/>
      <c r="B393" s="203"/>
      <c r="C393" s="203"/>
      <c r="D393" s="203"/>
      <c r="E393" s="203"/>
      <c r="F393" s="238"/>
      <c r="G393" s="203"/>
      <c r="H393" s="203"/>
      <c r="I393" s="203"/>
      <c r="J393" s="203"/>
    </row>
    <row r="394" spans="1:10">
      <c r="A394" s="203"/>
      <c r="B394" s="203"/>
      <c r="C394" s="203"/>
      <c r="D394" s="203"/>
      <c r="E394" s="203"/>
      <c r="F394" s="238"/>
      <c r="G394" s="203"/>
      <c r="H394" s="203"/>
      <c r="I394" s="203"/>
      <c r="J394" s="203"/>
    </row>
    <row r="395" spans="1:10">
      <c r="A395" s="203"/>
      <c r="B395" s="203"/>
      <c r="C395" s="203"/>
      <c r="D395" s="203"/>
      <c r="E395" s="203"/>
      <c r="F395" s="238"/>
      <c r="G395" s="203"/>
      <c r="H395" s="203"/>
      <c r="I395" s="203"/>
      <c r="J395" s="203"/>
    </row>
    <row r="396" spans="1:10">
      <c r="A396" s="203"/>
      <c r="B396" s="203"/>
      <c r="C396" s="203"/>
      <c r="D396" s="203"/>
      <c r="E396" s="203"/>
      <c r="F396" s="238"/>
      <c r="G396" s="203"/>
      <c r="H396" s="203"/>
      <c r="I396" s="203"/>
      <c r="J396" s="203"/>
    </row>
    <row r="397" spans="1:10">
      <c r="A397" s="203"/>
      <c r="B397" s="203"/>
      <c r="C397" s="203"/>
      <c r="D397" s="203"/>
      <c r="E397" s="203"/>
      <c r="F397" s="238"/>
      <c r="G397" s="203"/>
      <c r="H397" s="203"/>
      <c r="I397" s="203"/>
      <c r="J397" s="203"/>
    </row>
    <row r="398" spans="1:10">
      <c r="A398" s="203"/>
      <c r="B398" s="203"/>
      <c r="C398" s="203"/>
      <c r="D398" s="203"/>
      <c r="E398" s="203"/>
      <c r="F398" s="238"/>
      <c r="G398" s="203"/>
      <c r="H398" s="203"/>
      <c r="I398" s="203"/>
      <c r="J398" s="203"/>
    </row>
    <row r="399" spans="1:10">
      <c r="A399" s="203"/>
      <c r="B399" s="203"/>
      <c r="C399" s="203"/>
      <c r="D399" s="203"/>
      <c r="E399" s="203"/>
      <c r="F399" s="238"/>
      <c r="G399" s="203"/>
      <c r="H399" s="203"/>
      <c r="I399" s="203"/>
      <c r="J399" s="203"/>
    </row>
    <row r="400" spans="1:10">
      <c r="A400" s="203"/>
      <c r="B400" s="203"/>
      <c r="C400" s="203"/>
      <c r="D400" s="203"/>
      <c r="E400" s="203"/>
      <c r="F400" s="238"/>
      <c r="G400" s="203"/>
      <c r="H400" s="203"/>
      <c r="I400" s="203"/>
      <c r="J400" s="203"/>
    </row>
    <row r="401" spans="1:10">
      <c r="A401" s="203"/>
      <c r="B401" s="203"/>
      <c r="C401" s="203"/>
      <c r="D401" s="203"/>
      <c r="E401" s="203"/>
      <c r="F401" s="238"/>
      <c r="G401" s="203"/>
      <c r="H401" s="203"/>
      <c r="I401" s="203"/>
      <c r="J401" s="203"/>
    </row>
    <row r="402" spans="1:10">
      <c r="A402" s="203"/>
      <c r="B402" s="203"/>
      <c r="C402" s="203"/>
      <c r="D402" s="203"/>
      <c r="E402" s="203"/>
      <c r="F402" s="238"/>
      <c r="G402" s="203"/>
      <c r="H402" s="203"/>
      <c r="I402" s="203"/>
      <c r="J402" s="203"/>
    </row>
    <row r="403" spans="1:10">
      <c r="A403" s="203"/>
      <c r="B403" s="203"/>
      <c r="C403" s="203"/>
      <c r="D403" s="203"/>
      <c r="E403" s="203"/>
      <c r="F403" s="238"/>
      <c r="G403" s="203"/>
      <c r="H403" s="203"/>
      <c r="I403" s="203"/>
      <c r="J403" s="203"/>
    </row>
    <row r="404" spans="1:10">
      <c r="A404" s="203"/>
      <c r="B404" s="203"/>
      <c r="C404" s="203"/>
      <c r="D404" s="203"/>
      <c r="E404" s="203"/>
      <c r="F404" s="238"/>
      <c r="G404" s="203"/>
      <c r="H404" s="203"/>
      <c r="I404" s="203"/>
      <c r="J404" s="203"/>
    </row>
    <row r="405" spans="1:10">
      <c r="A405" s="203"/>
      <c r="B405" s="203"/>
      <c r="C405" s="203"/>
      <c r="D405" s="203"/>
      <c r="E405" s="203"/>
      <c r="F405" s="238"/>
      <c r="G405" s="203"/>
      <c r="H405" s="203"/>
      <c r="I405" s="203"/>
      <c r="J405" s="203"/>
    </row>
    <row r="406" spans="1:10">
      <c r="A406" s="203"/>
      <c r="B406" s="203"/>
      <c r="C406" s="203"/>
      <c r="D406" s="203"/>
      <c r="E406" s="203"/>
      <c r="F406" s="238"/>
      <c r="G406" s="203"/>
      <c r="H406" s="203"/>
      <c r="I406" s="203"/>
      <c r="J406" s="203"/>
    </row>
    <row r="407" spans="1:10">
      <c r="A407" s="203"/>
      <c r="B407" s="203"/>
      <c r="C407" s="203"/>
      <c r="D407" s="203"/>
      <c r="E407" s="203"/>
      <c r="F407" s="238"/>
      <c r="G407" s="203"/>
      <c r="H407" s="203"/>
      <c r="I407" s="203"/>
      <c r="J407" s="203"/>
    </row>
    <row r="408" spans="1:10">
      <c r="A408" s="203"/>
      <c r="B408" s="203"/>
      <c r="C408" s="203"/>
      <c r="D408" s="203"/>
      <c r="E408" s="203"/>
      <c r="F408" s="238"/>
      <c r="G408" s="203"/>
      <c r="H408" s="203"/>
      <c r="I408" s="203"/>
      <c r="J408" s="203"/>
    </row>
    <row r="409" spans="1:10">
      <c r="A409" s="203"/>
      <c r="B409" s="203"/>
      <c r="C409" s="203"/>
      <c r="D409" s="203"/>
      <c r="E409" s="203"/>
      <c r="F409" s="238"/>
      <c r="G409" s="203"/>
      <c r="H409" s="203"/>
      <c r="I409" s="203"/>
      <c r="J409" s="203"/>
    </row>
    <row r="410" spans="1:10">
      <c r="A410" s="203"/>
      <c r="B410" s="203"/>
      <c r="C410" s="203"/>
      <c r="D410" s="203"/>
      <c r="E410" s="203"/>
      <c r="F410" s="238"/>
      <c r="G410" s="203"/>
      <c r="H410" s="203"/>
      <c r="I410" s="203"/>
      <c r="J410" s="203"/>
    </row>
    <row r="411" spans="1:10">
      <c r="A411" s="203"/>
      <c r="B411" s="203"/>
      <c r="C411" s="203"/>
      <c r="D411" s="203"/>
      <c r="E411" s="203"/>
      <c r="F411" s="238"/>
      <c r="G411" s="203"/>
      <c r="H411" s="203"/>
      <c r="I411" s="203"/>
      <c r="J411" s="203"/>
    </row>
    <row r="412" spans="1:10">
      <c r="A412" s="203"/>
      <c r="B412" s="203"/>
      <c r="C412" s="203"/>
      <c r="D412" s="203"/>
      <c r="E412" s="203"/>
      <c r="F412" s="238"/>
      <c r="G412" s="203"/>
      <c r="H412" s="203"/>
      <c r="I412" s="203"/>
      <c r="J412" s="203"/>
    </row>
    <row r="413" spans="1:10">
      <c r="A413" s="203"/>
      <c r="B413" s="203"/>
      <c r="C413" s="203"/>
      <c r="D413" s="203"/>
      <c r="E413" s="203"/>
      <c r="F413" s="238"/>
      <c r="G413" s="203"/>
      <c r="H413" s="203"/>
      <c r="I413" s="203"/>
      <c r="J413" s="203"/>
    </row>
    <row r="414" spans="1:10">
      <c r="A414" s="203"/>
      <c r="B414" s="203"/>
      <c r="C414" s="203"/>
      <c r="D414" s="203"/>
      <c r="E414" s="203"/>
      <c r="F414" s="238"/>
      <c r="G414" s="203"/>
      <c r="H414" s="203"/>
      <c r="I414" s="203"/>
      <c r="J414" s="203"/>
    </row>
    <row r="415" spans="1:10">
      <c r="A415" s="203"/>
      <c r="B415" s="203"/>
      <c r="C415" s="203"/>
      <c r="D415" s="203"/>
      <c r="E415" s="203"/>
      <c r="F415" s="238"/>
      <c r="G415" s="203"/>
      <c r="H415" s="203"/>
      <c r="I415" s="203"/>
      <c r="J415" s="203"/>
    </row>
    <row r="416" spans="1:10">
      <c r="A416" s="203"/>
      <c r="B416" s="203"/>
      <c r="C416" s="203"/>
      <c r="D416" s="203"/>
      <c r="E416" s="203"/>
      <c r="F416" s="238"/>
      <c r="G416" s="203"/>
      <c r="H416" s="203"/>
      <c r="I416" s="203"/>
      <c r="J416" s="203"/>
    </row>
    <row r="417" spans="1:10">
      <c r="A417" s="203"/>
      <c r="B417" s="203"/>
      <c r="C417" s="203"/>
      <c r="D417" s="203"/>
      <c r="E417" s="203"/>
      <c r="F417" s="238"/>
      <c r="G417" s="203"/>
      <c r="H417" s="203"/>
      <c r="I417" s="203"/>
      <c r="J417" s="203"/>
    </row>
    <row r="418" spans="1:10">
      <c r="A418" s="203"/>
      <c r="B418" s="203"/>
      <c r="C418" s="203"/>
      <c r="D418" s="203"/>
      <c r="E418" s="203"/>
      <c r="F418" s="238"/>
      <c r="G418" s="203"/>
      <c r="H418" s="203"/>
      <c r="I418" s="203"/>
      <c r="J418" s="203"/>
    </row>
    <row r="419" spans="1:10">
      <c r="A419" s="203"/>
      <c r="B419" s="203"/>
      <c r="C419" s="203"/>
      <c r="D419" s="203"/>
      <c r="E419" s="203"/>
      <c r="F419" s="238"/>
      <c r="G419" s="203"/>
      <c r="H419" s="203"/>
      <c r="I419" s="203"/>
      <c r="J419" s="203"/>
    </row>
    <row r="420" spans="1:10">
      <c r="A420" s="203"/>
      <c r="B420" s="203"/>
      <c r="C420" s="203"/>
      <c r="D420" s="203"/>
      <c r="E420" s="203"/>
      <c r="F420" s="238"/>
      <c r="G420" s="203"/>
      <c r="H420" s="203"/>
      <c r="I420" s="203"/>
      <c r="J420" s="203"/>
    </row>
    <row r="421" spans="1:10">
      <c r="A421" s="203"/>
      <c r="B421" s="203"/>
      <c r="C421" s="203"/>
      <c r="D421" s="203"/>
      <c r="E421" s="203"/>
      <c r="F421" s="238"/>
      <c r="G421" s="203"/>
      <c r="H421" s="203"/>
      <c r="I421" s="203"/>
      <c r="J421" s="203"/>
    </row>
    <row r="422" spans="1:10">
      <c r="A422" s="203"/>
      <c r="B422" s="203"/>
      <c r="C422" s="203"/>
      <c r="D422" s="203"/>
      <c r="E422" s="203"/>
      <c r="F422" s="238"/>
      <c r="G422" s="203"/>
      <c r="H422" s="203"/>
      <c r="I422" s="203"/>
      <c r="J422" s="203"/>
    </row>
    <row r="423" spans="1:10">
      <c r="A423" s="203"/>
      <c r="B423" s="203"/>
      <c r="C423" s="203"/>
      <c r="D423" s="203"/>
      <c r="E423" s="203"/>
      <c r="F423" s="238"/>
      <c r="G423" s="203"/>
      <c r="H423" s="203"/>
      <c r="I423" s="203"/>
      <c r="J423" s="203"/>
    </row>
    <row r="424" spans="1:10">
      <c r="A424" s="203"/>
      <c r="B424" s="203"/>
      <c r="C424" s="203"/>
      <c r="D424" s="203"/>
      <c r="E424" s="203"/>
      <c r="F424" s="238"/>
      <c r="G424" s="203"/>
      <c r="H424" s="203"/>
      <c r="I424" s="203"/>
      <c r="J424" s="203"/>
    </row>
    <row r="425" spans="1:10">
      <c r="A425" s="203"/>
      <c r="B425" s="203"/>
      <c r="C425" s="203"/>
      <c r="D425" s="203"/>
      <c r="E425" s="203"/>
      <c r="F425" s="238"/>
      <c r="G425" s="203"/>
      <c r="H425" s="203"/>
      <c r="I425" s="203"/>
      <c r="J425" s="203"/>
    </row>
    <row r="426" spans="1:10">
      <c r="A426" s="203"/>
      <c r="B426" s="203"/>
      <c r="C426" s="203"/>
      <c r="D426" s="203"/>
      <c r="E426" s="203"/>
      <c r="F426" s="238"/>
      <c r="G426" s="203"/>
      <c r="H426" s="203"/>
      <c r="I426" s="203"/>
      <c r="J426" s="203"/>
    </row>
    <row r="427" spans="1:10">
      <c r="A427" s="203"/>
      <c r="B427" s="203"/>
      <c r="C427" s="203"/>
      <c r="D427" s="203"/>
      <c r="E427" s="203"/>
      <c r="F427" s="238"/>
      <c r="G427" s="203"/>
      <c r="H427" s="203"/>
      <c r="I427" s="203"/>
      <c r="J427" s="203"/>
    </row>
    <row r="428" spans="1:10">
      <c r="A428" s="203"/>
      <c r="B428" s="203"/>
      <c r="C428" s="203"/>
      <c r="D428" s="203"/>
      <c r="E428" s="203"/>
      <c r="F428" s="238"/>
      <c r="G428" s="203"/>
      <c r="H428" s="203"/>
      <c r="I428" s="203"/>
      <c r="J428" s="203"/>
    </row>
    <row r="429" spans="1:10">
      <c r="A429" s="203"/>
      <c r="B429" s="203"/>
      <c r="C429" s="203"/>
      <c r="D429" s="203"/>
      <c r="E429" s="203"/>
      <c r="F429" s="238"/>
      <c r="G429" s="203"/>
      <c r="H429" s="203"/>
      <c r="I429" s="203"/>
      <c r="J429" s="203"/>
    </row>
    <row r="430" spans="1:10">
      <c r="A430" s="203"/>
      <c r="B430" s="203"/>
      <c r="C430" s="203"/>
      <c r="D430" s="203"/>
      <c r="E430" s="203"/>
      <c r="F430" s="238"/>
      <c r="G430" s="203"/>
      <c r="H430" s="203"/>
      <c r="I430" s="203"/>
      <c r="J430" s="203"/>
    </row>
    <row r="431" spans="1:10">
      <c r="A431" s="203"/>
      <c r="B431" s="203"/>
      <c r="C431" s="203"/>
      <c r="D431" s="203"/>
      <c r="E431" s="203"/>
      <c r="F431" s="238"/>
      <c r="G431" s="203"/>
      <c r="H431" s="203"/>
      <c r="I431" s="203"/>
      <c r="J431" s="203"/>
    </row>
    <row r="432" spans="1:10">
      <c r="A432" s="203"/>
      <c r="B432" s="203"/>
      <c r="C432" s="203"/>
      <c r="D432" s="203"/>
      <c r="E432" s="203"/>
      <c r="F432" s="238"/>
      <c r="G432" s="203"/>
      <c r="H432" s="203"/>
      <c r="I432" s="203"/>
      <c r="J432" s="203"/>
    </row>
    <row r="433" spans="1:10">
      <c r="A433" s="203"/>
      <c r="B433" s="203"/>
      <c r="C433" s="203"/>
      <c r="D433" s="203"/>
      <c r="E433" s="203"/>
      <c r="F433" s="238"/>
      <c r="G433" s="203"/>
      <c r="H433" s="203"/>
      <c r="I433" s="203"/>
      <c r="J433" s="203"/>
    </row>
    <row r="434" spans="1:10">
      <c r="A434" s="203"/>
      <c r="B434" s="203"/>
      <c r="C434" s="203"/>
      <c r="D434" s="203"/>
      <c r="E434" s="203"/>
      <c r="F434" s="238"/>
      <c r="G434" s="203"/>
      <c r="H434" s="203"/>
      <c r="I434" s="203"/>
      <c r="J434" s="203"/>
    </row>
    <row r="435" spans="1:10">
      <c r="A435" s="203"/>
      <c r="B435" s="203"/>
      <c r="C435" s="203"/>
      <c r="D435" s="203"/>
      <c r="E435" s="203"/>
      <c r="F435" s="238"/>
      <c r="G435" s="203"/>
      <c r="H435" s="203"/>
      <c r="I435" s="203"/>
      <c r="J435" s="203"/>
    </row>
    <row r="436" spans="1:10">
      <c r="A436" s="203"/>
      <c r="B436" s="203"/>
      <c r="C436" s="203"/>
      <c r="D436" s="203"/>
      <c r="E436" s="203"/>
      <c r="F436" s="238"/>
      <c r="G436" s="203"/>
      <c r="H436" s="203"/>
      <c r="I436" s="203"/>
      <c r="J436" s="203"/>
    </row>
    <row r="437" spans="1:10">
      <c r="A437" s="203"/>
      <c r="B437" s="203"/>
      <c r="C437" s="203"/>
      <c r="D437" s="203"/>
      <c r="E437" s="203"/>
      <c r="F437" s="238"/>
      <c r="G437" s="203"/>
      <c r="H437" s="203"/>
      <c r="I437" s="203"/>
      <c r="J437" s="203"/>
    </row>
    <row r="438" spans="1:10">
      <c r="A438" s="203"/>
      <c r="B438" s="203"/>
      <c r="C438" s="203"/>
      <c r="D438" s="203"/>
      <c r="E438" s="203"/>
      <c r="F438" s="238"/>
      <c r="G438" s="203"/>
      <c r="H438" s="203"/>
      <c r="I438" s="203"/>
      <c r="J438" s="203"/>
    </row>
    <row r="439" spans="1:10">
      <c r="A439" s="203"/>
      <c r="B439" s="203"/>
      <c r="C439" s="203"/>
      <c r="D439" s="203"/>
      <c r="E439" s="203"/>
      <c r="F439" s="238"/>
      <c r="G439" s="203"/>
      <c r="H439" s="203"/>
      <c r="I439" s="203"/>
      <c r="J439" s="203"/>
    </row>
    <row r="440" spans="1:10">
      <c r="A440" s="203"/>
      <c r="B440" s="203"/>
      <c r="C440" s="203"/>
      <c r="D440" s="203"/>
      <c r="E440" s="203"/>
      <c r="F440" s="238"/>
      <c r="G440" s="203"/>
      <c r="H440" s="203"/>
      <c r="I440" s="203"/>
      <c r="J440" s="203"/>
    </row>
    <row r="441" spans="1:10">
      <c r="A441" s="203"/>
      <c r="B441" s="203"/>
      <c r="C441" s="203"/>
      <c r="D441" s="203"/>
      <c r="E441" s="203"/>
      <c r="F441" s="238"/>
      <c r="G441" s="203"/>
      <c r="H441" s="203"/>
      <c r="I441" s="203"/>
      <c r="J441" s="203"/>
    </row>
    <row r="442" spans="1:10">
      <c r="A442" s="203"/>
      <c r="B442" s="203"/>
      <c r="C442" s="203"/>
      <c r="D442" s="203"/>
      <c r="E442" s="203"/>
      <c r="F442" s="238"/>
      <c r="G442" s="203"/>
      <c r="H442" s="203"/>
      <c r="I442" s="203"/>
      <c r="J442" s="203"/>
    </row>
    <row r="443" spans="1:10">
      <c r="A443" s="203"/>
      <c r="B443" s="203"/>
      <c r="C443" s="203"/>
      <c r="D443" s="203"/>
      <c r="E443" s="203"/>
      <c r="F443" s="238"/>
      <c r="G443" s="203"/>
      <c r="H443" s="203"/>
      <c r="I443" s="203"/>
      <c r="J443" s="203"/>
    </row>
    <row r="444" spans="1:10">
      <c r="A444" s="203"/>
      <c r="B444" s="203"/>
      <c r="C444" s="203"/>
      <c r="D444" s="203"/>
      <c r="E444" s="203"/>
      <c r="F444" s="238"/>
      <c r="G444" s="203"/>
      <c r="H444" s="203"/>
      <c r="I444" s="203"/>
      <c r="J444" s="203"/>
    </row>
    <row r="445" spans="1:10">
      <c r="A445" s="203"/>
      <c r="B445" s="203"/>
      <c r="C445" s="203"/>
      <c r="D445" s="203"/>
      <c r="E445" s="203"/>
      <c r="F445" s="238"/>
      <c r="G445" s="203"/>
      <c r="H445" s="203"/>
      <c r="I445" s="203"/>
      <c r="J445" s="203"/>
    </row>
    <row r="446" spans="1:10">
      <c r="A446" s="203"/>
      <c r="B446" s="203"/>
      <c r="C446" s="203"/>
      <c r="D446" s="203"/>
      <c r="E446" s="203"/>
      <c r="F446" s="238"/>
      <c r="G446" s="203"/>
      <c r="H446" s="203"/>
      <c r="I446" s="203"/>
      <c r="J446" s="203"/>
    </row>
    <row r="447" spans="1:10">
      <c r="A447" s="203"/>
      <c r="B447" s="203"/>
      <c r="C447" s="203"/>
      <c r="D447" s="203"/>
      <c r="E447" s="203"/>
      <c r="F447" s="238"/>
      <c r="G447" s="203"/>
      <c r="H447" s="203"/>
      <c r="I447" s="203"/>
      <c r="J447" s="203"/>
    </row>
    <row r="448" spans="1:10">
      <c r="A448" s="203"/>
      <c r="B448" s="203"/>
      <c r="C448" s="203"/>
      <c r="D448" s="203"/>
      <c r="E448" s="203"/>
      <c r="F448" s="238"/>
      <c r="G448" s="203"/>
      <c r="H448" s="203"/>
      <c r="I448" s="203"/>
      <c r="J448" s="203"/>
    </row>
    <row r="449" spans="1:10">
      <c r="A449" s="203"/>
      <c r="B449" s="203"/>
      <c r="C449" s="203"/>
      <c r="D449" s="203"/>
      <c r="E449" s="203"/>
      <c r="F449" s="238"/>
      <c r="G449" s="203"/>
      <c r="H449" s="203"/>
      <c r="I449" s="203"/>
      <c r="J449" s="203"/>
    </row>
    <row r="450" spans="1:10">
      <c r="A450" s="203"/>
      <c r="B450" s="203"/>
      <c r="C450" s="203"/>
      <c r="D450" s="203"/>
      <c r="E450" s="203"/>
      <c r="F450" s="238"/>
      <c r="G450" s="203"/>
      <c r="H450" s="203"/>
      <c r="I450" s="203"/>
      <c r="J450" s="203"/>
    </row>
    <row r="451" spans="1:10">
      <c r="A451" s="203"/>
      <c r="B451" s="203"/>
      <c r="C451" s="203"/>
      <c r="D451" s="203"/>
      <c r="E451" s="203"/>
      <c r="F451" s="238"/>
      <c r="G451" s="203"/>
      <c r="H451" s="203"/>
      <c r="I451" s="203"/>
      <c r="J451" s="203"/>
    </row>
    <row r="452" spans="1:10">
      <c r="A452" s="203"/>
      <c r="B452" s="203"/>
      <c r="C452" s="203"/>
      <c r="D452" s="203"/>
      <c r="E452" s="203"/>
      <c r="F452" s="238"/>
      <c r="G452" s="203"/>
      <c r="H452" s="203"/>
      <c r="I452" s="203"/>
      <c r="J452" s="203"/>
    </row>
    <row r="453" spans="1:10">
      <c r="A453" s="203"/>
      <c r="B453" s="203"/>
      <c r="C453" s="203"/>
      <c r="D453" s="203"/>
      <c r="E453" s="203"/>
      <c r="F453" s="238"/>
      <c r="G453" s="203"/>
      <c r="H453" s="203"/>
      <c r="I453" s="203"/>
      <c r="J453" s="203"/>
    </row>
    <row r="454" spans="1:10">
      <c r="A454" s="203"/>
      <c r="B454" s="203"/>
      <c r="C454" s="203"/>
      <c r="D454" s="203"/>
      <c r="E454" s="203"/>
      <c r="F454" s="238"/>
      <c r="G454" s="203"/>
      <c r="H454" s="203"/>
      <c r="I454" s="203"/>
      <c r="J454" s="203"/>
    </row>
    <row r="455" spans="1:10">
      <c r="A455" s="203"/>
      <c r="B455" s="203"/>
      <c r="C455" s="203"/>
      <c r="D455" s="203"/>
      <c r="E455" s="203"/>
      <c r="F455" s="238"/>
      <c r="G455" s="203"/>
      <c r="H455" s="203"/>
      <c r="I455" s="203"/>
      <c r="J455" s="203"/>
    </row>
    <row r="456" spans="1:10">
      <c r="A456" s="203"/>
      <c r="B456" s="203"/>
      <c r="C456" s="203"/>
      <c r="D456" s="203"/>
      <c r="E456" s="203"/>
      <c r="F456" s="238"/>
      <c r="G456" s="203"/>
      <c r="H456" s="203"/>
      <c r="I456" s="203"/>
      <c r="J456" s="203"/>
    </row>
    <row r="457" spans="1:10">
      <c r="A457" s="203"/>
      <c r="B457" s="203"/>
      <c r="C457" s="203"/>
      <c r="D457" s="203"/>
      <c r="E457" s="203"/>
      <c r="F457" s="238"/>
      <c r="G457" s="203"/>
      <c r="H457" s="203"/>
      <c r="I457" s="203"/>
      <c r="J457" s="203"/>
    </row>
    <row r="458" spans="1:10">
      <c r="A458" s="203"/>
      <c r="B458" s="203"/>
      <c r="C458" s="203"/>
      <c r="D458" s="203"/>
      <c r="E458" s="203"/>
      <c r="F458" s="238"/>
      <c r="G458" s="203"/>
      <c r="H458" s="203"/>
      <c r="I458" s="203"/>
      <c r="J458" s="203"/>
    </row>
    <row r="459" spans="1:10">
      <c r="A459" s="203"/>
      <c r="B459" s="203"/>
      <c r="C459" s="203"/>
      <c r="D459" s="203"/>
      <c r="E459" s="203"/>
      <c r="F459" s="238"/>
      <c r="G459" s="203"/>
      <c r="H459" s="203"/>
      <c r="I459" s="203"/>
      <c r="J459" s="203"/>
    </row>
    <row r="460" spans="1:10">
      <c r="A460" s="203"/>
      <c r="B460" s="203"/>
      <c r="C460" s="203"/>
      <c r="D460" s="203"/>
      <c r="E460" s="203"/>
      <c r="F460" s="238"/>
      <c r="G460" s="203"/>
      <c r="H460" s="203"/>
      <c r="I460" s="203"/>
      <c r="J460" s="203"/>
    </row>
    <row r="461" spans="1:10">
      <c r="A461" s="203"/>
      <c r="B461" s="203"/>
      <c r="C461" s="203"/>
      <c r="D461" s="203"/>
      <c r="E461" s="203"/>
      <c r="F461" s="238"/>
      <c r="G461" s="203"/>
      <c r="H461" s="203"/>
      <c r="I461" s="203"/>
      <c r="J461" s="203"/>
    </row>
    <row r="462" spans="1:10">
      <c r="A462" s="203"/>
      <c r="B462" s="203"/>
      <c r="C462" s="203"/>
      <c r="D462" s="203"/>
      <c r="E462" s="203"/>
      <c r="F462" s="238"/>
      <c r="G462" s="203"/>
      <c r="H462" s="203"/>
      <c r="I462" s="203"/>
      <c r="J462" s="203"/>
    </row>
    <row r="463" spans="1:10">
      <c r="A463" s="203"/>
      <c r="B463" s="203"/>
      <c r="C463" s="203"/>
      <c r="D463" s="203"/>
      <c r="E463" s="203"/>
      <c r="F463" s="238"/>
      <c r="G463" s="203"/>
      <c r="H463" s="203"/>
      <c r="I463" s="203"/>
      <c r="J463" s="203"/>
    </row>
    <row r="464" spans="1:10">
      <c r="A464" s="203"/>
      <c r="B464" s="203"/>
      <c r="C464" s="203"/>
      <c r="D464" s="203"/>
      <c r="E464" s="203"/>
      <c r="F464" s="238"/>
      <c r="G464" s="203"/>
      <c r="H464" s="203"/>
      <c r="I464" s="203"/>
      <c r="J464" s="203"/>
    </row>
    <row r="465" spans="1:10">
      <c r="A465" s="203"/>
      <c r="B465" s="203"/>
      <c r="C465" s="203"/>
      <c r="D465" s="203"/>
      <c r="E465" s="203"/>
      <c r="F465" s="238"/>
      <c r="G465" s="203"/>
      <c r="H465" s="203"/>
      <c r="I465" s="203"/>
      <c r="J465" s="203"/>
    </row>
    <row r="466" spans="1:10">
      <c r="A466" s="203"/>
      <c r="B466" s="203"/>
      <c r="C466" s="203"/>
      <c r="D466" s="203"/>
      <c r="E466" s="203"/>
      <c r="F466" s="238"/>
      <c r="G466" s="203"/>
      <c r="H466" s="203"/>
      <c r="I466" s="203"/>
      <c r="J466" s="203"/>
    </row>
    <row r="467" spans="1:10">
      <c r="A467" s="203"/>
      <c r="B467" s="203"/>
      <c r="C467" s="203"/>
      <c r="D467" s="203"/>
      <c r="E467" s="203"/>
      <c r="F467" s="238"/>
      <c r="G467" s="203"/>
      <c r="H467" s="203"/>
      <c r="I467" s="203"/>
      <c r="J467" s="203"/>
    </row>
    <row r="468" spans="1:10">
      <c r="A468" s="203"/>
      <c r="B468" s="203"/>
      <c r="C468" s="203"/>
      <c r="D468" s="203"/>
      <c r="E468" s="203"/>
      <c r="F468" s="238"/>
      <c r="G468" s="203"/>
      <c r="H468" s="203"/>
      <c r="I468" s="203"/>
      <c r="J468" s="203"/>
    </row>
    <row r="469" spans="1:10">
      <c r="A469" s="203"/>
      <c r="B469" s="203"/>
      <c r="C469" s="203"/>
      <c r="D469" s="203"/>
      <c r="E469" s="203"/>
      <c r="F469" s="238"/>
      <c r="G469" s="203"/>
      <c r="H469" s="203"/>
      <c r="I469" s="203"/>
      <c r="J469" s="203"/>
    </row>
    <row r="470" spans="1:10">
      <c r="A470" s="203"/>
      <c r="B470" s="203"/>
      <c r="C470" s="203"/>
      <c r="D470" s="203"/>
      <c r="E470" s="203"/>
      <c r="F470" s="238"/>
      <c r="G470" s="203"/>
      <c r="H470" s="203"/>
      <c r="I470" s="203"/>
      <c r="J470" s="203"/>
    </row>
    <row r="471" spans="1:10">
      <c r="A471" s="203"/>
      <c r="B471" s="203"/>
      <c r="C471" s="203"/>
      <c r="D471" s="203"/>
      <c r="E471" s="203"/>
      <c r="F471" s="238"/>
      <c r="G471" s="203"/>
      <c r="H471" s="203"/>
      <c r="I471" s="203"/>
      <c r="J471" s="203"/>
    </row>
    <row r="472" spans="1:10">
      <c r="A472" s="203"/>
      <c r="B472" s="203"/>
      <c r="C472" s="203"/>
      <c r="D472" s="203"/>
      <c r="E472" s="203"/>
      <c r="F472" s="238"/>
      <c r="G472" s="203"/>
      <c r="H472" s="203"/>
      <c r="I472" s="203"/>
      <c r="J472" s="203"/>
    </row>
    <row r="473" spans="1:10">
      <c r="A473" s="203"/>
      <c r="B473" s="203"/>
      <c r="C473" s="203"/>
      <c r="D473" s="203"/>
      <c r="E473" s="203"/>
      <c r="F473" s="238"/>
      <c r="G473" s="203"/>
      <c r="H473" s="203"/>
      <c r="I473" s="203"/>
      <c r="J473" s="203"/>
    </row>
    <row r="474" spans="1:10">
      <c r="A474" s="203"/>
      <c r="B474" s="203"/>
      <c r="C474" s="203"/>
      <c r="D474" s="203"/>
      <c r="E474" s="203"/>
      <c r="F474" s="238"/>
      <c r="G474" s="203"/>
      <c r="H474" s="203"/>
      <c r="I474" s="203"/>
      <c r="J474" s="203"/>
    </row>
    <row r="475" spans="1:10">
      <c r="A475" s="203"/>
      <c r="B475" s="203"/>
      <c r="C475" s="203"/>
      <c r="D475" s="203"/>
      <c r="E475" s="203"/>
      <c r="F475" s="238"/>
      <c r="G475" s="203"/>
      <c r="H475" s="203"/>
      <c r="I475" s="203"/>
      <c r="J475" s="203"/>
    </row>
    <row r="476" spans="1:10">
      <c r="A476" s="203"/>
      <c r="B476" s="203"/>
      <c r="C476" s="203"/>
      <c r="D476" s="203"/>
      <c r="E476" s="203"/>
      <c r="F476" s="238"/>
      <c r="G476" s="203"/>
      <c r="H476" s="203"/>
      <c r="I476" s="203"/>
      <c r="J476" s="203"/>
    </row>
    <row r="477" spans="1:10">
      <c r="A477" s="203"/>
      <c r="B477" s="203"/>
      <c r="C477" s="203"/>
      <c r="D477" s="203"/>
      <c r="E477" s="203"/>
      <c r="F477" s="238"/>
      <c r="G477" s="203"/>
      <c r="H477" s="203"/>
      <c r="I477" s="203"/>
      <c r="J477" s="203"/>
    </row>
    <row r="478" spans="1:10">
      <c r="A478" s="203"/>
      <c r="B478" s="203"/>
      <c r="C478" s="203"/>
      <c r="D478" s="203"/>
      <c r="E478" s="203"/>
      <c r="F478" s="238"/>
      <c r="G478" s="203"/>
      <c r="H478" s="203"/>
      <c r="I478" s="203"/>
      <c r="J478" s="203"/>
    </row>
    <row r="479" spans="1:10">
      <c r="A479" s="203"/>
      <c r="B479" s="203"/>
      <c r="C479" s="203"/>
      <c r="D479" s="203"/>
      <c r="E479" s="203"/>
      <c r="F479" s="238"/>
      <c r="G479" s="203"/>
      <c r="H479" s="203"/>
      <c r="I479" s="203"/>
      <c r="J479" s="203"/>
    </row>
    <row r="480" spans="1:10">
      <c r="A480" s="203"/>
      <c r="B480" s="203"/>
      <c r="C480" s="203"/>
      <c r="D480" s="203"/>
      <c r="E480" s="203"/>
      <c r="F480" s="238"/>
      <c r="G480" s="203"/>
      <c r="H480" s="203"/>
      <c r="I480" s="203"/>
      <c r="J480" s="203"/>
    </row>
    <row r="481" spans="1:10">
      <c r="A481" s="203"/>
      <c r="B481" s="203"/>
      <c r="C481" s="203"/>
      <c r="D481" s="203"/>
      <c r="E481" s="203"/>
      <c r="F481" s="238"/>
      <c r="G481" s="203"/>
      <c r="H481" s="203"/>
      <c r="I481" s="203"/>
      <c r="J481" s="203"/>
    </row>
    <row r="482" spans="1:10">
      <c r="A482" s="203"/>
      <c r="B482" s="203"/>
      <c r="C482" s="203"/>
      <c r="D482" s="203"/>
      <c r="E482" s="203"/>
      <c r="F482" s="238"/>
      <c r="G482" s="203"/>
      <c r="H482" s="203"/>
      <c r="I482" s="203"/>
      <c r="J482" s="203"/>
    </row>
    <row r="483" spans="1:10">
      <c r="A483" s="203"/>
      <c r="B483" s="203"/>
      <c r="C483" s="203"/>
      <c r="D483" s="203"/>
      <c r="E483" s="203"/>
      <c r="F483" s="238"/>
      <c r="G483" s="203"/>
      <c r="H483" s="203"/>
      <c r="I483" s="203"/>
      <c r="J483" s="203"/>
    </row>
    <row r="484" spans="1:10">
      <c r="A484" s="203"/>
      <c r="B484" s="203"/>
      <c r="C484" s="203"/>
      <c r="D484" s="203"/>
      <c r="E484" s="203"/>
      <c r="F484" s="238"/>
      <c r="G484" s="203"/>
      <c r="H484" s="203"/>
      <c r="I484" s="203"/>
      <c r="J484" s="203"/>
    </row>
    <row r="485" spans="1:10">
      <c r="A485" s="203"/>
      <c r="B485" s="203"/>
      <c r="C485" s="203"/>
      <c r="D485" s="203"/>
      <c r="E485" s="203"/>
      <c r="F485" s="238"/>
      <c r="G485" s="203"/>
      <c r="H485" s="203"/>
      <c r="I485" s="203"/>
      <c r="J485" s="203"/>
    </row>
    <row r="486" spans="1:10">
      <c r="A486" s="203"/>
      <c r="B486" s="203"/>
      <c r="C486" s="203"/>
      <c r="D486" s="203"/>
      <c r="E486" s="203"/>
      <c r="F486" s="238"/>
      <c r="G486" s="203"/>
      <c r="H486" s="203"/>
      <c r="I486" s="203"/>
      <c r="J486" s="203"/>
    </row>
    <row r="487" spans="1:10">
      <c r="A487" s="203"/>
      <c r="B487" s="203"/>
      <c r="C487" s="203"/>
      <c r="D487" s="203"/>
      <c r="E487" s="203"/>
      <c r="F487" s="238"/>
      <c r="G487" s="203"/>
      <c r="H487" s="203"/>
      <c r="I487" s="203"/>
      <c r="J487" s="203"/>
    </row>
    <row r="488" spans="1:10">
      <c r="A488" s="203"/>
      <c r="B488" s="203"/>
      <c r="C488" s="203"/>
      <c r="D488" s="203"/>
      <c r="E488" s="203"/>
      <c r="F488" s="238"/>
      <c r="G488" s="203"/>
      <c r="H488" s="203"/>
      <c r="I488" s="203"/>
      <c r="J488" s="203"/>
    </row>
    <row r="489" spans="1:10">
      <c r="A489" s="203"/>
      <c r="B489" s="203"/>
      <c r="C489" s="203"/>
      <c r="D489" s="203"/>
      <c r="E489" s="203"/>
      <c r="F489" s="238"/>
      <c r="G489" s="203"/>
      <c r="H489" s="203"/>
      <c r="I489" s="203"/>
      <c r="J489" s="203"/>
    </row>
    <row r="490" spans="1:10">
      <c r="A490" s="203"/>
      <c r="B490" s="203"/>
      <c r="C490" s="203"/>
      <c r="D490" s="203"/>
      <c r="E490" s="203"/>
      <c r="F490" s="238"/>
      <c r="G490" s="203"/>
      <c r="H490" s="203"/>
      <c r="I490" s="203"/>
      <c r="J490" s="203"/>
    </row>
    <row r="491" spans="1:10">
      <c r="A491" s="203"/>
      <c r="B491" s="203"/>
      <c r="C491" s="203"/>
      <c r="D491" s="203"/>
      <c r="E491" s="203"/>
      <c r="F491" s="238"/>
      <c r="G491" s="203"/>
      <c r="H491" s="203"/>
      <c r="I491" s="203"/>
      <c r="J491" s="203"/>
    </row>
    <row r="492" spans="1:10">
      <c r="A492" s="203"/>
      <c r="B492" s="203"/>
      <c r="C492" s="203"/>
      <c r="D492" s="203"/>
      <c r="E492" s="203"/>
      <c r="F492" s="238"/>
      <c r="G492" s="203"/>
      <c r="H492" s="203"/>
      <c r="I492" s="203"/>
      <c r="J492" s="203"/>
    </row>
    <row r="493" spans="1:10">
      <c r="A493" s="203"/>
      <c r="B493" s="203"/>
      <c r="C493" s="203"/>
      <c r="D493" s="203"/>
      <c r="E493" s="203"/>
      <c r="F493" s="238"/>
      <c r="G493" s="203"/>
      <c r="H493" s="203"/>
      <c r="I493" s="203"/>
      <c r="J493" s="203"/>
    </row>
    <row r="494" spans="1:10">
      <c r="A494" s="203"/>
      <c r="B494" s="203"/>
      <c r="C494" s="203"/>
      <c r="D494" s="203"/>
      <c r="E494" s="203"/>
      <c r="F494" s="238"/>
      <c r="G494" s="203"/>
      <c r="H494" s="203"/>
      <c r="I494" s="203"/>
      <c r="J494" s="203"/>
    </row>
    <row r="495" spans="1:10">
      <c r="A495" s="203"/>
      <c r="B495" s="203"/>
      <c r="C495" s="203"/>
      <c r="D495" s="203"/>
      <c r="E495" s="203"/>
      <c r="F495" s="238"/>
      <c r="G495" s="203"/>
      <c r="H495" s="203"/>
      <c r="I495" s="203"/>
      <c r="J495" s="203"/>
    </row>
    <row r="496" spans="1:10">
      <c r="A496" s="203"/>
      <c r="B496" s="203"/>
      <c r="C496" s="203"/>
      <c r="D496" s="203"/>
      <c r="E496" s="203"/>
      <c r="F496" s="238"/>
      <c r="G496" s="203"/>
      <c r="H496" s="203"/>
      <c r="I496" s="203"/>
      <c r="J496" s="203"/>
    </row>
    <row r="497" spans="1:10">
      <c r="A497" s="203"/>
      <c r="B497" s="203"/>
      <c r="C497" s="203"/>
      <c r="D497" s="203"/>
      <c r="E497" s="203"/>
      <c r="F497" s="238"/>
      <c r="G497" s="203"/>
      <c r="H497" s="203"/>
      <c r="I497" s="203"/>
      <c r="J497" s="203"/>
    </row>
    <row r="498" spans="1:10">
      <c r="A498" s="203"/>
      <c r="B498" s="203"/>
      <c r="C498" s="203"/>
      <c r="D498" s="203"/>
      <c r="E498" s="203"/>
      <c r="F498" s="238"/>
      <c r="G498" s="203"/>
      <c r="H498" s="203"/>
      <c r="I498" s="203"/>
      <c r="J498" s="203"/>
    </row>
    <row r="499" spans="1:10">
      <c r="A499" s="203"/>
      <c r="B499" s="203"/>
      <c r="C499" s="203"/>
      <c r="D499" s="203"/>
      <c r="E499" s="203"/>
      <c r="F499" s="238"/>
      <c r="G499" s="203"/>
      <c r="H499" s="203"/>
      <c r="I499" s="203"/>
      <c r="J499" s="203"/>
    </row>
    <row r="500" spans="1:10">
      <c r="A500" s="203"/>
      <c r="B500" s="203"/>
      <c r="C500" s="203"/>
      <c r="D500" s="203"/>
      <c r="E500" s="203"/>
      <c r="F500" s="238"/>
      <c r="G500" s="203"/>
      <c r="H500" s="203"/>
      <c r="I500" s="203"/>
      <c r="J500" s="203"/>
    </row>
    <row r="501" spans="1:10">
      <c r="A501" s="203"/>
      <c r="B501" s="203"/>
      <c r="C501" s="203"/>
      <c r="D501" s="203"/>
      <c r="E501" s="203"/>
      <c r="F501" s="238"/>
      <c r="G501" s="203"/>
      <c r="H501" s="203"/>
      <c r="I501" s="203"/>
      <c r="J501" s="203"/>
    </row>
    <row r="502" spans="1:10">
      <c r="A502" s="203"/>
      <c r="B502" s="203"/>
      <c r="C502" s="203"/>
      <c r="D502" s="203"/>
      <c r="E502" s="203"/>
      <c r="F502" s="238"/>
      <c r="G502" s="203"/>
      <c r="H502" s="203"/>
      <c r="I502" s="203"/>
      <c r="J502" s="203"/>
    </row>
    <row r="503" spans="1:10">
      <c r="A503" s="203"/>
      <c r="B503" s="203"/>
      <c r="C503" s="203"/>
      <c r="D503" s="203"/>
      <c r="E503" s="203"/>
      <c r="F503" s="238"/>
      <c r="G503" s="203"/>
      <c r="H503" s="203"/>
      <c r="I503" s="203"/>
      <c r="J503" s="203"/>
    </row>
    <row r="504" spans="1:10">
      <c r="A504" s="203"/>
      <c r="B504" s="203"/>
      <c r="C504" s="203"/>
      <c r="D504" s="203"/>
      <c r="E504" s="203"/>
      <c r="F504" s="238"/>
      <c r="G504" s="203"/>
      <c r="H504" s="203"/>
      <c r="I504" s="203"/>
      <c r="J504" s="203"/>
    </row>
    <row r="505" spans="1:10">
      <c r="A505" s="203"/>
      <c r="B505" s="203"/>
      <c r="C505" s="203"/>
      <c r="D505" s="203"/>
      <c r="E505" s="203"/>
      <c r="F505" s="238"/>
      <c r="G505" s="203"/>
      <c r="H505" s="203"/>
      <c r="I505" s="203"/>
      <c r="J505" s="203"/>
    </row>
    <row r="506" spans="1:10">
      <c r="A506" s="203"/>
      <c r="B506" s="203"/>
      <c r="C506" s="203"/>
      <c r="D506" s="203"/>
      <c r="E506" s="203"/>
      <c r="F506" s="238"/>
      <c r="G506" s="203"/>
      <c r="H506" s="203"/>
      <c r="I506" s="203"/>
      <c r="J506" s="203"/>
    </row>
    <row r="507" spans="1:10">
      <c r="A507" s="203"/>
      <c r="B507" s="203"/>
      <c r="C507" s="203"/>
      <c r="D507" s="203"/>
      <c r="E507" s="203"/>
      <c r="F507" s="238"/>
      <c r="G507" s="203"/>
      <c r="H507" s="203"/>
      <c r="I507" s="203"/>
      <c r="J507" s="203"/>
    </row>
    <row r="508" spans="1:10">
      <c r="A508" s="203"/>
      <c r="B508" s="203"/>
      <c r="C508" s="203"/>
      <c r="D508" s="203"/>
      <c r="E508" s="203"/>
      <c r="F508" s="238"/>
      <c r="G508" s="203"/>
      <c r="H508" s="203"/>
      <c r="I508" s="203"/>
      <c r="J508" s="203"/>
    </row>
    <row r="509" spans="1:10">
      <c r="A509" s="203"/>
      <c r="B509" s="203"/>
      <c r="C509" s="203"/>
      <c r="D509" s="203"/>
      <c r="E509" s="203"/>
      <c r="F509" s="238"/>
      <c r="G509" s="203"/>
      <c r="H509" s="203"/>
      <c r="I509" s="203"/>
      <c r="J509" s="203"/>
    </row>
    <row r="510" spans="1:10">
      <c r="A510" s="203"/>
      <c r="B510" s="203"/>
      <c r="C510" s="203"/>
      <c r="D510" s="203"/>
      <c r="E510" s="203"/>
      <c r="F510" s="238"/>
      <c r="G510" s="203"/>
      <c r="H510" s="203"/>
      <c r="I510" s="203"/>
      <c r="J510" s="203"/>
    </row>
    <row r="511" spans="1:10">
      <c r="A511" s="203"/>
      <c r="B511" s="203"/>
      <c r="C511" s="203"/>
      <c r="D511" s="203"/>
      <c r="E511" s="203"/>
      <c r="F511" s="238"/>
      <c r="G511" s="203"/>
      <c r="H511" s="203"/>
      <c r="I511" s="203"/>
      <c r="J511" s="203"/>
    </row>
    <row r="512" spans="1:10">
      <c r="A512" s="203"/>
      <c r="B512" s="203"/>
      <c r="C512" s="203"/>
      <c r="D512" s="203"/>
      <c r="E512" s="203"/>
      <c r="F512" s="238"/>
      <c r="G512" s="203"/>
      <c r="H512" s="203"/>
      <c r="I512" s="203"/>
      <c r="J512" s="203"/>
    </row>
    <row r="513" spans="1:10">
      <c r="A513" s="203"/>
      <c r="B513" s="203"/>
      <c r="C513" s="203"/>
      <c r="D513" s="203"/>
      <c r="E513" s="203"/>
      <c r="F513" s="238"/>
      <c r="G513" s="203"/>
      <c r="H513" s="203"/>
      <c r="I513" s="203"/>
      <c r="J513" s="203"/>
    </row>
    <row r="514" spans="1:10">
      <c r="A514" s="203"/>
      <c r="B514" s="203"/>
      <c r="C514" s="203"/>
      <c r="D514" s="203"/>
      <c r="E514" s="203"/>
      <c r="F514" s="238"/>
      <c r="G514" s="203"/>
      <c r="H514" s="203"/>
      <c r="I514" s="203"/>
      <c r="J514" s="203"/>
    </row>
    <row r="515" spans="1:10">
      <c r="A515" s="203"/>
      <c r="B515" s="203"/>
      <c r="C515" s="203"/>
      <c r="D515" s="203"/>
      <c r="E515" s="203"/>
      <c r="F515" s="238"/>
      <c r="G515" s="203"/>
      <c r="H515" s="203"/>
      <c r="I515" s="203"/>
      <c r="J515" s="203"/>
    </row>
    <row r="516" spans="1:10">
      <c r="A516" s="203"/>
      <c r="B516" s="203"/>
      <c r="C516" s="203"/>
      <c r="D516" s="203"/>
      <c r="E516" s="203"/>
      <c r="F516" s="238"/>
      <c r="G516" s="203"/>
      <c r="H516" s="203"/>
      <c r="I516" s="203"/>
      <c r="J516" s="203"/>
    </row>
    <row r="517" spans="1:10">
      <c r="A517" s="203"/>
      <c r="B517" s="203"/>
      <c r="C517" s="203"/>
      <c r="D517" s="203"/>
      <c r="E517" s="203"/>
      <c r="F517" s="238"/>
      <c r="G517" s="203"/>
      <c r="H517" s="203"/>
      <c r="I517" s="203"/>
      <c r="J517" s="203"/>
    </row>
    <row r="518" spans="1:10">
      <c r="A518" s="203"/>
      <c r="B518" s="203"/>
      <c r="C518" s="203"/>
      <c r="D518" s="203"/>
      <c r="E518" s="203"/>
      <c r="F518" s="238"/>
      <c r="G518" s="203"/>
      <c r="H518" s="203"/>
      <c r="I518" s="203"/>
      <c r="J518" s="203"/>
    </row>
    <row r="519" spans="1:10">
      <c r="A519" s="203"/>
      <c r="B519" s="203"/>
      <c r="C519" s="203"/>
      <c r="D519" s="203"/>
      <c r="E519" s="203"/>
      <c r="F519" s="238"/>
      <c r="G519" s="203"/>
      <c r="H519" s="203"/>
      <c r="I519" s="203"/>
      <c r="J519" s="203"/>
    </row>
    <row r="520" spans="1:10">
      <c r="A520" s="203"/>
      <c r="B520" s="203"/>
      <c r="C520" s="203"/>
      <c r="D520" s="203"/>
      <c r="E520" s="203"/>
      <c r="F520" s="238"/>
      <c r="G520" s="203"/>
      <c r="H520" s="203"/>
      <c r="I520" s="203"/>
      <c r="J520" s="203"/>
    </row>
    <row r="521" spans="1:10">
      <c r="A521" s="203"/>
      <c r="B521" s="203"/>
      <c r="C521" s="203"/>
      <c r="D521" s="203"/>
      <c r="E521" s="203"/>
      <c r="F521" s="238"/>
      <c r="G521" s="203"/>
      <c r="H521" s="203"/>
      <c r="I521" s="203"/>
      <c r="J521" s="203"/>
    </row>
    <row r="522" spans="1:10">
      <c r="A522" s="203"/>
      <c r="B522" s="203"/>
      <c r="C522" s="203"/>
      <c r="D522" s="203"/>
      <c r="E522" s="203"/>
      <c r="F522" s="238"/>
      <c r="G522" s="203"/>
      <c r="H522" s="203"/>
      <c r="I522" s="203"/>
      <c r="J522" s="203"/>
    </row>
    <row r="523" spans="1:10">
      <c r="A523" s="203"/>
      <c r="B523" s="203"/>
      <c r="C523" s="203"/>
      <c r="D523" s="203"/>
      <c r="E523" s="203"/>
      <c r="F523" s="238"/>
      <c r="G523" s="203"/>
      <c r="H523" s="203"/>
      <c r="I523" s="203"/>
      <c r="J523" s="203"/>
    </row>
    <row r="524" spans="1:10">
      <c r="A524" s="203"/>
      <c r="B524" s="203"/>
      <c r="C524" s="203"/>
      <c r="D524" s="203"/>
      <c r="E524" s="203"/>
      <c r="F524" s="238"/>
      <c r="G524" s="203"/>
      <c r="H524" s="203"/>
      <c r="I524" s="203"/>
      <c r="J524" s="203"/>
    </row>
    <row r="525" spans="1:10">
      <c r="A525" s="203"/>
      <c r="B525" s="203"/>
      <c r="C525" s="203"/>
      <c r="D525" s="203"/>
      <c r="E525" s="203"/>
      <c r="F525" s="238"/>
      <c r="G525" s="203"/>
      <c r="H525" s="203"/>
      <c r="I525" s="203"/>
      <c r="J525" s="203"/>
    </row>
    <row r="526" spans="1:10">
      <c r="A526" s="203"/>
      <c r="B526" s="203"/>
      <c r="C526" s="203"/>
      <c r="D526" s="203"/>
      <c r="E526" s="203"/>
      <c r="F526" s="238"/>
      <c r="G526" s="203"/>
      <c r="H526" s="203"/>
      <c r="I526" s="203"/>
      <c r="J526" s="203"/>
    </row>
    <row r="527" spans="1:10">
      <c r="A527" s="203"/>
      <c r="B527" s="203"/>
      <c r="C527" s="203"/>
      <c r="D527" s="203"/>
      <c r="E527" s="203"/>
      <c r="F527" s="238"/>
      <c r="G527" s="203"/>
      <c r="H527" s="203"/>
      <c r="I527" s="203"/>
      <c r="J527" s="203"/>
    </row>
    <row r="528" spans="1:10">
      <c r="A528" s="203"/>
      <c r="B528" s="203"/>
      <c r="C528" s="203"/>
      <c r="D528" s="203"/>
      <c r="E528" s="203"/>
      <c r="F528" s="238"/>
      <c r="G528" s="203"/>
      <c r="H528" s="203"/>
      <c r="I528" s="203"/>
      <c r="J528" s="203"/>
    </row>
    <row r="529" spans="1:10">
      <c r="A529" s="203"/>
      <c r="B529" s="203"/>
      <c r="C529" s="203"/>
      <c r="D529" s="203"/>
      <c r="E529" s="203"/>
      <c r="F529" s="238"/>
      <c r="G529" s="203"/>
      <c r="H529" s="203"/>
      <c r="I529" s="203"/>
      <c r="J529" s="203"/>
    </row>
    <row r="530" spans="1:10">
      <c r="A530" s="203"/>
      <c r="B530" s="203"/>
      <c r="C530" s="203"/>
      <c r="D530" s="203"/>
      <c r="E530" s="203"/>
      <c r="F530" s="238"/>
      <c r="G530" s="203"/>
      <c r="H530" s="203"/>
      <c r="I530" s="203"/>
      <c r="J530" s="203"/>
    </row>
    <row r="531" spans="1:10">
      <c r="A531" s="203"/>
      <c r="B531" s="203"/>
      <c r="C531" s="203"/>
      <c r="D531" s="203"/>
      <c r="E531" s="203"/>
      <c r="F531" s="238"/>
      <c r="G531" s="203"/>
      <c r="H531" s="203"/>
      <c r="I531" s="203"/>
      <c r="J531" s="203"/>
    </row>
    <row r="532" spans="1:10">
      <c r="A532" s="203"/>
      <c r="B532" s="203"/>
      <c r="C532" s="203"/>
      <c r="D532" s="203"/>
      <c r="E532" s="203"/>
      <c r="F532" s="238"/>
      <c r="G532" s="203"/>
      <c r="H532" s="203"/>
      <c r="I532" s="203"/>
      <c r="J532" s="203"/>
    </row>
    <row r="533" spans="1:10">
      <c r="A533" s="203"/>
      <c r="B533" s="203"/>
      <c r="C533" s="203"/>
      <c r="D533" s="203"/>
      <c r="E533" s="203"/>
      <c r="F533" s="238"/>
      <c r="G533" s="203"/>
      <c r="H533" s="203"/>
      <c r="I533" s="203"/>
      <c r="J533" s="203"/>
    </row>
    <row r="534" spans="1:10">
      <c r="A534" s="203"/>
      <c r="B534" s="203"/>
      <c r="C534" s="203"/>
      <c r="D534" s="203"/>
      <c r="E534" s="203"/>
      <c r="F534" s="238"/>
      <c r="G534" s="203"/>
      <c r="H534" s="203"/>
      <c r="I534" s="203"/>
      <c r="J534" s="203"/>
    </row>
    <row r="535" spans="1:10">
      <c r="A535" s="203"/>
      <c r="B535" s="203"/>
      <c r="C535" s="203"/>
      <c r="D535" s="203"/>
      <c r="E535" s="203"/>
      <c r="F535" s="238"/>
      <c r="G535" s="203"/>
      <c r="H535" s="203"/>
      <c r="I535" s="203"/>
      <c r="J535" s="203"/>
    </row>
    <row r="536" spans="1:10">
      <c r="A536" s="203"/>
      <c r="B536" s="203"/>
      <c r="C536" s="203"/>
      <c r="D536" s="203"/>
      <c r="E536" s="203"/>
      <c r="F536" s="238"/>
      <c r="G536" s="203"/>
      <c r="H536" s="203"/>
      <c r="I536" s="203"/>
      <c r="J536" s="203"/>
    </row>
    <row r="537" spans="1:10">
      <c r="A537" s="203"/>
      <c r="B537" s="203"/>
      <c r="C537" s="203"/>
      <c r="D537" s="203"/>
      <c r="E537" s="203"/>
      <c r="F537" s="238"/>
      <c r="G537" s="203"/>
      <c r="H537" s="203"/>
      <c r="I537" s="203"/>
      <c r="J537" s="203"/>
    </row>
    <row r="538" spans="1:10">
      <c r="A538" s="203"/>
      <c r="B538" s="203"/>
      <c r="C538" s="203"/>
      <c r="D538" s="203"/>
      <c r="E538" s="203"/>
      <c r="F538" s="238"/>
      <c r="G538" s="203"/>
      <c r="H538" s="203"/>
      <c r="I538" s="203"/>
      <c r="J538" s="203"/>
    </row>
    <row r="539" spans="1:10">
      <c r="A539" s="203"/>
      <c r="B539" s="203"/>
      <c r="C539" s="203"/>
      <c r="D539" s="203"/>
      <c r="E539" s="203"/>
      <c r="F539" s="238"/>
      <c r="G539" s="203"/>
      <c r="H539" s="203"/>
      <c r="I539" s="203"/>
      <c r="J539" s="203"/>
    </row>
    <row r="540" spans="1:10">
      <c r="A540" s="203"/>
      <c r="B540" s="203"/>
      <c r="C540" s="203"/>
      <c r="D540" s="203"/>
      <c r="E540" s="203"/>
      <c r="F540" s="238"/>
      <c r="G540" s="203"/>
      <c r="H540" s="203"/>
      <c r="I540" s="203"/>
      <c r="J540" s="203"/>
    </row>
    <row r="541" spans="1:10">
      <c r="A541" s="203"/>
      <c r="B541" s="203"/>
      <c r="C541" s="203"/>
      <c r="D541" s="203"/>
      <c r="E541" s="203"/>
      <c r="F541" s="238"/>
      <c r="G541" s="203"/>
      <c r="H541" s="203"/>
      <c r="I541" s="203"/>
      <c r="J541" s="203"/>
    </row>
    <row r="542" spans="1:10">
      <c r="A542" s="203"/>
      <c r="B542" s="203"/>
      <c r="C542" s="203"/>
      <c r="D542" s="203"/>
      <c r="E542" s="203"/>
      <c r="F542" s="238"/>
      <c r="G542" s="203"/>
      <c r="H542" s="203"/>
      <c r="I542" s="203"/>
      <c r="J542" s="203"/>
    </row>
    <row r="543" spans="1:10">
      <c r="A543" s="203"/>
      <c r="B543" s="203"/>
      <c r="C543" s="203"/>
      <c r="D543" s="203"/>
      <c r="E543" s="203"/>
      <c r="F543" s="238"/>
      <c r="G543" s="203"/>
      <c r="H543" s="203"/>
      <c r="I543" s="203"/>
      <c r="J543" s="203"/>
    </row>
    <row r="544" spans="1:10">
      <c r="A544" s="203"/>
      <c r="B544" s="203"/>
      <c r="C544" s="203"/>
      <c r="D544" s="203"/>
      <c r="E544" s="203"/>
      <c r="F544" s="238"/>
      <c r="G544" s="203"/>
      <c r="H544" s="203"/>
      <c r="I544" s="203"/>
      <c r="J544" s="203"/>
    </row>
    <row r="545" spans="1:10">
      <c r="A545" s="203"/>
      <c r="B545" s="203"/>
      <c r="C545" s="203"/>
      <c r="D545" s="203"/>
      <c r="E545" s="203"/>
      <c r="F545" s="238"/>
      <c r="G545" s="203"/>
      <c r="H545" s="203"/>
      <c r="I545" s="203"/>
      <c r="J545" s="203"/>
    </row>
    <row r="546" spans="1:10">
      <c r="A546" s="203"/>
      <c r="B546" s="203"/>
      <c r="C546" s="203"/>
      <c r="D546" s="203"/>
      <c r="E546" s="203"/>
      <c r="F546" s="238"/>
      <c r="G546" s="203"/>
      <c r="H546" s="203"/>
      <c r="I546" s="203"/>
      <c r="J546" s="203"/>
    </row>
    <row r="547" spans="1:10">
      <c r="A547" s="203"/>
      <c r="B547" s="203"/>
      <c r="C547" s="203"/>
      <c r="D547" s="203"/>
      <c r="E547" s="203"/>
      <c r="F547" s="238"/>
      <c r="G547" s="203"/>
      <c r="H547" s="203"/>
      <c r="I547" s="203"/>
      <c r="J547" s="203"/>
    </row>
    <row r="548" spans="1:10">
      <c r="A548" s="203"/>
      <c r="B548" s="203"/>
      <c r="C548" s="203"/>
      <c r="D548" s="203"/>
      <c r="E548" s="203"/>
      <c r="F548" s="238"/>
      <c r="G548" s="203"/>
      <c r="H548" s="203"/>
      <c r="I548" s="203"/>
      <c r="J548" s="203"/>
    </row>
    <row r="549" spans="1:10">
      <c r="A549" s="203"/>
      <c r="B549" s="203"/>
      <c r="C549" s="203"/>
      <c r="D549" s="203"/>
      <c r="E549" s="203"/>
      <c r="F549" s="238"/>
      <c r="G549" s="203"/>
      <c r="H549" s="203"/>
      <c r="I549" s="203"/>
      <c r="J549" s="203"/>
    </row>
    <row r="550" spans="1:10">
      <c r="A550" s="203"/>
      <c r="B550" s="203"/>
      <c r="C550" s="203"/>
      <c r="D550" s="203"/>
      <c r="E550" s="203"/>
      <c r="F550" s="238"/>
      <c r="G550" s="203"/>
      <c r="H550" s="203"/>
      <c r="I550" s="203"/>
      <c r="J550" s="203"/>
    </row>
    <row r="551" spans="1:10">
      <c r="A551" s="203"/>
      <c r="B551" s="203"/>
      <c r="C551" s="203"/>
      <c r="D551" s="203"/>
      <c r="E551" s="203"/>
      <c r="F551" s="238"/>
      <c r="G551" s="203"/>
      <c r="H551" s="203"/>
      <c r="I551" s="203"/>
      <c r="J551" s="203"/>
    </row>
    <row r="552" spans="1:10">
      <c r="A552" s="203"/>
      <c r="B552" s="203"/>
      <c r="C552" s="203"/>
      <c r="D552" s="203"/>
      <c r="E552" s="203"/>
      <c r="F552" s="238"/>
      <c r="G552" s="203"/>
      <c r="H552" s="203"/>
      <c r="I552" s="203"/>
      <c r="J552" s="203"/>
    </row>
    <row r="553" spans="1:10">
      <c r="A553" s="203"/>
      <c r="B553" s="203"/>
      <c r="C553" s="203"/>
      <c r="D553" s="203"/>
      <c r="E553" s="203"/>
      <c r="F553" s="238"/>
      <c r="G553" s="203"/>
      <c r="H553" s="203"/>
      <c r="I553" s="203"/>
      <c r="J553" s="203"/>
    </row>
    <row r="554" spans="1:10">
      <c r="A554" s="203"/>
      <c r="B554" s="203"/>
      <c r="C554" s="203"/>
      <c r="D554" s="203"/>
      <c r="E554" s="203"/>
      <c r="F554" s="238"/>
      <c r="G554" s="203"/>
      <c r="H554" s="203"/>
      <c r="I554" s="203"/>
      <c r="J554" s="203"/>
    </row>
    <row r="555" spans="1:10">
      <c r="A555" s="203"/>
      <c r="B555" s="203"/>
      <c r="C555" s="203"/>
      <c r="D555" s="203"/>
      <c r="E555" s="203"/>
      <c r="F555" s="238"/>
      <c r="G555" s="203"/>
      <c r="H555" s="203"/>
      <c r="I555" s="203"/>
      <c r="J555" s="203"/>
    </row>
    <row r="556" spans="1:10">
      <c r="A556" s="203"/>
      <c r="B556" s="203"/>
      <c r="C556" s="203"/>
      <c r="D556" s="203"/>
      <c r="E556" s="203"/>
      <c r="F556" s="238"/>
      <c r="G556" s="203"/>
      <c r="H556" s="203"/>
      <c r="I556" s="203"/>
      <c r="J556" s="203"/>
    </row>
    <row r="557" spans="1:10">
      <c r="A557" s="203"/>
      <c r="B557" s="203"/>
      <c r="C557" s="203"/>
      <c r="D557" s="203"/>
      <c r="E557" s="203"/>
      <c r="F557" s="238"/>
      <c r="G557" s="203"/>
      <c r="H557" s="203"/>
      <c r="I557" s="203"/>
      <c r="J557" s="203"/>
    </row>
    <row r="558" spans="1:10">
      <c r="A558" s="203"/>
      <c r="B558" s="203"/>
      <c r="C558" s="203"/>
      <c r="D558" s="203"/>
      <c r="E558" s="203"/>
      <c r="F558" s="238"/>
      <c r="G558" s="203"/>
      <c r="H558" s="203"/>
      <c r="I558" s="203"/>
      <c r="J558" s="203"/>
    </row>
    <row r="559" spans="1:10">
      <c r="A559" s="203"/>
      <c r="B559" s="203"/>
      <c r="C559" s="203"/>
      <c r="D559" s="203"/>
      <c r="E559" s="203"/>
      <c r="F559" s="238"/>
      <c r="G559" s="203"/>
      <c r="H559" s="203"/>
      <c r="I559" s="203"/>
      <c r="J559" s="203"/>
    </row>
    <row r="560" spans="1:10">
      <c r="A560" s="203"/>
      <c r="B560" s="203"/>
      <c r="C560" s="203"/>
      <c r="D560" s="203"/>
      <c r="E560" s="203"/>
      <c r="F560" s="238"/>
      <c r="G560" s="203"/>
      <c r="H560" s="203"/>
      <c r="I560" s="203"/>
      <c r="J560" s="203"/>
    </row>
    <row r="561" spans="1:10">
      <c r="A561" s="203"/>
      <c r="B561" s="203"/>
      <c r="C561" s="203"/>
      <c r="D561" s="203"/>
      <c r="E561" s="203"/>
      <c r="F561" s="238"/>
      <c r="G561" s="203"/>
      <c r="H561" s="203"/>
      <c r="I561" s="203"/>
      <c r="J561" s="203"/>
    </row>
    <row r="562" spans="1:10">
      <c r="A562" s="203"/>
      <c r="B562" s="203"/>
      <c r="C562" s="203"/>
      <c r="D562" s="203"/>
      <c r="E562" s="203"/>
      <c r="F562" s="238"/>
      <c r="G562" s="203"/>
      <c r="H562" s="203"/>
      <c r="I562" s="203"/>
      <c r="J562" s="203"/>
    </row>
    <row r="563" spans="1:10">
      <c r="A563" s="203"/>
      <c r="B563" s="203"/>
      <c r="C563" s="203"/>
      <c r="D563" s="203"/>
      <c r="E563" s="203"/>
      <c r="F563" s="238"/>
      <c r="G563" s="203"/>
      <c r="H563" s="203"/>
      <c r="I563" s="203"/>
      <c r="J563" s="203"/>
    </row>
    <row r="564" spans="1:10">
      <c r="A564" s="203"/>
      <c r="B564" s="203"/>
      <c r="C564" s="203"/>
      <c r="D564" s="203"/>
      <c r="E564" s="203"/>
      <c r="F564" s="238"/>
      <c r="G564" s="203"/>
      <c r="H564" s="203"/>
      <c r="I564" s="203"/>
      <c r="J564" s="203"/>
    </row>
    <row r="565" spans="1:10">
      <c r="A565" s="203"/>
      <c r="B565" s="203"/>
      <c r="C565" s="203"/>
      <c r="D565" s="203"/>
      <c r="E565" s="203"/>
      <c r="F565" s="238"/>
      <c r="G565" s="203"/>
      <c r="H565" s="203"/>
      <c r="I565" s="203"/>
      <c r="J565" s="203"/>
    </row>
    <row r="566" spans="1:10">
      <c r="A566" s="203"/>
      <c r="B566" s="203"/>
      <c r="C566" s="203"/>
      <c r="D566" s="203"/>
      <c r="E566" s="203"/>
      <c r="F566" s="238"/>
      <c r="G566" s="203"/>
      <c r="H566" s="203"/>
      <c r="I566" s="203"/>
      <c r="J566" s="203"/>
    </row>
    <row r="567" spans="1:10">
      <c r="A567" s="203"/>
      <c r="B567" s="203"/>
      <c r="C567" s="203"/>
      <c r="D567" s="203"/>
      <c r="E567" s="203"/>
      <c r="F567" s="238"/>
      <c r="G567" s="203"/>
      <c r="H567" s="203"/>
      <c r="I567" s="203"/>
      <c r="J567" s="203"/>
    </row>
    <row r="568" spans="1:10">
      <c r="A568" s="203"/>
      <c r="B568" s="203"/>
      <c r="C568" s="203"/>
      <c r="D568" s="203"/>
      <c r="E568" s="203"/>
      <c r="F568" s="238"/>
      <c r="G568" s="203"/>
      <c r="H568" s="203"/>
      <c r="I568" s="203"/>
      <c r="J568" s="203"/>
    </row>
    <row r="569" spans="1:10">
      <c r="A569" s="203"/>
      <c r="B569" s="203"/>
      <c r="C569" s="203"/>
      <c r="D569" s="203"/>
      <c r="E569" s="203"/>
      <c r="F569" s="238"/>
      <c r="G569" s="203"/>
      <c r="H569" s="203"/>
      <c r="I569" s="203"/>
      <c r="J569" s="203"/>
    </row>
    <row r="570" spans="1:10">
      <c r="A570" s="203"/>
      <c r="B570" s="203"/>
      <c r="C570" s="203"/>
      <c r="D570" s="203"/>
      <c r="E570" s="203"/>
      <c r="F570" s="238"/>
      <c r="G570" s="203"/>
      <c r="H570" s="203"/>
      <c r="I570" s="203"/>
      <c r="J570" s="203"/>
    </row>
    <row r="571" spans="1:10">
      <c r="A571" s="203"/>
      <c r="B571" s="203"/>
      <c r="C571" s="203"/>
      <c r="D571" s="203"/>
      <c r="E571" s="203"/>
      <c r="F571" s="238"/>
      <c r="G571" s="203"/>
      <c r="H571" s="203"/>
      <c r="I571" s="203"/>
      <c r="J571" s="203"/>
    </row>
    <row r="572" spans="1:10">
      <c r="A572" s="203"/>
      <c r="B572" s="203"/>
      <c r="C572" s="203"/>
      <c r="D572" s="203"/>
      <c r="E572" s="203"/>
      <c r="F572" s="238"/>
      <c r="G572" s="203"/>
      <c r="H572" s="203"/>
      <c r="I572" s="203"/>
      <c r="J572" s="203"/>
    </row>
    <row r="573" spans="1:10">
      <c r="A573" s="203"/>
      <c r="B573" s="203"/>
      <c r="C573" s="203"/>
      <c r="D573" s="203"/>
      <c r="E573" s="203"/>
      <c r="F573" s="238"/>
      <c r="G573" s="203"/>
      <c r="H573" s="203"/>
      <c r="I573" s="203"/>
      <c r="J573" s="203"/>
    </row>
    <row r="574" spans="1:10">
      <c r="A574" s="203"/>
      <c r="B574" s="203"/>
      <c r="C574" s="203"/>
      <c r="D574" s="203"/>
      <c r="E574" s="203"/>
      <c r="F574" s="238"/>
      <c r="G574" s="203"/>
      <c r="H574" s="203"/>
      <c r="I574" s="203"/>
      <c r="J574" s="203"/>
    </row>
    <row r="575" spans="1:10">
      <c r="A575" s="203"/>
      <c r="B575" s="203"/>
      <c r="C575" s="203"/>
      <c r="D575" s="203"/>
      <c r="E575" s="203"/>
      <c r="F575" s="238"/>
      <c r="G575" s="203"/>
      <c r="H575" s="203"/>
      <c r="I575" s="203"/>
      <c r="J575" s="203"/>
    </row>
    <row r="576" spans="1:10">
      <c r="A576" s="203"/>
      <c r="B576" s="203"/>
      <c r="C576" s="203"/>
      <c r="D576" s="203"/>
      <c r="E576" s="203"/>
      <c r="F576" s="238"/>
      <c r="G576" s="203"/>
      <c r="H576" s="203"/>
      <c r="I576" s="203"/>
      <c r="J576" s="203"/>
    </row>
    <row r="577" spans="1:10">
      <c r="A577" s="203"/>
      <c r="B577" s="203"/>
      <c r="C577" s="203"/>
      <c r="D577" s="203"/>
      <c r="E577" s="203"/>
      <c r="F577" s="238"/>
      <c r="G577" s="203"/>
      <c r="H577" s="203"/>
      <c r="I577" s="203"/>
      <c r="J577" s="203"/>
    </row>
    <row r="578" spans="1:10">
      <c r="A578" s="203"/>
      <c r="B578" s="203"/>
      <c r="C578" s="203"/>
      <c r="D578" s="203"/>
      <c r="E578" s="203"/>
      <c r="F578" s="238"/>
      <c r="G578" s="203"/>
      <c r="H578" s="203"/>
      <c r="I578" s="203"/>
      <c r="J578" s="203"/>
    </row>
    <row r="579" spans="1:10">
      <c r="A579" s="203"/>
      <c r="B579" s="203"/>
      <c r="C579" s="203"/>
      <c r="D579" s="203"/>
      <c r="E579" s="203"/>
      <c r="F579" s="238"/>
      <c r="G579" s="203"/>
      <c r="H579" s="203"/>
      <c r="I579" s="203"/>
      <c r="J579" s="203"/>
    </row>
    <row r="580" spans="1:10">
      <c r="A580" s="203"/>
      <c r="B580" s="203"/>
      <c r="C580" s="203"/>
      <c r="D580" s="203"/>
      <c r="E580" s="203"/>
      <c r="F580" s="238"/>
      <c r="G580" s="203"/>
      <c r="H580" s="203"/>
      <c r="I580" s="203"/>
      <c r="J580" s="203"/>
    </row>
    <row r="581" spans="1:10">
      <c r="A581" s="203"/>
      <c r="B581" s="203"/>
      <c r="C581" s="203"/>
      <c r="D581" s="203"/>
      <c r="E581" s="203"/>
      <c r="F581" s="238"/>
      <c r="G581" s="203"/>
      <c r="H581" s="203"/>
      <c r="I581" s="203"/>
      <c r="J581" s="203"/>
    </row>
    <row r="582" spans="1:10">
      <c r="A582" s="203"/>
      <c r="B582" s="203"/>
      <c r="C582" s="203"/>
      <c r="D582" s="203"/>
      <c r="E582" s="203"/>
      <c r="F582" s="238"/>
      <c r="G582" s="203"/>
      <c r="H582" s="203"/>
      <c r="I582" s="203"/>
      <c r="J582" s="203"/>
    </row>
    <row r="583" spans="1:10">
      <c r="A583" s="203"/>
      <c r="B583" s="203"/>
      <c r="C583" s="203"/>
      <c r="D583" s="203"/>
      <c r="E583" s="203"/>
      <c r="F583" s="238"/>
      <c r="G583" s="203"/>
      <c r="H583" s="203"/>
      <c r="I583" s="203"/>
      <c r="J583" s="203"/>
    </row>
    <row r="584" spans="1:10">
      <c r="A584" s="203"/>
      <c r="B584" s="203"/>
      <c r="C584" s="203"/>
      <c r="D584" s="203"/>
      <c r="E584" s="203"/>
      <c r="F584" s="238"/>
      <c r="G584" s="203"/>
      <c r="H584" s="203"/>
      <c r="I584" s="203"/>
      <c r="J584" s="203"/>
    </row>
    <row r="585" spans="1:10">
      <c r="A585" s="203"/>
      <c r="B585" s="203"/>
      <c r="C585" s="203"/>
      <c r="D585" s="203"/>
      <c r="E585" s="203"/>
      <c r="F585" s="238"/>
      <c r="G585" s="203"/>
      <c r="H585" s="203"/>
      <c r="I585" s="203"/>
      <c r="J585" s="203"/>
    </row>
    <row r="586" spans="1:10">
      <c r="A586" s="203"/>
      <c r="B586" s="203"/>
      <c r="C586" s="203"/>
      <c r="D586" s="203"/>
      <c r="E586" s="203"/>
      <c r="F586" s="238"/>
      <c r="G586" s="203"/>
      <c r="H586" s="203"/>
      <c r="I586" s="203"/>
      <c r="J586" s="203"/>
    </row>
    <row r="587" spans="1:10">
      <c r="A587" s="203"/>
      <c r="B587" s="203"/>
      <c r="C587" s="203"/>
      <c r="D587" s="203"/>
      <c r="E587" s="203"/>
      <c r="F587" s="238"/>
      <c r="G587" s="203"/>
      <c r="H587" s="203"/>
      <c r="I587" s="203"/>
      <c r="J587" s="203"/>
    </row>
    <row r="588" spans="1:10">
      <c r="A588" s="203"/>
      <c r="B588" s="203"/>
      <c r="C588" s="203"/>
      <c r="D588" s="203"/>
      <c r="E588" s="203"/>
      <c r="F588" s="238"/>
      <c r="G588" s="203"/>
      <c r="H588" s="203"/>
      <c r="I588" s="203"/>
      <c r="J588" s="203"/>
    </row>
    <row r="589" spans="1:10">
      <c r="A589" s="203"/>
      <c r="B589" s="203"/>
      <c r="C589" s="203"/>
      <c r="D589" s="203"/>
      <c r="E589" s="203"/>
      <c r="F589" s="238"/>
      <c r="G589" s="203"/>
      <c r="H589" s="203"/>
      <c r="I589" s="203"/>
      <c r="J589" s="203"/>
    </row>
    <row r="590" spans="1:10">
      <c r="A590" s="203"/>
      <c r="B590" s="203"/>
      <c r="C590" s="203"/>
      <c r="D590" s="203"/>
      <c r="E590" s="203"/>
      <c r="F590" s="238"/>
      <c r="G590" s="203"/>
      <c r="H590" s="203"/>
      <c r="I590" s="203"/>
      <c r="J590" s="203"/>
    </row>
    <row r="591" spans="1:10">
      <c r="A591" s="203"/>
      <c r="B591" s="203"/>
      <c r="C591" s="203"/>
      <c r="D591" s="203"/>
      <c r="E591" s="203"/>
      <c r="F591" s="238"/>
      <c r="G591" s="203"/>
      <c r="H591" s="203"/>
      <c r="I591" s="203"/>
      <c r="J591" s="203"/>
    </row>
    <row r="592" spans="1:10">
      <c r="A592" s="203"/>
      <c r="B592" s="203"/>
      <c r="C592" s="203"/>
      <c r="D592" s="203"/>
      <c r="E592" s="203"/>
      <c r="F592" s="238"/>
      <c r="G592" s="203"/>
      <c r="H592" s="203"/>
      <c r="I592" s="203"/>
      <c r="J592" s="203"/>
    </row>
    <row r="593" spans="1:10">
      <c r="A593" s="203"/>
      <c r="B593" s="203"/>
      <c r="C593" s="203"/>
      <c r="D593" s="203"/>
      <c r="E593" s="203"/>
      <c r="F593" s="238"/>
      <c r="G593" s="203"/>
      <c r="H593" s="203"/>
      <c r="I593" s="203"/>
      <c r="J593" s="203"/>
    </row>
    <row r="594" spans="1:10">
      <c r="A594" s="203"/>
      <c r="B594" s="203"/>
      <c r="C594" s="203"/>
      <c r="D594" s="203"/>
      <c r="E594" s="203"/>
      <c r="F594" s="238"/>
      <c r="G594" s="203"/>
      <c r="H594" s="203"/>
      <c r="I594" s="203"/>
      <c r="J594" s="203"/>
    </row>
    <row r="595" spans="1:10">
      <c r="A595" s="203"/>
      <c r="B595" s="203"/>
      <c r="C595" s="203"/>
      <c r="D595" s="203"/>
      <c r="E595" s="203"/>
      <c r="F595" s="238"/>
      <c r="G595" s="203"/>
      <c r="H595" s="203"/>
      <c r="I595" s="203"/>
      <c r="J595" s="203"/>
    </row>
    <row r="596" spans="1:10">
      <c r="A596" s="203"/>
      <c r="B596" s="203"/>
      <c r="C596" s="203"/>
      <c r="D596" s="203"/>
      <c r="E596" s="203"/>
      <c r="F596" s="238"/>
      <c r="G596" s="203"/>
      <c r="H596" s="203"/>
      <c r="I596" s="203"/>
      <c r="J596" s="203"/>
    </row>
    <row r="597" spans="1:10">
      <c r="A597" s="203"/>
      <c r="B597" s="203"/>
      <c r="C597" s="203"/>
      <c r="D597" s="203"/>
      <c r="E597" s="203"/>
      <c r="F597" s="238"/>
      <c r="G597" s="203"/>
      <c r="H597" s="203"/>
      <c r="I597" s="203"/>
      <c r="J597" s="203"/>
    </row>
    <row r="598" spans="1:10">
      <c r="A598" s="203"/>
      <c r="B598" s="203"/>
      <c r="C598" s="203"/>
      <c r="D598" s="203"/>
      <c r="E598" s="203"/>
      <c r="F598" s="238"/>
      <c r="G598" s="203"/>
      <c r="H598" s="203"/>
      <c r="I598" s="203"/>
      <c r="J598" s="203"/>
    </row>
    <row r="599" spans="1:10">
      <c r="A599" s="203"/>
      <c r="B599" s="203"/>
      <c r="C599" s="203"/>
      <c r="D599" s="203"/>
      <c r="E599" s="203"/>
      <c r="F599" s="238"/>
      <c r="G599" s="203"/>
      <c r="H599" s="203"/>
      <c r="I599" s="203"/>
      <c r="J599" s="203"/>
    </row>
    <row r="600" spans="1:10">
      <c r="A600" s="203"/>
      <c r="B600" s="203"/>
      <c r="C600" s="203"/>
      <c r="D600" s="203"/>
      <c r="E600" s="203"/>
      <c r="F600" s="238"/>
      <c r="G600" s="203"/>
      <c r="H600" s="203"/>
      <c r="I600" s="203"/>
      <c r="J600" s="203"/>
    </row>
    <row r="601" spans="1:10">
      <c r="A601" s="203"/>
      <c r="B601" s="203"/>
      <c r="C601" s="203"/>
      <c r="D601" s="203"/>
      <c r="E601" s="203"/>
      <c r="F601" s="238"/>
      <c r="G601" s="203"/>
      <c r="H601" s="203"/>
      <c r="I601" s="203"/>
      <c r="J601" s="203"/>
    </row>
    <row r="602" spans="1:10">
      <c r="A602" s="203"/>
      <c r="B602" s="203"/>
      <c r="C602" s="203"/>
      <c r="D602" s="203"/>
      <c r="E602" s="203"/>
      <c r="F602" s="238"/>
      <c r="G602" s="203"/>
      <c r="H602" s="203"/>
      <c r="I602" s="203"/>
      <c r="J602" s="203"/>
    </row>
    <row r="603" spans="1:10">
      <c r="A603" s="203"/>
      <c r="B603" s="203"/>
      <c r="C603" s="203"/>
      <c r="D603" s="203"/>
      <c r="E603" s="203"/>
      <c r="F603" s="238"/>
      <c r="G603" s="203"/>
      <c r="H603" s="203"/>
      <c r="I603" s="203"/>
      <c r="J603" s="203"/>
    </row>
    <row r="604" spans="1:10">
      <c r="A604" s="203"/>
      <c r="B604" s="203"/>
      <c r="C604" s="203"/>
      <c r="D604" s="203"/>
      <c r="E604" s="203"/>
      <c r="F604" s="238"/>
      <c r="G604" s="203"/>
      <c r="H604" s="203"/>
      <c r="I604" s="203"/>
      <c r="J604" s="203"/>
    </row>
    <row r="605" spans="1:10">
      <c r="A605" s="203"/>
      <c r="B605" s="203"/>
      <c r="C605" s="203"/>
      <c r="D605" s="203"/>
      <c r="E605" s="203"/>
      <c r="F605" s="238"/>
      <c r="G605" s="203"/>
      <c r="H605" s="203"/>
      <c r="I605" s="203"/>
      <c r="J605" s="203"/>
    </row>
    <row r="606" spans="1:10">
      <c r="A606" s="203"/>
      <c r="B606" s="203"/>
      <c r="C606" s="203"/>
      <c r="D606" s="203"/>
      <c r="E606" s="203"/>
      <c r="F606" s="238"/>
      <c r="G606" s="203"/>
      <c r="H606" s="203"/>
      <c r="I606" s="203"/>
      <c r="J606" s="203"/>
    </row>
    <row r="607" spans="1:10">
      <c r="A607" s="203"/>
      <c r="B607" s="203"/>
      <c r="C607" s="203"/>
      <c r="D607" s="203"/>
      <c r="E607" s="203"/>
      <c r="F607" s="238"/>
      <c r="G607" s="203"/>
      <c r="H607" s="203"/>
      <c r="I607" s="203"/>
      <c r="J607" s="203"/>
    </row>
    <row r="608" spans="1:10">
      <c r="A608" s="203"/>
      <c r="B608" s="203"/>
      <c r="C608" s="203"/>
      <c r="D608" s="203"/>
      <c r="E608" s="203"/>
      <c r="F608" s="238"/>
      <c r="G608" s="203"/>
      <c r="H608" s="203"/>
      <c r="I608" s="203"/>
      <c r="J608" s="203"/>
    </row>
    <row r="609" spans="1:10">
      <c r="A609" s="203"/>
      <c r="B609" s="203"/>
      <c r="C609" s="203"/>
      <c r="D609" s="203"/>
      <c r="E609" s="203"/>
      <c r="F609" s="238"/>
      <c r="G609" s="203"/>
      <c r="H609" s="203"/>
      <c r="I609" s="203"/>
      <c r="J609" s="203"/>
    </row>
    <row r="610" spans="1:10">
      <c r="A610" s="203"/>
      <c r="B610" s="203"/>
      <c r="C610" s="203"/>
      <c r="D610" s="203"/>
      <c r="E610" s="203"/>
      <c r="F610" s="238"/>
      <c r="G610" s="203"/>
      <c r="H610" s="203"/>
      <c r="I610" s="203"/>
      <c r="J610" s="203"/>
    </row>
    <row r="611" spans="1:10">
      <c r="A611" s="203"/>
      <c r="B611" s="203"/>
      <c r="C611" s="203"/>
      <c r="D611" s="203"/>
      <c r="E611" s="203"/>
      <c r="F611" s="238"/>
      <c r="G611" s="203"/>
      <c r="H611" s="203"/>
      <c r="I611" s="203"/>
      <c r="J611" s="203"/>
    </row>
    <row r="612" spans="1:10">
      <c r="A612" s="203"/>
      <c r="B612" s="203"/>
      <c r="C612" s="203"/>
      <c r="D612" s="203"/>
      <c r="E612" s="203"/>
      <c r="F612" s="238"/>
      <c r="G612" s="203"/>
      <c r="H612" s="203"/>
      <c r="I612" s="203"/>
      <c r="J612" s="203"/>
    </row>
    <row r="613" spans="1:10">
      <c r="A613" s="203"/>
      <c r="B613" s="203"/>
      <c r="C613" s="203"/>
      <c r="D613" s="203"/>
      <c r="E613" s="203"/>
      <c r="F613" s="238"/>
      <c r="G613" s="203"/>
      <c r="H613" s="203"/>
      <c r="I613" s="203"/>
      <c r="J613" s="203"/>
    </row>
    <row r="614" spans="1:10">
      <c r="A614" s="203"/>
      <c r="B614" s="203"/>
      <c r="C614" s="203"/>
      <c r="D614" s="203"/>
      <c r="E614" s="203"/>
      <c r="F614" s="238"/>
      <c r="G614" s="203"/>
      <c r="H614" s="203"/>
      <c r="I614" s="203"/>
      <c r="J614" s="203"/>
    </row>
    <row r="615" spans="1:10">
      <c r="A615" s="203"/>
      <c r="B615" s="203"/>
      <c r="C615" s="203"/>
      <c r="D615" s="203"/>
      <c r="E615" s="203"/>
      <c r="F615" s="238"/>
      <c r="G615" s="203"/>
      <c r="H615" s="203"/>
      <c r="I615" s="203"/>
      <c r="J615" s="203"/>
    </row>
    <row r="616" spans="1:10">
      <c r="A616" s="203"/>
      <c r="B616" s="203"/>
      <c r="C616" s="203"/>
      <c r="D616" s="203"/>
      <c r="E616" s="203"/>
      <c r="F616" s="238"/>
      <c r="G616" s="203"/>
      <c r="H616" s="203"/>
      <c r="I616" s="203"/>
      <c r="J616" s="203"/>
    </row>
    <row r="617" spans="1:10">
      <c r="A617" s="203"/>
      <c r="B617" s="203"/>
      <c r="C617" s="203"/>
      <c r="D617" s="203"/>
      <c r="E617" s="203"/>
      <c r="F617" s="238"/>
      <c r="G617" s="203"/>
      <c r="H617" s="203"/>
      <c r="I617" s="203"/>
      <c r="J617" s="203"/>
    </row>
    <row r="618" spans="1:10">
      <c r="A618" s="203"/>
      <c r="B618" s="203"/>
      <c r="C618" s="203"/>
      <c r="D618" s="203"/>
      <c r="E618" s="203"/>
      <c r="F618" s="238"/>
      <c r="G618" s="203"/>
      <c r="H618" s="203"/>
      <c r="I618" s="203"/>
      <c r="J618" s="203"/>
    </row>
    <row r="619" spans="1:10">
      <c r="A619" s="203"/>
      <c r="B619" s="203"/>
      <c r="C619" s="203"/>
      <c r="D619" s="203"/>
      <c r="E619" s="203"/>
      <c r="F619" s="238"/>
      <c r="G619" s="203"/>
      <c r="H619" s="203"/>
      <c r="I619" s="203"/>
      <c r="J619" s="203"/>
    </row>
    <row r="620" spans="1:10">
      <c r="A620" s="203"/>
      <c r="B620" s="203"/>
      <c r="C620" s="203"/>
      <c r="D620" s="203"/>
      <c r="E620" s="203"/>
      <c r="F620" s="238"/>
      <c r="G620" s="203"/>
      <c r="H620" s="203"/>
      <c r="I620" s="203"/>
      <c r="J620" s="203"/>
    </row>
    <row r="621" spans="1:10">
      <c r="A621" s="203"/>
      <c r="B621" s="203"/>
      <c r="C621" s="203"/>
      <c r="D621" s="203"/>
      <c r="E621" s="203"/>
      <c r="F621" s="238"/>
      <c r="G621" s="203"/>
      <c r="H621" s="203"/>
      <c r="I621" s="203"/>
      <c r="J621" s="203"/>
    </row>
    <row r="622" spans="1:10">
      <c r="A622" s="203"/>
      <c r="B622" s="203"/>
      <c r="C622" s="203"/>
      <c r="D622" s="203"/>
      <c r="E622" s="203"/>
      <c r="F622" s="238"/>
      <c r="G622" s="203"/>
      <c r="H622" s="203"/>
      <c r="I622" s="203"/>
      <c r="J622" s="203"/>
    </row>
    <row r="623" spans="1:10">
      <c r="A623" s="203"/>
      <c r="B623" s="203"/>
      <c r="C623" s="203"/>
      <c r="D623" s="203"/>
      <c r="E623" s="203"/>
      <c r="F623" s="238"/>
      <c r="G623" s="203"/>
      <c r="H623" s="203"/>
      <c r="I623" s="203"/>
      <c r="J623" s="203"/>
    </row>
    <row r="624" spans="1:10">
      <c r="A624" s="203"/>
      <c r="B624" s="203"/>
      <c r="C624" s="203"/>
      <c r="D624" s="203"/>
      <c r="E624" s="203"/>
      <c r="F624" s="238"/>
      <c r="G624" s="203"/>
      <c r="H624" s="203"/>
      <c r="I624" s="203"/>
      <c r="J624" s="203"/>
    </row>
    <row r="625" spans="1:10">
      <c r="A625" s="203"/>
      <c r="B625" s="203"/>
      <c r="C625" s="203"/>
      <c r="D625" s="203"/>
      <c r="E625" s="203"/>
      <c r="F625" s="238"/>
      <c r="G625" s="203"/>
      <c r="H625" s="203"/>
      <c r="I625" s="203"/>
      <c r="J625" s="203"/>
    </row>
    <row r="626" spans="1:10">
      <c r="A626" s="203"/>
      <c r="B626" s="203"/>
      <c r="C626" s="203"/>
      <c r="D626" s="203"/>
      <c r="E626" s="203"/>
      <c r="F626" s="238"/>
      <c r="G626" s="203"/>
      <c r="H626" s="203"/>
      <c r="I626" s="203"/>
      <c r="J626" s="203"/>
    </row>
    <row r="627" spans="1:10">
      <c r="A627" s="203"/>
      <c r="B627" s="203"/>
      <c r="C627" s="203"/>
      <c r="D627" s="203"/>
      <c r="E627" s="203"/>
      <c r="F627" s="238"/>
      <c r="G627" s="203"/>
      <c r="H627" s="203"/>
      <c r="I627" s="203"/>
      <c r="J627" s="203"/>
    </row>
    <row r="628" spans="1:10">
      <c r="A628" s="203"/>
      <c r="B628" s="203"/>
      <c r="C628" s="203"/>
      <c r="D628" s="203"/>
      <c r="E628" s="203"/>
      <c r="F628" s="238"/>
      <c r="G628" s="203"/>
      <c r="H628" s="203"/>
      <c r="I628" s="203"/>
      <c r="J628" s="203"/>
    </row>
    <row r="629" spans="1:10">
      <c r="A629" s="203"/>
      <c r="B629" s="203"/>
      <c r="C629" s="203"/>
      <c r="D629" s="203"/>
      <c r="E629" s="203"/>
      <c r="F629" s="238"/>
      <c r="G629" s="203"/>
      <c r="H629" s="203"/>
      <c r="I629" s="203"/>
      <c r="J629" s="203"/>
    </row>
    <row r="630" spans="1:10">
      <c r="A630" s="203"/>
      <c r="B630" s="203"/>
      <c r="C630" s="203"/>
      <c r="D630" s="203"/>
      <c r="E630" s="203"/>
      <c r="F630" s="238"/>
      <c r="G630" s="203"/>
      <c r="H630" s="203"/>
      <c r="I630" s="203"/>
      <c r="J630" s="203"/>
    </row>
    <row r="631" spans="1:10">
      <c r="A631" s="203"/>
      <c r="B631" s="203"/>
      <c r="C631" s="203"/>
      <c r="D631" s="203"/>
      <c r="E631" s="203"/>
      <c r="F631" s="238"/>
      <c r="G631" s="203"/>
      <c r="H631" s="203"/>
      <c r="I631" s="203"/>
      <c r="J631" s="203"/>
    </row>
    <row r="632" spans="1:10">
      <c r="A632" s="203"/>
      <c r="B632" s="203"/>
      <c r="C632" s="203"/>
      <c r="D632" s="203"/>
      <c r="E632" s="203"/>
      <c r="F632" s="238"/>
      <c r="G632" s="203"/>
      <c r="H632" s="203"/>
      <c r="I632" s="203"/>
      <c r="J632" s="203"/>
    </row>
    <row r="633" spans="1:10">
      <c r="A633" s="203"/>
      <c r="B633" s="203"/>
      <c r="C633" s="203"/>
      <c r="D633" s="203"/>
      <c r="E633" s="203"/>
      <c r="F633" s="238"/>
      <c r="G633" s="203"/>
      <c r="H633" s="203"/>
      <c r="I633" s="203"/>
      <c r="J633" s="203"/>
    </row>
    <row r="634" spans="1:10">
      <c r="A634" s="203"/>
      <c r="B634" s="203"/>
      <c r="C634" s="203"/>
      <c r="D634" s="203"/>
      <c r="E634" s="203"/>
      <c r="F634" s="238"/>
      <c r="G634" s="203"/>
      <c r="H634" s="203"/>
      <c r="I634" s="203"/>
      <c r="J634" s="203"/>
    </row>
    <row r="635" spans="1:10">
      <c r="A635" s="203"/>
      <c r="B635" s="203"/>
      <c r="C635" s="203"/>
      <c r="D635" s="203"/>
      <c r="E635" s="203"/>
      <c r="F635" s="238"/>
      <c r="G635" s="203"/>
      <c r="H635" s="203"/>
      <c r="I635" s="203"/>
      <c r="J635" s="203"/>
    </row>
    <row r="636" spans="1:10">
      <c r="A636" s="203"/>
      <c r="B636" s="203"/>
      <c r="C636" s="203"/>
      <c r="D636" s="203"/>
      <c r="E636" s="203"/>
      <c r="F636" s="238"/>
      <c r="G636" s="203"/>
      <c r="H636" s="203"/>
      <c r="I636" s="203"/>
      <c r="J636" s="203"/>
    </row>
    <row r="637" spans="1:10">
      <c r="A637" s="203"/>
      <c r="B637" s="203"/>
      <c r="C637" s="203"/>
      <c r="D637" s="203"/>
      <c r="E637" s="203"/>
      <c r="F637" s="238"/>
      <c r="G637" s="203"/>
      <c r="H637" s="203"/>
      <c r="I637" s="203"/>
      <c r="J637" s="203"/>
    </row>
    <row r="638" spans="1:10">
      <c r="A638" s="203"/>
      <c r="B638" s="203"/>
      <c r="C638" s="203"/>
      <c r="D638" s="203"/>
      <c r="E638" s="203"/>
      <c r="F638" s="238"/>
      <c r="G638" s="203"/>
      <c r="H638" s="203"/>
      <c r="I638" s="203"/>
      <c r="J638" s="203"/>
    </row>
    <row r="639" spans="1:10">
      <c r="A639" s="203"/>
      <c r="B639" s="203"/>
      <c r="C639" s="203"/>
      <c r="D639" s="203"/>
      <c r="E639" s="203"/>
      <c r="F639" s="238"/>
      <c r="G639" s="203"/>
      <c r="H639" s="203"/>
      <c r="I639" s="203"/>
      <c r="J639" s="203"/>
    </row>
    <row r="640" spans="1:10">
      <c r="A640" s="203"/>
      <c r="B640" s="203"/>
      <c r="C640" s="203"/>
      <c r="D640" s="203"/>
      <c r="E640" s="203"/>
      <c r="F640" s="238"/>
      <c r="G640" s="203"/>
      <c r="H640" s="203"/>
      <c r="I640" s="203"/>
      <c r="J640" s="203"/>
    </row>
    <row r="641" spans="1:10">
      <c r="A641" s="203"/>
      <c r="B641" s="203"/>
      <c r="C641" s="203"/>
      <c r="D641" s="203"/>
      <c r="E641" s="203"/>
      <c r="F641" s="238"/>
      <c r="G641" s="203"/>
      <c r="H641" s="203"/>
      <c r="I641" s="203"/>
      <c r="J641" s="203"/>
    </row>
    <row r="642" spans="1:10">
      <c r="A642" s="203"/>
      <c r="B642" s="203"/>
      <c r="C642" s="203"/>
      <c r="D642" s="203"/>
      <c r="E642" s="203"/>
      <c r="F642" s="238"/>
      <c r="G642" s="203"/>
      <c r="H642" s="203"/>
      <c r="I642" s="203"/>
      <c r="J642" s="203"/>
    </row>
    <row r="643" spans="1:10">
      <c r="A643" s="203"/>
      <c r="B643" s="203"/>
      <c r="C643" s="203"/>
      <c r="D643" s="203"/>
      <c r="E643" s="203"/>
      <c r="F643" s="238"/>
      <c r="G643" s="203"/>
      <c r="H643" s="203"/>
      <c r="I643" s="203"/>
      <c r="J643" s="203"/>
    </row>
    <row r="644" spans="1:10">
      <c r="A644" s="203"/>
      <c r="B644" s="203"/>
      <c r="C644" s="203"/>
      <c r="D644" s="203"/>
      <c r="E644" s="203"/>
      <c r="F644" s="238"/>
      <c r="G644" s="203"/>
      <c r="H644" s="203"/>
      <c r="I644" s="203"/>
      <c r="J644" s="203"/>
    </row>
    <row r="645" spans="1:10">
      <c r="A645" s="203"/>
      <c r="B645" s="203"/>
      <c r="C645" s="203"/>
      <c r="D645" s="203"/>
      <c r="E645" s="203"/>
      <c r="F645" s="238"/>
      <c r="G645" s="203"/>
      <c r="H645" s="203"/>
      <c r="I645" s="203"/>
      <c r="J645" s="203"/>
    </row>
    <row r="646" spans="1:10">
      <c r="A646" s="203"/>
      <c r="B646" s="203"/>
      <c r="C646" s="203"/>
      <c r="D646" s="203"/>
      <c r="E646" s="203"/>
      <c r="F646" s="238"/>
      <c r="G646" s="203"/>
      <c r="H646" s="203"/>
      <c r="I646" s="203"/>
      <c r="J646" s="203"/>
    </row>
    <row r="647" spans="1:10">
      <c r="A647" s="203"/>
      <c r="B647" s="203"/>
      <c r="C647" s="203"/>
      <c r="D647" s="203"/>
      <c r="E647" s="203"/>
      <c r="F647" s="238"/>
      <c r="G647" s="203"/>
      <c r="H647" s="203"/>
      <c r="I647" s="203"/>
      <c r="J647" s="203"/>
    </row>
    <row r="648" spans="1:10">
      <c r="A648" s="203"/>
      <c r="B648" s="203"/>
      <c r="C648" s="203"/>
      <c r="D648" s="203"/>
      <c r="E648" s="203"/>
      <c r="F648" s="238"/>
      <c r="G648" s="203"/>
      <c r="H648" s="203"/>
      <c r="I648" s="203"/>
      <c r="J648" s="203"/>
    </row>
    <row r="649" spans="1:10">
      <c r="A649" s="203"/>
      <c r="B649" s="203"/>
      <c r="C649" s="203"/>
      <c r="D649" s="203"/>
      <c r="E649" s="203"/>
      <c r="F649" s="238"/>
      <c r="G649" s="203"/>
      <c r="H649" s="203"/>
      <c r="I649" s="203"/>
      <c r="J649" s="203"/>
    </row>
    <row r="650" spans="1:10">
      <c r="A650" s="203"/>
      <c r="B650" s="203"/>
      <c r="C650" s="203"/>
      <c r="D650" s="203"/>
      <c r="E650" s="203"/>
      <c r="F650" s="238"/>
      <c r="G650" s="203"/>
      <c r="H650" s="203"/>
      <c r="I650" s="203"/>
      <c r="J650" s="203"/>
    </row>
    <row r="651" spans="1:10">
      <c r="A651" s="203"/>
      <c r="B651" s="203"/>
      <c r="C651" s="203"/>
      <c r="D651" s="203"/>
      <c r="E651" s="203"/>
      <c r="F651" s="238"/>
      <c r="G651" s="203"/>
      <c r="H651" s="203"/>
      <c r="I651" s="203"/>
      <c r="J651" s="203"/>
    </row>
    <row r="652" spans="1:10">
      <c r="A652" s="203"/>
      <c r="B652" s="203"/>
      <c r="C652" s="203"/>
      <c r="D652" s="203"/>
      <c r="E652" s="203"/>
      <c r="F652" s="238"/>
      <c r="G652" s="203"/>
      <c r="H652" s="203"/>
      <c r="I652" s="203"/>
      <c r="J652" s="203"/>
    </row>
    <row r="653" spans="1:10">
      <c r="A653" s="203"/>
      <c r="B653" s="203"/>
      <c r="C653" s="203"/>
      <c r="D653" s="203"/>
      <c r="E653" s="203"/>
      <c r="F653" s="238"/>
      <c r="G653" s="203"/>
      <c r="H653" s="203"/>
      <c r="I653" s="203"/>
      <c r="J653" s="203"/>
    </row>
    <row r="654" spans="1:10">
      <c r="A654" s="203"/>
      <c r="B654" s="203"/>
      <c r="C654" s="203"/>
      <c r="D654" s="203"/>
      <c r="E654" s="203"/>
      <c r="F654" s="238"/>
      <c r="G654" s="203"/>
      <c r="H654" s="203"/>
      <c r="I654" s="203"/>
      <c r="J654" s="203"/>
    </row>
    <row r="655" spans="1:10">
      <c r="A655" s="203"/>
      <c r="B655" s="203"/>
      <c r="C655" s="203"/>
      <c r="D655" s="203"/>
      <c r="E655" s="203"/>
      <c r="F655" s="238"/>
      <c r="G655" s="203"/>
      <c r="H655" s="203"/>
      <c r="I655" s="203"/>
      <c r="J655" s="203"/>
    </row>
    <row r="656" spans="1:10">
      <c r="A656" s="203"/>
      <c r="B656" s="203"/>
      <c r="C656" s="203"/>
      <c r="D656" s="203"/>
      <c r="E656" s="203"/>
      <c r="F656" s="238"/>
      <c r="G656" s="203"/>
      <c r="H656" s="203"/>
      <c r="I656" s="203"/>
      <c r="J656" s="203"/>
    </row>
    <row r="657" spans="1:10">
      <c r="A657" s="203"/>
      <c r="B657" s="203"/>
      <c r="C657" s="203"/>
      <c r="D657" s="203"/>
      <c r="E657" s="203"/>
      <c r="F657" s="238"/>
      <c r="G657" s="203"/>
      <c r="H657" s="203"/>
      <c r="I657" s="203"/>
      <c r="J657" s="203"/>
    </row>
    <row r="658" spans="1:10">
      <c r="A658" s="203"/>
      <c r="B658" s="203"/>
      <c r="C658" s="203"/>
      <c r="D658" s="203"/>
      <c r="E658" s="203"/>
      <c r="F658" s="238"/>
      <c r="G658" s="203"/>
      <c r="H658" s="203"/>
      <c r="I658" s="203"/>
      <c r="J658" s="203"/>
    </row>
    <row r="659" spans="1:10">
      <c r="A659" s="203"/>
      <c r="B659" s="203"/>
      <c r="C659" s="203"/>
      <c r="D659" s="203"/>
      <c r="E659" s="203"/>
      <c r="F659" s="238"/>
      <c r="G659" s="203"/>
      <c r="H659" s="203"/>
      <c r="I659" s="203"/>
      <c r="J659" s="203"/>
    </row>
    <row r="660" spans="1:10">
      <c r="A660" s="203"/>
      <c r="B660" s="203"/>
      <c r="C660" s="203"/>
      <c r="D660" s="203"/>
      <c r="E660" s="203"/>
      <c r="F660" s="238"/>
      <c r="G660" s="203"/>
      <c r="H660" s="203"/>
      <c r="I660" s="203"/>
      <c r="J660" s="203"/>
    </row>
    <row r="661" spans="1:10">
      <c r="A661" s="203"/>
      <c r="B661" s="203"/>
      <c r="C661" s="203"/>
      <c r="D661" s="203"/>
      <c r="E661" s="203"/>
      <c r="F661" s="238"/>
      <c r="G661" s="203"/>
      <c r="H661" s="203"/>
      <c r="I661" s="203"/>
      <c r="J661" s="203"/>
    </row>
    <row r="662" spans="1:10">
      <c r="A662" s="203"/>
      <c r="B662" s="203"/>
      <c r="C662" s="203"/>
      <c r="D662" s="203"/>
      <c r="E662" s="203"/>
      <c r="F662" s="238"/>
      <c r="G662" s="203"/>
      <c r="H662" s="203"/>
      <c r="I662" s="203"/>
      <c r="J662" s="203"/>
    </row>
    <row r="663" spans="1:10">
      <c r="A663" s="203"/>
      <c r="B663" s="203"/>
      <c r="C663" s="203"/>
      <c r="D663" s="203"/>
      <c r="E663" s="203"/>
      <c r="F663" s="238"/>
      <c r="G663" s="203"/>
      <c r="H663" s="203"/>
      <c r="I663" s="203"/>
      <c r="J663" s="203"/>
    </row>
    <row r="664" spans="1:10">
      <c r="A664" s="203"/>
      <c r="B664" s="203"/>
      <c r="C664" s="203"/>
      <c r="D664" s="203"/>
      <c r="E664" s="203"/>
      <c r="F664" s="238"/>
      <c r="G664" s="203"/>
      <c r="H664" s="203"/>
      <c r="I664" s="203"/>
      <c r="J664" s="203"/>
    </row>
    <row r="665" spans="1:10">
      <c r="A665" s="203"/>
      <c r="B665" s="203"/>
      <c r="C665" s="203"/>
      <c r="D665" s="203"/>
      <c r="E665" s="203"/>
      <c r="F665" s="238"/>
      <c r="G665" s="203"/>
      <c r="H665" s="203"/>
      <c r="I665" s="203"/>
      <c r="J665" s="203"/>
    </row>
    <row r="666" spans="1:10">
      <c r="A666" s="203"/>
      <c r="B666" s="203"/>
      <c r="C666" s="203"/>
      <c r="D666" s="203"/>
      <c r="E666" s="203"/>
      <c r="F666" s="238"/>
      <c r="G666" s="203"/>
      <c r="H666" s="203"/>
      <c r="I666" s="203"/>
      <c r="J666" s="203"/>
    </row>
    <row r="667" spans="1:10">
      <c r="A667" s="203"/>
      <c r="B667" s="203"/>
      <c r="C667" s="203"/>
      <c r="D667" s="203"/>
      <c r="E667" s="203"/>
      <c r="F667" s="238"/>
      <c r="G667" s="203"/>
      <c r="H667" s="203"/>
      <c r="I667" s="203"/>
      <c r="J667" s="203"/>
    </row>
    <row r="668" spans="1:10">
      <c r="A668" s="203"/>
      <c r="B668" s="203"/>
      <c r="C668" s="203"/>
      <c r="D668" s="203"/>
      <c r="E668" s="203"/>
      <c r="F668" s="238"/>
      <c r="G668" s="203"/>
      <c r="H668" s="203"/>
      <c r="I668" s="203"/>
      <c r="J668" s="203"/>
    </row>
    <row r="669" spans="1:10">
      <c r="A669" s="203"/>
      <c r="B669" s="203"/>
      <c r="C669" s="203"/>
      <c r="D669" s="203"/>
      <c r="E669" s="203"/>
      <c r="F669" s="238"/>
      <c r="G669" s="203"/>
      <c r="H669" s="203"/>
      <c r="I669" s="203"/>
      <c r="J669" s="203"/>
    </row>
    <row r="670" spans="1:10">
      <c r="A670" s="203"/>
      <c r="B670" s="203"/>
      <c r="C670" s="203"/>
      <c r="D670" s="203"/>
      <c r="E670" s="203"/>
      <c r="F670" s="238"/>
      <c r="G670" s="203"/>
      <c r="H670" s="203"/>
      <c r="I670" s="203"/>
      <c r="J670" s="203"/>
    </row>
    <row r="671" spans="1:10">
      <c r="A671" s="203"/>
      <c r="B671" s="203"/>
      <c r="C671" s="203"/>
      <c r="D671" s="203"/>
      <c r="E671" s="203"/>
      <c r="F671" s="238"/>
      <c r="G671" s="203"/>
      <c r="H671" s="203"/>
      <c r="I671" s="203"/>
      <c r="J671" s="203"/>
    </row>
    <row r="672" spans="1:10">
      <c r="A672" s="203"/>
      <c r="B672" s="203"/>
      <c r="C672" s="203"/>
      <c r="D672" s="203"/>
      <c r="E672" s="203"/>
      <c r="F672" s="238"/>
      <c r="G672" s="203"/>
      <c r="H672" s="203"/>
      <c r="I672" s="203"/>
      <c r="J672" s="203"/>
    </row>
    <row r="673" spans="1:10">
      <c r="A673" s="203"/>
      <c r="B673" s="203"/>
      <c r="C673" s="203"/>
      <c r="D673" s="203"/>
      <c r="E673" s="203"/>
      <c r="F673" s="238"/>
      <c r="G673" s="203"/>
      <c r="H673" s="203"/>
      <c r="I673" s="203"/>
      <c r="J673" s="203"/>
    </row>
    <row r="674" spans="1:10">
      <c r="A674" s="203"/>
      <c r="B674" s="203"/>
      <c r="C674" s="203"/>
      <c r="D674" s="203"/>
      <c r="E674" s="203"/>
      <c r="F674" s="238"/>
      <c r="G674" s="203"/>
      <c r="H674" s="203"/>
      <c r="I674" s="203"/>
      <c r="J674" s="203"/>
    </row>
    <row r="675" spans="1:10">
      <c r="A675" s="203"/>
      <c r="B675" s="203"/>
      <c r="C675" s="203"/>
      <c r="D675" s="203"/>
      <c r="E675" s="203"/>
      <c r="F675" s="238"/>
      <c r="G675" s="203"/>
      <c r="H675" s="203"/>
      <c r="I675" s="203"/>
      <c r="J675" s="203"/>
    </row>
    <row r="676" spans="1:10">
      <c r="A676" s="203"/>
      <c r="B676" s="203"/>
      <c r="C676" s="203"/>
      <c r="D676" s="203"/>
      <c r="E676" s="203"/>
      <c r="F676" s="238"/>
      <c r="G676" s="203"/>
      <c r="H676" s="203"/>
      <c r="I676" s="203"/>
      <c r="J676" s="203"/>
    </row>
    <row r="677" spans="1:10">
      <c r="A677" s="203"/>
      <c r="B677" s="203"/>
      <c r="C677" s="203"/>
      <c r="D677" s="203"/>
      <c r="E677" s="203"/>
      <c r="F677" s="238"/>
      <c r="G677" s="203"/>
      <c r="H677" s="203"/>
      <c r="I677" s="203"/>
      <c r="J677" s="203"/>
    </row>
    <row r="678" spans="1:10">
      <c r="A678" s="203"/>
      <c r="B678" s="203"/>
      <c r="C678" s="203"/>
      <c r="D678" s="203"/>
      <c r="E678" s="203"/>
      <c r="F678" s="238"/>
      <c r="G678" s="203"/>
      <c r="H678" s="203"/>
      <c r="I678" s="203"/>
      <c r="J678" s="203"/>
    </row>
    <row r="679" spans="1:10">
      <c r="A679" s="203"/>
      <c r="B679" s="203"/>
      <c r="C679" s="203"/>
      <c r="D679" s="203"/>
      <c r="E679" s="203"/>
      <c r="F679" s="238"/>
      <c r="G679" s="203"/>
      <c r="H679" s="203"/>
      <c r="I679" s="203"/>
      <c r="J679" s="203"/>
    </row>
    <row r="680" spans="1:10">
      <c r="A680" s="203"/>
      <c r="B680" s="203"/>
      <c r="C680" s="203"/>
      <c r="D680" s="203"/>
      <c r="E680" s="203"/>
      <c r="F680" s="238"/>
      <c r="G680" s="203"/>
      <c r="H680" s="203"/>
      <c r="I680" s="203"/>
      <c r="J680" s="203"/>
    </row>
    <row r="681" spans="1:10">
      <c r="A681" s="203"/>
      <c r="B681" s="203"/>
      <c r="C681" s="203"/>
      <c r="D681" s="203"/>
      <c r="E681" s="203"/>
      <c r="F681" s="238"/>
      <c r="G681" s="203"/>
      <c r="H681" s="203"/>
      <c r="I681" s="203"/>
      <c r="J681" s="203"/>
    </row>
    <row r="682" spans="1:10">
      <c r="A682" s="203"/>
      <c r="B682" s="203"/>
      <c r="C682" s="203"/>
      <c r="D682" s="203"/>
      <c r="E682" s="203"/>
      <c r="F682" s="238"/>
      <c r="G682" s="203"/>
      <c r="H682" s="203"/>
      <c r="I682" s="203"/>
      <c r="J682" s="203"/>
    </row>
    <row r="683" spans="1:10">
      <c r="A683" s="203"/>
      <c r="B683" s="203"/>
      <c r="C683" s="203"/>
      <c r="D683" s="203"/>
      <c r="E683" s="203"/>
      <c r="F683" s="238"/>
      <c r="G683" s="203"/>
      <c r="H683" s="203"/>
      <c r="I683" s="203"/>
      <c r="J683" s="203"/>
    </row>
    <row r="684" spans="1:10">
      <c r="A684" s="203"/>
      <c r="B684" s="203"/>
      <c r="C684" s="203"/>
      <c r="D684" s="203"/>
      <c r="E684" s="203"/>
      <c r="F684" s="238"/>
      <c r="G684" s="203"/>
      <c r="H684" s="203"/>
      <c r="I684" s="203"/>
      <c r="J684" s="203"/>
    </row>
    <row r="685" spans="1:10">
      <c r="A685" s="203"/>
      <c r="B685" s="203"/>
      <c r="C685" s="203"/>
      <c r="D685" s="203"/>
      <c r="E685" s="203"/>
      <c r="F685" s="238"/>
      <c r="G685" s="203"/>
      <c r="H685" s="203"/>
      <c r="I685" s="203"/>
      <c r="J685" s="203"/>
    </row>
    <row r="686" spans="1:10">
      <c r="A686" s="203"/>
      <c r="B686" s="203"/>
      <c r="C686" s="203"/>
      <c r="D686" s="203"/>
      <c r="E686" s="203"/>
      <c r="F686" s="238"/>
      <c r="G686" s="203"/>
      <c r="H686" s="203"/>
      <c r="I686" s="203"/>
      <c r="J686" s="203"/>
    </row>
    <row r="687" spans="1:10">
      <c r="A687" s="203"/>
      <c r="B687" s="203"/>
      <c r="C687" s="203"/>
      <c r="D687" s="203"/>
      <c r="E687" s="203"/>
      <c r="F687" s="238"/>
      <c r="G687" s="203"/>
      <c r="H687" s="203"/>
      <c r="I687" s="203"/>
      <c r="J687" s="203"/>
    </row>
    <row r="688" spans="1:10">
      <c r="A688" s="203"/>
      <c r="B688" s="203"/>
      <c r="C688" s="203"/>
      <c r="D688" s="203"/>
      <c r="E688" s="203"/>
      <c r="F688" s="238"/>
      <c r="G688" s="203"/>
      <c r="H688" s="203"/>
      <c r="I688" s="203"/>
      <c r="J688" s="203"/>
    </row>
    <row r="689" spans="1:10">
      <c r="A689" s="203"/>
      <c r="B689" s="203"/>
      <c r="C689" s="203"/>
      <c r="D689" s="203"/>
      <c r="E689" s="203"/>
      <c r="F689" s="238"/>
      <c r="G689" s="203"/>
      <c r="H689" s="203"/>
      <c r="I689" s="203"/>
      <c r="J689" s="203"/>
    </row>
    <row r="690" spans="1:10">
      <c r="A690" s="203"/>
      <c r="B690" s="203"/>
      <c r="C690" s="203"/>
      <c r="D690" s="203"/>
      <c r="E690" s="203"/>
      <c r="F690" s="238"/>
      <c r="G690" s="203"/>
      <c r="H690" s="203"/>
      <c r="I690" s="203"/>
      <c r="J690" s="203"/>
    </row>
    <row r="691" spans="1:10">
      <c r="A691" s="203"/>
      <c r="B691" s="203"/>
      <c r="C691" s="203"/>
      <c r="D691" s="203"/>
      <c r="E691" s="203"/>
      <c r="F691" s="238"/>
      <c r="G691" s="203"/>
      <c r="H691" s="203"/>
      <c r="I691" s="203"/>
      <c r="J691" s="203"/>
    </row>
    <row r="692" spans="1:10">
      <c r="A692" s="203"/>
      <c r="B692" s="203"/>
      <c r="C692" s="203"/>
      <c r="D692" s="203"/>
      <c r="E692" s="203"/>
      <c r="F692" s="238"/>
      <c r="G692" s="203"/>
      <c r="H692" s="203"/>
      <c r="I692" s="203"/>
      <c r="J692" s="203"/>
    </row>
    <row r="693" spans="1:10">
      <c r="A693" s="203"/>
      <c r="B693" s="203"/>
      <c r="C693" s="203"/>
      <c r="D693" s="203"/>
      <c r="E693" s="203"/>
      <c r="F693" s="238"/>
      <c r="G693" s="203"/>
      <c r="H693" s="203"/>
      <c r="I693" s="203"/>
      <c r="J693" s="203"/>
    </row>
    <row r="694" spans="1:10">
      <c r="A694" s="203"/>
      <c r="B694" s="203"/>
      <c r="C694" s="203"/>
      <c r="D694" s="203"/>
      <c r="E694" s="203"/>
      <c r="F694" s="238"/>
      <c r="G694" s="203"/>
      <c r="H694" s="203"/>
      <c r="I694" s="203"/>
      <c r="J694" s="203"/>
    </row>
    <row r="695" spans="1:10">
      <c r="A695" s="203"/>
      <c r="B695" s="203"/>
      <c r="C695" s="203"/>
      <c r="D695" s="203"/>
      <c r="E695" s="203"/>
      <c r="F695" s="238"/>
      <c r="G695" s="203"/>
      <c r="H695" s="203"/>
      <c r="I695" s="203"/>
      <c r="J695" s="203"/>
    </row>
    <row r="696" spans="1:10">
      <c r="A696" s="203"/>
      <c r="B696" s="203"/>
      <c r="C696" s="203"/>
      <c r="D696" s="203"/>
      <c r="E696" s="203"/>
      <c r="F696" s="238"/>
      <c r="G696" s="203"/>
      <c r="H696" s="203"/>
      <c r="I696" s="203"/>
      <c r="J696" s="203"/>
    </row>
    <row r="697" spans="1:10">
      <c r="A697" s="203"/>
      <c r="B697" s="203"/>
      <c r="C697" s="203"/>
      <c r="D697" s="203"/>
      <c r="E697" s="203"/>
      <c r="F697" s="238"/>
      <c r="G697" s="203"/>
      <c r="H697" s="203"/>
      <c r="I697" s="203"/>
      <c r="J697" s="203"/>
    </row>
    <row r="698" spans="1:10">
      <c r="A698" s="203"/>
      <c r="B698" s="203"/>
      <c r="C698" s="203"/>
      <c r="D698" s="203"/>
      <c r="E698" s="203"/>
      <c r="F698" s="238"/>
      <c r="G698" s="203"/>
      <c r="H698" s="203"/>
      <c r="I698" s="203"/>
      <c r="J698" s="203"/>
    </row>
    <row r="699" spans="1:10">
      <c r="A699" s="203"/>
      <c r="B699" s="203"/>
      <c r="C699" s="203"/>
      <c r="D699" s="203"/>
      <c r="E699" s="203"/>
      <c r="F699" s="238"/>
      <c r="G699" s="203"/>
      <c r="H699" s="203"/>
      <c r="I699" s="203"/>
      <c r="J699" s="203"/>
    </row>
    <row r="700" spans="1:10">
      <c r="A700" s="203"/>
      <c r="B700" s="203"/>
      <c r="C700" s="203"/>
      <c r="D700" s="203"/>
      <c r="E700" s="203"/>
      <c r="F700" s="238"/>
      <c r="G700" s="203"/>
      <c r="H700" s="203"/>
      <c r="I700" s="203"/>
      <c r="J700" s="203"/>
    </row>
    <row r="701" spans="1:10">
      <c r="A701" s="203"/>
      <c r="B701" s="203"/>
      <c r="C701" s="203"/>
      <c r="D701" s="203"/>
      <c r="E701" s="203"/>
      <c r="F701" s="238"/>
      <c r="G701" s="203"/>
      <c r="H701" s="203"/>
      <c r="I701" s="203"/>
      <c r="J701" s="203"/>
    </row>
    <row r="702" spans="1:10">
      <c r="A702" s="203"/>
      <c r="B702" s="203"/>
      <c r="C702" s="203"/>
      <c r="D702" s="203"/>
      <c r="E702" s="203"/>
      <c r="F702" s="238"/>
      <c r="G702" s="203"/>
      <c r="H702" s="203"/>
      <c r="I702" s="203"/>
      <c r="J702" s="203"/>
    </row>
    <row r="703" spans="1:10">
      <c r="A703" s="203"/>
      <c r="B703" s="203"/>
      <c r="C703" s="203"/>
      <c r="D703" s="203"/>
      <c r="E703" s="203"/>
      <c r="F703" s="238"/>
      <c r="G703" s="203"/>
      <c r="H703" s="203"/>
      <c r="I703" s="203"/>
      <c r="J703" s="203"/>
    </row>
    <row r="704" spans="1:10">
      <c r="A704" s="203"/>
      <c r="B704" s="203"/>
      <c r="C704" s="203"/>
      <c r="D704" s="203"/>
      <c r="E704" s="203"/>
      <c r="F704" s="238"/>
      <c r="G704" s="203"/>
      <c r="H704" s="203"/>
      <c r="I704" s="203"/>
      <c r="J704" s="203"/>
    </row>
    <row r="705" spans="1:10">
      <c r="A705" s="203"/>
      <c r="B705" s="203"/>
      <c r="C705" s="203"/>
      <c r="D705" s="203"/>
      <c r="E705" s="203"/>
      <c r="F705" s="238"/>
      <c r="G705" s="203"/>
      <c r="H705" s="203"/>
      <c r="I705" s="203"/>
      <c r="J705" s="203"/>
    </row>
    <row r="706" spans="1:10">
      <c r="A706" s="203"/>
      <c r="B706" s="203"/>
      <c r="C706" s="203"/>
      <c r="D706" s="203"/>
      <c r="E706" s="203"/>
      <c r="F706" s="238"/>
      <c r="G706" s="203"/>
      <c r="H706" s="203"/>
      <c r="I706" s="203"/>
      <c r="J706" s="203"/>
    </row>
    <row r="707" spans="1:10">
      <c r="A707" s="203"/>
      <c r="B707" s="203"/>
      <c r="C707" s="203"/>
      <c r="D707" s="203"/>
      <c r="E707" s="203"/>
      <c r="F707" s="238"/>
      <c r="G707" s="203"/>
      <c r="H707" s="203"/>
      <c r="I707" s="203"/>
      <c r="J707" s="203"/>
    </row>
    <row r="708" spans="1:10">
      <c r="A708" s="203"/>
      <c r="B708" s="203"/>
      <c r="C708" s="203"/>
      <c r="D708" s="203"/>
      <c r="E708" s="203"/>
      <c r="F708" s="238"/>
      <c r="G708" s="203"/>
      <c r="H708" s="203"/>
      <c r="I708" s="203"/>
      <c r="J708" s="203"/>
    </row>
    <row r="709" spans="1:10">
      <c r="A709" s="203"/>
      <c r="B709" s="203"/>
      <c r="C709" s="203"/>
      <c r="D709" s="203"/>
      <c r="E709" s="203"/>
      <c r="F709" s="238"/>
      <c r="G709" s="203"/>
      <c r="H709" s="203"/>
      <c r="I709" s="203"/>
      <c r="J709" s="203"/>
    </row>
    <row r="710" spans="1:10">
      <c r="A710" s="203"/>
      <c r="B710" s="203"/>
      <c r="C710" s="203"/>
      <c r="D710" s="203"/>
      <c r="E710" s="203"/>
      <c r="F710" s="238"/>
      <c r="G710" s="203"/>
      <c r="H710" s="203"/>
      <c r="I710" s="203"/>
      <c r="J710" s="203"/>
    </row>
    <row r="711" spans="1:10">
      <c r="A711" s="203"/>
      <c r="B711" s="203"/>
      <c r="C711" s="203"/>
      <c r="D711" s="203"/>
      <c r="E711" s="203"/>
      <c r="F711" s="238"/>
      <c r="G711" s="203"/>
      <c r="H711" s="203"/>
      <c r="I711" s="203"/>
      <c r="J711" s="203"/>
    </row>
    <row r="712" spans="1:10">
      <c r="A712" s="203"/>
      <c r="B712" s="203"/>
      <c r="C712" s="203"/>
      <c r="D712" s="203"/>
      <c r="E712" s="203"/>
      <c r="F712" s="238"/>
      <c r="G712" s="203"/>
      <c r="H712" s="203"/>
      <c r="I712" s="203"/>
      <c r="J712" s="203"/>
    </row>
    <row r="713" spans="1:10">
      <c r="A713" s="203"/>
      <c r="B713" s="203"/>
      <c r="C713" s="203"/>
      <c r="D713" s="203"/>
      <c r="E713" s="203"/>
      <c r="F713" s="238"/>
      <c r="G713" s="203"/>
      <c r="H713" s="203"/>
      <c r="I713" s="203"/>
      <c r="J713" s="203"/>
    </row>
    <row r="714" spans="1:10">
      <c r="A714" s="203"/>
      <c r="B714" s="203"/>
      <c r="C714" s="203"/>
      <c r="D714" s="203"/>
      <c r="E714" s="203"/>
      <c r="F714" s="238"/>
      <c r="G714" s="203"/>
      <c r="H714" s="203"/>
      <c r="I714" s="203"/>
      <c r="J714" s="203"/>
    </row>
    <row r="715" spans="1:10">
      <c r="A715" s="203"/>
      <c r="B715" s="203"/>
      <c r="C715" s="203"/>
      <c r="D715" s="203"/>
      <c r="E715" s="203"/>
      <c r="F715" s="238"/>
      <c r="G715" s="203"/>
      <c r="H715" s="203"/>
      <c r="I715" s="203"/>
      <c r="J715" s="203"/>
    </row>
    <row r="716" spans="1:10">
      <c r="A716" s="203"/>
      <c r="B716" s="203"/>
      <c r="C716" s="203"/>
      <c r="D716" s="203"/>
      <c r="E716" s="203"/>
      <c r="F716" s="238"/>
      <c r="G716" s="203"/>
      <c r="H716" s="203"/>
      <c r="I716" s="203"/>
      <c r="J716" s="203"/>
    </row>
    <row r="717" spans="1:10">
      <c r="A717" s="203"/>
      <c r="B717" s="203"/>
      <c r="C717" s="203"/>
      <c r="D717" s="203"/>
      <c r="E717" s="203"/>
      <c r="F717" s="238"/>
      <c r="G717" s="203"/>
      <c r="H717" s="203"/>
      <c r="I717" s="203"/>
      <c r="J717" s="203"/>
    </row>
    <row r="718" spans="1:10">
      <c r="A718" s="203"/>
      <c r="B718" s="203"/>
      <c r="C718" s="203"/>
      <c r="D718" s="203"/>
      <c r="E718" s="203"/>
      <c r="F718" s="238"/>
      <c r="G718" s="203"/>
      <c r="H718" s="203"/>
      <c r="I718" s="203"/>
      <c r="J718" s="203"/>
    </row>
    <row r="719" spans="1:10">
      <c r="A719" s="203"/>
      <c r="B719" s="203"/>
      <c r="C719" s="203"/>
      <c r="D719" s="203"/>
      <c r="E719" s="203"/>
      <c r="F719" s="238"/>
      <c r="G719" s="203"/>
      <c r="H719" s="203"/>
      <c r="I719" s="203"/>
      <c r="J719" s="203"/>
    </row>
    <row r="720" spans="1:10">
      <c r="A720" s="203"/>
      <c r="B720" s="203"/>
      <c r="C720" s="203"/>
      <c r="D720" s="203"/>
      <c r="E720" s="203"/>
      <c r="F720" s="238"/>
      <c r="G720" s="203"/>
      <c r="H720" s="203"/>
      <c r="I720" s="203"/>
      <c r="J720" s="203"/>
    </row>
    <row r="721" spans="1:10">
      <c r="A721" s="203"/>
      <c r="B721" s="203"/>
      <c r="C721" s="203"/>
      <c r="D721" s="203"/>
      <c r="E721" s="203"/>
      <c r="F721" s="238"/>
      <c r="G721" s="203"/>
      <c r="H721" s="203"/>
      <c r="I721" s="203"/>
      <c r="J721" s="203"/>
    </row>
    <row r="722" spans="1:10">
      <c r="A722" s="203"/>
      <c r="B722" s="203"/>
      <c r="C722" s="203"/>
      <c r="D722" s="203"/>
      <c r="E722" s="203"/>
      <c r="F722" s="238"/>
      <c r="G722" s="203"/>
      <c r="H722" s="203"/>
      <c r="I722" s="203"/>
      <c r="J722" s="203"/>
    </row>
    <row r="723" spans="1:10">
      <c r="A723" s="203"/>
      <c r="B723" s="203"/>
      <c r="C723" s="203"/>
      <c r="D723" s="203"/>
      <c r="E723" s="203"/>
      <c r="F723" s="238"/>
      <c r="G723" s="203"/>
      <c r="H723" s="203"/>
      <c r="I723" s="203"/>
      <c r="J723" s="203"/>
    </row>
    <row r="724" spans="1:10">
      <c r="A724" s="203"/>
      <c r="B724" s="203"/>
      <c r="C724" s="203"/>
      <c r="D724" s="203"/>
      <c r="E724" s="203"/>
      <c r="F724" s="238"/>
      <c r="G724" s="203"/>
      <c r="H724" s="203"/>
      <c r="I724" s="203"/>
      <c r="J724" s="203"/>
    </row>
    <row r="725" spans="1:10">
      <c r="A725" s="203"/>
      <c r="B725" s="203"/>
      <c r="C725" s="203"/>
      <c r="D725" s="203"/>
      <c r="E725" s="203"/>
      <c r="F725" s="238"/>
      <c r="G725" s="203"/>
      <c r="H725" s="203"/>
      <c r="I725" s="203"/>
      <c r="J725" s="203"/>
    </row>
    <row r="726" spans="1:10">
      <c r="A726" s="203"/>
      <c r="B726" s="203"/>
      <c r="C726" s="203"/>
      <c r="D726" s="203"/>
      <c r="E726" s="203"/>
      <c r="F726" s="238"/>
      <c r="G726" s="203"/>
      <c r="H726" s="203"/>
      <c r="I726" s="203"/>
      <c r="J726" s="203"/>
    </row>
    <row r="727" spans="1:10">
      <c r="A727" s="203"/>
      <c r="B727" s="203"/>
      <c r="C727" s="203"/>
      <c r="D727" s="203"/>
      <c r="E727" s="203"/>
      <c r="F727" s="238"/>
      <c r="G727" s="203"/>
      <c r="H727" s="203"/>
      <c r="I727" s="203"/>
      <c r="J727" s="203"/>
    </row>
    <row r="728" spans="1:10">
      <c r="A728" s="203"/>
      <c r="B728" s="203"/>
      <c r="C728" s="203"/>
      <c r="D728" s="203"/>
      <c r="E728" s="203"/>
      <c r="F728" s="238"/>
      <c r="G728" s="203"/>
      <c r="H728" s="203"/>
      <c r="I728" s="203"/>
      <c r="J728" s="203"/>
    </row>
    <row r="729" spans="1:10">
      <c r="A729" s="203"/>
      <c r="B729" s="203"/>
      <c r="C729" s="203"/>
      <c r="D729" s="203"/>
      <c r="E729" s="203"/>
      <c r="F729" s="238"/>
      <c r="G729" s="203"/>
      <c r="H729" s="203"/>
      <c r="I729" s="203"/>
      <c r="J729" s="203"/>
    </row>
    <row r="730" spans="1:10">
      <c r="A730" s="203"/>
      <c r="B730" s="203"/>
      <c r="C730" s="203"/>
      <c r="D730" s="203"/>
      <c r="E730" s="203"/>
      <c r="F730" s="238"/>
      <c r="G730" s="203"/>
      <c r="H730" s="203"/>
      <c r="I730" s="203"/>
      <c r="J730" s="203"/>
    </row>
    <row r="731" spans="1:10">
      <c r="A731" s="203"/>
      <c r="B731" s="203"/>
      <c r="C731" s="203"/>
      <c r="D731" s="203"/>
      <c r="E731" s="203"/>
      <c r="F731" s="238"/>
      <c r="G731" s="203"/>
      <c r="H731" s="203"/>
      <c r="I731" s="203"/>
      <c r="J731" s="203"/>
    </row>
    <row r="732" spans="1:10">
      <c r="A732" s="203"/>
      <c r="B732" s="203"/>
      <c r="C732" s="203"/>
      <c r="D732" s="203"/>
      <c r="E732" s="203"/>
      <c r="F732" s="238"/>
      <c r="G732" s="203"/>
      <c r="H732" s="203"/>
      <c r="I732" s="203"/>
      <c r="J732" s="203"/>
    </row>
    <row r="733" spans="1:10">
      <c r="A733" s="203"/>
      <c r="B733" s="203"/>
      <c r="C733" s="203"/>
      <c r="D733" s="203"/>
      <c r="E733" s="203"/>
      <c r="F733" s="238"/>
      <c r="G733" s="203"/>
      <c r="H733" s="203"/>
      <c r="I733" s="203"/>
      <c r="J733" s="203"/>
    </row>
    <row r="734" spans="1:10">
      <c r="A734" s="203"/>
      <c r="B734" s="203"/>
      <c r="C734" s="203"/>
      <c r="D734" s="203"/>
      <c r="E734" s="203"/>
      <c r="F734" s="238"/>
      <c r="G734" s="203"/>
      <c r="H734" s="203"/>
      <c r="I734" s="203"/>
      <c r="J734" s="203"/>
    </row>
    <row r="735" spans="1:10">
      <c r="A735" s="203"/>
      <c r="B735" s="203"/>
      <c r="C735" s="203"/>
      <c r="D735" s="203"/>
      <c r="E735" s="203"/>
      <c r="F735" s="238"/>
      <c r="G735" s="203"/>
      <c r="H735" s="203"/>
      <c r="I735" s="203"/>
      <c r="J735" s="203"/>
    </row>
    <row r="736" spans="1:10">
      <c r="A736" s="203"/>
      <c r="B736" s="203"/>
      <c r="C736" s="203"/>
      <c r="D736" s="203"/>
      <c r="E736" s="203"/>
      <c r="F736" s="238"/>
      <c r="G736" s="203"/>
      <c r="H736" s="203"/>
      <c r="I736" s="203"/>
      <c r="J736" s="203"/>
    </row>
    <row r="737" spans="1:10">
      <c r="A737" s="203"/>
      <c r="B737" s="203"/>
      <c r="C737" s="203"/>
      <c r="D737" s="203"/>
      <c r="E737" s="203"/>
      <c r="F737" s="238"/>
      <c r="G737" s="203"/>
      <c r="H737" s="203"/>
      <c r="I737" s="203"/>
      <c r="J737" s="203"/>
    </row>
    <row r="738" spans="1:10">
      <c r="A738" s="203"/>
      <c r="B738" s="203"/>
      <c r="C738" s="203"/>
      <c r="D738" s="203"/>
      <c r="E738" s="203"/>
      <c r="F738" s="238"/>
      <c r="G738" s="203"/>
      <c r="H738" s="203"/>
      <c r="I738" s="203"/>
      <c r="J738" s="203"/>
    </row>
    <row r="739" spans="1:10">
      <c r="A739" s="203"/>
      <c r="B739" s="203"/>
      <c r="C739" s="203"/>
      <c r="D739" s="203"/>
      <c r="E739" s="203"/>
      <c r="F739" s="238"/>
      <c r="G739" s="203"/>
      <c r="H739" s="203"/>
      <c r="I739" s="203"/>
      <c r="J739" s="203"/>
    </row>
    <row r="740" spans="1:10">
      <c r="A740" s="203"/>
      <c r="B740" s="203"/>
      <c r="C740" s="203"/>
      <c r="D740" s="203"/>
      <c r="E740" s="203"/>
      <c r="F740" s="238"/>
      <c r="G740" s="203"/>
      <c r="H740" s="203"/>
      <c r="I740" s="203"/>
      <c r="J740" s="203"/>
    </row>
    <row r="741" spans="1:10">
      <c r="A741" s="203"/>
      <c r="B741" s="203"/>
      <c r="C741" s="203"/>
      <c r="D741" s="203"/>
      <c r="E741" s="203"/>
      <c r="F741" s="238"/>
      <c r="G741" s="203"/>
      <c r="H741" s="203"/>
      <c r="I741" s="203"/>
      <c r="J741" s="203"/>
    </row>
    <row r="742" spans="1:10">
      <c r="A742" s="203"/>
      <c r="B742" s="203"/>
      <c r="C742" s="203"/>
      <c r="D742" s="203"/>
      <c r="E742" s="203"/>
      <c r="F742" s="238"/>
      <c r="G742" s="203"/>
      <c r="H742" s="203"/>
      <c r="I742" s="203"/>
      <c r="J742" s="203"/>
    </row>
    <row r="743" spans="1:10">
      <c r="A743" s="203"/>
      <c r="B743" s="203"/>
      <c r="C743" s="203"/>
      <c r="D743" s="203"/>
      <c r="E743" s="203"/>
      <c r="F743" s="238"/>
      <c r="G743" s="203"/>
      <c r="H743" s="203"/>
      <c r="I743" s="203"/>
      <c r="J743" s="203"/>
    </row>
    <row r="744" spans="1:10">
      <c r="A744" s="203"/>
      <c r="B744" s="203"/>
      <c r="C744" s="203"/>
      <c r="D744" s="203"/>
      <c r="E744" s="203"/>
      <c r="F744" s="238"/>
      <c r="G744" s="203"/>
      <c r="H744" s="203"/>
      <c r="I744" s="203"/>
      <c r="J744" s="203"/>
    </row>
    <row r="745" spans="1:10">
      <c r="A745" s="203"/>
      <c r="B745" s="203"/>
      <c r="C745" s="203"/>
      <c r="D745" s="203"/>
      <c r="E745" s="203"/>
      <c r="F745" s="238"/>
      <c r="G745" s="203"/>
      <c r="H745" s="203"/>
      <c r="I745" s="203"/>
      <c r="J745" s="203"/>
    </row>
    <row r="746" spans="1:10">
      <c r="A746" s="203"/>
      <c r="B746" s="203"/>
      <c r="C746" s="203"/>
      <c r="D746" s="203"/>
      <c r="E746" s="203"/>
      <c r="F746" s="238"/>
      <c r="G746" s="203"/>
      <c r="H746" s="203"/>
      <c r="I746" s="203"/>
      <c r="J746" s="203"/>
    </row>
    <row r="747" spans="1:10">
      <c r="A747" s="203"/>
      <c r="B747" s="203"/>
      <c r="C747" s="203"/>
      <c r="D747" s="203"/>
      <c r="E747" s="203"/>
      <c r="F747" s="238"/>
      <c r="G747" s="203"/>
      <c r="H747" s="203"/>
      <c r="I747" s="203"/>
      <c r="J747" s="203"/>
    </row>
    <row r="748" spans="1:10">
      <c r="A748" s="203"/>
      <c r="B748" s="203"/>
      <c r="C748" s="203"/>
      <c r="D748" s="203"/>
      <c r="E748" s="203"/>
      <c r="F748" s="238"/>
      <c r="G748" s="203"/>
      <c r="H748" s="203"/>
      <c r="I748" s="203"/>
      <c r="J748" s="203"/>
    </row>
    <row r="749" spans="1:10">
      <c r="A749" s="203"/>
      <c r="B749" s="203"/>
      <c r="C749" s="203"/>
      <c r="D749" s="203"/>
      <c r="E749" s="203"/>
      <c r="F749" s="238"/>
      <c r="G749" s="203"/>
      <c r="H749" s="203"/>
      <c r="I749" s="203"/>
      <c r="J749" s="203"/>
    </row>
    <row r="750" spans="1:10">
      <c r="A750" s="203"/>
      <c r="B750" s="203"/>
      <c r="C750" s="203"/>
      <c r="D750" s="203"/>
      <c r="E750" s="203"/>
      <c r="F750" s="238"/>
      <c r="G750" s="203"/>
      <c r="H750" s="203"/>
      <c r="I750" s="203"/>
      <c r="J750" s="203"/>
    </row>
    <row r="751" spans="1:10">
      <c r="A751" s="203"/>
      <c r="B751" s="203"/>
      <c r="C751" s="203"/>
      <c r="D751" s="203"/>
      <c r="E751" s="203"/>
      <c r="F751" s="238"/>
      <c r="G751" s="203"/>
      <c r="H751" s="203"/>
      <c r="I751" s="203"/>
      <c r="J751" s="203"/>
    </row>
    <row r="752" spans="1:10">
      <c r="A752" s="203"/>
      <c r="B752" s="203"/>
      <c r="C752" s="203"/>
      <c r="D752" s="203"/>
      <c r="E752" s="203"/>
      <c r="F752" s="238"/>
      <c r="G752" s="203"/>
      <c r="H752" s="203"/>
      <c r="I752" s="203"/>
      <c r="J752" s="203"/>
    </row>
    <row r="753" spans="1:10">
      <c r="A753" s="203"/>
      <c r="B753" s="203"/>
      <c r="C753" s="203"/>
      <c r="D753" s="203"/>
      <c r="E753" s="203"/>
      <c r="F753" s="238"/>
      <c r="G753" s="203"/>
      <c r="H753" s="203"/>
      <c r="I753" s="203"/>
      <c r="J753" s="203"/>
    </row>
    <row r="754" spans="1:10">
      <c r="A754" s="203"/>
      <c r="B754" s="203"/>
      <c r="C754" s="203"/>
      <c r="D754" s="203"/>
      <c r="E754" s="203"/>
      <c r="F754" s="238"/>
      <c r="G754" s="203"/>
      <c r="H754" s="203"/>
      <c r="I754" s="203"/>
      <c r="J754" s="203"/>
    </row>
    <row r="755" spans="1:10">
      <c r="A755" s="203"/>
      <c r="B755" s="203"/>
      <c r="C755" s="203"/>
      <c r="D755" s="203"/>
      <c r="E755" s="203"/>
      <c r="F755" s="238"/>
      <c r="G755" s="203"/>
      <c r="H755" s="203"/>
      <c r="I755" s="203"/>
      <c r="J755" s="203"/>
    </row>
    <row r="756" spans="1:10">
      <c r="A756" s="203"/>
      <c r="B756" s="203"/>
      <c r="C756" s="203"/>
      <c r="D756" s="203"/>
      <c r="E756" s="203"/>
      <c r="F756" s="238"/>
      <c r="G756" s="203"/>
      <c r="H756" s="203"/>
      <c r="I756" s="203"/>
      <c r="J756" s="203"/>
    </row>
    <row r="757" spans="1:10">
      <c r="A757" s="203"/>
      <c r="B757" s="203"/>
      <c r="C757" s="203"/>
      <c r="D757" s="203"/>
      <c r="E757" s="203"/>
      <c r="F757" s="238"/>
      <c r="G757" s="203"/>
      <c r="H757" s="203"/>
      <c r="I757" s="203"/>
      <c r="J757" s="203"/>
    </row>
    <row r="758" spans="1:10">
      <c r="A758" s="203"/>
      <c r="B758" s="203"/>
      <c r="C758" s="203"/>
      <c r="D758" s="203"/>
      <c r="E758" s="203"/>
      <c r="F758" s="238"/>
      <c r="G758" s="203"/>
      <c r="H758" s="203"/>
      <c r="I758" s="203"/>
      <c r="J758" s="203"/>
    </row>
    <row r="759" spans="1:10">
      <c r="A759" s="203"/>
      <c r="B759" s="203"/>
      <c r="C759" s="203"/>
      <c r="D759" s="203"/>
      <c r="E759" s="203"/>
      <c r="F759" s="238"/>
      <c r="G759" s="203"/>
      <c r="H759" s="203"/>
      <c r="I759" s="203"/>
      <c r="J759" s="203"/>
    </row>
    <row r="760" spans="1:10">
      <c r="A760" s="203"/>
      <c r="B760" s="203"/>
      <c r="C760" s="203"/>
      <c r="D760" s="203"/>
      <c r="E760" s="203"/>
      <c r="F760" s="238"/>
      <c r="G760" s="203"/>
      <c r="H760" s="203"/>
      <c r="I760" s="203"/>
      <c r="J760" s="203"/>
    </row>
    <row r="761" spans="1:10">
      <c r="A761" s="203"/>
      <c r="B761" s="203"/>
      <c r="C761" s="203"/>
      <c r="D761" s="203"/>
      <c r="E761" s="203"/>
      <c r="F761" s="238"/>
      <c r="G761" s="203"/>
      <c r="H761" s="203"/>
      <c r="I761" s="203"/>
      <c r="J761" s="203"/>
    </row>
    <row r="762" spans="1:10">
      <c r="A762" s="203"/>
      <c r="B762" s="203"/>
      <c r="C762" s="203"/>
      <c r="D762" s="203"/>
      <c r="E762" s="203"/>
      <c r="F762" s="238"/>
      <c r="G762" s="203"/>
      <c r="H762" s="203"/>
      <c r="I762" s="203"/>
      <c r="J762" s="203"/>
    </row>
    <row r="763" spans="1:10">
      <c r="A763" s="203"/>
      <c r="B763" s="203"/>
      <c r="C763" s="203"/>
      <c r="D763" s="203"/>
      <c r="E763" s="203"/>
      <c r="F763" s="238"/>
      <c r="G763" s="203"/>
      <c r="H763" s="203"/>
      <c r="I763" s="203"/>
      <c r="J763" s="203"/>
    </row>
    <row r="764" spans="1:10">
      <c r="A764" s="203"/>
      <c r="B764" s="203"/>
      <c r="C764" s="203"/>
      <c r="D764" s="203"/>
      <c r="E764" s="203"/>
      <c r="F764" s="238"/>
      <c r="G764" s="203"/>
      <c r="H764" s="203"/>
      <c r="I764" s="203"/>
      <c r="J764" s="203"/>
    </row>
    <row r="765" spans="1:10">
      <c r="A765" s="203"/>
      <c r="B765" s="203"/>
      <c r="C765" s="203"/>
      <c r="D765" s="203"/>
      <c r="E765" s="203"/>
      <c r="F765" s="238"/>
      <c r="G765" s="203"/>
      <c r="H765" s="203"/>
      <c r="I765" s="203"/>
      <c r="J765" s="203"/>
    </row>
    <row r="766" spans="1:10">
      <c r="A766" s="203"/>
      <c r="B766" s="203"/>
      <c r="C766" s="203"/>
      <c r="D766" s="203"/>
      <c r="E766" s="203"/>
      <c r="F766" s="238"/>
      <c r="G766" s="203"/>
      <c r="H766" s="203"/>
      <c r="I766" s="203"/>
      <c r="J766" s="203"/>
    </row>
    <row r="767" spans="1:10">
      <c r="A767" s="203"/>
      <c r="B767" s="203"/>
      <c r="C767" s="203"/>
      <c r="D767" s="203"/>
      <c r="E767" s="203"/>
      <c r="F767" s="238"/>
      <c r="G767" s="203"/>
      <c r="H767" s="203"/>
      <c r="I767" s="203"/>
      <c r="J767" s="203"/>
    </row>
    <row r="768" spans="1:10">
      <c r="A768" s="203"/>
      <c r="B768" s="203"/>
      <c r="C768" s="203"/>
      <c r="D768" s="203"/>
      <c r="E768" s="203"/>
      <c r="F768" s="238"/>
      <c r="G768" s="203"/>
      <c r="H768" s="203"/>
      <c r="I768" s="203"/>
      <c r="J768" s="203"/>
    </row>
    <row r="769" spans="1:10">
      <c r="A769" s="203"/>
      <c r="B769" s="203"/>
      <c r="C769" s="203"/>
      <c r="D769" s="203"/>
      <c r="E769" s="203"/>
      <c r="F769" s="238"/>
      <c r="G769" s="203"/>
      <c r="H769" s="203"/>
      <c r="I769" s="203"/>
      <c r="J769" s="203"/>
    </row>
    <row r="770" spans="1:10">
      <c r="A770" s="203"/>
      <c r="B770" s="203"/>
      <c r="C770" s="203"/>
      <c r="D770" s="203"/>
      <c r="E770" s="203"/>
      <c r="F770" s="238"/>
      <c r="G770" s="203"/>
      <c r="H770" s="203"/>
      <c r="I770" s="203"/>
      <c r="J770" s="203"/>
    </row>
    <row r="771" spans="1:10">
      <c r="A771" s="203"/>
      <c r="B771" s="203"/>
      <c r="C771" s="203"/>
      <c r="D771" s="203"/>
      <c r="E771" s="203"/>
      <c r="F771" s="238"/>
      <c r="G771" s="203"/>
      <c r="H771" s="203"/>
      <c r="I771" s="203"/>
      <c r="J771" s="203"/>
    </row>
    <row r="772" spans="1:10">
      <c r="A772" s="203"/>
      <c r="B772" s="203"/>
      <c r="C772" s="203"/>
      <c r="D772" s="203"/>
      <c r="E772" s="203"/>
      <c r="F772" s="238"/>
      <c r="G772" s="203"/>
      <c r="H772" s="203"/>
      <c r="I772" s="203"/>
      <c r="J772" s="203"/>
    </row>
    <row r="773" spans="1:10">
      <c r="A773" s="203"/>
      <c r="B773" s="203"/>
      <c r="C773" s="203"/>
      <c r="D773" s="203"/>
      <c r="E773" s="203"/>
      <c r="F773" s="238"/>
      <c r="G773" s="203"/>
      <c r="H773" s="203"/>
      <c r="I773" s="203"/>
      <c r="J773" s="203"/>
    </row>
    <row r="774" spans="1:10">
      <c r="A774" s="203"/>
      <c r="B774" s="203"/>
      <c r="C774" s="203"/>
      <c r="D774" s="203"/>
      <c r="E774" s="203"/>
      <c r="F774" s="238"/>
      <c r="G774" s="203"/>
      <c r="H774" s="203"/>
      <c r="I774" s="203"/>
      <c r="J774" s="203"/>
    </row>
    <row r="775" spans="1:10">
      <c r="A775" s="203"/>
      <c r="B775" s="203"/>
      <c r="C775" s="203"/>
      <c r="D775" s="203"/>
      <c r="E775" s="203"/>
      <c r="F775" s="238"/>
      <c r="G775" s="203"/>
      <c r="H775" s="203"/>
      <c r="I775" s="203"/>
      <c r="J775" s="203"/>
    </row>
    <row r="776" spans="1:10">
      <c r="A776" s="203"/>
      <c r="B776" s="203"/>
      <c r="C776" s="203"/>
      <c r="D776" s="203"/>
      <c r="E776" s="203"/>
      <c r="F776" s="238"/>
      <c r="G776" s="203"/>
      <c r="H776" s="203"/>
      <c r="I776" s="203"/>
      <c r="J776" s="203"/>
    </row>
    <row r="777" spans="1:10">
      <c r="A777" s="203"/>
      <c r="B777" s="203"/>
      <c r="C777" s="203"/>
      <c r="D777" s="203"/>
      <c r="E777" s="203"/>
      <c r="F777" s="238"/>
      <c r="G777" s="203"/>
      <c r="H777" s="203"/>
      <c r="I777" s="203"/>
      <c r="J777" s="203"/>
    </row>
    <row r="778" spans="1:10">
      <c r="A778" s="203"/>
      <c r="B778" s="203"/>
      <c r="C778" s="203"/>
      <c r="D778" s="203"/>
      <c r="E778" s="203"/>
      <c r="F778" s="238"/>
      <c r="G778" s="203"/>
      <c r="H778" s="203"/>
      <c r="I778" s="203"/>
      <c r="J778" s="203"/>
    </row>
    <row r="779" spans="1:10">
      <c r="A779" s="203"/>
      <c r="B779" s="203"/>
      <c r="C779" s="203"/>
      <c r="D779" s="203"/>
      <c r="E779" s="203"/>
      <c r="F779" s="238"/>
      <c r="G779" s="203"/>
      <c r="H779" s="203"/>
      <c r="I779" s="203"/>
      <c r="J779" s="203"/>
    </row>
    <row r="780" spans="1:10">
      <c r="A780" s="203"/>
      <c r="B780" s="203"/>
      <c r="C780" s="203"/>
      <c r="D780" s="203"/>
      <c r="E780" s="203"/>
      <c r="F780" s="238"/>
      <c r="G780" s="203"/>
      <c r="H780" s="203"/>
      <c r="I780" s="203"/>
      <c r="J780" s="203"/>
    </row>
    <row r="781" spans="1:10">
      <c r="A781" s="203"/>
      <c r="B781" s="203"/>
      <c r="C781" s="203"/>
      <c r="D781" s="203"/>
      <c r="E781" s="203"/>
      <c r="F781" s="238"/>
      <c r="G781" s="203"/>
      <c r="H781" s="203"/>
      <c r="I781" s="203"/>
      <c r="J781" s="203"/>
    </row>
    <row r="782" spans="1:10">
      <c r="A782" s="203"/>
      <c r="B782" s="203"/>
      <c r="C782" s="203"/>
      <c r="D782" s="203"/>
      <c r="E782" s="203"/>
      <c r="F782" s="238"/>
      <c r="G782" s="203"/>
      <c r="H782" s="203"/>
      <c r="I782" s="203"/>
      <c r="J782" s="203"/>
    </row>
    <row r="783" spans="1:10">
      <c r="A783" s="203"/>
      <c r="B783" s="203"/>
      <c r="C783" s="203"/>
      <c r="D783" s="203"/>
      <c r="E783" s="203"/>
      <c r="F783" s="238"/>
      <c r="G783" s="203"/>
      <c r="H783" s="203"/>
      <c r="I783" s="203"/>
      <c r="J783" s="203"/>
    </row>
    <row r="784" spans="1:10">
      <c r="A784" s="203"/>
      <c r="B784" s="203"/>
      <c r="C784" s="203"/>
      <c r="D784" s="203"/>
      <c r="E784" s="203"/>
      <c r="F784" s="238"/>
      <c r="G784" s="203"/>
      <c r="H784" s="203"/>
      <c r="I784" s="203"/>
      <c r="J784" s="203"/>
    </row>
    <row r="785" spans="1:10">
      <c r="A785" s="203"/>
      <c r="B785" s="203"/>
      <c r="C785" s="203"/>
      <c r="D785" s="203"/>
      <c r="E785" s="203"/>
      <c r="F785" s="238"/>
      <c r="G785" s="203"/>
      <c r="H785" s="203"/>
      <c r="I785" s="203"/>
      <c r="J785" s="203"/>
    </row>
    <row r="786" spans="1:10">
      <c r="A786" s="203"/>
      <c r="B786" s="203"/>
      <c r="C786" s="203"/>
      <c r="D786" s="203"/>
      <c r="E786" s="203"/>
      <c r="F786" s="238"/>
      <c r="G786" s="203"/>
      <c r="H786" s="203"/>
      <c r="I786" s="203"/>
      <c r="J786" s="203"/>
    </row>
    <row r="787" spans="1:10">
      <c r="A787" s="203"/>
      <c r="B787" s="203"/>
      <c r="C787" s="203"/>
      <c r="D787" s="203"/>
      <c r="E787" s="203"/>
      <c r="F787" s="238"/>
      <c r="G787" s="203"/>
      <c r="H787" s="203"/>
      <c r="I787" s="203"/>
      <c r="J787" s="203"/>
    </row>
    <row r="788" spans="1:10">
      <c r="A788" s="203"/>
      <c r="B788" s="203"/>
      <c r="C788" s="203"/>
      <c r="D788" s="203"/>
      <c r="E788" s="203"/>
      <c r="F788" s="238"/>
      <c r="G788" s="203"/>
      <c r="H788" s="203"/>
      <c r="I788" s="203"/>
      <c r="J788" s="203"/>
    </row>
    <row r="789" spans="1:10">
      <c r="A789" s="203"/>
      <c r="B789" s="203"/>
      <c r="C789" s="203"/>
      <c r="D789" s="203"/>
      <c r="E789" s="203"/>
      <c r="F789" s="238"/>
      <c r="G789" s="203"/>
      <c r="H789" s="203"/>
      <c r="I789" s="203"/>
      <c r="J789" s="203"/>
    </row>
    <row r="790" spans="1:10">
      <c r="A790" s="203"/>
      <c r="B790" s="203"/>
      <c r="C790" s="203"/>
      <c r="D790" s="203"/>
      <c r="E790" s="203"/>
      <c r="F790" s="238"/>
      <c r="G790" s="203"/>
      <c r="H790" s="203"/>
      <c r="I790" s="203"/>
      <c r="J790" s="203"/>
    </row>
    <row r="791" spans="1:10">
      <c r="A791" s="203"/>
      <c r="B791" s="203"/>
      <c r="C791" s="203"/>
      <c r="D791" s="203"/>
      <c r="E791" s="203"/>
      <c r="F791" s="238"/>
      <c r="G791" s="203"/>
      <c r="H791" s="203"/>
      <c r="I791" s="203"/>
      <c r="J791" s="203"/>
    </row>
    <row r="792" spans="1:10">
      <c r="A792" s="203"/>
      <c r="B792" s="203"/>
      <c r="C792" s="203"/>
      <c r="D792" s="203"/>
      <c r="E792" s="203"/>
      <c r="F792" s="238"/>
      <c r="G792" s="203"/>
      <c r="H792" s="203"/>
      <c r="I792" s="203"/>
      <c r="J792" s="203"/>
    </row>
    <row r="793" spans="1:10">
      <c r="A793" s="203"/>
      <c r="B793" s="203"/>
      <c r="C793" s="203"/>
      <c r="D793" s="203"/>
      <c r="E793" s="203"/>
      <c r="F793" s="238"/>
      <c r="G793" s="203"/>
      <c r="H793" s="203"/>
      <c r="I793" s="203"/>
      <c r="J793" s="203"/>
    </row>
    <row r="794" spans="1:10">
      <c r="A794" s="203"/>
      <c r="B794" s="203"/>
      <c r="C794" s="203"/>
      <c r="D794" s="203"/>
      <c r="E794" s="203"/>
      <c r="F794" s="238"/>
      <c r="G794" s="203"/>
      <c r="H794" s="203"/>
      <c r="I794" s="203"/>
      <c r="J794" s="203"/>
    </row>
    <row r="795" spans="1:10">
      <c r="A795" s="203"/>
      <c r="B795" s="203"/>
      <c r="C795" s="203"/>
      <c r="D795" s="203"/>
      <c r="E795" s="203"/>
      <c r="F795" s="238"/>
      <c r="G795" s="203"/>
      <c r="H795" s="203"/>
      <c r="I795" s="203"/>
      <c r="J795" s="203"/>
    </row>
    <row r="796" spans="1:10">
      <c r="A796" s="203"/>
      <c r="B796" s="203"/>
      <c r="C796" s="203"/>
      <c r="D796" s="203"/>
      <c r="E796" s="203"/>
      <c r="F796" s="238"/>
      <c r="G796" s="203"/>
      <c r="H796" s="203"/>
      <c r="I796" s="203"/>
      <c r="J796" s="203"/>
    </row>
    <row r="797" spans="1:10">
      <c r="A797" s="203"/>
      <c r="B797" s="203"/>
      <c r="C797" s="203"/>
      <c r="D797" s="203"/>
      <c r="E797" s="203"/>
      <c r="F797" s="238"/>
      <c r="G797" s="203"/>
      <c r="H797" s="203"/>
      <c r="I797" s="203"/>
      <c r="J797" s="203"/>
    </row>
    <row r="798" spans="1:10">
      <c r="A798" s="203"/>
      <c r="B798" s="203"/>
      <c r="C798" s="203"/>
      <c r="D798" s="203"/>
      <c r="E798" s="203"/>
      <c r="F798" s="238"/>
      <c r="G798" s="203"/>
      <c r="H798" s="203"/>
      <c r="I798" s="203"/>
      <c r="J798" s="203"/>
    </row>
    <row r="799" spans="1:10">
      <c r="A799" s="203"/>
      <c r="B799" s="203"/>
      <c r="C799" s="203"/>
      <c r="D799" s="203"/>
      <c r="E799" s="203"/>
      <c r="F799" s="238"/>
      <c r="G799" s="203"/>
      <c r="H799" s="203"/>
      <c r="I799" s="203"/>
      <c r="J799" s="203"/>
    </row>
    <row r="800" spans="1:10">
      <c r="A800" s="203"/>
      <c r="B800" s="203"/>
      <c r="C800" s="203"/>
      <c r="D800" s="203"/>
      <c r="E800" s="203"/>
      <c r="F800" s="238"/>
      <c r="G800" s="203"/>
      <c r="H800" s="203"/>
      <c r="I800" s="203"/>
      <c r="J800" s="203"/>
    </row>
    <row r="801" spans="1:10">
      <c r="A801" s="203"/>
      <c r="B801" s="203"/>
      <c r="C801" s="203"/>
      <c r="D801" s="203"/>
      <c r="E801" s="203"/>
      <c r="F801" s="238"/>
      <c r="G801" s="203"/>
      <c r="H801" s="203"/>
      <c r="I801" s="203"/>
      <c r="J801" s="203"/>
    </row>
    <row r="802" spans="1:10">
      <c r="A802" s="203"/>
      <c r="B802" s="203"/>
      <c r="C802" s="203"/>
      <c r="D802" s="203"/>
      <c r="E802" s="203"/>
      <c r="F802" s="238"/>
      <c r="G802" s="203"/>
      <c r="H802" s="203"/>
      <c r="I802" s="203"/>
      <c r="J802" s="203"/>
    </row>
    <row r="803" spans="1:10">
      <c r="A803" s="203"/>
      <c r="B803" s="203"/>
      <c r="C803" s="203"/>
      <c r="D803" s="203"/>
      <c r="E803" s="203"/>
      <c r="F803" s="238"/>
      <c r="G803" s="203"/>
      <c r="H803" s="203"/>
      <c r="I803" s="203"/>
      <c r="J803" s="203"/>
    </row>
    <row r="804" spans="1:10">
      <c r="A804" s="203"/>
      <c r="B804" s="203"/>
      <c r="C804" s="203"/>
      <c r="D804" s="203"/>
      <c r="E804" s="203"/>
      <c r="F804" s="238"/>
      <c r="G804" s="203"/>
      <c r="H804" s="203"/>
      <c r="I804" s="203"/>
      <c r="J804" s="203"/>
    </row>
    <row r="805" spans="1:10">
      <c r="A805" s="203"/>
      <c r="B805" s="203"/>
      <c r="C805" s="203"/>
      <c r="D805" s="203"/>
      <c r="E805" s="203"/>
      <c r="F805" s="238"/>
      <c r="G805" s="203"/>
      <c r="H805" s="203"/>
      <c r="I805" s="203"/>
      <c r="J805" s="203"/>
    </row>
    <row r="806" spans="1:10">
      <c r="A806" s="203"/>
      <c r="B806" s="203"/>
      <c r="C806" s="203"/>
      <c r="D806" s="203"/>
      <c r="E806" s="203"/>
      <c r="F806" s="238"/>
      <c r="G806" s="203"/>
      <c r="H806" s="203"/>
      <c r="I806" s="203"/>
      <c r="J806" s="203"/>
    </row>
    <row r="807" spans="1:10">
      <c r="A807" s="203"/>
      <c r="B807" s="203"/>
      <c r="C807" s="203"/>
      <c r="D807" s="203"/>
      <c r="E807" s="203"/>
      <c r="F807" s="238"/>
      <c r="G807" s="203"/>
      <c r="H807" s="203"/>
      <c r="I807" s="203"/>
      <c r="J807" s="203"/>
    </row>
    <row r="808" spans="1:10">
      <c r="A808" s="203"/>
      <c r="B808" s="203"/>
      <c r="C808" s="203"/>
      <c r="D808" s="203"/>
      <c r="E808" s="203"/>
      <c r="F808" s="238"/>
      <c r="G808" s="203"/>
      <c r="H808" s="203"/>
      <c r="I808" s="203"/>
      <c r="J808" s="203"/>
    </row>
    <row r="809" spans="1:10">
      <c r="A809" s="203"/>
      <c r="B809" s="203"/>
      <c r="C809" s="203"/>
      <c r="D809" s="203"/>
      <c r="E809" s="203"/>
      <c r="F809" s="238"/>
      <c r="G809" s="203"/>
      <c r="H809" s="203"/>
      <c r="I809" s="203"/>
      <c r="J809" s="203"/>
    </row>
    <row r="810" spans="1:10">
      <c r="A810" s="203"/>
      <c r="B810" s="203"/>
      <c r="C810" s="203"/>
      <c r="D810" s="203"/>
      <c r="E810" s="203"/>
      <c r="F810" s="238"/>
      <c r="G810" s="203"/>
      <c r="H810" s="203"/>
      <c r="I810" s="203"/>
      <c r="J810" s="203"/>
    </row>
    <row r="811" spans="1:10">
      <c r="A811" s="203"/>
      <c r="B811" s="203"/>
      <c r="C811" s="203"/>
      <c r="D811" s="203"/>
      <c r="E811" s="203"/>
      <c r="F811" s="238"/>
      <c r="G811" s="203"/>
      <c r="H811" s="203"/>
      <c r="I811" s="203"/>
      <c r="J811" s="203"/>
    </row>
    <row r="812" spans="1:10">
      <c r="A812" s="203"/>
      <c r="B812" s="203"/>
      <c r="C812" s="203"/>
      <c r="D812" s="203"/>
      <c r="E812" s="203"/>
      <c r="F812" s="238"/>
      <c r="G812" s="203"/>
      <c r="H812" s="203"/>
      <c r="I812" s="203"/>
      <c r="J812" s="203"/>
    </row>
    <row r="813" spans="1:10">
      <c r="A813" s="203"/>
      <c r="B813" s="203"/>
      <c r="C813" s="203"/>
      <c r="D813" s="203"/>
      <c r="E813" s="203"/>
      <c r="F813" s="238"/>
      <c r="G813" s="203"/>
      <c r="H813" s="203"/>
      <c r="I813" s="203"/>
      <c r="J813" s="203"/>
    </row>
    <row r="814" spans="1:10">
      <c r="A814" s="203"/>
      <c r="B814" s="203"/>
      <c r="C814" s="203"/>
      <c r="D814" s="203"/>
      <c r="E814" s="203"/>
      <c r="F814" s="238"/>
      <c r="G814" s="203"/>
      <c r="H814" s="203"/>
      <c r="I814" s="203"/>
      <c r="J814" s="203"/>
    </row>
    <row r="815" spans="1:10">
      <c r="A815" s="203"/>
      <c r="B815" s="203"/>
      <c r="C815" s="203"/>
      <c r="D815" s="203"/>
      <c r="E815" s="203"/>
      <c r="F815" s="238"/>
      <c r="G815" s="203"/>
      <c r="H815" s="203"/>
      <c r="I815" s="203"/>
      <c r="J815" s="203"/>
    </row>
    <row r="816" spans="1:10">
      <c r="A816" s="203"/>
      <c r="B816" s="203"/>
      <c r="C816" s="203"/>
      <c r="D816" s="203"/>
      <c r="E816" s="203"/>
      <c r="F816" s="238"/>
      <c r="G816" s="203"/>
      <c r="H816" s="203"/>
      <c r="I816" s="203"/>
      <c r="J816" s="203"/>
    </row>
    <row r="817" spans="1:10">
      <c r="A817" s="203"/>
      <c r="B817" s="203"/>
      <c r="C817" s="203"/>
      <c r="D817" s="203"/>
      <c r="E817" s="203"/>
      <c r="F817" s="238"/>
      <c r="G817" s="203"/>
      <c r="H817" s="203"/>
      <c r="I817" s="203"/>
      <c r="J817" s="203"/>
    </row>
    <row r="818" spans="1:10">
      <c r="A818" s="203"/>
      <c r="B818" s="203"/>
      <c r="C818" s="203"/>
      <c r="D818" s="203"/>
      <c r="E818" s="203"/>
      <c r="F818" s="238"/>
      <c r="G818" s="203"/>
      <c r="H818" s="203"/>
      <c r="I818" s="203"/>
      <c r="J818" s="203"/>
    </row>
    <row r="819" spans="1:10">
      <c r="A819" s="203"/>
      <c r="B819" s="203"/>
      <c r="C819" s="203"/>
      <c r="D819" s="203"/>
      <c r="E819" s="203"/>
      <c r="F819" s="238"/>
      <c r="G819" s="203"/>
      <c r="H819" s="203"/>
      <c r="I819" s="203"/>
      <c r="J819" s="203"/>
    </row>
    <row r="820" spans="1:10">
      <c r="A820" s="203"/>
      <c r="B820" s="203"/>
      <c r="C820" s="203"/>
      <c r="D820" s="203"/>
      <c r="E820" s="203"/>
      <c r="F820" s="238"/>
      <c r="G820" s="203"/>
      <c r="H820" s="203"/>
      <c r="I820" s="203"/>
      <c r="J820" s="203"/>
    </row>
    <row r="821" spans="1:10">
      <c r="A821" s="203"/>
      <c r="B821" s="203"/>
      <c r="C821" s="203"/>
      <c r="D821" s="203"/>
      <c r="E821" s="203"/>
      <c r="F821" s="238"/>
      <c r="G821" s="203"/>
      <c r="H821" s="203"/>
      <c r="I821" s="203"/>
      <c r="J821" s="203"/>
    </row>
    <row r="822" spans="1:10">
      <c r="A822" s="203"/>
      <c r="B822" s="203"/>
      <c r="C822" s="203"/>
      <c r="D822" s="203"/>
      <c r="E822" s="203"/>
      <c r="F822" s="238"/>
      <c r="G822" s="203"/>
      <c r="H822" s="203"/>
      <c r="I822" s="203"/>
      <c r="J822" s="203"/>
    </row>
    <row r="823" spans="1:10">
      <c r="A823" s="203"/>
      <c r="B823" s="203"/>
      <c r="C823" s="203"/>
      <c r="D823" s="203"/>
      <c r="E823" s="203"/>
      <c r="F823" s="238"/>
      <c r="G823" s="203"/>
      <c r="H823" s="203"/>
      <c r="I823" s="203"/>
      <c r="J823" s="203"/>
    </row>
    <row r="824" spans="1:10">
      <c r="A824" s="203"/>
      <c r="B824" s="203"/>
      <c r="C824" s="203"/>
      <c r="D824" s="203"/>
      <c r="E824" s="203"/>
      <c r="F824" s="238"/>
      <c r="G824" s="203"/>
      <c r="H824" s="203"/>
      <c r="I824" s="203"/>
      <c r="J824" s="203"/>
    </row>
    <row r="825" spans="1:10">
      <c r="A825" s="203"/>
      <c r="B825" s="203"/>
      <c r="C825" s="203"/>
      <c r="D825" s="203"/>
      <c r="E825" s="203"/>
      <c r="F825" s="238"/>
      <c r="G825" s="203"/>
      <c r="H825" s="203"/>
      <c r="I825" s="203"/>
      <c r="J825" s="203"/>
    </row>
    <row r="826" spans="1:10">
      <c r="A826" s="203"/>
      <c r="B826" s="203"/>
      <c r="C826" s="203"/>
      <c r="D826" s="203"/>
      <c r="E826" s="203"/>
      <c r="F826" s="238"/>
      <c r="G826" s="203"/>
      <c r="H826" s="203"/>
      <c r="I826" s="203"/>
      <c r="J826" s="203"/>
    </row>
    <row r="827" spans="1:10">
      <c r="A827" s="203"/>
      <c r="B827" s="203"/>
      <c r="C827" s="203"/>
      <c r="D827" s="203"/>
      <c r="E827" s="203"/>
      <c r="F827" s="238"/>
      <c r="G827" s="203"/>
      <c r="H827" s="203"/>
      <c r="I827" s="203"/>
      <c r="J827" s="203"/>
    </row>
    <row r="828" spans="1:10">
      <c r="A828" s="203"/>
      <c r="B828" s="203"/>
      <c r="C828" s="203"/>
      <c r="D828" s="203"/>
      <c r="E828" s="203"/>
      <c r="F828" s="238"/>
      <c r="G828" s="203"/>
      <c r="H828" s="203"/>
      <c r="I828" s="203"/>
      <c r="J828" s="203"/>
    </row>
    <row r="829" spans="1:10">
      <c r="A829" s="203"/>
      <c r="B829" s="203"/>
      <c r="C829" s="203"/>
      <c r="D829" s="203"/>
      <c r="E829" s="203"/>
      <c r="F829" s="238"/>
      <c r="G829" s="203"/>
      <c r="H829" s="203"/>
      <c r="I829" s="203"/>
      <c r="J829" s="203"/>
    </row>
    <row r="830" spans="1:10">
      <c r="A830" s="203"/>
      <c r="B830" s="203"/>
      <c r="C830" s="203"/>
      <c r="D830" s="203"/>
      <c r="E830" s="203"/>
      <c r="F830" s="238"/>
      <c r="G830" s="203"/>
      <c r="H830" s="203"/>
      <c r="I830" s="203"/>
      <c r="J830" s="203"/>
    </row>
    <row r="831" spans="1:10">
      <c r="A831" s="203"/>
      <c r="B831" s="203"/>
      <c r="C831" s="203"/>
      <c r="D831" s="203"/>
      <c r="E831" s="203"/>
      <c r="F831" s="238"/>
      <c r="G831" s="203"/>
      <c r="H831" s="203"/>
      <c r="I831" s="203"/>
      <c r="J831" s="203"/>
    </row>
    <row r="832" spans="1:10">
      <c r="A832" s="203"/>
      <c r="B832" s="203"/>
      <c r="C832" s="203"/>
      <c r="D832" s="203"/>
      <c r="E832" s="203"/>
      <c r="F832" s="238"/>
      <c r="G832" s="203"/>
      <c r="H832" s="203"/>
      <c r="I832" s="203"/>
      <c r="J832" s="203"/>
    </row>
    <row r="833" spans="1:10">
      <c r="A833" s="203"/>
      <c r="B833" s="203"/>
      <c r="C833" s="203"/>
      <c r="D833" s="203"/>
      <c r="E833" s="203"/>
      <c r="F833" s="238"/>
      <c r="G833" s="203"/>
      <c r="H833" s="203"/>
      <c r="I833" s="203"/>
      <c r="J833" s="203"/>
    </row>
    <row r="834" spans="1:10">
      <c r="A834" s="203"/>
      <c r="B834" s="203"/>
      <c r="C834" s="203"/>
      <c r="D834" s="203"/>
      <c r="E834" s="203"/>
      <c r="F834" s="238"/>
      <c r="G834" s="203"/>
      <c r="H834" s="203"/>
      <c r="I834" s="203"/>
      <c r="J834" s="203"/>
    </row>
    <row r="835" spans="1:10">
      <c r="A835" s="203"/>
      <c r="B835" s="203"/>
      <c r="C835" s="203"/>
      <c r="D835" s="203"/>
      <c r="E835" s="203"/>
      <c r="F835" s="238"/>
      <c r="G835" s="203"/>
      <c r="H835" s="203"/>
      <c r="I835" s="203"/>
      <c r="J835" s="203"/>
    </row>
    <row r="836" spans="1:10">
      <c r="A836" s="203"/>
      <c r="B836" s="203"/>
      <c r="C836" s="203"/>
      <c r="D836" s="203"/>
      <c r="E836" s="203"/>
      <c r="F836" s="238"/>
      <c r="G836" s="203"/>
      <c r="H836" s="203"/>
      <c r="I836" s="203"/>
      <c r="J836" s="203"/>
    </row>
    <row r="837" spans="1:10">
      <c r="A837" s="203"/>
      <c r="B837" s="203"/>
      <c r="C837" s="203"/>
      <c r="D837" s="203"/>
      <c r="E837" s="203"/>
      <c r="F837" s="238"/>
      <c r="G837" s="203"/>
      <c r="H837" s="203"/>
      <c r="I837" s="203"/>
      <c r="J837" s="203"/>
    </row>
    <row r="838" spans="1:10">
      <c r="A838" s="203"/>
      <c r="B838" s="203"/>
      <c r="C838" s="203"/>
      <c r="D838" s="203"/>
      <c r="E838" s="203"/>
      <c r="F838" s="238"/>
      <c r="G838" s="203"/>
      <c r="H838" s="203"/>
      <c r="I838" s="203"/>
      <c r="J838" s="203"/>
    </row>
    <row r="839" spans="1:10">
      <c r="A839" s="203"/>
      <c r="B839" s="203"/>
      <c r="C839" s="203"/>
      <c r="D839" s="203"/>
      <c r="E839" s="203"/>
      <c r="F839" s="238"/>
      <c r="G839" s="203"/>
      <c r="H839" s="203"/>
      <c r="I839" s="203"/>
      <c r="J839" s="203"/>
    </row>
    <row r="840" spans="1:10">
      <c r="A840" s="203"/>
      <c r="B840" s="203"/>
      <c r="C840" s="203"/>
      <c r="D840" s="203"/>
      <c r="E840" s="203"/>
      <c r="F840" s="238"/>
      <c r="G840" s="203"/>
      <c r="H840" s="203"/>
      <c r="I840" s="203"/>
      <c r="J840" s="203"/>
    </row>
    <row r="841" spans="1:10">
      <c r="A841" s="203"/>
      <c r="B841" s="203"/>
      <c r="C841" s="203"/>
      <c r="D841" s="203"/>
      <c r="E841" s="203"/>
      <c r="F841" s="238"/>
      <c r="G841" s="203"/>
      <c r="H841" s="203"/>
      <c r="I841" s="203"/>
      <c r="J841" s="203"/>
    </row>
    <row r="842" spans="1:10">
      <c r="A842" s="203"/>
      <c r="B842" s="203"/>
      <c r="C842" s="203"/>
      <c r="D842" s="203"/>
      <c r="E842" s="203"/>
      <c r="F842" s="238"/>
      <c r="G842" s="203"/>
      <c r="H842" s="203"/>
      <c r="I842" s="203"/>
      <c r="J842" s="203"/>
    </row>
    <row r="843" spans="1:10">
      <c r="A843" s="203"/>
      <c r="B843" s="203"/>
      <c r="C843" s="203"/>
      <c r="D843" s="203"/>
      <c r="E843" s="203"/>
      <c r="F843" s="238"/>
      <c r="G843" s="203"/>
      <c r="H843" s="203"/>
      <c r="I843" s="203"/>
      <c r="J843" s="203"/>
    </row>
    <row r="844" spans="1:10">
      <c r="A844" s="203"/>
      <c r="B844" s="203"/>
      <c r="C844" s="203"/>
      <c r="D844" s="203"/>
      <c r="E844" s="203"/>
      <c r="F844" s="238"/>
      <c r="G844" s="203"/>
      <c r="H844" s="203"/>
      <c r="I844" s="203"/>
      <c r="J844" s="203"/>
    </row>
    <row r="845" spans="1:10">
      <c r="A845" s="203"/>
      <c r="B845" s="203"/>
      <c r="C845" s="203"/>
      <c r="D845" s="203"/>
      <c r="E845" s="203"/>
      <c r="F845" s="238"/>
      <c r="G845" s="203"/>
      <c r="H845" s="203"/>
      <c r="I845" s="203"/>
      <c r="J845" s="203"/>
    </row>
    <row r="846" spans="1:10">
      <c r="A846" s="203"/>
      <c r="B846" s="203"/>
      <c r="C846" s="203"/>
      <c r="D846" s="203"/>
      <c r="E846" s="203"/>
      <c r="F846" s="238"/>
      <c r="G846" s="203"/>
      <c r="H846" s="203"/>
      <c r="I846" s="203"/>
      <c r="J846" s="203"/>
    </row>
    <row r="847" spans="1:10">
      <c r="A847" s="203"/>
      <c r="B847" s="203"/>
      <c r="C847" s="203"/>
      <c r="D847" s="203"/>
      <c r="E847" s="203"/>
      <c r="F847" s="238"/>
      <c r="G847" s="203"/>
      <c r="H847" s="203"/>
      <c r="I847" s="203"/>
      <c r="J847" s="203"/>
    </row>
    <row r="848" spans="1:10">
      <c r="A848" s="203"/>
      <c r="B848" s="203"/>
      <c r="C848" s="203"/>
      <c r="D848" s="203"/>
      <c r="E848" s="203"/>
      <c r="F848" s="238"/>
      <c r="G848" s="203"/>
      <c r="H848" s="203"/>
      <c r="I848" s="203"/>
      <c r="J848" s="203"/>
    </row>
    <row r="849" spans="1:10">
      <c r="A849" s="203"/>
      <c r="B849" s="203"/>
      <c r="C849" s="203"/>
      <c r="D849" s="203"/>
      <c r="E849" s="203"/>
      <c r="F849" s="238"/>
      <c r="G849" s="203"/>
      <c r="H849" s="203"/>
      <c r="I849" s="203"/>
      <c r="J849" s="203"/>
    </row>
    <row r="850" spans="1:10">
      <c r="A850" s="203"/>
      <c r="B850" s="203"/>
      <c r="C850" s="203"/>
      <c r="D850" s="203"/>
      <c r="E850" s="203"/>
      <c r="F850" s="238"/>
      <c r="G850" s="203"/>
      <c r="H850" s="203"/>
      <c r="I850" s="203"/>
      <c r="J850" s="203"/>
    </row>
    <row r="851" spans="1:10">
      <c r="A851" s="203"/>
      <c r="B851" s="203"/>
      <c r="C851" s="203"/>
      <c r="D851" s="203"/>
      <c r="E851" s="203"/>
      <c r="F851" s="238"/>
      <c r="G851" s="203"/>
      <c r="H851" s="203"/>
      <c r="I851" s="203"/>
      <c r="J851" s="203"/>
    </row>
    <row r="852" spans="1:10">
      <c r="A852" s="203"/>
      <c r="B852" s="203"/>
      <c r="C852" s="203"/>
      <c r="D852" s="203"/>
      <c r="E852" s="203"/>
      <c r="F852" s="238"/>
      <c r="G852" s="203"/>
      <c r="H852" s="203"/>
      <c r="I852" s="203"/>
      <c r="J852" s="203"/>
    </row>
    <row r="853" spans="1:10">
      <c r="A853" s="203"/>
      <c r="B853" s="203"/>
      <c r="C853" s="203"/>
      <c r="D853" s="203"/>
      <c r="E853" s="203"/>
      <c r="F853" s="238"/>
      <c r="G853" s="203"/>
      <c r="H853" s="203"/>
      <c r="I853" s="203"/>
      <c r="J853" s="203"/>
    </row>
    <row r="854" spans="1:10">
      <c r="A854" s="203"/>
      <c r="B854" s="203"/>
      <c r="C854" s="203"/>
      <c r="D854" s="203"/>
      <c r="E854" s="203"/>
      <c r="F854" s="238"/>
      <c r="G854" s="203"/>
      <c r="H854" s="203"/>
      <c r="I854" s="203"/>
      <c r="J854" s="203"/>
    </row>
    <row r="855" spans="1:10">
      <c r="A855" s="203"/>
      <c r="B855" s="203"/>
      <c r="C855" s="203"/>
      <c r="D855" s="203"/>
      <c r="E855" s="203"/>
      <c r="F855" s="238"/>
      <c r="G855" s="203"/>
      <c r="H855" s="203"/>
      <c r="I855" s="203"/>
      <c r="J855" s="203"/>
    </row>
    <row r="856" spans="1:10">
      <c r="A856" s="203"/>
      <c r="B856" s="203"/>
      <c r="C856" s="203"/>
      <c r="D856" s="203"/>
      <c r="E856" s="203"/>
      <c r="F856" s="238"/>
      <c r="G856" s="203"/>
      <c r="H856" s="203"/>
      <c r="I856" s="203"/>
      <c r="J856" s="203"/>
    </row>
    <row r="857" spans="1:10">
      <c r="A857" s="203"/>
      <c r="B857" s="203"/>
      <c r="C857" s="203"/>
      <c r="D857" s="203"/>
      <c r="E857" s="203"/>
      <c r="F857" s="238"/>
      <c r="G857" s="203"/>
      <c r="H857" s="203"/>
      <c r="I857" s="203"/>
      <c r="J857" s="203"/>
    </row>
    <row r="858" spans="1:10">
      <c r="A858" s="203"/>
      <c r="B858" s="203"/>
      <c r="C858" s="203"/>
      <c r="D858" s="203"/>
      <c r="E858" s="203"/>
      <c r="F858" s="238"/>
      <c r="G858" s="203"/>
      <c r="H858" s="203"/>
      <c r="I858" s="203"/>
      <c r="J858" s="203"/>
    </row>
    <row r="859" spans="1:10">
      <c r="A859" s="203"/>
      <c r="B859" s="203"/>
      <c r="C859" s="203"/>
      <c r="D859" s="203"/>
      <c r="E859" s="203"/>
      <c r="F859" s="238"/>
      <c r="G859" s="203"/>
      <c r="H859" s="203"/>
      <c r="I859" s="203"/>
      <c r="J859" s="203"/>
    </row>
    <row r="860" spans="1:10">
      <c r="A860" s="203"/>
      <c r="B860" s="203"/>
      <c r="C860" s="203"/>
      <c r="D860" s="203"/>
      <c r="E860" s="203"/>
      <c r="F860" s="238"/>
      <c r="G860" s="203"/>
      <c r="H860" s="203"/>
      <c r="I860" s="203"/>
      <c r="J860" s="203"/>
    </row>
    <row r="861" spans="1:10">
      <c r="A861" s="203"/>
      <c r="B861" s="203"/>
      <c r="C861" s="203"/>
      <c r="D861" s="203"/>
      <c r="E861" s="203"/>
      <c r="F861" s="238"/>
      <c r="G861" s="203"/>
      <c r="H861" s="203"/>
      <c r="I861" s="203"/>
      <c r="J861" s="203"/>
    </row>
    <row r="862" spans="1:10">
      <c r="A862" s="203"/>
      <c r="B862" s="203"/>
      <c r="C862" s="203"/>
      <c r="D862" s="203"/>
      <c r="E862" s="203"/>
      <c r="F862" s="238"/>
      <c r="G862" s="203"/>
      <c r="H862" s="203"/>
      <c r="I862" s="203"/>
      <c r="J862" s="203"/>
    </row>
    <row r="863" spans="1:10">
      <c r="A863" s="203"/>
      <c r="B863" s="203"/>
      <c r="C863" s="203"/>
      <c r="D863" s="203"/>
      <c r="E863" s="203"/>
      <c r="F863" s="238"/>
      <c r="G863" s="203"/>
      <c r="H863" s="203"/>
      <c r="I863" s="203"/>
      <c r="J863" s="203"/>
    </row>
    <row r="864" spans="1:10">
      <c r="A864" s="203"/>
      <c r="B864" s="203"/>
      <c r="C864" s="203"/>
      <c r="D864" s="203"/>
      <c r="E864" s="203"/>
      <c r="F864" s="238"/>
      <c r="G864" s="203"/>
      <c r="H864" s="203"/>
      <c r="I864" s="203"/>
      <c r="J864" s="203"/>
    </row>
    <row r="865" spans="1:10">
      <c r="A865" s="203"/>
      <c r="B865" s="203"/>
      <c r="C865" s="203"/>
      <c r="D865" s="203"/>
      <c r="E865" s="203"/>
      <c r="F865" s="238"/>
      <c r="G865" s="203"/>
      <c r="H865" s="203"/>
      <c r="I865" s="203"/>
      <c r="J865" s="203"/>
    </row>
    <row r="866" spans="1:10">
      <c r="A866" s="203"/>
      <c r="B866" s="203"/>
      <c r="C866" s="203"/>
      <c r="D866" s="203"/>
      <c r="E866" s="203"/>
      <c r="F866" s="238"/>
      <c r="G866" s="203"/>
      <c r="H866" s="203"/>
      <c r="I866" s="203"/>
      <c r="J866" s="203"/>
    </row>
    <row r="867" spans="1:10">
      <c r="A867" s="203"/>
      <c r="B867" s="203"/>
      <c r="C867" s="203"/>
      <c r="D867" s="203"/>
      <c r="E867" s="203"/>
      <c r="F867" s="238"/>
      <c r="G867" s="203"/>
      <c r="H867" s="203"/>
      <c r="I867" s="203"/>
      <c r="J867" s="203"/>
    </row>
    <row r="868" spans="1:10">
      <c r="A868" s="203"/>
      <c r="B868" s="203"/>
      <c r="C868" s="203"/>
      <c r="D868" s="203"/>
      <c r="E868" s="203"/>
      <c r="F868" s="238"/>
      <c r="G868" s="203"/>
      <c r="H868" s="203"/>
      <c r="I868" s="203"/>
      <c r="J868" s="203"/>
    </row>
    <row r="869" spans="1:10">
      <c r="A869" s="203"/>
      <c r="B869" s="203"/>
      <c r="C869" s="203"/>
      <c r="D869" s="203"/>
      <c r="E869" s="203"/>
      <c r="F869" s="238"/>
      <c r="G869" s="203"/>
      <c r="H869" s="203"/>
      <c r="I869" s="203"/>
      <c r="J869" s="203"/>
    </row>
    <row r="870" spans="1:10">
      <c r="A870" s="203"/>
      <c r="B870" s="203"/>
      <c r="C870" s="203"/>
      <c r="D870" s="203"/>
      <c r="E870" s="203"/>
      <c r="F870" s="238"/>
      <c r="G870" s="203"/>
      <c r="H870" s="203"/>
      <c r="I870" s="203"/>
      <c r="J870" s="203"/>
    </row>
    <row r="871" spans="1:10">
      <c r="A871" s="203"/>
      <c r="B871" s="203"/>
      <c r="C871" s="203"/>
      <c r="D871" s="203"/>
      <c r="E871" s="203"/>
      <c r="F871" s="238"/>
      <c r="G871" s="203"/>
      <c r="H871" s="203"/>
      <c r="I871" s="203"/>
      <c r="J871" s="203"/>
    </row>
    <row r="872" spans="1:10">
      <c r="A872" s="203"/>
      <c r="B872" s="203"/>
      <c r="C872" s="203"/>
      <c r="D872" s="203"/>
      <c r="E872" s="203"/>
      <c r="F872" s="238"/>
      <c r="G872" s="203"/>
      <c r="H872" s="203"/>
      <c r="I872" s="203"/>
      <c r="J872" s="203"/>
    </row>
    <row r="873" spans="1:10">
      <c r="A873" s="203"/>
      <c r="B873" s="203"/>
      <c r="C873" s="203"/>
      <c r="D873" s="203"/>
      <c r="E873" s="203"/>
      <c r="F873" s="238"/>
      <c r="G873" s="203"/>
      <c r="H873" s="203"/>
      <c r="I873" s="203"/>
      <c r="J873" s="203"/>
    </row>
    <row r="874" spans="1:10">
      <c r="A874" s="203"/>
      <c r="B874" s="203"/>
      <c r="C874" s="203"/>
      <c r="D874" s="203"/>
      <c r="E874" s="203"/>
      <c r="F874" s="238"/>
      <c r="G874" s="203"/>
      <c r="H874" s="203"/>
      <c r="I874" s="203"/>
      <c r="J874" s="203"/>
    </row>
    <row r="875" spans="1:10">
      <c r="A875" s="203"/>
      <c r="B875" s="203"/>
      <c r="C875" s="203"/>
      <c r="D875" s="203"/>
      <c r="E875" s="203"/>
      <c r="F875" s="238"/>
      <c r="G875" s="203"/>
      <c r="H875" s="203"/>
      <c r="I875" s="203"/>
      <c r="J875" s="203"/>
    </row>
    <row r="876" spans="1:10">
      <c r="A876" s="203"/>
      <c r="B876" s="203"/>
      <c r="C876" s="203"/>
      <c r="D876" s="203"/>
      <c r="E876" s="203"/>
      <c r="F876" s="238"/>
      <c r="G876" s="203"/>
      <c r="H876" s="203"/>
      <c r="I876" s="203"/>
      <c r="J876" s="203"/>
    </row>
    <row r="877" spans="1:10">
      <c r="A877" s="203"/>
      <c r="B877" s="203"/>
      <c r="C877" s="203"/>
      <c r="D877" s="203"/>
      <c r="E877" s="203"/>
      <c r="F877" s="238"/>
      <c r="G877" s="203"/>
      <c r="H877" s="203"/>
      <c r="I877" s="203"/>
      <c r="J877" s="203"/>
    </row>
    <row r="878" spans="1:10">
      <c r="A878" s="203"/>
      <c r="B878" s="203"/>
      <c r="C878" s="203"/>
      <c r="D878" s="203"/>
      <c r="E878" s="203"/>
      <c r="F878" s="238"/>
      <c r="G878" s="203"/>
      <c r="H878" s="203"/>
      <c r="I878" s="203"/>
      <c r="J878" s="203"/>
    </row>
    <row r="879" spans="1:10">
      <c r="A879" s="203"/>
      <c r="B879" s="203"/>
      <c r="C879" s="203"/>
      <c r="D879" s="203"/>
      <c r="E879" s="203"/>
      <c r="F879" s="238"/>
      <c r="G879" s="203"/>
      <c r="H879" s="203"/>
      <c r="I879" s="203"/>
      <c r="J879" s="203"/>
    </row>
    <row r="880" spans="1:10">
      <c r="A880" s="203"/>
      <c r="B880" s="203"/>
      <c r="C880" s="203"/>
      <c r="D880" s="203"/>
      <c r="E880" s="203"/>
      <c r="F880" s="238"/>
      <c r="G880" s="203"/>
      <c r="H880" s="203"/>
      <c r="I880" s="203"/>
      <c r="J880" s="203"/>
    </row>
    <row r="881" spans="1:10">
      <c r="A881" s="203"/>
      <c r="B881" s="203"/>
      <c r="C881" s="203"/>
      <c r="D881" s="203"/>
      <c r="E881" s="203"/>
      <c r="F881" s="238"/>
      <c r="G881" s="203"/>
      <c r="H881" s="203"/>
      <c r="I881" s="203"/>
      <c r="J881" s="203"/>
    </row>
    <row r="882" spans="1:10">
      <c r="A882" s="203"/>
      <c r="B882" s="203"/>
      <c r="C882" s="203"/>
      <c r="D882" s="203"/>
      <c r="E882" s="203"/>
      <c r="F882" s="238"/>
      <c r="G882" s="203"/>
      <c r="H882" s="203"/>
      <c r="I882" s="203"/>
      <c r="J882" s="203"/>
    </row>
    <row r="883" spans="1:10">
      <c r="A883" s="203"/>
      <c r="B883" s="203"/>
      <c r="C883" s="203"/>
      <c r="D883" s="203"/>
      <c r="E883" s="203"/>
      <c r="F883" s="238"/>
      <c r="G883" s="203"/>
      <c r="H883" s="203"/>
      <c r="I883" s="203"/>
      <c r="J883" s="203"/>
    </row>
    <row r="884" spans="1:10">
      <c r="A884" s="203"/>
      <c r="B884" s="203"/>
      <c r="C884" s="203"/>
      <c r="D884" s="203"/>
      <c r="E884" s="203"/>
      <c r="F884" s="238"/>
      <c r="G884" s="203"/>
      <c r="H884" s="203"/>
      <c r="I884" s="203"/>
      <c r="J884" s="203"/>
    </row>
    <row r="885" spans="1:10">
      <c r="A885" s="203"/>
      <c r="B885" s="203"/>
      <c r="C885" s="203"/>
      <c r="D885" s="203"/>
      <c r="E885" s="203"/>
      <c r="F885" s="238"/>
      <c r="G885" s="203"/>
      <c r="H885" s="203"/>
      <c r="I885" s="203"/>
      <c r="J885" s="203"/>
    </row>
    <row r="886" spans="1:10">
      <c r="A886" s="203"/>
      <c r="B886" s="203"/>
      <c r="C886" s="203"/>
      <c r="D886" s="203"/>
      <c r="E886" s="203"/>
      <c r="F886" s="238"/>
      <c r="G886" s="203"/>
      <c r="H886" s="203"/>
      <c r="I886" s="203"/>
      <c r="J886" s="203"/>
    </row>
    <row r="887" spans="1:10">
      <c r="A887" s="203"/>
      <c r="B887" s="203"/>
      <c r="C887" s="203"/>
      <c r="D887" s="203"/>
      <c r="E887" s="203"/>
      <c r="F887" s="238"/>
      <c r="G887" s="203"/>
      <c r="H887" s="203"/>
      <c r="I887" s="203"/>
      <c r="J887" s="203"/>
    </row>
    <row r="888" spans="1:10">
      <c r="A888" s="203"/>
      <c r="B888" s="203"/>
      <c r="C888" s="203"/>
      <c r="D888" s="203"/>
      <c r="E888" s="203"/>
      <c r="F888" s="238"/>
      <c r="G888" s="203"/>
      <c r="H888" s="203"/>
      <c r="I888" s="203"/>
      <c r="J888" s="203"/>
    </row>
    <row r="889" spans="1:10">
      <c r="A889" s="203"/>
      <c r="B889" s="203"/>
      <c r="C889" s="203"/>
      <c r="D889" s="203"/>
      <c r="E889" s="203"/>
      <c r="F889" s="238"/>
      <c r="G889" s="203"/>
      <c r="H889" s="203"/>
      <c r="I889" s="203"/>
      <c r="J889" s="203"/>
    </row>
    <row r="890" spans="1:10">
      <c r="A890" s="203"/>
      <c r="B890" s="203"/>
      <c r="C890" s="203"/>
      <c r="D890" s="203"/>
      <c r="E890" s="203"/>
      <c r="F890" s="238"/>
      <c r="G890" s="203"/>
      <c r="H890" s="203"/>
      <c r="I890" s="203"/>
      <c r="J890" s="203"/>
    </row>
    <row r="891" spans="1:10">
      <c r="A891" s="203"/>
      <c r="B891" s="203"/>
      <c r="C891" s="203"/>
      <c r="D891" s="203"/>
      <c r="E891" s="203"/>
      <c r="F891" s="238"/>
      <c r="G891" s="203"/>
      <c r="H891" s="203"/>
      <c r="I891" s="203"/>
      <c r="J891" s="203"/>
    </row>
    <row r="892" spans="1:10">
      <c r="A892" s="203"/>
      <c r="B892" s="203"/>
      <c r="C892" s="203"/>
      <c r="D892" s="203"/>
      <c r="E892" s="203"/>
      <c r="F892" s="238"/>
      <c r="G892" s="203"/>
      <c r="H892" s="203"/>
      <c r="I892" s="203"/>
      <c r="J892" s="203"/>
    </row>
    <row r="893" spans="1:10">
      <c r="A893" s="203"/>
      <c r="B893" s="203"/>
      <c r="C893" s="203"/>
      <c r="D893" s="203"/>
      <c r="E893" s="203"/>
      <c r="F893" s="238"/>
      <c r="G893" s="203"/>
      <c r="H893" s="203"/>
      <c r="I893" s="203"/>
      <c r="J893" s="203"/>
    </row>
    <row r="894" spans="1:10">
      <c r="A894" s="203"/>
      <c r="B894" s="203"/>
      <c r="C894" s="203"/>
      <c r="D894" s="203"/>
      <c r="E894" s="203"/>
      <c r="F894" s="238"/>
      <c r="G894" s="203"/>
      <c r="H894" s="203"/>
      <c r="I894" s="203"/>
      <c r="J894" s="203"/>
    </row>
    <row r="895" spans="1:10">
      <c r="A895" s="203"/>
      <c r="B895" s="203"/>
      <c r="C895" s="203"/>
      <c r="D895" s="203"/>
      <c r="E895" s="203"/>
      <c r="F895" s="238"/>
      <c r="G895" s="203"/>
      <c r="H895" s="203"/>
      <c r="I895" s="203"/>
      <c r="J895" s="203"/>
    </row>
    <row r="896" spans="1:10">
      <c r="A896" s="203"/>
      <c r="B896" s="203"/>
      <c r="C896" s="203"/>
      <c r="D896" s="203"/>
      <c r="E896" s="203"/>
      <c r="F896" s="238"/>
      <c r="G896" s="203"/>
      <c r="H896" s="203"/>
      <c r="I896" s="203"/>
      <c r="J896" s="203"/>
    </row>
    <row r="897" spans="1:10">
      <c r="A897" s="203"/>
      <c r="B897" s="203"/>
      <c r="C897" s="203"/>
      <c r="D897" s="203"/>
      <c r="E897" s="203"/>
      <c r="F897" s="238"/>
      <c r="G897" s="203"/>
      <c r="H897" s="203"/>
      <c r="I897" s="203"/>
      <c r="J897" s="203"/>
    </row>
    <row r="898" spans="1:10">
      <c r="A898" s="203"/>
      <c r="B898" s="203"/>
      <c r="C898" s="203"/>
      <c r="D898" s="203"/>
      <c r="E898" s="203"/>
      <c r="F898" s="238"/>
      <c r="G898" s="203"/>
      <c r="H898" s="203"/>
      <c r="I898" s="203"/>
      <c r="J898" s="203"/>
    </row>
    <row r="899" spans="1:10">
      <c r="A899" s="203"/>
      <c r="B899" s="203"/>
      <c r="C899" s="203"/>
      <c r="D899" s="203"/>
      <c r="E899" s="203"/>
      <c r="F899" s="238"/>
      <c r="G899" s="203"/>
      <c r="H899" s="203"/>
      <c r="I899" s="203"/>
      <c r="J899" s="203"/>
    </row>
    <row r="900" spans="1:10">
      <c r="A900" s="203"/>
      <c r="B900" s="203"/>
      <c r="C900" s="203"/>
      <c r="D900" s="203"/>
      <c r="E900" s="203"/>
      <c r="F900" s="238"/>
      <c r="G900" s="203"/>
      <c r="H900" s="203"/>
      <c r="I900" s="203"/>
      <c r="J900" s="203"/>
    </row>
    <row r="901" spans="1:10">
      <c r="A901" s="203"/>
      <c r="B901" s="203"/>
      <c r="C901" s="203"/>
      <c r="D901" s="203"/>
      <c r="E901" s="203"/>
      <c r="F901" s="238"/>
      <c r="G901" s="203"/>
      <c r="H901" s="203"/>
      <c r="I901" s="203"/>
      <c r="J901" s="203"/>
    </row>
    <row r="902" spans="1:10">
      <c r="A902" s="203"/>
      <c r="B902" s="203"/>
      <c r="C902" s="203"/>
      <c r="D902" s="203"/>
      <c r="E902" s="203"/>
      <c r="F902" s="238"/>
      <c r="G902" s="203"/>
      <c r="H902" s="203"/>
      <c r="I902" s="203"/>
      <c r="J902" s="203"/>
    </row>
    <row r="903" spans="1:10">
      <c r="A903" s="203"/>
      <c r="B903" s="203"/>
      <c r="C903" s="203"/>
      <c r="D903" s="203"/>
      <c r="E903" s="203"/>
      <c r="F903" s="238"/>
      <c r="G903" s="203"/>
      <c r="H903" s="203"/>
      <c r="I903" s="203"/>
      <c r="J903" s="203"/>
    </row>
    <row r="904" spans="1:10">
      <c r="A904" s="203"/>
      <c r="B904" s="203"/>
      <c r="C904" s="203"/>
      <c r="D904" s="203"/>
      <c r="E904" s="203"/>
      <c r="F904" s="238"/>
      <c r="G904" s="203"/>
      <c r="H904" s="203"/>
      <c r="I904" s="203"/>
      <c r="J904" s="203"/>
    </row>
    <row r="905" spans="1:10">
      <c r="A905" s="203"/>
      <c r="B905" s="203"/>
      <c r="C905" s="203"/>
      <c r="D905" s="203"/>
      <c r="E905" s="203"/>
      <c r="F905" s="238"/>
      <c r="G905" s="203"/>
      <c r="H905" s="203"/>
      <c r="I905" s="203"/>
      <c r="J905" s="203"/>
    </row>
    <row r="906" spans="1:10">
      <c r="A906" s="203"/>
      <c r="B906" s="203"/>
      <c r="C906" s="203"/>
      <c r="D906" s="203"/>
      <c r="E906" s="203"/>
      <c r="F906" s="238"/>
      <c r="G906" s="203"/>
      <c r="H906" s="203"/>
      <c r="I906" s="203"/>
      <c r="J906" s="203"/>
    </row>
    <row r="907" spans="1:10">
      <c r="A907" s="203"/>
      <c r="B907" s="203"/>
      <c r="C907" s="203"/>
      <c r="D907" s="203"/>
      <c r="E907" s="203"/>
      <c r="F907" s="238"/>
      <c r="G907" s="203"/>
      <c r="H907" s="203"/>
      <c r="I907" s="203"/>
      <c r="J907" s="203"/>
    </row>
    <row r="908" spans="1:10">
      <c r="A908" s="203"/>
      <c r="B908" s="203"/>
      <c r="C908" s="203"/>
      <c r="D908" s="203"/>
      <c r="E908" s="203"/>
      <c r="F908" s="238"/>
      <c r="G908" s="203"/>
      <c r="H908" s="203"/>
      <c r="I908" s="203"/>
      <c r="J908" s="203"/>
    </row>
    <row r="909" spans="1:10">
      <c r="A909" s="203"/>
      <c r="B909" s="203"/>
      <c r="C909" s="203"/>
      <c r="D909" s="203"/>
      <c r="E909" s="203"/>
      <c r="F909" s="238"/>
      <c r="G909" s="203"/>
      <c r="H909" s="203"/>
      <c r="I909" s="203"/>
      <c r="J909" s="203"/>
    </row>
    <row r="910" spans="1:10">
      <c r="A910" s="203"/>
      <c r="B910" s="203"/>
      <c r="C910" s="203"/>
      <c r="D910" s="203"/>
      <c r="E910" s="203"/>
      <c r="F910" s="238"/>
      <c r="G910" s="203"/>
      <c r="H910" s="203"/>
      <c r="I910" s="203"/>
      <c r="J910" s="203"/>
    </row>
    <row r="911" spans="1:10">
      <c r="A911" s="203"/>
      <c r="B911" s="203"/>
      <c r="C911" s="203"/>
      <c r="D911" s="203"/>
      <c r="E911" s="203"/>
      <c r="F911" s="238"/>
      <c r="G911" s="203"/>
      <c r="H911" s="203"/>
      <c r="I911" s="203"/>
      <c r="J911" s="203"/>
    </row>
    <row r="912" spans="1:10">
      <c r="A912" s="203"/>
      <c r="B912" s="203"/>
      <c r="C912" s="203"/>
      <c r="D912" s="203"/>
      <c r="E912" s="203"/>
      <c r="F912" s="238"/>
      <c r="G912" s="203"/>
      <c r="H912" s="203"/>
      <c r="I912" s="203"/>
      <c r="J912" s="203"/>
    </row>
    <row r="913" spans="1:10">
      <c r="A913" s="203"/>
      <c r="B913" s="203"/>
      <c r="C913" s="203"/>
      <c r="D913" s="203"/>
      <c r="E913" s="203"/>
      <c r="F913" s="238"/>
      <c r="G913" s="203"/>
      <c r="H913" s="203"/>
      <c r="I913" s="203"/>
      <c r="J913" s="203"/>
    </row>
    <row r="914" spans="1:10">
      <c r="A914" s="203"/>
      <c r="B914" s="203"/>
      <c r="C914" s="203"/>
      <c r="D914" s="203"/>
      <c r="E914" s="203"/>
      <c r="F914" s="238"/>
      <c r="G914" s="203"/>
      <c r="H914" s="203"/>
      <c r="I914" s="203"/>
      <c r="J914" s="203"/>
    </row>
    <row r="915" spans="1:10">
      <c r="A915" s="203"/>
      <c r="B915" s="203"/>
      <c r="C915" s="203"/>
      <c r="D915" s="203"/>
      <c r="E915" s="203"/>
      <c r="F915" s="238"/>
      <c r="G915" s="203"/>
      <c r="H915" s="203"/>
      <c r="I915" s="203"/>
      <c r="J915" s="203"/>
    </row>
    <row r="916" spans="1:10">
      <c r="A916" s="203"/>
      <c r="B916" s="203"/>
      <c r="C916" s="203"/>
      <c r="D916" s="203"/>
      <c r="E916" s="203"/>
      <c r="F916" s="238"/>
      <c r="G916" s="203"/>
      <c r="H916" s="203"/>
      <c r="I916" s="203"/>
      <c r="J916" s="203"/>
    </row>
    <row r="917" spans="1:10">
      <c r="A917" s="203"/>
      <c r="B917" s="203"/>
      <c r="C917" s="203"/>
      <c r="D917" s="203"/>
      <c r="E917" s="203"/>
      <c r="F917" s="238"/>
      <c r="G917" s="203"/>
      <c r="H917" s="203"/>
      <c r="I917" s="203"/>
      <c r="J917" s="203"/>
    </row>
    <row r="918" spans="1:10">
      <c r="A918" s="203"/>
      <c r="B918" s="203"/>
      <c r="C918" s="203"/>
      <c r="D918" s="203"/>
      <c r="E918" s="203"/>
      <c r="F918" s="238"/>
      <c r="G918" s="203"/>
      <c r="H918" s="203"/>
      <c r="I918" s="203"/>
      <c r="J918" s="203"/>
    </row>
    <row r="919" spans="1:10">
      <c r="A919" s="203"/>
      <c r="B919" s="203"/>
      <c r="C919" s="203"/>
      <c r="D919" s="203"/>
      <c r="E919" s="203"/>
      <c r="F919" s="238"/>
      <c r="G919" s="203"/>
      <c r="H919" s="203"/>
      <c r="I919" s="203"/>
      <c r="J919" s="203"/>
    </row>
    <row r="920" spans="1:10">
      <c r="A920" s="203"/>
      <c r="B920" s="203"/>
      <c r="C920" s="203"/>
      <c r="D920" s="203"/>
      <c r="E920" s="203"/>
      <c r="F920" s="238"/>
      <c r="G920" s="203"/>
      <c r="H920" s="203"/>
      <c r="I920" s="203"/>
      <c r="J920" s="203"/>
    </row>
    <row r="921" spans="1:10">
      <c r="A921" s="203"/>
      <c r="B921" s="203"/>
      <c r="C921" s="203"/>
      <c r="D921" s="203"/>
      <c r="E921" s="203"/>
      <c r="F921" s="238"/>
      <c r="G921" s="203"/>
      <c r="H921" s="203"/>
      <c r="I921" s="203"/>
      <c r="J921" s="203"/>
    </row>
    <row r="922" spans="1:10">
      <c r="A922" s="203"/>
      <c r="B922" s="203"/>
      <c r="C922" s="203"/>
      <c r="D922" s="203"/>
      <c r="E922" s="203"/>
      <c r="F922" s="238"/>
      <c r="G922" s="203"/>
      <c r="H922" s="203"/>
      <c r="I922" s="203"/>
      <c r="J922" s="203"/>
    </row>
    <row r="923" spans="1:10">
      <c r="A923" s="203"/>
      <c r="B923" s="203"/>
      <c r="C923" s="203"/>
      <c r="D923" s="203"/>
      <c r="E923" s="203"/>
      <c r="F923" s="238"/>
      <c r="G923" s="203"/>
      <c r="H923" s="203"/>
      <c r="I923" s="203"/>
      <c r="J923" s="203"/>
    </row>
    <row r="924" spans="1:10">
      <c r="A924" s="203"/>
      <c r="B924" s="203"/>
      <c r="C924" s="203"/>
      <c r="D924" s="203"/>
      <c r="E924" s="203"/>
      <c r="F924" s="238"/>
      <c r="G924" s="203"/>
      <c r="H924" s="203"/>
      <c r="I924" s="203"/>
      <c r="J924" s="203"/>
    </row>
    <row r="925" spans="1:10">
      <c r="A925" s="203"/>
      <c r="B925" s="203"/>
      <c r="C925" s="203"/>
      <c r="D925" s="203"/>
      <c r="E925" s="203"/>
      <c r="F925" s="238"/>
      <c r="G925" s="203"/>
      <c r="H925" s="203"/>
      <c r="I925" s="203"/>
      <c r="J925" s="203"/>
    </row>
    <row r="926" spans="1:10">
      <c r="A926" s="203"/>
      <c r="B926" s="203"/>
      <c r="C926" s="203"/>
      <c r="D926" s="203"/>
      <c r="E926" s="203"/>
      <c r="F926" s="238"/>
      <c r="G926" s="203"/>
      <c r="H926" s="203"/>
      <c r="I926" s="203"/>
      <c r="J926" s="203"/>
    </row>
    <row r="927" spans="1:10">
      <c r="A927" s="203"/>
      <c r="B927" s="203"/>
      <c r="C927" s="203"/>
      <c r="D927" s="203"/>
      <c r="E927" s="203"/>
      <c r="F927" s="238"/>
      <c r="G927" s="203"/>
      <c r="H927" s="203"/>
      <c r="I927" s="203"/>
      <c r="J927" s="203"/>
    </row>
    <row r="928" spans="1:10">
      <c r="A928" s="203"/>
      <c r="B928" s="203"/>
      <c r="C928" s="203"/>
      <c r="D928" s="203"/>
      <c r="E928" s="203"/>
      <c r="F928" s="238"/>
      <c r="G928" s="203"/>
      <c r="H928" s="203"/>
      <c r="I928" s="203"/>
      <c r="J928" s="203"/>
    </row>
    <row r="929" spans="1:10">
      <c r="A929" s="203"/>
      <c r="B929" s="203"/>
      <c r="C929" s="203"/>
      <c r="D929" s="203"/>
      <c r="E929" s="203"/>
      <c r="F929" s="238"/>
      <c r="G929" s="203"/>
      <c r="H929" s="203"/>
      <c r="I929" s="203"/>
      <c r="J929" s="203"/>
    </row>
    <row r="930" spans="1:10">
      <c r="A930" s="203"/>
      <c r="B930" s="203"/>
      <c r="C930" s="203"/>
      <c r="D930" s="203"/>
      <c r="E930" s="203"/>
      <c r="F930" s="238"/>
      <c r="G930" s="203"/>
      <c r="H930" s="203"/>
      <c r="I930" s="203"/>
      <c r="J930" s="203"/>
    </row>
    <row r="931" spans="1:10">
      <c r="A931" s="203"/>
      <c r="B931" s="203"/>
      <c r="C931" s="203"/>
      <c r="D931" s="203"/>
      <c r="E931" s="203"/>
      <c r="F931" s="238"/>
      <c r="G931" s="203"/>
      <c r="H931" s="203"/>
      <c r="I931" s="203"/>
      <c r="J931" s="203"/>
    </row>
    <row r="932" spans="1:10">
      <c r="A932" s="203"/>
      <c r="B932" s="203"/>
      <c r="C932" s="203"/>
      <c r="D932" s="203"/>
      <c r="E932" s="203"/>
      <c r="F932" s="238"/>
      <c r="G932" s="203"/>
      <c r="H932" s="203"/>
      <c r="I932" s="203"/>
      <c r="J932" s="203"/>
    </row>
    <row r="933" spans="1:10">
      <c r="A933" s="203"/>
      <c r="B933" s="203"/>
      <c r="C933" s="203"/>
      <c r="D933" s="203"/>
      <c r="E933" s="203"/>
      <c r="F933" s="238"/>
      <c r="G933" s="203"/>
      <c r="H933" s="203"/>
      <c r="I933" s="203"/>
      <c r="J933" s="203"/>
    </row>
    <row r="934" spans="1:10">
      <c r="A934" s="203"/>
      <c r="B934" s="203"/>
      <c r="C934" s="203"/>
      <c r="D934" s="203"/>
      <c r="E934" s="203"/>
      <c r="F934" s="238"/>
      <c r="G934" s="203"/>
      <c r="H934" s="203"/>
      <c r="I934" s="203"/>
      <c r="J934" s="203"/>
    </row>
    <row r="935" spans="1:10">
      <c r="A935" s="203"/>
      <c r="B935" s="203"/>
      <c r="C935" s="203"/>
      <c r="D935" s="203"/>
      <c r="E935" s="203"/>
      <c r="F935" s="238"/>
      <c r="G935" s="203"/>
      <c r="H935" s="203"/>
      <c r="I935" s="203"/>
      <c r="J935" s="203"/>
    </row>
    <row r="936" spans="1:10">
      <c r="A936" s="203"/>
      <c r="B936" s="203"/>
      <c r="C936" s="203"/>
      <c r="D936" s="203"/>
      <c r="E936" s="203"/>
      <c r="F936" s="238"/>
      <c r="G936" s="203"/>
      <c r="H936" s="203"/>
      <c r="I936" s="203"/>
      <c r="J936" s="203"/>
    </row>
    <row r="937" spans="1:10">
      <c r="A937" s="203"/>
      <c r="B937" s="203"/>
      <c r="C937" s="203"/>
      <c r="D937" s="203"/>
      <c r="E937" s="203"/>
      <c r="F937" s="238"/>
      <c r="G937" s="203"/>
      <c r="H937" s="203"/>
      <c r="I937" s="203"/>
      <c r="J937" s="203"/>
    </row>
    <row r="938" spans="1:10">
      <c r="A938" s="203"/>
      <c r="B938" s="203"/>
      <c r="C938" s="203"/>
      <c r="D938" s="203"/>
      <c r="E938" s="203"/>
      <c r="F938" s="238"/>
      <c r="G938" s="203"/>
      <c r="H938" s="203"/>
      <c r="I938" s="203"/>
      <c r="J938" s="203"/>
    </row>
    <row r="939" spans="1:10">
      <c r="A939" s="203"/>
      <c r="B939" s="203"/>
      <c r="C939" s="203"/>
      <c r="D939" s="203"/>
      <c r="E939" s="203"/>
      <c r="F939" s="238"/>
      <c r="G939" s="203"/>
      <c r="H939" s="203"/>
      <c r="I939" s="203"/>
      <c r="J939" s="203"/>
    </row>
    <row r="940" spans="1:10">
      <c r="A940" s="203"/>
      <c r="B940" s="203"/>
      <c r="C940" s="203"/>
      <c r="D940" s="203"/>
      <c r="E940" s="203"/>
      <c r="F940" s="238"/>
      <c r="G940" s="203"/>
      <c r="H940" s="203"/>
      <c r="I940" s="203"/>
      <c r="J940" s="203"/>
    </row>
    <row r="941" spans="1:10">
      <c r="A941" s="203"/>
      <c r="B941" s="203"/>
      <c r="C941" s="203"/>
      <c r="D941" s="203"/>
      <c r="E941" s="203"/>
      <c r="F941" s="238"/>
      <c r="G941" s="203"/>
      <c r="H941" s="203"/>
      <c r="I941" s="203"/>
      <c r="J941" s="203"/>
    </row>
    <row r="942" spans="1:10">
      <c r="A942" s="203"/>
      <c r="B942" s="203"/>
      <c r="C942" s="203"/>
      <c r="D942" s="203"/>
      <c r="E942" s="203"/>
      <c r="F942" s="238"/>
      <c r="G942" s="203"/>
      <c r="H942" s="203"/>
      <c r="I942" s="203"/>
      <c r="J942" s="203"/>
    </row>
    <row r="943" spans="1:10">
      <c r="A943" s="203"/>
      <c r="B943" s="203"/>
      <c r="C943" s="203"/>
      <c r="D943" s="203"/>
      <c r="E943" s="203"/>
      <c r="F943" s="238"/>
      <c r="G943" s="203"/>
      <c r="H943" s="203"/>
      <c r="I943" s="203"/>
      <c r="J943" s="203"/>
    </row>
    <row r="944" spans="1:10">
      <c r="A944" s="203"/>
      <c r="B944" s="203"/>
      <c r="C944" s="203"/>
      <c r="D944" s="203"/>
      <c r="E944" s="203"/>
      <c r="F944" s="238"/>
      <c r="G944" s="203"/>
      <c r="H944" s="203"/>
      <c r="I944" s="203"/>
      <c r="J944" s="203"/>
    </row>
    <row r="945" spans="1:10">
      <c r="A945" s="203"/>
      <c r="B945" s="203"/>
      <c r="C945" s="203"/>
      <c r="D945" s="203"/>
      <c r="E945" s="203"/>
      <c r="F945" s="238"/>
      <c r="G945" s="203"/>
      <c r="H945" s="203"/>
      <c r="I945" s="203"/>
      <c r="J945" s="203"/>
    </row>
    <row r="946" spans="1:10">
      <c r="A946" s="203"/>
      <c r="B946" s="203"/>
      <c r="C946" s="203"/>
      <c r="D946" s="203"/>
      <c r="E946" s="203"/>
      <c r="F946" s="238"/>
      <c r="G946" s="203"/>
      <c r="H946" s="203"/>
      <c r="I946" s="203"/>
      <c r="J946" s="203"/>
    </row>
    <row r="947" spans="1:10">
      <c r="A947" s="203"/>
      <c r="B947" s="203"/>
      <c r="C947" s="203"/>
      <c r="D947" s="203"/>
      <c r="E947" s="203"/>
      <c r="F947" s="238"/>
      <c r="G947" s="203"/>
      <c r="H947" s="203"/>
      <c r="I947" s="203"/>
      <c r="J947" s="203"/>
    </row>
    <row r="948" spans="1:10">
      <c r="A948" s="203"/>
      <c r="B948" s="203"/>
      <c r="C948" s="203"/>
      <c r="D948" s="203"/>
      <c r="E948" s="203"/>
      <c r="F948" s="238"/>
      <c r="G948" s="203"/>
      <c r="H948" s="203"/>
      <c r="I948" s="203"/>
      <c r="J948" s="203"/>
    </row>
    <row r="949" spans="1:10">
      <c r="A949" s="203"/>
      <c r="B949" s="203"/>
      <c r="C949" s="203"/>
      <c r="D949" s="203"/>
      <c r="E949" s="203"/>
      <c r="F949" s="238"/>
      <c r="G949" s="203"/>
      <c r="H949" s="203"/>
      <c r="I949" s="203"/>
      <c r="J949" s="203"/>
    </row>
    <row r="950" spans="1:10">
      <c r="A950" s="203"/>
      <c r="B950" s="203"/>
      <c r="C950" s="203"/>
      <c r="D950" s="203"/>
      <c r="E950" s="203"/>
      <c r="F950" s="238"/>
      <c r="G950" s="203"/>
      <c r="H950" s="203"/>
      <c r="I950" s="203"/>
      <c r="J950" s="203"/>
    </row>
    <row r="951" spans="1:10">
      <c r="A951" s="203"/>
      <c r="B951" s="203"/>
      <c r="C951" s="203"/>
      <c r="D951" s="203"/>
      <c r="E951" s="203"/>
      <c r="F951" s="238"/>
      <c r="G951" s="203"/>
      <c r="H951" s="203"/>
      <c r="I951" s="203"/>
      <c r="J951" s="203"/>
    </row>
    <row r="952" spans="1:10">
      <c r="A952" s="203"/>
      <c r="B952" s="203"/>
      <c r="C952" s="203"/>
      <c r="D952" s="203"/>
      <c r="E952" s="203"/>
      <c r="F952" s="238"/>
      <c r="G952" s="203"/>
      <c r="H952" s="203"/>
      <c r="I952" s="203"/>
      <c r="J952" s="203"/>
    </row>
    <row r="953" spans="1:10">
      <c r="A953" s="203"/>
      <c r="B953" s="203"/>
      <c r="C953" s="203"/>
      <c r="D953" s="203"/>
      <c r="E953" s="203"/>
      <c r="F953" s="238"/>
      <c r="G953" s="203"/>
      <c r="H953" s="203"/>
      <c r="I953" s="203"/>
      <c r="J953" s="203"/>
    </row>
    <row r="954" spans="1:10">
      <c r="A954" s="203"/>
      <c r="B954" s="203"/>
      <c r="C954" s="203"/>
      <c r="D954" s="203"/>
      <c r="E954" s="203"/>
      <c r="F954" s="238"/>
      <c r="G954" s="203"/>
      <c r="H954" s="203"/>
      <c r="I954" s="203"/>
      <c r="J954" s="203"/>
    </row>
    <row r="955" spans="1:10">
      <c r="A955" s="203"/>
      <c r="B955" s="203"/>
      <c r="C955" s="203"/>
      <c r="D955" s="203"/>
      <c r="E955" s="203"/>
      <c r="F955" s="238"/>
      <c r="G955" s="203"/>
      <c r="H955" s="203"/>
      <c r="I955" s="203"/>
      <c r="J955" s="203"/>
    </row>
    <row r="956" spans="1:10">
      <c r="A956" s="203"/>
      <c r="B956" s="203"/>
      <c r="C956" s="203"/>
      <c r="D956" s="203"/>
      <c r="E956" s="203"/>
      <c r="F956" s="238"/>
      <c r="G956" s="203"/>
      <c r="H956" s="203"/>
      <c r="I956" s="203"/>
      <c r="J956" s="203"/>
    </row>
    <row r="957" spans="1:10">
      <c r="A957" s="203"/>
      <c r="B957" s="203"/>
      <c r="C957" s="203"/>
      <c r="D957" s="203"/>
      <c r="E957" s="203"/>
      <c r="F957" s="238"/>
      <c r="G957" s="203"/>
      <c r="H957" s="203"/>
      <c r="I957" s="203"/>
      <c r="J957" s="203"/>
    </row>
    <row r="958" spans="1:10">
      <c r="A958" s="203"/>
      <c r="B958" s="203"/>
      <c r="C958" s="203"/>
      <c r="D958" s="203"/>
      <c r="E958" s="203"/>
      <c r="F958" s="238"/>
      <c r="G958" s="203"/>
      <c r="H958" s="203"/>
      <c r="I958" s="203"/>
      <c r="J958" s="203"/>
    </row>
    <row r="959" spans="1:10">
      <c r="A959" s="203"/>
      <c r="B959" s="203"/>
      <c r="C959" s="203"/>
      <c r="D959" s="203"/>
      <c r="E959" s="203"/>
      <c r="F959" s="238"/>
      <c r="G959" s="203"/>
      <c r="H959" s="203"/>
      <c r="I959" s="203"/>
      <c r="J959" s="203"/>
    </row>
    <row r="960" spans="1:10">
      <c r="A960" s="203"/>
      <c r="B960" s="203"/>
      <c r="C960" s="203"/>
      <c r="D960" s="203"/>
      <c r="E960" s="203"/>
      <c r="F960" s="238"/>
      <c r="G960" s="203"/>
      <c r="H960" s="203"/>
      <c r="I960" s="203"/>
      <c r="J960" s="203"/>
    </row>
    <row r="961" spans="1:10">
      <c r="A961" s="203"/>
      <c r="B961" s="203"/>
      <c r="C961" s="203"/>
      <c r="D961" s="203"/>
      <c r="E961" s="203"/>
      <c r="F961" s="238"/>
      <c r="G961" s="203"/>
      <c r="H961" s="203"/>
      <c r="I961" s="203"/>
      <c r="J961" s="203"/>
    </row>
    <row r="962" spans="1:10">
      <c r="A962" s="203"/>
      <c r="B962" s="203"/>
      <c r="C962" s="203"/>
      <c r="D962" s="203"/>
      <c r="E962" s="203"/>
      <c r="F962" s="238"/>
      <c r="G962" s="203"/>
      <c r="H962" s="203"/>
      <c r="I962" s="203"/>
      <c r="J962" s="203"/>
    </row>
    <row r="963" spans="1:10">
      <c r="A963" s="203"/>
      <c r="B963" s="203"/>
      <c r="C963" s="203"/>
      <c r="D963" s="203"/>
      <c r="E963" s="203"/>
      <c r="F963" s="238"/>
      <c r="G963" s="203"/>
      <c r="H963" s="203"/>
      <c r="I963" s="203"/>
      <c r="J963" s="203"/>
    </row>
    <row r="964" spans="1:10">
      <c r="A964" s="203"/>
      <c r="B964" s="203"/>
      <c r="C964" s="203"/>
      <c r="D964" s="203"/>
      <c r="E964" s="203"/>
      <c r="F964" s="238"/>
      <c r="G964" s="203"/>
      <c r="H964" s="203"/>
      <c r="I964" s="203"/>
      <c r="J964" s="203"/>
    </row>
    <row r="965" spans="1:10">
      <c r="A965" s="203"/>
      <c r="B965" s="203"/>
      <c r="C965" s="203"/>
      <c r="D965" s="203"/>
      <c r="E965" s="203"/>
      <c r="F965" s="238"/>
      <c r="G965" s="203"/>
      <c r="H965" s="203"/>
      <c r="I965" s="203"/>
      <c r="J965" s="203"/>
    </row>
    <row r="966" spans="1:10">
      <c r="A966" s="203"/>
      <c r="B966" s="203"/>
      <c r="C966" s="203"/>
      <c r="D966" s="203"/>
      <c r="E966" s="203"/>
      <c r="F966" s="238"/>
      <c r="G966" s="203"/>
      <c r="H966" s="203"/>
      <c r="I966" s="203"/>
      <c r="J966" s="203"/>
    </row>
    <row r="967" spans="1:10">
      <c r="A967" s="203"/>
      <c r="B967" s="203"/>
      <c r="C967" s="203"/>
      <c r="D967" s="203"/>
      <c r="E967" s="203"/>
      <c r="F967" s="238"/>
      <c r="G967" s="203"/>
      <c r="H967" s="203"/>
      <c r="I967" s="203"/>
      <c r="J967" s="203"/>
    </row>
    <row r="968" spans="1:10">
      <c r="A968" s="203"/>
      <c r="B968" s="203"/>
      <c r="C968" s="203"/>
      <c r="D968" s="203"/>
      <c r="E968" s="203"/>
      <c r="F968" s="238"/>
      <c r="G968" s="203"/>
      <c r="H968" s="203"/>
      <c r="I968" s="203"/>
      <c r="J968" s="203"/>
    </row>
    <row r="969" spans="1:10">
      <c r="A969" s="203"/>
      <c r="B969" s="203"/>
      <c r="C969" s="203"/>
      <c r="D969" s="203"/>
      <c r="E969" s="203"/>
      <c r="F969" s="238"/>
      <c r="G969" s="203"/>
      <c r="H969" s="203"/>
      <c r="I969" s="203"/>
      <c r="J969" s="203"/>
    </row>
    <row r="970" spans="1:10">
      <c r="A970" s="203"/>
      <c r="B970" s="203"/>
      <c r="C970" s="203"/>
      <c r="D970" s="203"/>
      <c r="E970" s="203"/>
      <c r="F970" s="238"/>
      <c r="G970" s="203"/>
      <c r="H970" s="203"/>
      <c r="I970" s="203"/>
      <c r="J970" s="203"/>
    </row>
    <row r="971" spans="1:10">
      <c r="A971" s="203"/>
      <c r="B971" s="203"/>
      <c r="C971" s="203"/>
      <c r="D971" s="203"/>
      <c r="E971" s="203"/>
      <c r="F971" s="238"/>
      <c r="G971" s="203"/>
      <c r="H971" s="203"/>
      <c r="I971" s="203"/>
      <c r="J971" s="203"/>
    </row>
    <row r="972" spans="1:10">
      <c r="A972" s="203"/>
      <c r="B972" s="203"/>
      <c r="C972" s="203"/>
      <c r="D972" s="203"/>
      <c r="E972" s="203"/>
      <c r="F972" s="238"/>
      <c r="G972" s="203"/>
      <c r="H972" s="203"/>
      <c r="I972" s="203"/>
      <c r="J972" s="203"/>
    </row>
    <row r="973" spans="1:10">
      <c r="A973" s="203"/>
      <c r="B973" s="203"/>
      <c r="C973" s="203"/>
      <c r="D973" s="203"/>
      <c r="E973" s="203"/>
      <c r="F973" s="238"/>
      <c r="G973" s="203"/>
      <c r="H973" s="203"/>
      <c r="I973" s="203"/>
      <c r="J973" s="203"/>
    </row>
    <row r="974" spans="1:10">
      <c r="A974" s="203"/>
      <c r="B974" s="203"/>
      <c r="C974" s="203"/>
      <c r="D974" s="203"/>
      <c r="E974" s="203"/>
      <c r="F974" s="238"/>
      <c r="G974" s="203"/>
      <c r="H974" s="203"/>
      <c r="I974" s="203"/>
      <c r="J974" s="203"/>
    </row>
    <row r="975" spans="1:10">
      <c r="A975" s="203"/>
      <c r="B975" s="203"/>
      <c r="C975" s="203"/>
      <c r="D975" s="203"/>
      <c r="E975" s="203"/>
      <c r="F975" s="238"/>
      <c r="G975" s="203"/>
      <c r="H975" s="203"/>
      <c r="I975" s="203"/>
      <c r="J975" s="203"/>
    </row>
    <row r="976" spans="1:10">
      <c r="A976" s="203"/>
      <c r="B976" s="203"/>
      <c r="C976" s="203"/>
      <c r="D976" s="203"/>
      <c r="E976" s="203"/>
      <c r="F976" s="238"/>
      <c r="G976" s="203"/>
      <c r="H976" s="203"/>
      <c r="I976" s="203"/>
      <c r="J976" s="203"/>
    </row>
    <row r="977" spans="1:10">
      <c r="A977" s="203"/>
      <c r="B977" s="203"/>
      <c r="C977" s="203"/>
      <c r="D977" s="203"/>
      <c r="E977" s="203"/>
      <c r="F977" s="238"/>
      <c r="G977" s="203"/>
      <c r="H977" s="203"/>
      <c r="I977" s="203"/>
      <c r="J977" s="203"/>
    </row>
    <row r="978" spans="1:10">
      <c r="A978" s="203"/>
      <c r="B978" s="203"/>
      <c r="C978" s="203"/>
      <c r="D978" s="203"/>
      <c r="E978" s="203"/>
      <c r="F978" s="238"/>
      <c r="G978" s="203"/>
      <c r="H978" s="203"/>
      <c r="I978" s="203"/>
      <c r="J978" s="203"/>
    </row>
    <row r="979" spans="1:10">
      <c r="A979" s="203"/>
      <c r="B979" s="203"/>
      <c r="C979" s="203"/>
      <c r="D979" s="203"/>
      <c r="E979" s="203"/>
      <c r="F979" s="238"/>
      <c r="G979" s="203"/>
      <c r="H979" s="203"/>
      <c r="I979" s="203"/>
      <c r="J979" s="203"/>
    </row>
    <row r="980" spans="1:10">
      <c r="A980" s="203"/>
      <c r="B980" s="203"/>
      <c r="C980" s="203"/>
      <c r="D980" s="203"/>
      <c r="E980" s="203"/>
      <c r="F980" s="238"/>
      <c r="G980" s="203"/>
      <c r="H980" s="203"/>
      <c r="I980" s="203"/>
      <c r="J980" s="203"/>
    </row>
    <row r="981" spans="1:10">
      <c r="A981" s="203"/>
      <c r="B981" s="203"/>
      <c r="C981" s="203"/>
      <c r="D981" s="203"/>
      <c r="E981" s="203"/>
      <c r="F981" s="238"/>
      <c r="G981" s="203"/>
      <c r="H981" s="203"/>
      <c r="I981" s="203"/>
      <c r="J981" s="203"/>
    </row>
    <row r="982" spans="1:10">
      <c r="A982" s="203"/>
      <c r="B982" s="203"/>
      <c r="C982" s="203"/>
      <c r="D982" s="203"/>
      <c r="E982" s="203"/>
      <c r="F982" s="238"/>
      <c r="G982" s="203"/>
      <c r="H982" s="203"/>
      <c r="I982" s="203"/>
      <c r="J982" s="203"/>
    </row>
    <row r="983" spans="1:10">
      <c r="A983" s="203"/>
      <c r="B983" s="203"/>
      <c r="C983" s="203"/>
      <c r="D983" s="203"/>
      <c r="E983" s="203"/>
      <c r="F983" s="238"/>
      <c r="G983" s="203"/>
      <c r="H983" s="203"/>
      <c r="I983" s="203"/>
      <c r="J983" s="203"/>
    </row>
    <row r="984" spans="1:10">
      <c r="A984" s="203"/>
      <c r="B984" s="203"/>
      <c r="C984" s="203"/>
      <c r="D984" s="203"/>
      <c r="E984" s="203"/>
      <c r="F984" s="238"/>
      <c r="G984" s="203"/>
      <c r="H984" s="203"/>
      <c r="I984" s="203"/>
      <c r="J984" s="203"/>
    </row>
    <row r="985" spans="1:10">
      <c r="A985" s="203"/>
      <c r="B985" s="203"/>
      <c r="C985" s="203"/>
      <c r="D985" s="203"/>
      <c r="E985" s="203"/>
      <c r="F985" s="238"/>
      <c r="G985" s="203"/>
      <c r="H985" s="203"/>
      <c r="I985" s="203"/>
      <c r="J985" s="203"/>
    </row>
    <row r="986" spans="1:10">
      <c r="A986" s="203"/>
      <c r="B986" s="203"/>
      <c r="C986" s="203"/>
      <c r="D986" s="203"/>
      <c r="E986" s="203"/>
      <c r="F986" s="238"/>
      <c r="G986" s="203"/>
      <c r="H986" s="203"/>
      <c r="I986" s="203"/>
      <c r="J986" s="203"/>
    </row>
    <row r="987" spans="1:10">
      <c r="A987" s="203"/>
      <c r="B987" s="203"/>
      <c r="C987" s="203"/>
      <c r="D987" s="203"/>
      <c r="E987" s="203"/>
      <c r="F987" s="238"/>
      <c r="G987" s="203"/>
      <c r="H987" s="203"/>
      <c r="I987" s="203"/>
      <c r="J987" s="203"/>
    </row>
    <row r="988" spans="1:10">
      <c r="A988" s="203"/>
      <c r="B988" s="203"/>
      <c r="C988" s="203"/>
      <c r="D988" s="203"/>
      <c r="E988" s="203"/>
      <c r="F988" s="238"/>
      <c r="G988" s="203"/>
      <c r="H988" s="203"/>
      <c r="I988" s="203"/>
      <c r="J988" s="203"/>
    </row>
    <row r="989" spans="1:10">
      <c r="A989" s="203"/>
      <c r="B989" s="203"/>
      <c r="C989" s="203"/>
      <c r="D989" s="203"/>
      <c r="E989" s="203"/>
      <c r="F989" s="238"/>
      <c r="G989" s="203"/>
      <c r="H989" s="203"/>
      <c r="I989" s="203"/>
      <c r="J989" s="203"/>
    </row>
    <row r="990" spans="1:10">
      <c r="A990" s="203"/>
      <c r="B990" s="203"/>
      <c r="C990" s="203"/>
      <c r="D990" s="203"/>
      <c r="E990" s="203"/>
      <c r="F990" s="238"/>
      <c r="G990" s="203"/>
      <c r="H990" s="203"/>
      <c r="I990" s="203"/>
      <c r="J990" s="203"/>
    </row>
    <row r="991" spans="1:10">
      <c r="A991" s="203"/>
      <c r="B991" s="203"/>
      <c r="C991" s="203"/>
      <c r="D991" s="203"/>
      <c r="E991" s="203"/>
      <c r="F991" s="238"/>
      <c r="G991" s="203"/>
      <c r="H991" s="203"/>
      <c r="I991" s="203"/>
      <c r="J991" s="203"/>
    </row>
    <row r="992" spans="1:10">
      <c r="A992" s="203"/>
      <c r="B992" s="203"/>
      <c r="C992" s="203"/>
      <c r="D992" s="203"/>
      <c r="E992" s="203"/>
      <c r="F992" s="238"/>
      <c r="G992" s="203"/>
      <c r="H992" s="203"/>
      <c r="I992" s="203"/>
      <c r="J992" s="203"/>
    </row>
    <row r="993" spans="1:10">
      <c r="A993" s="203"/>
      <c r="B993" s="203"/>
      <c r="C993" s="203"/>
      <c r="D993" s="203"/>
      <c r="E993" s="203"/>
      <c r="F993" s="238"/>
      <c r="G993" s="203"/>
      <c r="H993" s="203"/>
      <c r="I993" s="203"/>
      <c r="J993" s="203"/>
    </row>
    <row r="994" spans="1:10">
      <c r="A994" s="203"/>
      <c r="B994" s="203"/>
      <c r="C994" s="203"/>
      <c r="D994" s="203"/>
      <c r="E994" s="203"/>
      <c r="F994" s="238"/>
      <c r="G994" s="203"/>
      <c r="H994" s="203"/>
      <c r="I994" s="203"/>
      <c r="J994" s="203"/>
    </row>
    <row r="995" spans="1:10">
      <c r="A995" s="203"/>
      <c r="B995" s="203"/>
      <c r="C995" s="203"/>
      <c r="D995" s="203"/>
      <c r="E995" s="203"/>
      <c r="F995" s="238"/>
      <c r="G995" s="203"/>
      <c r="H995" s="203"/>
      <c r="I995" s="203"/>
      <c r="J995" s="203"/>
    </row>
    <row r="996" spans="1:10">
      <c r="A996" s="203"/>
      <c r="B996" s="203"/>
      <c r="C996" s="203"/>
      <c r="D996" s="203"/>
      <c r="E996" s="203"/>
      <c r="F996" s="238"/>
      <c r="G996" s="203"/>
      <c r="H996" s="203"/>
      <c r="I996" s="203"/>
      <c r="J996" s="203"/>
    </row>
    <row r="997" spans="1:10">
      <c r="A997" s="203"/>
      <c r="B997" s="203"/>
      <c r="C997" s="203"/>
      <c r="D997" s="203"/>
      <c r="E997" s="203"/>
      <c r="F997" s="238"/>
      <c r="G997" s="203"/>
      <c r="H997" s="203"/>
      <c r="I997" s="203"/>
      <c r="J997" s="203"/>
    </row>
    <row r="998" spans="1:10">
      <c r="A998" s="203"/>
      <c r="B998" s="203"/>
      <c r="C998" s="203"/>
      <c r="D998" s="203"/>
      <c r="E998" s="203"/>
      <c r="F998" s="238"/>
      <c r="G998" s="203"/>
      <c r="H998" s="203"/>
      <c r="I998" s="203"/>
      <c r="J998" s="203"/>
    </row>
    <row r="999" spans="1:10">
      <c r="A999" s="203"/>
      <c r="B999" s="203"/>
      <c r="C999" s="203"/>
      <c r="D999" s="203"/>
      <c r="E999" s="203"/>
      <c r="F999" s="238"/>
      <c r="G999" s="203"/>
      <c r="H999" s="203"/>
      <c r="I999" s="203"/>
      <c r="J999" s="203"/>
    </row>
    <row r="1000" spans="1:10">
      <c r="A1000" s="203"/>
      <c r="B1000" s="203"/>
      <c r="C1000" s="203"/>
      <c r="D1000" s="203"/>
      <c r="E1000" s="203"/>
      <c r="F1000" s="238"/>
      <c r="G1000" s="203"/>
      <c r="H1000" s="203"/>
      <c r="I1000" s="203"/>
      <c r="J1000" s="203"/>
    </row>
  </sheetData>
  <autoFilter ref="A1:I97" xr:uid="{00000000-0009-0000-0000-000006000000}"/>
  <mergeCells count="2">
    <mergeCell ref="A1:E1"/>
    <mergeCell ref="A100:E100"/>
  </mergeCells>
  <hyperlinks>
    <hyperlink ref="G1" r:id="rId1" xr:uid="{00000000-0004-0000-0600-000000000000}"/>
    <hyperlink ref="G3" r:id="rId2" xr:uid="{00000000-0004-0000-0600-000001000000}"/>
    <hyperlink ref="G4" r:id="rId3" xr:uid="{00000000-0004-0000-0600-000002000000}"/>
    <hyperlink ref="G5" r:id="rId4" location=":~:text=%C4%90%E1%BA%A7u%20th%C3%A1ng%204%2F2023%2C%20S%E1%BB%9F,v%C3%A0%20nh%C3%B4m%20ng%C3%A0y%20c%C3%A0ng%20t%C4%83ng." xr:uid="{00000000-0004-0000-0600-000003000000}"/>
    <hyperlink ref="G6" r:id="rId5" location=":~:text=S%E1%BB%9F%20Giao%20d%E1%BB%8Bch%20Ch%E1%BB%A9ng%20kho%C3%A1n,ng%C3%A0y%2026%2F4%2F2024." xr:uid="{00000000-0004-0000-0600-000004000000}"/>
    <hyperlink ref="G7" r:id="rId6" location=":~:text=HCM%20(HoSE)%20c%C3%B4ng%20b%E1%BB%91%20vi%E1%BB%87c,ng%C3%A0y%2022%2F10%2F2024." xr:uid="{00000000-0004-0000-0600-000005000000}"/>
    <hyperlink ref="G8" r:id="rId7" location=":~:text=Ng%C3%A0y%2009%2F08%2C%20S%E1%BB%9F%20Giao,ng%C3%A0y%2006%2F09%2F2024." xr:uid="{00000000-0004-0000-0600-000006000000}"/>
    <hyperlink ref="G9" r:id="rId8" location=":~:text=Ng%C3%A0y%2009%2F08%2C%20S%E1%BB%9F%20Giao,ng%C3%A0y%2006%2F09%2F2024." xr:uid="{00000000-0004-0000-0600-000007000000}"/>
    <hyperlink ref="G10" r:id="rId9" location=":~:text=Theo%20quy%E1%BA%BFt%20%C4%91%E1%BB%8Bnh%20c%E1%BB%A7a%20S%E1%BB%9F,b%E1%BA%AFt%20bu%E1%BB%99c%20theo%20quy%20%C4%91%E1%BB%8Bnh." xr:uid="{00000000-0004-0000-0600-000008000000}"/>
    <hyperlink ref="G11" r:id="rId10" xr:uid="{00000000-0004-0000-0600-000009000000}"/>
    <hyperlink ref="G12" r:id="rId11" location=":~:text=(%C4%90TCK)%20S%E1%BB%9F%20Giao%20d%E1%BB%8Bch%20Ch%E1%BB%A9ng,ng%C3%A0y%2019%2F11%2F2024." xr:uid="{00000000-0004-0000-0600-00000A000000}"/>
    <hyperlink ref="G13" r:id="rId12" location=":~:text=S%E1%BB%9F%20Giao%20d%E1%BB%8Bch%20Ch%E1%BB%A9ng%20kho%C3%A1n,giao%20d%E1%BB%8Bch%20v%C3%A0%20ki%E1%BB%83m%20so%C3%A1t." xr:uid="{00000000-0004-0000-0600-00000B000000}"/>
    <hyperlink ref="G14" r:id="rId13" xr:uid="{00000000-0004-0000-0600-00000C000000}"/>
    <hyperlink ref="G15" r:id="rId14" xr:uid="{00000000-0004-0000-0600-00000D000000}"/>
    <hyperlink ref="G16" r:id="rId15" xr:uid="{00000000-0004-0000-0600-00000E000000}"/>
    <hyperlink ref="G17" r:id="rId16" xr:uid="{00000000-0004-0000-0600-00000F000000}"/>
    <hyperlink ref="G18" r:id="rId17" xr:uid="{00000000-0004-0000-0600-000010000000}"/>
    <hyperlink ref="G19" r:id="rId18" xr:uid="{00000000-0004-0000-0600-000011000000}"/>
    <hyperlink ref="G20" r:id="rId19" xr:uid="{00000000-0004-0000-0600-000012000000}"/>
    <hyperlink ref="G21" r:id="rId20" xr:uid="{00000000-0004-0000-0600-000013000000}"/>
    <hyperlink ref="G22" r:id="rId21" xr:uid="{00000000-0004-0000-0600-000014000000}"/>
    <hyperlink ref="G23" r:id="rId22" xr:uid="{00000000-0004-0000-0600-000015000000}"/>
    <hyperlink ref="G24" r:id="rId23" xr:uid="{00000000-0004-0000-0600-000016000000}"/>
    <hyperlink ref="G25" r:id="rId24" xr:uid="{00000000-0004-0000-0600-000017000000}"/>
    <hyperlink ref="G26" r:id="rId25" xr:uid="{00000000-0004-0000-0600-000018000000}"/>
    <hyperlink ref="G27" r:id="rId26" xr:uid="{00000000-0004-0000-0600-000019000000}"/>
    <hyperlink ref="G28" r:id="rId27" xr:uid="{00000000-0004-0000-0600-00001A000000}"/>
    <hyperlink ref="G29" r:id="rId28" xr:uid="{00000000-0004-0000-0600-00001B000000}"/>
    <hyperlink ref="G30" r:id="rId29" xr:uid="{00000000-0004-0000-0600-00001C000000}"/>
    <hyperlink ref="G31" r:id="rId30" location=":~:text=Theo%20%C4%91%C3%B3%2C%20HOSE%20cho%20bi%E1%BA%BFt,quy%20%C4%91%E1%BB%8Bnh%20t%E1%BA%A1i%20%C4%91i%E1%BB%83m%20h" xr:uid="{00000000-0004-0000-0600-00001D000000}"/>
    <hyperlink ref="G32" r:id="rId31" xr:uid="{00000000-0004-0000-0600-00001E000000}"/>
    <hyperlink ref="G33" r:id="rId32" xr:uid="{00000000-0004-0000-0600-00001F000000}"/>
    <hyperlink ref="G34" r:id="rId33" xr:uid="{00000000-0004-0000-0600-000020000000}"/>
    <hyperlink ref="G35" r:id="rId34" xr:uid="{00000000-0004-0000-0600-000021000000}"/>
    <hyperlink ref="G36" r:id="rId35" xr:uid="{00000000-0004-0000-0600-000022000000}"/>
    <hyperlink ref="G37" r:id="rId36" xr:uid="{00000000-0004-0000-0600-000023000000}"/>
    <hyperlink ref="G38" r:id="rId37" xr:uid="{00000000-0004-0000-0600-000024000000}"/>
    <hyperlink ref="G39" r:id="rId38" xr:uid="{00000000-0004-0000-0600-000025000000}"/>
    <hyperlink ref="G40" r:id="rId39" xr:uid="{00000000-0004-0000-0600-000026000000}"/>
    <hyperlink ref="G41" r:id="rId40" xr:uid="{00000000-0004-0000-0600-000027000000}"/>
    <hyperlink ref="G42" r:id="rId41" xr:uid="{00000000-0004-0000-0600-000028000000}"/>
    <hyperlink ref="G43" r:id="rId42" xr:uid="{00000000-0004-0000-0600-000029000000}"/>
    <hyperlink ref="G44" r:id="rId43" xr:uid="{00000000-0004-0000-0600-00002A000000}"/>
    <hyperlink ref="G45" r:id="rId44" xr:uid="{00000000-0004-0000-0600-00002B000000}"/>
    <hyperlink ref="G46" r:id="rId45" xr:uid="{00000000-0004-0000-0600-00002C000000}"/>
    <hyperlink ref="G47" r:id="rId46" xr:uid="{00000000-0004-0000-0600-00002D000000}"/>
    <hyperlink ref="G48" r:id="rId47" xr:uid="{00000000-0004-0000-0600-00002E000000}"/>
    <hyperlink ref="G49" r:id="rId48" location=":~:text=HCM%20(HoSE)%20v%E1%BB%ABa%20c%C3%B3%20quy%E1%BA%BFt,ng%C3%A0y%2012%2F12%2F2022." xr:uid="{00000000-0004-0000-0600-00002F000000}"/>
    <hyperlink ref="G50" r:id="rId49" xr:uid="{00000000-0004-0000-0600-000030000000}"/>
    <hyperlink ref="G51" r:id="rId50" xr:uid="{00000000-0004-0000-0600-000031000000}"/>
    <hyperlink ref="G52" r:id="rId51" xr:uid="{00000000-0004-0000-0600-000032000000}"/>
    <hyperlink ref="G53" r:id="rId52" location=":~:text=C%E1%BB%95%20phi%E1%BA%BFu%20SRF%20t%E1%BB%AB%20di%E1%BB%87n,k%E1%BB%83%20t%E1%BB%AB%20ng%C3%A0y%2010%2F02." xr:uid="{00000000-0004-0000-0600-000033000000}"/>
    <hyperlink ref="G54" r:id="rId53" xr:uid="{00000000-0004-0000-0600-000034000000}"/>
    <hyperlink ref="G55" r:id="rId54" xr:uid="{00000000-0004-0000-0600-000035000000}"/>
    <hyperlink ref="G56" r:id="rId55" xr:uid="{00000000-0004-0000-0600-000036000000}"/>
    <hyperlink ref="G57" r:id="rId56" xr:uid="{00000000-0004-0000-0600-000037000000}"/>
    <hyperlink ref="G58" r:id="rId57" xr:uid="{00000000-0004-0000-0600-000038000000}"/>
    <hyperlink ref="G59" r:id="rId58" xr:uid="{00000000-0004-0000-0600-000039000000}"/>
    <hyperlink ref="G60" r:id="rId59" xr:uid="{00000000-0004-0000-0600-00003A000000}"/>
    <hyperlink ref="G61" r:id="rId60" xr:uid="{00000000-0004-0000-0600-00003B000000}"/>
    <hyperlink ref="G65" r:id="rId61" xr:uid="{00000000-0004-0000-0600-00003C000000}"/>
    <hyperlink ref="G66" r:id="rId62" xr:uid="{00000000-0004-0000-0600-00003D000000}"/>
    <hyperlink ref="G67" r:id="rId63" xr:uid="{00000000-0004-0000-0600-00003E000000}"/>
    <hyperlink ref="G68" r:id="rId64" xr:uid="{00000000-0004-0000-0600-00003F000000}"/>
    <hyperlink ref="G69" r:id="rId65" xr:uid="{00000000-0004-0000-0600-000040000000}"/>
    <hyperlink ref="G70" r:id="rId66" xr:uid="{00000000-0004-0000-0600-000041000000}"/>
    <hyperlink ref="G71" r:id="rId67" xr:uid="{00000000-0004-0000-0600-000042000000}"/>
    <hyperlink ref="G72" r:id="rId68" xr:uid="{00000000-0004-0000-0600-000043000000}"/>
    <hyperlink ref="G73" r:id="rId69" xr:uid="{00000000-0004-0000-0600-000044000000}"/>
    <hyperlink ref="G74" r:id="rId70" xr:uid="{00000000-0004-0000-0600-000045000000}"/>
    <hyperlink ref="G75" r:id="rId71" xr:uid="{00000000-0004-0000-0600-000046000000}"/>
    <hyperlink ref="G76" r:id="rId72" xr:uid="{00000000-0004-0000-0600-000047000000}"/>
    <hyperlink ref="G77" r:id="rId73" xr:uid="{00000000-0004-0000-0600-000048000000}"/>
    <hyperlink ref="G89" r:id="rId74" xr:uid="{00000000-0004-0000-0600-000049000000}"/>
    <hyperlink ref="G90" r:id="rId75" location=":~:text=Lo%E1%BA%A1t%20c%E1%BB%95%20phi%E1%BA%BFu%20b%E1%BB%8B%20h%E1%BA%A1n%20ch%E1%BA%BF%20v%C3%A0%20%C4%91%C3%ACnh%20ch%E1%BB%89%20giao%20d%E1%BB%8Bch&amp;text=Theo%20th%C3%B4ng%20b%C3%A1o%20c%E1%BB%A7a%20S%E1%BB%9F,h%E1%BA%A1n%20c%C3%B4ng%20b%E1%BB%91%20th%C3%B4ng%20tin." xr:uid="{00000000-0004-0000-0600-00004A000000}"/>
    <hyperlink ref="G91" r:id="rId76" xr:uid="{00000000-0004-0000-0600-00004B000000}"/>
    <hyperlink ref="G92" r:id="rId77" xr:uid="{00000000-0004-0000-0600-00004C000000}"/>
    <hyperlink ref="G95" r:id="rId78" xr:uid="{00000000-0004-0000-0600-00004D000000}"/>
    <hyperlink ref="G96" r:id="rId79" xr:uid="{00000000-0004-0000-0600-00004E000000}"/>
    <hyperlink ref="G97" r:id="rId80" xr:uid="{00000000-0004-0000-0600-00004F000000}"/>
    <hyperlink ref="G100" r:id="rId81" xr:uid="{00000000-0004-0000-0600-000050000000}"/>
  </hyperlinks>
  <pageMargins left="0.7" right="0.7" top="0.75" bottom="0.75" header="0.3" footer="0.3"/>
  <legacyDrawing r:id="rId8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66"/>
  <sheetViews>
    <sheetView workbookViewId="0">
      <selection activeCell="E23" sqref="E23"/>
    </sheetView>
  </sheetViews>
  <sheetFormatPr defaultColWidth="12.6640625" defaultRowHeight="15.75" customHeight="1"/>
  <cols>
    <col min="7" max="7" width="15.21875" customWidth="1"/>
  </cols>
  <sheetData>
    <row r="1" spans="1:27" ht="15.75" customHeight="1">
      <c r="A1" s="251" t="s">
        <v>1</v>
      </c>
      <c r="B1" s="251" t="s">
        <v>5535</v>
      </c>
      <c r="C1" s="252" t="s">
        <v>5536</v>
      </c>
      <c r="D1" s="253" t="s">
        <v>5537</v>
      </c>
      <c r="E1" s="253" t="s">
        <v>5538</v>
      </c>
      <c r="F1" s="76"/>
      <c r="G1" s="76"/>
      <c r="H1" s="76"/>
      <c r="I1" s="76"/>
      <c r="J1" s="76"/>
      <c r="K1" s="76"/>
      <c r="L1" s="76"/>
      <c r="M1" s="76"/>
      <c r="N1" s="76"/>
      <c r="O1" s="76"/>
      <c r="P1" s="76"/>
      <c r="Q1" s="76"/>
      <c r="R1" s="76"/>
      <c r="S1" s="76"/>
      <c r="T1" s="76"/>
      <c r="U1" s="76"/>
      <c r="V1" s="76"/>
      <c r="W1" s="76"/>
      <c r="X1" s="76"/>
      <c r="Y1" s="76"/>
      <c r="Z1" s="76"/>
      <c r="AA1" s="76"/>
    </row>
    <row r="2" spans="1:27" ht="15.75" customHeight="1">
      <c r="A2" s="251">
        <v>1</v>
      </c>
      <c r="B2" s="251" t="s">
        <v>5072</v>
      </c>
      <c r="C2" s="252" t="s">
        <v>5072</v>
      </c>
      <c r="D2" s="254" t="s">
        <v>5070</v>
      </c>
      <c r="E2" s="255" t="s">
        <v>2763</v>
      </c>
      <c r="F2" s="76"/>
      <c r="G2" s="76" t="s">
        <v>5539</v>
      </c>
      <c r="H2" s="76">
        <v>79</v>
      </c>
      <c r="I2" s="76"/>
      <c r="J2" s="76"/>
      <c r="K2" s="76"/>
      <c r="L2" s="76"/>
      <c r="M2" s="76"/>
      <c r="N2" s="76"/>
      <c r="O2" s="76"/>
      <c r="P2" s="76"/>
      <c r="Q2" s="76"/>
      <c r="R2" s="76"/>
      <c r="S2" s="76"/>
      <c r="T2" s="76"/>
      <c r="U2" s="76"/>
      <c r="V2" s="76"/>
      <c r="W2" s="76"/>
      <c r="X2" s="76"/>
      <c r="Y2" s="76"/>
      <c r="Z2" s="76"/>
      <c r="AA2" s="76"/>
    </row>
    <row r="3" spans="1:27" ht="15.75" customHeight="1">
      <c r="A3" s="251">
        <v>2</v>
      </c>
      <c r="B3" s="251" t="s">
        <v>4005</v>
      </c>
      <c r="C3" s="252" t="s">
        <v>4005</v>
      </c>
      <c r="D3" s="254" t="s">
        <v>5075</v>
      </c>
      <c r="E3" s="255" t="s">
        <v>3133</v>
      </c>
      <c r="F3" s="76"/>
      <c r="G3" s="76" t="s">
        <v>5540</v>
      </c>
      <c r="H3" s="76">
        <v>67</v>
      </c>
      <c r="I3" s="76"/>
      <c r="J3" s="76"/>
      <c r="K3" s="76"/>
      <c r="L3" s="76"/>
      <c r="M3" s="76"/>
      <c r="N3" s="76"/>
      <c r="O3" s="76"/>
      <c r="P3" s="76"/>
      <c r="Q3" s="76"/>
      <c r="R3" s="76"/>
      <c r="S3" s="76"/>
      <c r="T3" s="76"/>
      <c r="U3" s="76"/>
      <c r="V3" s="76"/>
      <c r="W3" s="76"/>
      <c r="X3" s="76"/>
      <c r="Y3" s="76"/>
      <c r="Z3" s="76"/>
      <c r="AA3" s="76"/>
    </row>
    <row r="4" spans="1:27" ht="15.75" customHeight="1">
      <c r="A4" s="251">
        <v>3</v>
      </c>
      <c r="B4" s="251" t="s">
        <v>2418</v>
      </c>
      <c r="C4" s="252" t="s">
        <v>2418</v>
      </c>
      <c r="D4" s="254" t="s">
        <v>5082</v>
      </c>
      <c r="E4" s="76"/>
      <c r="F4" s="76"/>
      <c r="G4" s="76" t="s">
        <v>5541</v>
      </c>
      <c r="H4" s="76">
        <v>65</v>
      </c>
      <c r="I4" s="76"/>
      <c r="J4" s="76"/>
      <c r="K4" s="76"/>
      <c r="L4" s="76"/>
      <c r="M4" s="76"/>
      <c r="N4" s="76"/>
      <c r="O4" s="76"/>
      <c r="P4" s="76"/>
      <c r="Q4" s="76"/>
      <c r="R4" s="76"/>
      <c r="S4" s="76"/>
      <c r="T4" s="76"/>
      <c r="U4" s="76"/>
      <c r="V4" s="76"/>
      <c r="W4" s="76"/>
      <c r="X4" s="76"/>
      <c r="Y4" s="76"/>
      <c r="Z4" s="76"/>
      <c r="AA4" s="76"/>
    </row>
    <row r="5" spans="1:27" ht="15.75" customHeight="1">
      <c r="A5" s="251">
        <v>4</v>
      </c>
      <c r="B5" s="251" t="s">
        <v>2435</v>
      </c>
      <c r="C5" s="252" t="s">
        <v>2435</v>
      </c>
      <c r="D5" s="254" t="s">
        <v>475</v>
      </c>
      <c r="E5" s="76"/>
      <c r="F5" s="76"/>
      <c r="G5" s="76" t="s">
        <v>5542</v>
      </c>
      <c r="H5" s="76">
        <v>2</v>
      </c>
      <c r="I5" s="76"/>
      <c r="J5" s="76"/>
      <c r="K5" s="76"/>
      <c r="L5" s="76"/>
      <c r="M5" s="76"/>
      <c r="N5" s="76"/>
      <c r="O5" s="76"/>
      <c r="P5" s="76"/>
      <c r="Q5" s="76"/>
      <c r="R5" s="76"/>
      <c r="S5" s="76"/>
      <c r="T5" s="76"/>
      <c r="U5" s="76"/>
      <c r="V5" s="76"/>
      <c r="W5" s="76"/>
      <c r="X5" s="76"/>
      <c r="Y5" s="76"/>
      <c r="Z5" s="76"/>
      <c r="AA5" s="76"/>
    </row>
    <row r="6" spans="1:27" ht="15.75" customHeight="1">
      <c r="A6" s="251">
        <v>5</v>
      </c>
      <c r="B6" s="251" t="s">
        <v>5074</v>
      </c>
      <c r="C6" s="252" t="s">
        <v>5074</v>
      </c>
      <c r="D6" s="254" t="s">
        <v>2922</v>
      </c>
      <c r="E6" s="76"/>
      <c r="F6" s="76"/>
      <c r="G6" s="76" t="s">
        <v>5543</v>
      </c>
      <c r="H6" s="76">
        <v>14</v>
      </c>
      <c r="I6" s="76"/>
      <c r="J6" s="76"/>
      <c r="K6" s="76"/>
      <c r="L6" s="76"/>
      <c r="M6" s="76"/>
      <c r="N6" s="76"/>
      <c r="O6" s="76"/>
      <c r="P6" s="76"/>
      <c r="Q6" s="76"/>
      <c r="R6" s="76"/>
      <c r="S6" s="76"/>
      <c r="T6" s="76"/>
      <c r="U6" s="76"/>
      <c r="V6" s="76"/>
      <c r="W6" s="76"/>
      <c r="X6" s="76"/>
      <c r="Y6" s="76"/>
      <c r="Z6" s="76"/>
      <c r="AA6" s="76"/>
    </row>
    <row r="7" spans="1:27" ht="15.75" customHeight="1">
      <c r="A7" s="251">
        <v>6</v>
      </c>
      <c r="B7" s="251" t="s">
        <v>2450</v>
      </c>
      <c r="C7" s="252" t="s">
        <v>2450</v>
      </c>
      <c r="D7" s="254" t="s">
        <v>2944</v>
      </c>
      <c r="E7" s="76"/>
      <c r="F7" s="76"/>
      <c r="G7" s="76" t="s">
        <v>5544</v>
      </c>
      <c r="H7" s="76" t="s">
        <v>5545</v>
      </c>
      <c r="I7" s="76"/>
      <c r="J7" s="76"/>
      <c r="K7" s="76"/>
      <c r="L7" s="76"/>
      <c r="M7" s="76"/>
      <c r="N7" s="76"/>
      <c r="O7" s="76"/>
      <c r="P7" s="76"/>
      <c r="Q7" s="76"/>
      <c r="R7" s="76"/>
      <c r="S7" s="76"/>
      <c r="T7" s="76"/>
      <c r="U7" s="76"/>
      <c r="V7" s="76"/>
      <c r="W7" s="76"/>
      <c r="X7" s="76"/>
      <c r="Y7" s="76"/>
      <c r="Z7" s="76"/>
      <c r="AA7" s="76"/>
    </row>
    <row r="8" spans="1:27" ht="15.75" customHeight="1">
      <c r="A8" s="251">
        <v>7</v>
      </c>
      <c r="B8" s="251" t="s">
        <v>5076</v>
      </c>
      <c r="C8" s="252" t="s">
        <v>5076</v>
      </c>
      <c r="D8" s="254" t="s">
        <v>2953</v>
      </c>
      <c r="E8" s="76"/>
      <c r="F8" s="76"/>
      <c r="G8" s="76"/>
      <c r="H8" s="76"/>
      <c r="I8" s="76"/>
      <c r="J8" s="76"/>
      <c r="K8" s="76"/>
      <c r="L8" s="76"/>
      <c r="M8" s="76"/>
      <c r="N8" s="76"/>
      <c r="O8" s="76"/>
      <c r="P8" s="76"/>
      <c r="Q8" s="76"/>
      <c r="R8" s="76"/>
      <c r="S8" s="76"/>
      <c r="T8" s="76"/>
      <c r="U8" s="76"/>
      <c r="V8" s="76"/>
      <c r="W8" s="76"/>
      <c r="X8" s="76"/>
      <c r="Y8" s="76"/>
      <c r="Z8" s="76"/>
      <c r="AA8" s="76"/>
    </row>
    <row r="9" spans="1:27" ht="15.75" customHeight="1">
      <c r="A9" s="251">
        <v>8</v>
      </c>
      <c r="B9" s="251" t="s">
        <v>2465</v>
      </c>
      <c r="C9" s="252" t="s">
        <v>2465</v>
      </c>
      <c r="D9" s="254" t="s">
        <v>3021</v>
      </c>
      <c r="E9" s="76"/>
      <c r="F9" s="76"/>
      <c r="G9" s="76"/>
      <c r="H9" s="76"/>
      <c r="I9" s="76"/>
      <c r="J9" s="76"/>
      <c r="K9" s="76"/>
      <c r="L9" s="76"/>
      <c r="M9" s="76"/>
      <c r="N9" s="76"/>
      <c r="O9" s="76"/>
      <c r="P9" s="76"/>
      <c r="Q9" s="76"/>
      <c r="R9" s="76"/>
      <c r="S9" s="76"/>
      <c r="T9" s="76"/>
      <c r="U9" s="76"/>
      <c r="V9" s="76"/>
      <c r="W9" s="76"/>
      <c r="X9" s="76"/>
      <c r="Y9" s="76"/>
      <c r="Z9" s="76"/>
      <c r="AA9" s="76"/>
    </row>
    <row r="10" spans="1:27" ht="15.75" customHeight="1">
      <c r="A10" s="251">
        <v>9</v>
      </c>
      <c r="B10" s="251" t="s">
        <v>2572</v>
      </c>
      <c r="C10" s="252" t="s">
        <v>2572</v>
      </c>
      <c r="D10" s="254" t="s">
        <v>4415</v>
      </c>
      <c r="E10" s="76"/>
      <c r="F10" s="76"/>
      <c r="G10" s="76"/>
      <c r="H10" s="76"/>
      <c r="I10" s="76"/>
      <c r="J10" s="76"/>
      <c r="K10" s="76"/>
      <c r="L10" s="76"/>
      <c r="M10" s="76"/>
      <c r="N10" s="76"/>
      <c r="O10" s="76"/>
      <c r="P10" s="76"/>
      <c r="Q10" s="76"/>
      <c r="R10" s="76"/>
      <c r="S10" s="76"/>
      <c r="T10" s="76"/>
      <c r="U10" s="76"/>
      <c r="V10" s="76"/>
      <c r="W10" s="76"/>
      <c r="X10" s="76"/>
      <c r="Y10" s="76"/>
      <c r="Z10" s="76"/>
      <c r="AA10" s="76"/>
    </row>
    <row r="11" spans="1:27" ht="15.75" customHeight="1">
      <c r="A11" s="251">
        <v>10</v>
      </c>
      <c r="B11" s="251" t="s">
        <v>2681</v>
      </c>
      <c r="C11" s="252" t="s">
        <v>2681</v>
      </c>
      <c r="D11" s="254" t="s">
        <v>3180</v>
      </c>
      <c r="E11" s="76"/>
      <c r="F11" s="76"/>
      <c r="G11" s="76"/>
      <c r="H11" s="76"/>
      <c r="I11" s="76"/>
      <c r="J11" s="76"/>
      <c r="K11" s="76"/>
      <c r="L11" s="76"/>
      <c r="M11" s="76"/>
      <c r="N11" s="76"/>
      <c r="O11" s="76"/>
      <c r="P11" s="76"/>
      <c r="Q11" s="76"/>
      <c r="R11" s="76"/>
      <c r="S11" s="76"/>
      <c r="T11" s="76"/>
      <c r="U11" s="76"/>
      <c r="V11" s="76"/>
      <c r="W11" s="76"/>
      <c r="X11" s="76"/>
      <c r="Y11" s="76"/>
      <c r="Z11" s="76"/>
      <c r="AA11" s="76"/>
    </row>
    <row r="12" spans="1:27" ht="15.75" customHeight="1">
      <c r="A12" s="251">
        <v>11</v>
      </c>
      <c r="B12" s="251" t="s">
        <v>2686</v>
      </c>
      <c r="C12" s="252" t="s">
        <v>2686</v>
      </c>
      <c r="D12" s="254" t="s">
        <v>3359</v>
      </c>
      <c r="E12" s="76"/>
      <c r="F12" s="76"/>
      <c r="G12" s="76"/>
      <c r="H12" s="76"/>
      <c r="I12" s="76"/>
      <c r="J12" s="76"/>
      <c r="K12" s="76"/>
      <c r="L12" s="76"/>
      <c r="M12" s="76"/>
      <c r="N12" s="76"/>
      <c r="O12" s="76"/>
      <c r="P12" s="76"/>
      <c r="Q12" s="76"/>
      <c r="R12" s="76"/>
      <c r="S12" s="76"/>
      <c r="T12" s="76"/>
      <c r="U12" s="76"/>
      <c r="V12" s="76"/>
      <c r="W12" s="76"/>
      <c r="X12" s="76"/>
      <c r="Y12" s="76"/>
      <c r="Z12" s="76"/>
      <c r="AA12" s="76"/>
    </row>
    <row r="13" spans="1:27" ht="15.75" customHeight="1">
      <c r="A13" s="251">
        <v>12</v>
      </c>
      <c r="B13" s="251" t="s">
        <v>2743</v>
      </c>
      <c r="C13" s="252" t="s">
        <v>2743</v>
      </c>
      <c r="D13" s="254" t="s">
        <v>3400</v>
      </c>
      <c r="E13" s="76"/>
      <c r="F13" s="76"/>
      <c r="G13" s="76"/>
      <c r="H13" s="76"/>
      <c r="I13" s="76"/>
      <c r="J13" s="76"/>
      <c r="K13" s="76"/>
      <c r="L13" s="76"/>
      <c r="M13" s="76"/>
      <c r="N13" s="76"/>
      <c r="O13" s="76"/>
      <c r="P13" s="76"/>
      <c r="Q13" s="76"/>
      <c r="R13" s="76"/>
      <c r="S13" s="76"/>
      <c r="T13" s="76"/>
      <c r="U13" s="76"/>
      <c r="V13" s="76"/>
      <c r="W13" s="76"/>
      <c r="X13" s="76"/>
      <c r="Y13" s="76"/>
      <c r="Z13" s="76"/>
      <c r="AA13" s="76"/>
    </row>
    <row r="14" spans="1:27" ht="15.75" customHeight="1">
      <c r="A14" s="251">
        <v>13</v>
      </c>
      <c r="B14" s="251" t="s">
        <v>2773</v>
      </c>
      <c r="C14" s="252" t="s">
        <v>2773</v>
      </c>
      <c r="D14" s="254" t="s">
        <v>2052</v>
      </c>
      <c r="E14" s="76"/>
      <c r="F14" s="76"/>
      <c r="G14" s="76"/>
      <c r="H14" s="76"/>
      <c r="I14" s="76"/>
      <c r="J14" s="76"/>
      <c r="K14" s="76"/>
      <c r="L14" s="76"/>
      <c r="M14" s="76"/>
      <c r="N14" s="76"/>
      <c r="O14" s="76"/>
      <c r="P14" s="76"/>
      <c r="Q14" s="76"/>
      <c r="R14" s="76"/>
      <c r="S14" s="76"/>
      <c r="T14" s="76"/>
      <c r="U14" s="76"/>
      <c r="V14" s="76"/>
      <c r="W14" s="76"/>
      <c r="X14" s="76"/>
      <c r="Y14" s="76"/>
      <c r="Z14" s="76"/>
      <c r="AA14" s="76"/>
    </row>
    <row r="15" spans="1:27" ht="15.75" customHeight="1">
      <c r="A15" s="251">
        <v>14</v>
      </c>
      <c r="B15" s="251" t="s">
        <v>2795</v>
      </c>
      <c r="C15" s="252" t="s">
        <v>2795</v>
      </c>
      <c r="D15" s="254" t="s">
        <v>3818</v>
      </c>
      <c r="E15" s="76"/>
      <c r="F15" s="76"/>
      <c r="G15" s="76"/>
      <c r="H15" s="76"/>
      <c r="I15" s="76"/>
      <c r="J15" s="76"/>
      <c r="K15" s="76"/>
      <c r="L15" s="76"/>
      <c r="M15" s="76"/>
      <c r="N15" s="76"/>
      <c r="O15" s="76"/>
      <c r="P15" s="76"/>
      <c r="Q15" s="76"/>
      <c r="R15" s="76"/>
      <c r="S15" s="76"/>
      <c r="T15" s="76"/>
      <c r="U15" s="76"/>
      <c r="V15" s="76"/>
      <c r="W15" s="76"/>
      <c r="X15" s="76"/>
      <c r="Y15" s="76"/>
      <c r="Z15" s="76"/>
      <c r="AA15" s="76"/>
    </row>
    <row r="16" spans="1:27" ht="15.75" customHeight="1">
      <c r="A16" s="251">
        <v>15</v>
      </c>
      <c r="B16" s="251" t="s">
        <v>5088</v>
      </c>
      <c r="C16" s="252" t="s">
        <v>5088</v>
      </c>
      <c r="D16" s="76"/>
      <c r="E16" s="76"/>
      <c r="F16" s="76"/>
      <c r="G16" s="76"/>
      <c r="H16" s="76"/>
      <c r="I16" s="76"/>
      <c r="J16" s="76"/>
      <c r="K16" s="76"/>
      <c r="L16" s="76"/>
      <c r="M16" s="76"/>
      <c r="N16" s="76"/>
      <c r="O16" s="76"/>
      <c r="P16" s="76"/>
      <c r="Q16" s="76"/>
      <c r="R16" s="76"/>
      <c r="S16" s="76"/>
      <c r="T16" s="76"/>
      <c r="U16" s="76"/>
      <c r="V16" s="76"/>
      <c r="W16" s="76"/>
      <c r="X16" s="76"/>
      <c r="Y16" s="76"/>
      <c r="Z16" s="76"/>
      <c r="AA16" s="76"/>
    </row>
    <row r="17" spans="1:27" ht="15.75" customHeight="1">
      <c r="A17" s="251">
        <v>16</v>
      </c>
      <c r="B17" s="251" t="s">
        <v>2816</v>
      </c>
      <c r="C17" s="252" t="s">
        <v>2816</v>
      </c>
      <c r="D17" s="76"/>
      <c r="E17" s="76"/>
      <c r="F17" s="76"/>
      <c r="G17" s="76"/>
      <c r="H17" s="76"/>
      <c r="I17" s="76"/>
      <c r="J17" s="76"/>
      <c r="K17" s="76"/>
      <c r="L17" s="76"/>
      <c r="M17" s="76"/>
      <c r="N17" s="76"/>
      <c r="O17" s="76"/>
      <c r="P17" s="76"/>
      <c r="Q17" s="76"/>
      <c r="R17" s="76"/>
      <c r="S17" s="76"/>
      <c r="T17" s="76"/>
      <c r="U17" s="76"/>
      <c r="V17" s="76"/>
      <c r="W17" s="76"/>
      <c r="X17" s="76"/>
      <c r="Y17" s="76"/>
      <c r="Z17" s="76"/>
      <c r="AA17" s="76"/>
    </row>
    <row r="18" spans="1:27" ht="15.75" customHeight="1">
      <c r="A18" s="251">
        <v>17</v>
      </c>
      <c r="B18" s="251" t="s">
        <v>5089</v>
      </c>
      <c r="C18" s="252" t="s">
        <v>5089</v>
      </c>
      <c r="D18" s="76"/>
      <c r="E18" s="76"/>
      <c r="F18" s="76"/>
      <c r="G18" s="76"/>
      <c r="H18" s="76"/>
      <c r="I18" s="76"/>
      <c r="J18" s="76"/>
      <c r="K18" s="76"/>
      <c r="L18" s="76"/>
      <c r="M18" s="76"/>
      <c r="N18" s="76"/>
      <c r="O18" s="76"/>
      <c r="P18" s="76"/>
      <c r="Q18" s="76"/>
      <c r="R18" s="76"/>
      <c r="S18" s="76"/>
      <c r="T18" s="76"/>
      <c r="U18" s="76"/>
      <c r="V18" s="76"/>
      <c r="W18" s="76"/>
      <c r="X18" s="76"/>
      <c r="Y18" s="76"/>
      <c r="Z18" s="76"/>
      <c r="AA18" s="76"/>
    </row>
    <row r="19" spans="1:27" ht="15.75" customHeight="1">
      <c r="A19" s="251">
        <v>18</v>
      </c>
      <c r="B19" s="251" t="s">
        <v>2850</v>
      </c>
      <c r="C19" s="252" t="s">
        <v>2850</v>
      </c>
      <c r="D19" s="76"/>
      <c r="E19" s="76"/>
      <c r="F19" s="76"/>
      <c r="G19" s="76"/>
      <c r="H19" s="76"/>
      <c r="I19" s="76"/>
      <c r="J19" s="76"/>
      <c r="K19" s="76"/>
      <c r="L19" s="76"/>
      <c r="M19" s="76"/>
      <c r="N19" s="76"/>
      <c r="O19" s="76"/>
      <c r="P19" s="76"/>
      <c r="Q19" s="76"/>
      <c r="R19" s="76"/>
      <c r="S19" s="76"/>
      <c r="T19" s="76"/>
      <c r="U19" s="76"/>
      <c r="V19" s="76"/>
      <c r="W19" s="76"/>
      <c r="X19" s="76"/>
      <c r="Y19" s="76"/>
      <c r="Z19" s="76"/>
      <c r="AA19" s="76"/>
    </row>
    <row r="20" spans="1:27" ht="15.75" customHeight="1">
      <c r="A20" s="251">
        <v>19</v>
      </c>
      <c r="B20" s="251" t="s">
        <v>2873</v>
      </c>
      <c r="C20" s="252" t="s">
        <v>2873</v>
      </c>
      <c r="D20" s="76"/>
      <c r="E20" s="76"/>
      <c r="F20" s="76"/>
      <c r="G20" s="76"/>
      <c r="H20" s="76"/>
      <c r="I20" s="76"/>
      <c r="J20" s="76"/>
      <c r="K20" s="76"/>
      <c r="L20" s="76"/>
      <c r="M20" s="76"/>
      <c r="N20" s="76"/>
      <c r="O20" s="76"/>
      <c r="P20" s="76"/>
      <c r="Q20" s="76"/>
      <c r="R20" s="76"/>
      <c r="S20" s="76"/>
      <c r="T20" s="76"/>
      <c r="U20" s="76"/>
      <c r="V20" s="76"/>
      <c r="W20" s="76"/>
      <c r="X20" s="76"/>
      <c r="Y20" s="76"/>
      <c r="Z20" s="76"/>
      <c r="AA20" s="76"/>
    </row>
    <row r="21" spans="1:27" ht="15.75" customHeight="1">
      <c r="A21" s="251">
        <v>20</v>
      </c>
      <c r="B21" s="251" t="s">
        <v>2898</v>
      </c>
      <c r="C21" s="252" t="s">
        <v>2898</v>
      </c>
      <c r="D21" s="76"/>
      <c r="E21" s="76"/>
      <c r="F21" s="76"/>
      <c r="G21" s="76"/>
      <c r="H21" s="76"/>
      <c r="I21" s="76"/>
      <c r="J21" s="76"/>
      <c r="K21" s="76"/>
      <c r="L21" s="76"/>
      <c r="M21" s="76"/>
      <c r="N21" s="76"/>
      <c r="O21" s="76"/>
      <c r="P21" s="76"/>
      <c r="Q21" s="76"/>
      <c r="R21" s="76"/>
      <c r="S21" s="76"/>
      <c r="T21" s="76"/>
      <c r="U21" s="76"/>
      <c r="V21" s="76"/>
      <c r="W21" s="76"/>
      <c r="X21" s="76"/>
      <c r="Y21" s="76"/>
      <c r="Z21" s="76"/>
      <c r="AA21" s="76"/>
    </row>
    <row r="22" spans="1:27" ht="15.75" customHeight="1">
      <c r="A22" s="251">
        <v>21</v>
      </c>
      <c r="B22" s="251" t="s">
        <v>2902</v>
      </c>
      <c r="C22" s="252" t="s">
        <v>2902</v>
      </c>
      <c r="D22" s="76"/>
      <c r="E22" s="76"/>
      <c r="F22" s="76"/>
      <c r="G22" s="76"/>
      <c r="H22" s="76"/>
      <c r="I22" s="76"/>
      <c r="J22" s="76"/>
      <c r="K22" s="76"/>
      <c r="L22" s="76"/>
      <c r="M22" s="76"/>
      <c r="N22" s="76"/>
      <c r="O22" s="76"/>
      <c r="P22" s="76"/>
      <c r="Q22" s="76"/>
      <c r="R22" s="76"/>
      <c r="S22" s="76"/>
      <c r="T22" s="76"/>
      <c r="U22" s="76"/>
      <c r="V22" s="76"/>
      <c r="W22" s="76"/>
      <c r="X22" s="76"/>
      <c r="Y22" s="76"/>
      <c r="Z22" s="76"/>
      <c r="AA22" s="76"/>
    </row>
    <row r="23" spans="1:27" ht="15.75" customHeight="1">
      <c r="A23" s="251">
        <v>22</v>
      </c>
      <c r="B23" s="251" t="s">
        <v>2981</v>
      </c>
      <c r="C23" s="252" t="s">
        <v>2981</v>
      </c>
      <c r="D23" s="76"/>
      <c r="E23" s="76"/>
      <c r="F23" s="76"/>
      <c r="G23" s="76"/>
      <c r="H23" s="76"/>
      <c r="I23" s="76"/>
      <c r="J23" s="76"/>
      <c r="K23" s="76"/>
      <c r="L23" s="76"/>
      <c r="M23" s="76"/>
      <c r="N23" s="76"/>
      <c r="O23" s="76"/>
      <c r="P23" s="76"/>
      <c r="Q23" s="76"/>
      <c r="R23" s="76"/>
      <c r="S23" s="76"/>
      <c r="T23" s="76"/>
      <c r="U23" s="76"/>
      <c r="V23" s="76"/>
      <c r="W23" s="76"/>
      <c r="X23" s="76"/>
      <c r="Y23" s="76"/>
      <c r="Z23" s="76"/>
      <c r="AA23" s="76"/>
    </row>
    <row r="24" spans="1:27" ht="15.75" customHeight="1">
      <c r="A24" s="251">
        <v>23</v>
      </c>
      <c r="B24" s="251" t="s">
        <v>2996</v>
      </c>
      <c r="C24" s="252" t="s">
        <v>2996</v>
      </c>
      <c r="D24" s="76"/>
      <c r="E24" s="76"/>
      <c r="F24" s="76"/>
      <c r="G24" s="76"/>
      <c r="H24" s="76"/>
      <c r="I24" s="76"/>
      <c r="J24" s="76"/>
      <c r="K24" s="76"/>
      <c r="L24" s="76"/>
      <c r="M24" s="76"/>
      <c r="N24" s="76"/>
      <c r="O24" s="76"/>
      <c r="P24" s="76"/>
      <c r="Q24" s="76"/>
      <c r="R24" s="76"/>
      <c r="S24" s="76"/>
      <c r="T24" s="76"/>
      <c r="U24" s="76"/>
      <c r="V24" s="76"/>
      <c r="W24" s="76"/>
      <c r="X24" s="76"/>
      <c r="Y24" s="76"/>
      <c r="Z24" s="76"/>
      <c r="AA24" s="76"/>
    </row>
    <row r="25" spans="1:27" ht="16.8">
      <c r="A25" s="251">
        <v>24</v>
      </c>
      <c r="B25" s="251" t="s">
        <v>5098</v>
      </c>
      <c r="C25" s="252" t="s">
        <v>5098</v>
      </c>
      <c r="D25" s="76"/>
      <c r="E25" s="76"/>
      <c r="F25" s="76"/>
      <c r="G25" s="76"/>
      <c r="H25" s="76"/>
      <c r="I25" s="76"/>
      <c r="J25" s="76"/>
      <c r="K25" s="76"/>
      <c r="L25" s="76"/>
      <c r="M25" s="76"/>
      <c r="N25" s="76"/>
      <c r="O25" s="76"/>
      <c r="P25" s="76"/>
      <c r="Q25" s="76"/>
      <c r="R25" s="76"/>
      <c r="S25" s="76"/>
      <c r="T25" s="76"/>
      <c r="U25" s="76"/>
      <c r="V25" s="76"/>
      <c r="W25" s="76"/>
      <c r="X25" s="76"/>
      <c r="Y25" s="76"/>
      <c r="Z25" s="76"/>
      <c r="AA25" s="76"/>
    </row>
    <row r="26" spans="1:27" ht="16.8">
      <c r="A26" s="251">
        <v>25</v>
      </c>
      <c r="B26" s="251" t="s">
        <v>3026</v>
      </c>
      <c r="C26" s="252" t="s">
        <v>3026</v>
      </c>
      <c r="D26" s="76"/>
      <c r="E26" s="76"/>
      <c r="F26" s="76"/>
      <c r="G26" s="76"/>
      <c r="H26" s="76"/>
      <c r="I26" s="76"/>
      <c r="J26" s="76"/>
      <c r="K26" s="76"/>
      <c r="L26" s="76"/>
      <c r="M26" s="76"/>
      <c r="N26" s="76"/>
      <c r="O26" s="76"/>
      <c r="P26" s="76"/>
      <c r="Q26" s="76"/>
      <c r="R26" s="76"/>
      <c r="S26" s="76"/>
      <c r="T26" s="76"/>
      <c r="U26" s="76"/>
      <c r="V26" s="76"/>
      <c r="W26" s="76"/>
      <c r="X26" s="76"/>
      <c r="Y26" s="76"/>
      <c r="Z26" s="76"/>
      <c r="AA26" s="76"/>
    </row>
    <row r="27" spans="1:27" ht="16.8">
      <c r="A27" s="251">
        <v>26</v>
      </c>
      <c r="B27" s="251" t="s">
        <v>4407</v>
      </c>
      <c r="C27" s="252" t="s">
        <v>4407</v>
      </c>
      <c r="D27" s="76"/>
      <c r="E27" s="76"/>
      <c r="F27" s="76"/>
      <c r="G27" s="76"/>
      <c r="H27" s="76"/>
      <c r="I27" s="76"/>
      <c r="J27" s="76"/>
      <c r="K27" s="76"/>
      <c r="L27" s="76"/>
      <c r="M27" s="76"/>
      <c r="N27" s="76"/>
      <c r="O27" s="76"/>
      <c r="P27" s="76"/>
      <c r="Q27" s="76"/>
      <c r="R27" s="76"/>
      <c r="S27" s="76"/>
      <c r="T27" s="76"/>
      <c r="U27" s="76"/>
      <c r="V27" s="76"/>
      <c r="W27" s="76"/>
      <c r="X27" s="76"/>
      <c r="Y27" s="76"/>
      <c r="Z27" s="76"/>
      <c r="AA27" s="76"/>
    </row>
    <row r="28" spans="1:27" ht="16.8">
      <c r="A28" s="251">
        <v>27</v>
      </c>
      <c r="B28" s="251" t="s">
        <v>3067</v>
      </c>
      <c r="C28" s="252" t="s">
        <v>3067</v>
      </c>
      <c r="D28" s="76"/>
      <c r="E28" s="76"/>
      <c r="F28" s="76"/>
      <c r="G28" s="76"/>
      <c r="H28" s="76"/>
      <c r="I28" s="76"/>
      <c r="J28" s="76"/>
      <c r="K28" s="76"/>
      <c r="L28" s="76"/>
      <c r="M28" s="76"/>
      <c r="N28" s="76"/>
      <c r="O28" s="76"/>
      <c r="P28" s="76"/>
      <c r="Q28" s="76"/>
      <c r="R28" s="76"/>
      <c r="S28" s="76"/>
      <c r="T28" s="76"/>
      <c r="U28" s="76"/>
      <c r="V28" s="76"/>
      <c r="W28" s="76"/>
      <c r="X28" s="76"/>
      <c r="Y28" s="76"/>
      <c r="Z28" s="76"/>
      <c r="AA28" s="76"/>
    </row>
    <row r="29" spans="1:27" ht="16.8">
      <c r="A29" s="251">
        <v>28</v>
      </c>
      <c r="B29" s="251" t="s">
        <v>3091</v>
      </c>
      <c r="C29" s="252" t="s">
        <v>3091</v>
      </c>
      <c r="D29" s="76"/>
      <c r="E29" s="76"/>
      <c r="F29" s="76"/>
      <c r="G29" s="76"/>
      <c r="H29" s="76"/>
      <c r="I29" s="76"/>
      <c r="J29" s="76"/>
      <c r="K29" s="76"/>
      <c r="L29" s="76"/>
      <c r="M29" s="76"/>
      <c r="N29" s="76"/>
      <c r="O29" s="76"/>
      <c r="P29" s="76"/>
      <c r="Q29" s="76"/>
      <c r="R29" s="76"/>
      <c r="S29" s="76"/>
      <c r="T29" s="76"/>
      <c r="U29" s="76"/>
      <c r="V29" s="76"/>
      <c r="W29" s="76"/>
      <c r="X29" s="76"/>
      <c r="Y29" s="76"/>
      <c r="Z29" s="76"/>
      <c r="AA29" s="76"/>
    </row>
    <row r="30" spans="1:27" ht="16.8">
      <c r="A30" s="251">
        <v>29</v>
      </c>
      <c r="B30" s="251" t="s">
        <v>3104</v>
      </c>
      <c r="C30" s="252" t="s">
        <v>3104</v>
      </c>
      <c r="D30" s="76"/>
      <c r="E30" s="76"/>
      <c r="F30" s="76"/>
      <c r="G30" s="76"/>
      <c r="H30" s="76"/>
      <c r="I30" s="76"/>
      <c r="J30" s="76"/>
      <c r="K30" s="76"/>
      <c r="L30" s="76"/>
      <c r="M30" s="76"/>
      <c r="N30" s="76"/>
      <c r="O30" s="76"/>
      <c r="P30" s="76"/>
      <c r="Q30" s="76"/>
      <c r="R30" s="76"/>
      <c r="S30" s="76"/>
      <c r="T30" s="76"/>
      <c r="U30" s="76"/>
      <c r="V30" s="76"/>
      <c r="W30" s="76"/>
      <c r="X30" s="76"/>
      <c r="Y30" s="76"/>
      <c r="Z30" s="76"/>
      <c r="AA30" s="76"/>
    </row>
    <row r="31" spans="1:27" ht="16.8">
      <c r="A31" s="251">
        <v>30</v>
      </c>
      <c r="B31" s="251" t="s">
        <v>3174</v>
      </c>
      <c r="C31" s="252" t="s">
        <v>3174</v>
      </c>
      <c r="D31" s="76"/>
      <c r="E31" s="76"/>
      <c r="F31" s="76"/>
      <c r="G31" s="76"/>
      <c r="H31" s="76"/>
      <c r="I31" s="76"/>
      <c r="J31" s="76"/>
      <c r="K31" s="76"/>
      <c r="L31" s="76"/>
      <c r="M31" s="76"/>
      <c r="N31" s="76"/>
      <c r="O31" s="76"/>
      <c r="P31" s="76"/>
      <c r="Q31" s="76"/>
      <c r="R31" s="76"/>
      <c r="S31" s="76"/>
      <c r="T31" s="76"/>
      <c r="U31" s="76"/>
      <c r="V31" s="76"/>
      <c r="W31" s="76"/>
      <c r="X31" s="76"/>
      <c r="Y31" s="76"/>
      <c r="Z31" s="76"/>
      <c r="AA31" s="76"/>
    </row>
    <row r="32" spans="1:27" ht="16.8">
      <c r="A32" s="251">
        <v>31</v>
      </c>
      <c r="B32" s="251" t="s">
        <v>5108</v>
      </c>
      <c r="C32" s="252" t="s">
        <v>5108</v>
      </c>
      <c r="D32" s="76"/>
      <c r="E32" s="76"/>
      <c r="F32" s="76"/>
      <c r="G32" s="76"/>
      <c r="H32" s="76"/>
      <c r="I32" s="76"/>
      <c r="J32" s="76"/>
      <c r="K32" s="76"/>
      <c r="L32" s="76"/>
      <c r="M32" s="76"/>
      <c r="N32" s="76"/>
      <c r="O32" s="76"/>
      <c r="P32" s="76"/>
      <c r="Q32" s="76"/>
      <c r="R32" s="76"/>
      <c r="S32" s="76"/>
      <c r="T32" s="76"/>
      <c r="U32" s="76"/>
      <c r="V32" s="76"/>
      <c r="W32" s="76"/>
      <c r="X32" s="76"/>
      <c r="Y32" s="76"/>
      <c r="Z32" s="76"/>
      <c r="AA32" s="76"/>
    </row>
    <row r="33" spans="1:27" ht="16.8">
      <c r="A33" s="251">
        <v>32</v>
      </c>
      <c r="B33" s="251" t="s">
        <v>3220</v>
      </c>
      <c r="C33" s="252" t="s">
        <v>3220</v>
      </c>
      <c r="D33" s="76"/>
      <c r="E33" s="76"/>
      <c r="F33" s="76"/>
      <c r="G33" s="76"/>
      <c r="H33" s="76"/>
      <c r="I33" s="76"/>
      <c r="J33" s="76"/>
      <c r="K33" s="76"/>
      <c r="L33" s="76"/>
      <c r="M33" s="76"/>
      <c r="N33" s="76"/>
      <c r="O33" s="76"/>
      <c r="P33" s="76"/>
      <c r="Q33" s="76"/>
      <c r="R33" s="76"/>
      <c r="S33" s="76"/>
      <c r="T33" s="76"/>
      <c r="U33" s="76"/>
      <c r="V33" s="76"/>
      <c r="W33" s="76"/>
      <c r="X33" s="76"/>
      <c r="Y33" s="76"/>
      <c r="Z33" s="76"/>
      <c r="AA33" s="76"/>
    </row>
    <row r="34" spans="1:27" ht="16.8">
      <c r="A34" s="251">
        <v>33</v>
      </c>
      <c r="B34" s="251" t="s">
        <v>3278</v>
      </c>
      <c r="C34" s="252" t="s">
        <v>3278</v>
      </c>
      <c r="D34" s="76"/>
      <c r="E34" s="76"/>
      <c r="F34" s="76"/>
      <c r="G34" s="76"/>
      <c r="H34" s="76"/>
      <c r="I34" s="76"/>
      <c r="J34" s="76"/>
      <c r="K34" s="76"/>
      <c r="L34" s="76"/>
      <c r="M34" s="76"/>
      <c r="N34" s="76"/>
      <c r="O34" s="76"/>
      <c r="P34" s="76"/>
      <c r="Q34" s="76"/>
      <c r="R34" s="76"/>
      <c r="S34" s="76"/>
      <c r="T34" s="76"/>
      <c r="U34" s="76"/>
      <c r="V34" s="76"/>
      <c r="W34" s="76"/>
      <c r="X34" s="76"/>
      <c r="Y34" s="76"/>
      <c r="Z34" s="76"/>
      <c r="AA34" s="76"/>
    </row>
    <row r="35" spans="1:27" ht="16.8">
      <c r="A35" s="251">
        <v>34</v>
      </c>
      <c r="B35" s="251" t="s">
        <v>3285</v>
      </c>
      <c r="C35" s="252" t="s">
        <v>3285</v>
      </c>
      <c r="D35" s="76"/>
      <c r="E35" s="76"/>
      <c r="F35" s="76"/>
      <c r="G35" s="76"/>
      <c r="H35" s="76"/>
      <c r="I35" s="76"/>
      <c r="J35" s="76"/>
      <c r="K35" s="76"/>
      <c r="L35" s="76"/>
      <c r="M35" s="76"/>
      <c r="N35" s="76"/>
      <c r="O35" s="76"/>
      <c r="P35" s="76"/>
      <c r="Q35" s="76"/>
      <c r="R35" s="76"/>
      <c r="S35" s="76"/>
      <c r="T35" s="76"/>
      <c r="U35" s="76"/>
      <c r="V35" s="76"/>
      <c r="W35" s="76"/>
      <c r="X35" s="76"/>
      <c r="Y35" s="76"/>
      <c r="Z35" s="76"/>
      <c r="AA35" s="76"/>
    </row>
    <row r="36" spans="1:27" ht="16.8">
      <c r="A36" s="251">
        <v>35</v>
      </c>
      <c r="B36" s="251" t="s">
        <v>3289</v>
      </c>
      <c r="C36" s="252" t="s">
        <v>3289</v>
      </c>
      <c r="D36" s="76"/>
      <c r="E36" s="76"/>
      <c r="F36" s="76"/>
      <c r="G36" s="76"/>
      <c r="H36" s="76"/>
      <c r="I36" s="76"/>
      <c r="J36" s="76"/>
      <c r="K36" s="76"/>
      <c r="L36" s="76"/>
      <c r="M36" s="76"/>
      <c r="N36" s="76"/>
      <c r="O36" s="76"/>
      <c r="P36" s="76"/>
      <c r="Q36" s="76"/>
      <c r="R36" s="76"/>
      <c r="S36" s="76"/>
      <c r="T36" s="76"/>
      <c r="U36" s="76"/>
      <c r="V36" s="76"/>
      <c r="W36" s="76"/>
      <c r="X36" s="76"/>
      <c r="Y36" s="76"/>
      <c r="Z36" s="76"/>
      <c r="AA36" s="76"/>
    </row>
    <row r="37" spans="1:27" ht="16.8">
      <c r="A37" s="251">
        <v>36</v>
      </c>
      <c r="B37" s="251" t="s">
        <v>3347</v>
      </c>
      <c r="C37" s="252" t="s">
        <v>3347</v>
      </c>
      <c r="D37" s="76"/>
      <c r="E37" s="76"/>
      <c r="F37" s="76"/>
      <c r="G37" s="76"/>
      <c r="H37" s="76"/>
      <c r="I37" s="76"/>
      <c r="J37" s="76"/>
      <c r="K37" s="76"/>
      <c r="L37" s="76"/>
      <c r="M37" s="76"/>
      <c r="N37" s="76"/>
      <c r="O37" s="76"/>
      <c r="P37" s="76"/>
      <c r="Q37" s="76"/>
      <c r="R37" s="76"/>
      <c r="S37" s="76"/>
      <c r="T37" s="76"/>
      <c r="U37" s="76"/>
      <c r="V37" s="76"/>
      <c r="W37" s="76"/>
      <c r="X37" s="76"/>
      <c r="Y37" s="76"/>
      <c r="Z37" s="76"/>
      <c r="AA37" s="76"/>
    </row>
    <row r="38" spans="1:27" ht="16.8">
      <c r="A38" s="251">
        <v>37</v>
      </c>
      <c r="B38" s="251" t="s">
        <v>5116</v>
      </c>
      <c r="C38" s="252" t="s">
        <v>5116</v>
      </c>
      <c r="D38" s="76"/>
      <c r="E38" s="76"/>
      <c r="F38" s="76"/>
      <c r="G38" s="76"/>
      <c r="H38" s="76"/>
      <c r="I38" s="76"/>
      <c r="J38" s="76"/>
      <c r="K38" s="76"/>
      <c r="L38" s="76"/>
      <c r="M38" s="76"/>
      <c r="N38" s="76"/>
      <c r="O38" s="76"/>
      <c r="P38" s="76"/>
      <c r="Q38" s="76"/>
      <c r="R38" s="76"/>
      <c r="S38" s="76"/>
      <c r="T38" s="76"/>
      <c r="U38" s="76"/>
      <c r="V38" s="76"/>
      <c r="W38" s="76"/>
      <c r="X38" s="76"/>
      <c r="Y38" s="76"/>
      <c r="Z38" s="76"/>
      <c r="AA38" s="76"/>
    </row>
    <row r="39" spans="1:27" ht="16.8">
      <c r="A39" s="251">
        <v>38</v>
      </c>
      <c r="B39" s="251" t="s">
        <v>5118</v>
      </c>
      <c r="C39" s="252" t="s">
        <v>5118</v>
      </c>
      <c r="D39" s="76"/>
      <c r="E39" s="76"/>
      <c r="F39" s="76"/>
      <c r="G39" s="76"/>
      <c r="H39" s="76"/>
      <c r="I39" s="76"/>
      <c r="J39" s="76"/>
      <c r="K39" s="76"/>
      <c r="L39" s="76"/>
      <c r="M39" s="76"/>
      <c r="N39" s="76"/>
      <c r="O39" s="76"/>
      <c r="P39" s="76"/>
      <c r="Q39" s="76"/>
      <c r="R39" s="76"/>
      <c r="S39" s="76"/>
      <c r="T39" s="76"/>
      <c r="U39" s="76"/>
      <c r="V39" s="76"/>
      <c r="W39" s="76"/>
      <c r="X39" s="76"/>
      <c r="Y39" s="76"/>
      <c r="Z39" s="76"/>
      <c r="AA39" s="76"/>
    </row>
    <row r="40" spans="1:27" ht="16.8">
      <c r="A40" s="251">
        <v>39</v>
      </c>
      <c r="B40" s="251" t="s">
        <v>3362</v>
      </c>
      <c r="C40" s="252" t="s">
        <v>3362</v>
      </c>
      <c r="D40" s="76"/>
      <c r="E40" s="76"/>
      <c r="F40" s="76"/>
      <c r="G40" s="76"/>
      <c r="H40" s="76"/>
      <c r="I40" s="76"/>
      <c r="J40" s="76"/>
      <c r="K40" s="76"/>
      <c r="L40" s="76"/>
      <c r="M40" s="76"/>
      <c r="N40" s="76"/>
      <c r="O40" s="76"/>
      <c r="P40" s="76"/>
      <c r="Q40" s="76"/>
      <c r="R40" s="76"/>
      <c r="S40" s="76"/>
      <c r="T40" s="76"/>
      <c r="U40" s="76"/>
      <c r="V40" s="76"/>
      <c r="W40" s="76"/>
      <c r="X40" s="76"/>
      <c r="Y40" s="76"/>
      <c r="Z40" s="76"/>
      <c r="AA40" s="76"/>
    </row>
    <row r="41" spans="1:27" ht="16.8">
      <c r="A41" s="251">
        <v>40</v>
      </c>
      <c r="B41" s="251" t="s">
        <v>3373</v>
      </c>
      <c r="C41" s="252" t="s">
        <v>3373</v>
      </c>
      <c r="D41" s="76"/>
      <c r="E41" s="76"/>
      <c r="F41" s="76"/>
      <c r="G41" s="76"/>
      <c r="H41" s="76"/>
      <c r="I41" s="76"/>
      <c r="J41" s="76"/>
      <c r="K41" s="76"/>
      <c r="L41" s="76"/>
      <c r="M41" s="76"/>
      <c r="N41" s="76"/>
      <c r="O41" s="76"/>
      <c r="P41" s="76"/>
      <c r="Q41" s="76"/>
      <c r="R41" s="76"/>
      <c r="S41" s="76"/>
      <c r="T41" s="76"/>
      <c r="U41" s="76"/>
      <c r="V41" s="76"/>
      <c r="W41" s="76"/>
      <c r="X41" s="76"/>
      <c r="Y41" s="76"/>
      <c r="Z41" s="76"/>
      <c r="AA41" s="76"/>
    </row>
    <row r="42" spans="1:27" ht="16.8">
      <c r="A42" s="251">
        <v>41</v>
      </c>
      <c r="B42" s="251" t="s">
        <v>3378</v>
      </c>
      <c r="C42" s="252" t="s">
        <v>3378</v>
      </c>
      <c r="D42" s="76"/>
      <c r="E42" s="76"/>
      <c r="F42" s="76"/>
      <c r="G42" s="76"/>
      <c r="H42" s="76"/>
      <c r="I42" s="76"/>
      <c r="J42" s="76"/>
      <c r="K42" s="76"/>
      <c r="L42" s="76"/>
      <c r="M42" s="76"/>
      <c r="N42" s="76"/>
      <c r="O42" s="76"/>
      <c r="P42" s="76"/>
      <c r="Q42" s="76"/>
      <c r="R42" s="76"/>
      <c r="S42" s="76"/>
      <c r="T42" s="76"/>
      <c r="U42" s="76"/>
      <c r="V42" s="76"/>
      <c r="W42" s="76"/>
      <c r="X42" s="76"/>
      <c r="Y42" s="76"/>
      <c r="Z42" s="76"/>
      <c r="AA42" s="76"/>
    </row>
    <row r="43" spans="1:27" ht="16.8">
      <c r="A43" s="251">
        <v>42</v>
      </c>
      <c r="B43" s="251" t="s">
        <v>3403</v>
      </c>
      <c r="C43" s="252" t="s">
        <v>3403</v>
      </c>
      <c r="D43" s="76"/>
      <c r="E43" s="76"/>
      <c r="F43" s="76"/>
      <c r="G43" s="76"/>
      <c r="H43" s="76"/>
      <c r="I43" s="76"/>
      <c r="J43" s="76"/>
      <c r="K43" s="76"/>
      <c r="L43" s="76"/>
      <c r="M43" s="76"/>
      <c r="N43" s="76"/>
      <c r="O43" s="76"/>
      <c r="P43" s="76"/>
      <c r="Q43" s="76"/>
      <c r="R43" s="76"/>
      <c r="S43" s="76"/>
      <c r="T43" s="76"/>
      <c r="U43" s="76"/>
      <c r="V43" s="76"/>
      <c r="W43" s="76"/>
      <c r="X43" s="76"/>
      <c r="Y43" s="76"/>
      <c r="Z43" s="76"/>
      <c r="AA43" s="76"/>
    </row>
    <row r="44" spans="1:27" ht="16.8">
      <c r="A44" s="251">
        <v>43</v>
      </c>
      <c r="B44" s="251" t="s">
        <v>3413</v>
      </c>
      <c r="C44" s="252" t="s">
        <v>3413</v>
      </c>
      <c r="D44" s="76"/>
      <c r="E44" s="76"/>
      <c r="F44" s="76"/>
      <c r="G44" s="76"/>
      <c r="H44" s="76"/>
      <c r="I44" s="76"/>
      <c r="J44" s="76"/>
      <c r="K44" s="76"/>
      <c r="L44" s="76"/>
      <c r="M44" s="76"/>
      <c r="N44" s="76"/>
      <c r="O44" s="76"/>
      <c r="P44" s="76"/>
      <c r="Q44" s="76"/>
      <c r="R44" s="76"/>
      <c r="S44" s="76"/>
      <c r="T44" s="76"/>
      <c r="U44" s="76"/>
      <c r="V44" s="76"/>
      <c r="W44" s="76"/>
      <c r="X44" s="76"/>
      <c r="Y44" s="76"/>
      <c r="Z44" s="76"/>
      <c r="AA44" s="76"/>
    </row>
    <row r="45" spans="1:27" ht="16.8">
      <c r="A45" s="251">
        <v>44</v>
      </c>
      <c r="B45" s="251" t="s">
        <v>3461</v>
      </c>
      <c r="C45" s="252" t="s">
        <v>3461</v>
      </c>
      <c r="D45" s="76"/>
      <c r="E45" s="76"/>
      <c r="F45" s="76"/>
      <c r="G45" s="76"/>
      <c r="H45" s="76"/>
      <c r="I45" s="76"/>
      <c r="J45" s="76"/>
      <c r="K45" s="76"/>
      <c r="L45" s="76"/>
      <c r="M45" s="76"/>
      <c r="N45" s="76"/>
      <c r="O45" s="76"/>
      <c r="P45" s="76"/>
      <c r="Q45" s="76"/>
      <c r="R45" s="76"/>
      <c r="S45" s="76"/>
      <c r="T45" s="76"/>
      <c r="U45" s="76"/>
      <c r="V45" s="76"/>
      <c r="W45" s="76"/>
      <c r="X45" s="76"/>
      <c r="Y45" s="76"/>
      <c r="Z45" s="76"/>
      <c r="AA45" s="76"/>
    </row>
    <row r="46" spans="1:27" ht="16.8">
      <c r="A46" s="251">
        <v>45</v>
      </c>
      <c r="B46" s="251" t="s">
        <v>3470</v>
      </c>
      <c r="C46" s="252" t="s">
        <v>3470</v>
      </c>
      <c r="D46" s="76"/>
      <c r="E46" s="76"/>
      <c r="F46" s="76"/>
      <c r="G46" s="76"/>
      <c r="H46" s="76"/>
      <c r="I46" s="76"/>
      <c r="J46" s="76"/>
      <c r="K46" s="76"/>
      <c r="L46" s="76"/>
      <c r="M46" s="76"/>
      <c r="N46" s="76"/>
      <c r="O46" s="76"/>
      <c r="P46" s="76"/>
      <c r="Q46" s="76"/>
      <c r="R46" s="76"/>
      <c r="S46" s="76"/>
      <c r="T46" s="76"/>
      <c r="U46" s="76"/>
      <c r="V46" s="76"/>
      <c r="W46" s="76"/>
      <c r="X46" s="76"/>
      <c r="Y46" s="76"/>
      <c r="Z46" s="76"/>
      <c r="AA46" s="76"/>
    </row>
    <row r="47" spans="1:27" ht="16.8">
      <c r="A47" s="251">
        <v>46</v>
      </c>
      <c r="B47" s="251" t="s">
        <v>5125</v>
      </c>
      <c r="C47" s="252" t="s">
        <v>5125</v>
      </c>
      <c r="D47" s="76"/>
      <c r="E47" s="76"/>
      <c r="F47" s="76"/>
      <c r="G47" s="76"/>
      <c r="H47" s="76"/>
      <c r="I47" s="76"/>
      <c r="J47" s="76"/>
      <c r="K47" s="76"/>
      <c r="L47" s="76"/>
      <c r="M47" s="76"/>
      <c r="N47" s="76"/>
      <c r="O47" s="76"/>
      <c r="P47" s="76"/>
      <c r="Q47" s="76"/>
      <c r="R47" s="76"/>
      <c r="S47" s="76"/>
      <c r="T47" s="76"/>
      <c r="U47" s="76"/>
      <c r="V47" s="76"/>
      <c r="W47" s="76"/>
      <c r="X47" s="76"/>
      <c r="Y47" s="76"/>
      <c r="Z47" s="76"/>
      <c r="AA47" s="76"/>
    </row>
    <row r="48" spans="1:27" ht="16.8">
      <c r="A48" s="251">
        <v>47</v>
      </c>
      <c r="B48" s="251" t="s">
        <v>3521</v>
      </c>
      <c r="C48" s="252" t="s">
        <v>3521</v>
      </c>
      <c r="D48" s="76"/>
      <c r="E48" s="76"/>
      <c r="F48" s="76"/>
      <c r="G48" s="76"/>
      <c r="H48" s="76"/>
      <c r="I48" s="76"/>
      <c r="J48" s="76"/>
      <c r="K48" s="76"/>
      <c r="L48" s="76"/>
      <c r="M48" s="76"/>
      <c r="N48" s="76"/>
      <c r="O48" s="76"/>
      <c r="P48" s="76"/>
      <c r="Q48" s="76"/>
      <c r="R48" s="76"/>
      <c r="S48" s="76"/>
      <c r="T48" s="76"/>
      <c r="U48" s="76"/>
      <c r="V48" s="76"/>
      <c r="W48" s="76"/>
      <c r="X48" s="76"/>
      <c r="Y48" s="76"/>
      <c r="Z48" s="76"/>
      <c r="AA48" s="76"/>
    </row>
    <row r="49" spans="1:27" ht="16.8">
      <c r="A49" s="251">
        <v>48</v>
      </c>
      <c r="B49" s="251" t="s">
        <v>3534</v>
      </c>
      <c r="C49" s="252" t="s">
        <v>3534</v>
      </c>
      <c r="D49" s="76"/>
      <c r="E49" s="76"/>
      <c r="F49" s="76"/>
      <c r="G49" s="76"/>
      <c r="H49" s="76"/>
      <c r="I49" s="76"/>
      <c r="J49" s="76"/>
      <c r="K49" s="76"/>
      <c r="L49" s="76"/>
      <c r="M49" s="76"/>
      <c r="N49" s="76"/>
      <c r="O49" s="76"/>
      <c r="P49" s="76"/>
      <c r="Q49" s="76"/>
      <c r="R49" s="76"/>
      <c r="S49" s="76"/>
      <c r="T49" s="76"/>
      <c r="U49" s="76"/>
      <c r="V49" s="76"/>
      <c r="W49" s="76"/>
      <c r="X49" s="76"/>
      <c r="Y49" s="76"/>
      <c r="Z49" s="76"/>
      <c r="AA49" s="76"/>
    </row>
    <row r="50" spans="1:27" ht="16.8">
      <c r="A50" s="251">
        <v>49</v>
      </c>
      <c r="B50" s="251" t="s">
        <v>3539</v>
      </c>
      <c r="C50" s="252" t="s">
        <v>3539</v>
      </c>
      <c r="D50" s="76"/>
      <c r="E50" s="76"/>
      <c r="F50" s="76"/>
      <c r="G50" s="76"/>
      <c r="H50" s="76"/>
      <c r="I50" s="76"/>
      <c r="J50" s="76"/>
      <c r="K50" s="76"/>
      <c r="L50" s="76"/>
      <c r="M50" s="76"/>
      <c r="N50" s="76"/>
      <c r="O50" s="76"/>
      <c r="P50" s="76"/>
      <c r="Q50" s="76"/>
      <c r="R50" s="76"/>
      <c r="S50" s="76"/>
      <c r="T50" s="76"/>
      <c r="U50" s="76"/>
      <c r="V50" s="76"/>
      <c r="W50" s="76"/>
      <c r="X50" s="76"/>
      <c r="Y50" s="76"/>
      <c r="Z50" s="76"/>
      <c r="AA50" s="76"/>
    </row>
    <row r="51" spans="1:27" ht="16.8">
      <c r="A51" s="251">
        <v>50</v>
      </c>
      <c r="B51" s="251" t="s">
        <v>3544</v>
      </c>
      <c r="C51" s="252" t="s">
        <v>3544</v>
      </c>
      <c r="D51" s="76"/>
      <c r="E51" s="76"/>
      <c r="F51" s="76"/>
      <c r="G51" s="76"/>
      <c r="H51" s="76"/>
      <c r="I51" s="76"/>
      <c r="J51" s="76"/>
      <c r="K51" s="76"/>
      <c r="L51" s="76"/>
      <c r="M51" s="76"/>
      <c r="N51" s="76"/>
      <c r="O51" s="76"/>
      <c r="P51" s="76"/>
      <c r="Q51" s="76"/>
      <c r="R51" s="76"/>
      <c r="S51" s="76"/>
      <c r="T51" s="76"/>
      <c r="U51" s="76"/>
      <c r="V51" s="76"/>
      <c r="W51" s="76"/>
      <c r="X51" s="76"/>
      <c r="Y51" s="76"/>
      <c r="Z51" s="76"/>
      <c r="AA51" s="76"/>
    </row>
    <row r="52" spans="1:27" ht="16.8">
      <c r="A52" s="251">
        <v>51</v>
      </c>
      <c r="B52" s="251" t="s">
        <v>3554</v>
      </c>
      <c r="C52" s="252" t="s">
        <v>3554</v>
      </c>
      <c r="D52" s="76"/>
      <c r="E52" s="76"/>
      <c r="F52" s="76"/>
      <c r="G52" s="76"/>
      <c r="H52" s="76"/>
      <c r="I52" s="76"/>
      <c r="J52" s="76"/>
      <c r="K52" s="76"/>
      <c r="L52" s="76"/>
      <c r="M52" s="76"/>
      <c r="N52" s="76"/>
      <c r="O52" s="76"/>
      <c r="P52" s="76"/>
      <c r="Q52" s="76"/>
      <c r="R52" s="76"/>
      <c r="S52" s="76"/>
      <c r="T52" s="76"/>
      <c r="U52" s="76"/>
      <c r="V52" s="76"/>
      <c r="W52" s="76"/>
      <c r="X52" s="76"/>
      <c r="Y52" s="76"/>
      <c r="Z52" s="76"/>
      <c r="AA52" s="76"/>
    </row>
    <row r="53" spans="1:27" ht="16.8">
      <c r="A53" s="251">
        <v>52</v>
      </c>
      <c r="B53" s="251" t="s">
        <v>5126</v>
      </c>
      <c r="C53" s="252" t="s">
        <v>5126</v>
      </c>
      <c r="D53" s="76"/>
      <c r="E53" s="76"/>
      <c r="F53" s="76"/>
      <c r="G53" s="76"/>
      <c r="H53" s="76"/>
      <c r="I53" s="76"/>
      <c r="J53" s="76"/>
      <c r="K53" s="76"/>
      <c r="L53" s="76"/>
      <c r="M53" s="76"/>
      <c r="N53" s="76"/>
      <c r="O53" s="76"/>
      <c r="P53" s="76"/>
      <c r="Q53" s="76"/>
      <c r="R53" s="76"/>
      <c r="S53" s="76"/>
      <c r="T53" s="76"/>
      <c r="U53" s="76"/>
      <c r="V53" s="76"/>
      <c r="W53" s="76"/>
      <c r="X53" s="76"/>
      <c r="Y53" s="76"/>
      <c r="Z53" s="76"/>
      <c r="AA53" s="76"/>
    </row>
    <row r="54" spans="1:27" ht="16.8">
      <c r="A54" s="251">
        <v>53</v>
      </c>
      <c r="B54" s="251" t="s">
        <v>3644</v>
      </c>
      <c r="C54" s="252" t="s">
        <v>3644</v>
      </c>
      <c r="D54" s="76"/>
      <c r="E54" s="76"/>
      <c r="F54" s="76"/>
      <c r="G54" s="76"/>
      <c r="H54" s="76"/>
      <c r="I54" s="76"/>
      <c r="J54" s="76"/>
      <c r="K54" s="76"/>
      <c r="L54" s="76"/>
      <c r="M54" s="76"/>
      <c r="N54" s="76"/>
      <c r="O54" s="76"/>
      <c r="P54" s="76"/>
      <c r="Q54" s="76"/>
      <c r="R54" s="76"/>
      <c r="S54" s="76"/>
      <c r="T54" s="76"/>
      <c r="U54" s="76"/>
      <c r="V54" s="76"/>
      <c r="W54" s="76"/>
      <c r="X54" s="76"/>
      <c r="Y54" s="76"/>
      <c r="Z54" s="76"/>
      <c r="AA54" s="76"/>
    </row>
    <row r="55" spans="1:27" ht="16.8">
      <c r="A55" s="251">
        <v>54</v>
      </c>
      <c r="B55" s="251" t="s">
        <v>3654</v>
      </c>
      <c r="C55" s="252" t="s">
        <v>3654</v>
      </c>
      <c r="D55" s="76"/>
      <c r="E55" s="76"/>
      <c r="F55" s="76"/>
      <c r="G55" s="76"/>
      <c r="H55" s="76"/>
      <c r="I55" s="76"/>
      <c r="J55" s="76"/>
      <c r="K55" s="76"/>
      <c r="L55" s="76"/>
      <c r="M55" s="76"/>
      <c r="N55" s="76"/>
      <c r="O55" s="76"/>
      <c r="P55" s="76"/>
      <c r="Q55" s="76"/>
      <c r="R55" s="76"/>
      <c r="S55" s="76"/>
      <c r="T55" s="76"/>
      <c r="U55" s="76"/>
      <c r="V55" s="76"/>
      <c r="W55" s="76"/>
      <c r="X55" s="76"/>
      <c r="Y55" s="76"/>
      <c r="Z55" s="76"/>
      <c r="AA55" s="76"/>
    </row>
    <row r="56" spans="1:27" ht="16.8">
      <c r="A56" s="251">
        <v>55</v>
      </c>
      <c r="B56" s="251" t="s">
        <v>3659</v>
      </c>
      <c r="C56" s="252" t="s">
        <v>3659</v>
      </c>
      <c r="D56" s="76"/>
      <c r="E56" s="76"/>
      <c r="F56" s="76"/>
      <c r="G56" s="76"/>
      <c r="H56" s="76"/>
      <c r="I56" s="76"/>
      <c r="J56" s="76"/>
      <c r="K56" s="76"/>
      <c r="L56" s="76"/>
      <c r="M56" s="76"/>
      <c r="N56" s="76"/>
      <c r="O56" s="76"/>
      <c r="P56" s="76"/>
      <c r="Q56" s="76"/>
      <c r="R56" s="76"/>
      <c r="S56" s="76"/>
      <c r="T56" s="76"/>
      <c r="U56" s="76"/>
      <c r="V56" s="76"/>
      <c r="W56" s="76"/>
      <c r="X56" s="76"/>
      <c r="Y56" s="76"/>
      <c r="Z56" s="76"/>
      <c r="AA56" s="76"/>
    </row>
    <row r="57" spans="1:27" ht="16.8">
      <c r="A57" s="251">
        <v>56</v>
      </c>
      <c r="B57" s="251" t="s">
        <v>5409</v>
      </c>
      <c r="C57" s="252" t="s">
        <v>5409</v>
      </c>
      <c r="D57" s="76"/>
      <c r="E57" s="76"/>
      <c r="F57" s="76"/>
      <c r="G57" s="76"/>
      <c r="H57" s="76"/>
      <c r="I57" s="76"/>
      <c r="J57" s="76"/>
      <c r="K57" s="76"/>
      <c r="L57" s="76"/>
      <c r="M57" s="76"/>
      <c r="N57" s="76"/>
      <c r="O57" s="76"/>
      <c r="P57" s="76"/>
      <c r="Q57" s="76"/>
      <c r="R57" s="76"/>
      <c r="S57" s="76"/>
      <c r="T57" s="76"/>
      <c r="U57" s="76"/>
      <c r="V57" s="76"/>
      <c r="W57" s="76"/>
      <c r="X57" s="76"/>
      <c r="Y57" s="76"/>
      <c r="Z57" s="76"/>
      <c r="AA57" s="76"/>
    </row>
    <row r="58" spans="1:27" ht="16.8">
      <c r="A58" s="251">
        <v>57</v>
      </c>
      <c r="B58" s="251" t="s">
        <v>3713</v>
      </c>
      <c r="C58" s="252" t="s">
        <v>3713</v>
      </c>
      <c r="D58" s="76"/>
      <c r="E58" s="76"/>
      <c r="F58" s="76"/>
      <c r="G58" s="76"/>
      <c r="H58" s="76"/>
      <c r="I58" s="76"/>
      <c r="J58" s="76"/>
      <c r="K58" s="76"/>
      <c r="L58" s="76"/>
      <c r="M58" s="76"/>
      <c r="N58" s="76"/>
      <c r="O58" s="76"/>
      <c r="P58" s="76"/>
      <c r="Q58" s="76"/>
      <c r="R58" s="76"/>
      <c r="S58" s="76"/>
      <c r="T58" s="76"/>
      <c r="U58" s="76"/>
      <c r="V58" s="76"/>
      <c r="W58" s="76"/>
      <c r="X58" s="76"/>
      <c r="Y58" s="76"/>
      <c r="Z58" s="76"/>
      <c r="AA58" s="76"/>
    </row>
    <row r="59" spans="1:27" ht="16.8">
      <c r="A59" s="251">
        <v>58</v>
      </c>
      <c r="B59" s="251" t="s">
        <v>5135</v>
      </c>
      <c r="C59" s="252" t="s">
        <v>5135</v>
      </c>
      <c r="D59" s="76"/>
      <c r="E59" s="76"/>
      <c r="F59" s="76"/>
      <c r="G59" s="76"/>
      <c r="H59" s="76"/>
      <c r="I59" s="76"/>
      <c r="J59" s="76"/>
      <c r="K59" s="76"/>
      <c r="L59" s="76"/>
      <c r="M59" s="76"/>
      <c r="N59" s="76"/>
      <c r="O59" s="76"/>
      <c r="P59" s="76"/>
      <c r="Q59" s="76"/>
      <c r="R59" s="76"/>
      <c r="S59" s="76"/>
      <c r="T59" s="76"/>
      <c r="U59" s="76"/>
      <c r="V59" s="76"/>
      <c r="W59" s="76"/>
      <c r="X59" s="76"/>
      <c r="Y59" s="76"/>
      <c r="Z59" s="76"/>
      <c r="AA59" s="76"/>
    </row>
    <row r="60" spans="1:27" ht="16.8">
      <c r="A60" s="251">
        <v>59</v>
      </c>
      <c r="B60" s="251" t="s">
        <v>3726</v>
      </c>
      <c r="C60" s="252" t="s">
        <v>3726</v>
      </c>
      <c r="D60" s="76"/>
      <c r="E60" s="76"/>
      <c r="F60" s="76"/>
      <c r="G60" s="76"/>
      <c r="H60" s="76"/>
      <c r="I60" s="76"/>
      <c r="J60" s="76"/>
      <c r="K60" s="76"/>
      <c r="L60" s="76"/>
      <c r="M60" s="76"/>
      <c r="N60" s="76"/>
      <c r="O60" s="76"/>
      <c r="P60" s="76"/>
      <c r="Q60" s="76"/>
      <c r="R60" s="76"/>
      <c r="S60" s="76"/>
      <c r="T60" s="76"/>
      <c r="U60" s="76"/>
      <c r="V60" s="76"/>
      <c r="W60" s="76"/>
      <c r="X60" s="76"/>
      <c r="Y60" s="76"/>
      <c r="Z60" s="76"/>
      <c r="AA60" s="76"/>
    </row>
    <row r="61" spans="1:27" ht="16.8">
      <c r="A61" s="251">
        <v>60</v>
      </c>
      <c r="B61" s="251" t="s">
        <v>3741</v>
      </c>
      <c r="C61" s="252" t="s">
        <v>3741</v>
      </c>
      <c r="D61" s="76"/>
      <c r="E61" s="76"/>
      <c r="F61" s="76"/>
      <c r="G61" s="76"/>
      <c r="H61" s="76"/>
      <c r="I61" s="76"/>
      <c r="J61" s="76"/>
      <c r="K61" s="76"/>
      <c r="L61" s="76"/>
      <c r="M61" s="76"/>
      <c r="N61" s="76"/>
      <c r="O61" s="76"/>
      <c r="P61" s="76"/>
      <c r="Q61" s="76"/>
      <c r="R61" s="76"/>
      <c r="S61" s="76"/>
      <c r="T61" s="76"/>
      <c r="U61" s="76"/>
      <c r="V61" s="76"/>
      <c r="W61" s="76"/>
      <c r="X61" s="76"/>
      <c r="Y61" s="76"/>
      <c r="Z61" s="76"/>
      <c r="AA61" s="76"/>
    </row>
    <row r="62" spans="1:27" ht="16.8">
      <c r="A62" s="251">
        <v>61</v>
      </c>
      <c r="B62" s="251" t="s">
        <v>5137</v>
      </c>
      <c r="C62" s="252" t="s">
        <v>5137</v>
      </c>
      <c r="D62" s="76"/>
      <c r="E62" s="76"/>
      <c r="F62" s="76"/>
      <c r="G62" s="76"/>
      <c r="H62" s="76"/>
      <c r="I62" s="76"/>
      <c r="J62" s="76"/>
      <c r="K62" s="76"/>
      <c r="L62" s="76"/>
      <c r="M62" s="76"/>
      <c r="N62" s="76"/>
      <c r="O62" s="76"/>
      <c r="P62" s="76"/>
      <c r="Q62" s="76"/>
      <c r="R62" s="76"/>
      <c r="S62" s="76"/>
      <c r="T62" s="76"/>
      <c r="U62" s="76"/>
      <c r="V62" s="76"/>
      <c r="W62" s="76"/>
      <c r="X62" s="76"/>
      <c r="Y62" s="76"/>
      <c r="Z62" s="76"/>
      <c r="AA62" s="76"/>
    </row>
    <row r="63" spans="1:27" ht="16.8">
      <c r="A63" s="251">
        <v>62</v>
      </c>
      <c r="B63" s="251" t="s">
        <v>3746</v>
      </c>
      <c r="C63" s="252" t="s">
        <v>3746</v>
      </c>
      <c r="D63" s="76"/>
      <c r="E63" s="76"/>
      <c r="F63" s="76"/>
      <c r="G63" s="76"/>
      <c r="H63" s="76"/>
      <c r="I63" s="76"/>
      <c r="J63" s="76"/>
      <c r="K63" s="76"/>
      <c r="L63" s="76"/>
      <c r="M63" s="76"/>
      <c r="N63" s="76"/>
      <c r="O63" s="76"/>
      <c r="P63" s="76"/>
      <c r="Q63" s="76"/>
      <c r="R63" s="76"/>
      <c r="S63" s="76"/>
      <c r="T63" s="76"/>
      <c r="U63" s="76"/>
      <c r="V63" s="76"/>
      <c r="W63" s="76"/>
      <c r="X63" s="76"/>
      <c r="Y63" s="76"/>
      <c r="Z63" s="76"/>
      <c r="AA63" s="76"/>
    </row>
    <row r="64" spans="1:27" ht="16.8">
      <c r="A64" s="251">
        <v>63</v>
      </c>
      <c r="B64" s="251" t="s">
        <v>4902</v>
      </c>
      <c r="C64" s="252" t="s">
        <v>4902</v>
      </c>
      <c r="D64" s="76"/>
      <c r="E64" s="76"/>
      <c r="F64" s="76"/>
      <c r="G64" s="76"/>
      <c r="H64" s="76"/>
      <c r="I64" s="76"/>
      <c r="J64" s="76"/>
      <c r="K64" s="76"/>
      <c r="L64" s="76"/>
      <c r="M64" s="76"/>
      <c r="N64" s="76"/>
      <c r="O64" s="76"/>
      <c r="P64" s="76"/>
      <c r="Q64" s="76"/>
      <c r="R64" s="76"/>
      <c r="S64" s="76"/>
      <c r="T64" s="76"/>
      <c r="U64" s="76"/>
      <c r="V64" s="76"/>
      <c r="W64" s="76"/>
      <c r="X64" s="76"/>
      <c r="Y64" s="76"/>
      <c r="Z64" s="76"/>
      <c r="AA64" s="76"/>
    </row>
    <row r="65" spans="1:27" ht="16.8">
      <c r="A65" s="251">
        <v>64</v>
      </c>
      <c r="B65" s="251" t="s">
        <v>3756</v>
      </c>
      <c r="C65" s="252" t="s">
        <v>3756</v>
      </c>
      <c r="D65" s="76"/>
      <c r="E65" s="76"/>
      <c r="F65" s="76"/>
      <c r="G65" s="76"/>
      <c r="H65" s="76"/>
      <c r="I65" s="76"/>
      <c r="J65" s="76"/>
      <c r="K65" s="76"/>
      <c r="L65" s="76"/>
      <c r="M65" s="76"/>
      <c r="N65" s="76"/>
      <c r="O65" s="76"/>
      <c r="P65" s="76"/>
      <c r="Q65" s="76"/>
      <c r="R65" s="76"/>
      <c r="S65" s="76"/>
      <c r="T65" s="76"/>
      <c r="U65" s="76"/>
      <c r="V65" s="76"/>
      <c r="W65" s="76"/>
      <c r="X65" s="76"/>
      <c r="Y65" s="76"/>
      <c r="Z65" s="76"/>
      <c r="AA65" s="76"/>
    </row>
    <row r="66" spans="1:27" ht="16.8">
      <c r="A66" s="251">
        <v>65</v>
      </c>
      <c r="B66" s="251" t="s">
        <v>3822</v>
      </c>
      <c r="C66" s="252" t="s">
        <v>3822</v>
      </c>
      <c r="D66" s="76"/>
      <c r="E66" s="76"/>
      <c r="F66" s="76"/>
      <c r="G66" s="76"/>
      <c r="H66" s="76"/>
      <c r="I66" s="76"/>
      <c r="J66" s="76"/>
      <c r="K66" s="76"/>
      <c r="L66" s="76"/>
      <c r="M66" s="76"/>
      <c r="N66" s="76"/>
      <c r="O66" s="76"/>
      <c r="P66" s="76"/>
      <c r="Q66" s="76"/>
      <c r="R66" s="76"/>
      <c r="S66" s="76"/>
      <c r="T66" s="76"/>
      <c r="U66" s="76"/>
      <c r="V66" s="76"/>
      <c r="W66" s="76"/>
      <c r="X66" s="76"/>
      <c r="Y66" s="76"/>
      <c r="Z66" s="76"/>
      <c r="AA66" s="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data</vt:lpstr>
      <vt:lpstr>bonus</vt:lpstr>
      <vt:lpstr>label risk</vt:lpstr>
      <vt:lpstr>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Hà Thảo Vy Hà Thảo Vy</cp:lastModifiedBy>
  <dcterms:modified xsi:type="dcterms:W3CDTF">2025-06-21T17:17:11Z</dcterms:modified>
</cp:coreProperties>
</file>